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drawings/drawing1.xml" ContentType="application/vnd.openxmlformats-officedocument.drawing+xml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drawings/drawing2.xml" ContentType="application/vnd.openxmlformats-officedocument.drawing+xml"/>
  <Override PartName="/xl/customProperty12.bin" ContentType="application/vnd.openxmlformats-officedocument.spreadsheetml.customProperty"/>
  <Override PartName="/xl/drawings/drawing3.xml" ContentType="application/vnd.openxmlformats-officedocument.drawing+xml"/>
  <Override PartName="/xl/customProperty13.bin" ContentType="application/vnd.openxmlformats-officedocument.spreadsheetml.customProperty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ustomProperty16.bin" ContentType="application/vnd.openxmlformats-officedocument.spreadsheetml.customProperty"/>
  <Override PartName="/xl/customProperty17.bin" ContentType="application/vnd.openxmlformats-officedocument.spreadsheetml.customProperty"/>
  <Override PartName="/xl/customProperty18.bin" ContentType="application/vnd.openxmlformats-officedocument.spreadsheetml.customProperty"/>
  <Override PartName="/xl/customProperty19.bin" ContentType="application/vnd.openxmlformats-officedocument.spreadsheetml.customProperty"/>
  <Override PartName="/xl/customProperty20.bin" ContentType="application/vnd.openxmlformats-officedocument.spreadsheetml.customProperty"/>
  <Override PartName="/xl/customProperty21.bin" ContentType="application/vnd.openxmlformats-officedocument.spreadsheetml.customProperty"/>
  <Override PartName="/xl/customProperty22.bin" ContentType="application/vnd.openxmlformats-officedocument.spreadsheetml.customProperty"/>
  <Override PartName="/xl/customProperty23.bin" ContentType="application/vnd.openxmlformats-officedocument.spreadsheetml.customProperty"/>
  <Override PartName="/xl/customProperty24.bin" ContentType="application/vnd.openxmlformats-officedocument.spreadsheetml.customProperty"/>
  <Override PartName="/xl/customProperty25.bin" ContentType="application/vnd.openxmlformats-officedocument.spreadsheetml.customProperty"/>
  <Override PartName="/xl/customProperty26.bin" ContentType="application/vnd.openxmlformats-officedocument.spreadsheetml.customProperty"/>
  <Override PartName="/xl/customProperty27.bin" ContentType="application/vnd.openxmlformats-officedocument.spreadsheetml.customProperty"/>
  <Override PartName="/xl/customProperty28.bin" ContentType="application/vnd.openxmlformats-officedocument.spreadsheetml.customProperty"/>
  <Override PartName="/xl/customProperty29.bin" ContentType="application/vnd.openxmlformats-officedocument.spreadsheetml.customProperty"/>
  <Override PartName="/xl/customProperty30.bin" ContentType="application/vnd.openxmlformats-officedocument.spreadsheetml.customProperty"/>
  <Override PartName="/xl/customProperty31.bin" ContentType="application/vnd.openxmlformats-officedocument.spreadsheetml.customProperty"/>
  <Override PartName="/xl/customProperty32.bin" ContentType="application/vnd.openxmlformats-officedocument.spreadsheetml.customProperty"/>
  <Override PartName="/xl/customProperty33.bin" ContentType="application/vnd.openxmlformats-officedocument.spreadsheetml.customProperty"/>
  <Override PartName="/xl/customProperty34.bin" ContentType="application/vnd.openxmlformats-officedocument.spreadsheetml.customProperty"/>
  <Override PartName="/xl/customProperty35.bin" ContentType="application/vnd.openxmlformats-officedocument.spreadsheetml.customProperty"/>
  <Override PartName="/xl/customProperty36.bin" ContentType="application/vnd.openxmlformats-officedocument.spreadsheetml.customProperty"/>
  <Override PartName="/xl/customProperty37.bin" ContentType="application/vnd.openxmlformats-officedocument.spreadsheetml.customProperty"/>
  <Override PartName="/xl/customProperty38.bin" ContentType="application/vnd.openxmlformats-officedocument.spreadsheetml.customProperty"/>
  <Override PartName="/xl/customProperty39.bin" ContentType="application/vnd.openxmlformats-officedocument.spreadsheetml.customProperty"/>
  <Override PartName="/xl/drawings/drawing4.xml" ContentType="application/vnd.openxmlformats-officedocument.drawing+xml"/>
  <Override PartName="/xl/customProperty40.bin" ContentType="application/vnd.openxmlformats-officedocument.spreadsheetml.customProperty"/>
  <Override PartName="/xl/customProperty41.bin" ContentType="application/vnd.openxmlformats-officedocument.spreadsheetml.customProperty"/>
  <Override PartName="/xl/drawings/drawing5.xml" ContentType="application/vnd.openxmlformats-officedocument.drawing+xml"/>
  <Override PartName="/xl/customProperty42.bin" ContentType="application/vnd.openxmlformats-officedocument.spreadsheetml.customProperty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tesco.sharepoint.com/teams/team_10016532/Shared Documents/030. Planning/2024/060. Budget booklet/910. Sent to HQ/020. After review/"/>
    </mc:Choice>
  </mc:AlternateContent>
  <xr:revisionPtr revIDLastSave="0" documentId="8_{A5AE8D95-55AC-4B2F-8EED-60637B750700}" xr6:coauthVersionLast="47" xr6:coauthVersionMax="47" xr10:uidLastSave="{00000000-0000-0000-0000-000000000000}"/>
  <bookViews>
    <workbookView xWindow="28680" yWindow="-120" windowWidth="29040" windowHeight="17520" tabRatio="914" firstSheet="1" activeTab="3" xr2:uid="{1A450D27-A7F0-41BA-B345-E261E048CFBD}"/>
  </bookViews>
  <sheets>
    <sheet name="_com.sap.ip.bi.xl.hiddensheet" sheetId="41" state="veryHidden" r:id="rId1"/>
    <sheet name="Version History" sheetId="2" r:id="rId2"/>
    <sheet name="Settings" sheetId="3" r:id="rId3"/>
    <sheet name="Input-FX Rates" sheetId="4" r:id="rId4"/>
    <sheet name="0. Instructions" sheetId="5" r:id="rId5"/>
    <sheet name="1. Main Issues (LC)" sheetId="6" r:id="rId6"/>
    <sheet name="1. Main Issues (GC)" sheetId="7" r:id="rId7"/>
    <sheet name="1.1 Structural changes (LC)" sheetId="45" r:id="rId8"/>
    <sheet name="1.1 Structural changes (GC)" sheetId="46" r:id="rId9"/>
    <sheet name="2. Variable (LC)" sheetId="8" r:id="rId10"/>
    <sheet name="2. Variable (GC)" sheetId="9" r:id="rId11"/>
    <sheet name="3. Scrap (LC)" sheetId="10" r:id="rId12"/>
    <sheet name="3. Scrap (GC)" sheetId="11" r:id="rId13"/>
    <sheet name="4. Fix Cost (LC) " sheetId="12" r:id="rId14"/>
    <sheet name="4. Fix Cost (GC)" sheetId="13" r:id="rId15"/>
    <sheet name="5. Logistic Cost (LC)" sheetId="14" r:id="rId16"/>
    <sheet name="5.  Logistic Cost (GC)" sheetId="15" r:id="rId17"/>
    <sheet name="5.1 Inventory (LC)" sheetId="16" r:id="rId18"/>
    <sheet name="5.1 Inventory (GC)" sheetId="17" r:id="rId19"/>
    <sheet name="6. HC (LC)" sheetId="18" r:id="rId20"/>
    <sheet name="6. HC (GC)" sheetId="19" r:id="rId21"/>
    <sheet name="7. BS-Key Figures (LC)" sheetId="20" r:id="rId22"/>
    <sheet name="7. BS-Key Figures (GC)" sheetId="21" r:id="rId23"/>
    <sheet name="8. Volumes" sheetId="22" r:id="rId24"/>
    <sheet name="10. Purchasing (LC)" sheetId="25" r:id="rId25"/>
    <sheet name="10. Purchasing (GC)" sheetId="26" r:id="rId26"/>
    <sheet name="11. R&amp;O (LC) " sheetId="27" r:id="rId27"/>
    <sheet name="11. R&amp;O (GC)" sheetId="28" r:id="rId28"/>
    <sheet name="P&amp;L" sheetId="30" r:id="rId29"/>
    <sheet name="KeyData" sheetId="32" r:id="rId30"/>
    <sheet name="P&amp;L_seasonal" sheetId="31" r:id="rId31"/>
    <sheet name="KeyData_seasonal" sheetId="33" r:id="rId32"/>
    <sheet name="Race_2024" sheetId="40" r:id="rId33"/>
    <sheet name="Race_2024_Seasonal" sheetId="43" r:id="rId34"/>
    <sheet name="Consolidation_BU_Budget" sheetId="29" r:id="rId35"/>
  </sheets>
  <definedNames>
    <definedName name="_xlnm._FilterDatabase" localSheetId="34" hidden="1">Consolidation_BU_Budget!$A$1:$AO$295</definedName>
    <definedName name="_xlnm._FilterDatabase" localSheetId="28" hidden="1">'P&amp;L'!$C$7:$I$7</definedName>
    <definedName name="_xlnm._FilterDatabase" localSheetId="30" hidden="1">'P&amp;L_seasonal'!$C$7:$Q$7</definedName>
    <definedName name="BA_code">Settings!$J$5:$J$50</definedName>
    <definedName name="BA_Name">Settings!$K$5:$K$50</definedName>
    <definedName name="BU_Codes">Settings!$N$5:$N$19</definedName>
    <definedName name="FX_BS">Settings!$P$4:$W$49</definedName>
    <definedName name="FX_PL">Settings!$Y$4:$AF$49</definedName>
    <definedName name="Outlet_Codes">Settings!$G$5:$G$50</definedName>
    <definedName name="Plant_Code_FIRE">Settings!$A$5:$A$51</definedName>
    <definedName name="_xlnm.Print_Area" localSheetId="6">'1. Main Issues (GC)'!$A$1:$G$32</definedName>
    <definedName name="_xlnm.Print_Area" localSheetId="5">'1. Main Issues (LC)'!$A$1:$G$32</definedName>
    <definedName name="_xlnm.Print_Area" localSheetId="8">'1.1 Structural changes (GC)'!$A$1:$C$28</definedName>
    <definedName name="_xlnm.Print_Area" localSheetId="7">'1.1 Structural changes (LC)'!$A$1:$C$28</definedName>
    <definedName name="_xlnm.Print_Area" localSheetId="27">'11. R&amp;O (GC)'!$A$1:$D$26</definedName>
    <definedName name="_xlnm.Print_Area" localSheetId="26">'11. R&amp;O (LC) '!$A$1:$D$26</definedName>
    <definedName name="_xlnm.Print_Area" localSheetId="10">'2. Variable (GC)'!$A$1:$P$41</definedName>
    <definedName name="_xlnm.Print_Area" localSheetId="9">'2. Variable (LC)'!$A$1:$O$41</definedName>
    <definedName name="_xlnm.Print_Area" localSheetId="12">'3. Scrap (GC)'!$B$1:$W$79</definedName>
    <definedName name="_xlnm.Print_Area" localSheetId="11">'3. Scrap (LC)'!$B$1:$W$79</definedName>
    <definedName name="_xlnm.Print_Area" localSheetId="14">'4. Fix Cost (GC)'!$A$1:$W$44</definedName>
    <definedName name="_xlnm.Print_Area" localSheetId="13">'4. Fix Cost (LC) '!$A$1:$T$44</definedName>
    <definedName name="_xlnm.Print_Area" localSheetId="16">'5.  Logistic Cost (GC)'!$A$1:$O$28</definedName>
    <definedName name="_xlnm.Print_Area" localSheetId="15">'5. Logistic Cost (LC)'!$A$1:$N$28</definedName>
    <definedName name="_xlnm.Print_Area" localSheetId="20">'6. HC (GC)'!$A$1:$U$37</definedName>
    <definedName name="_xlnm.Print_Area" localSheetId="19">'6. HC (LC)'!$A$1:$W$39</definedName>
    <definedName name="_xlnm.Print_Area" localSheetId="22">'7. BS-Key Figures (GC)'!$A$1:$U$21</definedName>
    <definedName name="_xlnm.Print_Area" localSheetId="21">'7. BS-Key Figures (LC)'!$A$1:$U$22</definedName>
    <definedName name="_xlnm.Print_Area" localSheetId="23">'8. Volumes'!$A$1:$H$18</definedName>
    <definedName name="SAPCrosstab1">Race_2024!$B$1:$L$472</definedName>
    <definedName name="SAPCrosstab3">Race_2024_Seasonal!$B$1:$R$215</definedName>
    <definedName name="SAPCrosstab4">#REF!</definedName>
    <definedName name="SAPCrosstab5">#REF!</definedName>
    <definedName name="SAPCrosstab6">#REF!</definedName>
  </definedNames>
  <calcPr calcId="191028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6" i="12" l="1"/>
  <c r="I19" i="8"/>
  <c r="Q13" i="10"/>
  <c r="P13" i="10"/>
  <c r="O13" i="10"/>
  <c r="N13" i="10"/>
  <c r="M13" i="10"/>
  <c r="L13" i="10"/>
  <c r="A3" i="43"/>
  <c r="A4" i="43"/>
  <c r="A5" i="43"/>
  <c r="A6" i="43"/>
  <c r="A7" i="43"/>
  <c r="A8" i="43"/>
  <c r="A9" i="43"/>
  <c r="A10" i="43"/>
  <c r="A11" i="43"/>
  <c r="A12" i="43"/>
  <c r="A13" i="43"/>
  <c r="A14" i="43"/>
  <c r="A15" i="43"/>
  <c r="A16" i="43"/>
  <c r="A17" i="43"/>
  <c r="A18" i="43"/>
  <c r="A19" i="43"/>
  <c r="A20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A34" i="43"/>
  <c r="A35" i="43"/>
  <c r="A36" i="43"/>
  <c r="A37" i="43"/>
  <c r="A38" i="43"/>
  <c r="A39" i="43"/>
  <c r="A40" i="43"/>
  <c r="A41" i="43"/>
  <c r="A42" i="43"/>
  <c r="A43" i="43"/>
  <c r="A44" i="43"/>
  <c r="A45" i="43"/>
  <c r="A46" i="43"/>
  <c r="A47" i="43"/>
  <c r="A48" i="43"/>
  <c r="A49" i="43"/>
  <c r="A50" i="43"/>
  <c r="A51" i="43"/>
  <c r="A52" i="43"/>
  <c r="A53" i="43"/>
  <c r="A54" i="43"/>
  <c r="A55" i="43"/>
  <c r="A56" i="43"/>
  <c r="A57" i="43"/>
  <c r="A58" i="43"/>
  <c r="A59" i="43"/>
  <c r="A60" i="43"/>
  <c r="A61" i="43"/>
  <c r="A62" i="43"/>
  <c r="A63" i="43"/>
  <c r="A64" i="43"/>
  <c r="A65" i="43"/>
  <c r="A66" i="43"/>
  <c r="A67" i="43"/>
  <c r="A68" i="43"/>
  <c r="A69" i="43"/>
  <c r="A70" i="43"/>
  <c r="A71" i="43"/>
  <c r="A72" i="43"/>
  <c r="A73" i="43"/>
  <c r="A74" i="43"/>
  <c r="A75" i="43"/>
  <c r="A76" i="43"/>
  <c r="A77" i="43"/>
  <c r="A78" i="43"/>
  <c r="A79" i="43"/>
  <c r="A80" i="43"/>
  <c r="A81" i="43"/>
  <c r="A82" i="43"/>
  <c r="A83" i="43"/>
  <c r="A84" i="43"/>
  <c r="A85" i="43"/>
  <c r="A86" i="43"/>
  <c r="A87" i="43"/>
  <c r="A88" i="43"/>
  <c r="A89" i="43"/>
  <c r="A90" i="43"/>
  <c r="A91" i="43"/>
  <c r="A92" i="43"/>
  <c r="A93" i="43"/>
  <c r="A94" i="43"/>
  <c r="A95" i="43"/>
  <c r="A96" i="43"/>
  <c r="A97" i="43"/>
  <c r="A98" i="43"/>
  <c r="A99" i="43"/>
  <c r="A100" i="43"/>
  <c r="A101" i="43"/>
  <c r="A102" i="43"/>
  <c r="A103" i="43"/>
  <c r="A104" i="43"/>
  <c r="A105" i="43"/>
  <c r="A106" i="43"/>
  <c r="A107" i="43"/>
  <c r="A108" i="43"/>
  <c r="A109" i="43"/>
  <c r="A110" i="43"/>
  <c r="A111" i="43"/>
  <c r="A112" i="43"/>
  <c r="A113" i="43"/>
  <c r="A114" i="43"/>
  <c r="A115" i="43"/>
  <c r="A116" i="43"/>
  <c r="A117" i="43"/>
  <c r="A118" i="43"/>
  <c r="A119" i="43"/>
  <c r="A120" i="43"/>
  <c r="A121" i="43"/>
  <c r="A122" i="43"/>
  <c r="A123" i="43"/>
  <c r="A124" i="43"/>
  <c r="A125" i="43"/>
  <c r="A126" i="43"/>
  <c r="A127" i="43"/>
  <c r="A128" i="43"/>
  <c r="A129" i="43"/>
  <c r="A130" i="43"/>
  <c r="A131" i="43"/>
  <c r="A132" i="43"/>
  <c r="A133" i="43"/>
  <c r="A134" i="43"/>
  <c r="A135" i="43"/>
  <c r="A136" i="43"/>
  <c r="A137" i="43"/>
  <c r="A138" i="43"/>
  <c r="A139" i="43"/>
  <c r="A140" i="43"/>
  <c r="A141" i="43"/>
  <c r="A142" i="43"/>
  <c r="A143" i="43"/>
  <c r="A144" i="43"/>
  <c r="A145" i="43"/>
  <c r="A146" i="43"/>
  <c r="A147" i="43"/>
  <c r="A148" i="43"/>
  <c r="A149" i="43"/>
  <c r="A150" i="43"/>
  <c r="A151" i="43"/>
  <c r="A152" i="43"/>
  <c r="A153" i="43"/>
  <c r="A154" i="43"/>
  <c r="A155" i="43"/>
  <c r="A156" i="43"/>
  <c r="A157" i="43"/>
  <c r="A158" i="43"/>
  <c r="A159" i="43"/>
  <c r="A160" i="43"/>
  <c r="A161" i="43"/>
  <c r="A162" i="43"/>
  <c r="A163" i="43"/>
  <c r="A164" i="43"/>
  <c r="A165" i="43"/>
  <c r="A166" i="43"/>
  <c r="A167" i="43"/>
  <c r="A168" i="43"/>
  <c r="A169" i="43"/>
  <c r="A170" i="43"/>
  <c r="A171" i="43"/>
  <c r="A172" i="43"/>
  <c r="A173" i="43"/>
  <c r="A174" i="43"/>
  <c r="A175" i="43"/>
  <c r="A176" i="43"/>
  <c r="A177" i="43"/>
  <c r="A178" i="43"/>
  <c r="A179" i="43"/>
  <c r="A180" i="43"/>
  <c r="A181" i="43"/>
  <c r="A182" i="43"/>
  <c r="A183" i="43"/>
  <c r="A184" i="43"/>
  <c r="A185" i="43"/>
  <c r="A186" i="43"/>
  <c r="A187" i="43"/>
  <c r="A188" i="43"/>
  <c r="A189" i="43"/>
  <c r="A190" i="43"/>
  <c r="A191" i="43"/>
  <c r="A192" i="43"/>
  <c r="A193" i="43"/>
  <c r="A194" i="43"/>
  <c r="A195" i="43"/>
  <c r="A196" i="43"/>
  <c r="A197" i="43"/>
  <c r="A198" i="43"/>
  <c r="A199" i="43"/>
  <c r="A200" i="43"/>
  <c r="A201" i="43"/>
  <c r="A202" i="43"/>
  <c r="A203" i="43"/>
  <c r="A204" i="43"/>
  <c r="A205" i="43"/>
  <c r="A206" i="43"/>
  <c r="A207" i="43"/>
  <c r="A208" i="43"/>
  <c r="A209" i="43"/>
  <c r="A210" i="43"/>
  <c r="A211" i="43"/>
  <c r="A212" i="43"/>
  <c r="A213" i="43"/>
  <c r="A214" i="43"/>
  <c r="A215" i="43"/>
  <c r="A216" i="43"/>
  <c r="A217" i="43"/>
  <c r="A218" i="43"/>
  <c r="K13" i="10"/>
  <c r="J13" i="10"/>
  <c r="I13" i="10"/>
  <c r="H13" i="10"/>
  <c r="G13" i="10"/>
  <c r="F13" i="10"/>
  <c r="R13" i="10"/>
  <c r="Q10" i="10"/>
  <c r="P10" i="10"/>
  <c r="O10" i="10"/>
  <c r="N10" i="10"/>
  <c r="M10" i="10"/>
  <c r="L10" i="10"/>
  <c r="K10" i="10"/>
  <c r="J10" i="10"/>
  <c r="I10" i="10"/>
  <c r="H10" i="10"/>
  <c r="H10" i="11"/>
  <c r="G10" i="10"/>
  <c r="F10" i="10"/>
  <c r="Q7" i="10"/>
  <c r="P7" i="10"/>
  <c r="O7" i="10"/>
  <c r="N7" i="10"/>
  <c r="M7" i="10"/>
  <c r="L7" i="10"/>
  <c r="K7" i="10"/>
  <c r="J7" i="10"/>
  <c r="I7" i="10"/>
  <c r="H7" i="10"/>
  <c r="G7" i="10"/>
  <c r="F7" i="10"/>
  <c r="A2" i="40"/>
  <c r="A3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A253" i="40"/>
  <c r="A254" i="40"/>
  <c r="A255" i="40"/>
  <c r="A256" i="40"/>
  <c r="A257" i="40"/>
  <c r="A258" i="40"/>
  <c r="A259" i="40"/>
  <c r="A260" i="40"/>
  <c r="A261" i="40"/>
  <c r="A262" i="40"/>
  <c r="A263" i="40"/>
  <c r="A264" i="40"/>
  <c r="A265" i="40"/>
  <c r="A266" i="40"/>
  <c r="A267" i="40"/>
  <c r="A268" i="40"/>
  <c r="A269" i="40"/>
  <c r="A270" i="40"/>
  <c r="A271" i="40"/>
  <c r="A272" i="40"/>
  <c r="A273" i="40"/>
  <c r="A274" i="40"/>
  <c r="A275" i="40"/>
  <c r="A276" i="40"/>
  <c r="A277" i="40"/>
  <c r="A278" i="40"/>
  <c r="A279" i="40"/>
  <c r="A280" i="40"/>
  <c r="A281" i="40"/>
  <c r="A282" i="40"/>
  <c r="A283" i="40"/>
  <c r="A284" i="40"/>
  <c r="A285" i="40"/>
  <c r="A286" i="40"/>
  <c r="A287" i="40"/>
  <c r="A288" i="40"/>
  <c r="A289" i="40"/>
  <c r="A290" i="40"/>
  <c r="A291" i="40"/>
  <c r="A292" i="40"/>
  <c r="A293" i="40"/>
  <c r="A294" i="40"/>
  <c r="A295" i="40"/>
  <c r="A296" i="40"/>
  <c r="A297" i="40"/>
  <c r="A298" i="40"/>
  <c r="A299" i="40"/>
  <c r="A300" i="40"/>
  <c r="A301" i="40"/>
  <c r="A302" i="40"/>
  <c r="A303" i="40"/>
  <c r="A304" i="40"/>
  <c r="A305" i="40"/>
  <c r="A306" i="40"/>
  <c r="A307" i="40"/>
  <c r="A308" i="40"/>
  <c r="A309" i="40"/>
  <c r="A310" i="40"/>
  <c r="A311" i="40"/>
  <c r="A312" i="40"/>
  <c r="A313" i="40"/>
  <c r="A314" i="40"/>
  <c r="A315" i="40"/>
  <c r="A316" i="40"/>
  <c r="A317" i="40"/>
  <c r="A318" i="40"/>
  <c r="A319" i="40"/>
  <c r="A320" i="40"/>
  <c r="A321" i="40"/>
  <c r="A322" i="40"/>
  <c r="A323" i="40"/>
  <c r="A324" i="40"/>
  <c r="A325" i="40"/>
  <c r="A326" i="40"/>
  <c r="A327" i="40"/>
  <c r="A328" i="40"/>
  <c r="A329" i="40"/>
  <c r="A330" i="40"/>
  <c r="A331" i="40"/>
  <c r="A332" i="40"/>
  <c r="A333" i="40"/>
  <c r="A334" i="40"/>
  <c r="A335" i="40"/>
  <c r="A336" i="40"/>
  <c r="A337" i="40"/>
  <c r="A338" i="40"/>
  <c r="A339" i="40"/>
  <c r="A340" i="40"/>
  <c r="A341" i="40"/>
  <c r="A342" i="40"/>
  <c r="A343" i="40"/>
  <c r="A344" i="40"/>
  <c r="A345" i="40"/>
  <c r="A346" i="40"/>
  <c r="A347" i="40"/>
  <c r="A348" i="40"/>
  <c r="A349" i="40"/>
  <c r="A350" i="40"/>
  <c r="A351" i="40"/>
  <c r="A352" i="40"/>
  <c r="A353" i="40"/>
  <c r="A354" i="40"/>
  <c r="A355" i="40"/>
  <c r="A356" i="40"/>
  <c r="A357" i="40"/>
  <c r="A358" i="40"/>
  <c r="A359" i="40"/>
  <c r="A360" i="40"/>
  <c r="A361" i="40"/>
  <c r="A362" i="40"/>
  <c r="A363" i="40"/>
  <c r="A364" i="40"/>
  <c r="A365" i="40"/>
  <c r="A366" i="40"/>
  <c r="A367" i="40"/>
  <c r="A368" i="40"/>
  <c r="A369" i="40"/>
  <c r="A370" i="40"/>
  <c r="A371" i="40"/>
  <c r="A372" i="40"/>
  <c r="A373" i="40"/>
  <c r="A374" i="40"/>
  <c r="A375" i="40"/>
  <c r="A376" i="40"/>
  <c r="A377" i="40"/>
  <c r="A378" i="40"/>
  <c r="A379" i="40"/>
  <c r="A380" i="40"/>
  <c r="A381" i="40"/>
  <c r="A382" i="40"/>
  <c r="A383" i="40"/>
  <c r="A384" i="40"/>
  <c r="A385" i="40"/>
  <c r="A386" i="40"/>
  <c r="A387" i="40"/>
  <c r="A388" i="40"/>
  <c r="A389" i="40"/>
  <c r="A390" i="40"/>
  <c r="A391" i="40"/>
  <c r="A392" i="40"/>
  <c r="A393" i="40"/>
  <c r="A394" i="40"/>
  <c r="A395" i="40"/>
  <c r="A396" i="40"/>
  <c r="A397" i="40"/>
  <c r="A398" i="40"/>
  <c r="A399" i="40"/>
  <c r="A400" i="40"/>
  <c r="A401" i="40"/>
  <c r="A402" i="40"/>
  <c r="A403" i="40"/>
  <c r="A404" i="40"/>
  <c r="A405" i="40"/>
  <c r="A406" i="40"/>
  <c r="A407" i="40"/>
  <c r="A408" i="40"/>
  <c r="A409" i="40"/>
  <c r="A410" i="40"/>
  <c r="A411" i="40"/>
  <c r="A412" i="40"/>
  <c r="A413" i="40"/>
  <c r="A414" i="40"/>
  <c r="A415" i="40"/>
  <c r="A416" i="40"/>
  <c r="A417" i="40"/>
  <c r="A418" i="40"/>
  <c r="A419" i="40"/>
  <c r="A420" i="40"/>
  <c r="A421" i="40"/>
  <c r="A422" i="40"/>
  <c r="A423" i="40"/>
  <c r="A424" i="40"/>
  <c r="A425" i="40"/>
  <c r="A426" i="40"/>
  <c r="A427" i="40"/>
  <c r="A428" i="40"/>
  <c r="A429" i="40"/>
  <c r="A430" i="40"/>
  <c r="A431" i="40"/>
  <c r="A432" i="40"/>
  <c r="A433" i="40"/>
  <c r="A434" i="40"/>
  <c r="A435" i="40"/>
  <c r="A436" i="40"/>
  <c r="A437" i="40"/>
  <c r="A438" i="40"/>
  <c r="A439" i="40"/>
  <c r="A440" i="40"/>
  <c r="A441" i="40"/>
  <c r="A442" i="40"/>
  <c r="A443" i="40"/>
  <c r="A444" i="40"/>
  <c r="A445" i="40"/>
  <c r="A446" i="40"/>
  <c r="A447" i="40"/>
  <c r="A448" i="40"/>
  <c r="A449" i="40"/>
  <c r="A450" i="40"/>
  <c r="A451" i="40"/>
  <c r="A452" i="40"/>
  <c r="A453" i="40"/>
  <c r="A454" i="40"/>
  <c r="A455" i="40"/>
  <c r="A456" i="40"/>
  <c r="A457" i="40"/>
  <c r="A458" i="40"/>
  <c r="A459" i="40"/>
  <c r="A460" i="40"/>
  <c r="A461" i="40"/>
  <c r="A462" i="40"/>
  <c r="A463" i="40"/>
  <c r="A464" i="40"/>
  <c r="A465" i="40"/>
  <c r="A466" i="40"/>
  <c r="A467" i="40"/>
  <c r="A468" i="40"/>
  <c r="A469" i="40"/>
  <c r="A470" i="40"/>
  <c r="A471" i="40"/>
  <c r="A472" i="40"/>
  <c r="A473" i="40"/>
  <c r="A474" i="40"/>
  <c r="I44" i="30"/>
  <c r="I8" i="30"/>
  <c r="H44" i="30"/>
  <c r="H8" i="30"/>
  <c r="K44" i="30"/>
  <c r="L44" i="30"/>
  <c r="M44" i="30"/>
  <c r="J44" i="30"/>
  <c r="H26" i="30"/>
  <c r="C11" i="8"/>
  <c r="H45" i="30"/>
  <c r="C12" i="8"/>
  <c r="C8" i="8"/>
  <c r="I147" i="30"/>
  <c r="F20" i="6"/>
  <c r="H147" i="30"/>
  <c r="D20" i="6"/>
  <c r="G20" i="6"/>
  <c r="F7" i="6"/>
  <c r="F7" i="7"/>
  <c r="H51" i="32"/>
  <c r="G51" i="32"/>
  <c r="F51" i="32"/>
  <c r="E51" i="32"/>
  <c r="D51" i="32"/>
  <c r="I77" i="30"/>
  <c r="H77" i="30"/>
  <c r="K77" i="30"/>
  <c r="J77" i="30"/>
  <c r="H10" i="8"/>
  <c r="E82" i="10"/>
  <c r="E38" i="10"/>
  <c r="D38" i="10"/>
  <c r="E80" i="10"/>
  <c r="E37" i="10"/>
  <c r="D37" i="10"/>
  <c r="H45" i="32"/>
  <c r="H44" i="32"/>
  <c r="H43" i="32"/>
  <c r="H42" i="32"/>
  <c r="H41" i="32"/>
  <c r="P16" i="12"/>
  <c r="H39" i="32"/>
  <c r="H38" i="32"/>
  <c r="H37" i="32"/>
  <c r="H36" i="32"/>
  <c r="H35" i="32"/>
  <c r="H34" i="32"/>
  <c r="H33" i="32"/>
  <c r="C32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F8" i="25"/>
  <c r="A475" i="40"/>
  <c r="A476" i="40"/>
  <c r="A477" i="40"/>
  <c r="A478" i="40"/>
  <c r="A479" i="40"/>
  <c r="A480" i="40"/>
  <c r="A481" i="40"/>
  <c r="A482" i="40"/>
  <c r="A483" i="40"/>
  <c r="A484" i="40"/>
  <c r="A485" i="40"/>
  <c r="A486" i="40"/>
  <c r="A487" i="40"/>
  <c r="A488" i="40"/>
  <c r="A489" i="40"/>
  <c r="A490" i="40"/>
  <c r="A491" i="40"/>
  <c r="A492" i="40"/>
  <c r="A493" i="40"/>
  <c r="A494" i="40"/>
  <c r="A495" i="40"/>
  <c r="A496" i="40"/>
  <c r="A497" i="40"/>
  <c r="A498" i="40"/>
  <c r="A499" i="40"/>
  <c r="A500" i="40"/>
  <c r="A501" i="40"/>
  <c r="A502" i="40"/>
  <c r="A503" i="40"/>
  <c r="A504" i="40"/>
  <c r="A505" i="40"/>
  <c r="A506" i="40"/>
  <c r="A507" i="40"/>
  <c r="A508" i="40"/>
  <c r="A509" i="40"/>
  <c r="A510" i="40"/>
  <c r="A511" i="40"/>
  <c r="A512" i="40"/>
  <c r="A513" i="40"/>
  <c r="A514" i="40"/>
  <c r="A515" i="40"/>
  <c r="A516" i="40"/>
  <c r="A517" i="40"/>
  <c r="A518" i="40"/>
  <c r="A519" i="40"/>
  <c r="A520" i="40"/>
  <c r="A521" i="40"/>
  <c r="A522" i="40"/>
  <c r="A523" i="40"/>
  <c r="A524" i="40"/>
  <c r="A525" i="40"/>
  <c r="A526" i="40"/>
  <c r="A527" i="40"/>
  <c r="A528" i="40"/>
  <c r="A529" i="40"/>
  <c r="A530" i="40"/>
  <c r="A531" i="40"/>
  <c r="A532" i="40"/>
  <c r="A533" i="40"/>
  <c r="A534" i="40"/>
  <c r="A535" i="40"/>
  <c r="A536" i="40"/>
  <c r="A537" i="40"/>
  <c r="A538" i="40"/>
  <c r="A539" i="40"/>
  <c r="A540" i="40"/>
  <c r="A541" i="40"/>
  <c r="A542" i="40"/>
  <c r="A543" i="40"/>
  <c r="A544" i="40"/>
  <c r="A545" i="40"/>
  <c r="A546" i="40"/>
  <c r="A547" i="40"/>
  <c r="A548" i="40"/>
  <c r="A549" i="40"/>
  <c r="A550" i="40"/>
  <c r="A551" i="40"/>
  <c r="A552" i="40"/>
  <c r="A553" i="40"/>
  <c r="A554" i="40"/>
  <c r="A555" i="40"/>
  <c r="A556" i="40"/>
  <c r="A557" i="40"/>
  <c r="A558" i="40"/>
  <c r="A559" i="40"/>
  <c r="A560" i="40"/>
  <c r="A561" i="40"/>
  <c r="A562" i="40"/>
  <c r="A563" i="40"/>
  <c r="A564" i="40"/>
  <c r="A565" i="40"/>
  <c r="A566" i="40"/>
  <c r="A567" i="40"/>
  <c r="A568" i="40"/>
  <c r="A569" i="40"/>
  <c r="A570" i="40"/>
  <c r="A571" i="40"/>
  <c r="A572" i="40"/>
  <c r="A573" i="40"/>
  <c r="A574" i="40"/>
  <c r="A575" i="40"/>
  <c r="A576" i="40"/>
  <c r="A577" i="40"/>
  <c r="A578" i="40"/>
  <c r="A579" i="40"/>
  <c r="A580" i="40"/>
  <c r="A581" i="40"/>
  <c r="A582" i="40"/>
  <c r="A583" i="40"/>
  <c r="A584" i="40"/>
  <c r="A585" i="40"/>
  <c r="A586" i="40"/>
  <c r="A587" i="40"/>
  <c r="A588" i="40"/>
  <c r="A589" i="40"/>
  <c r="A590" i="40"/>
  <c r="A591" i="40"/>
  <c r="A592" i="40"/>
  <c r="A593" i="40"/>
  <c r="A594" i="40"/>
  <c r="A595" i="40"/>
  <c r="A596" i="40"/>
  <c r="A597" i="40"/>
  <c r="A598" i="40"/>
  <c r="A599" i="40"/>
  <c r="A600" i="40"/>
  <c r="A601" i="40"/>
  <c r="A602" i="40"/>
  <c r="A603" i="40"/>
  <c r="A604" i="40"/>
  <c r="A605" i="40"/>
  <c r="A606" i="40"/>
  <c r="A607" i="40"/>
  <c r="A608" i="40"/>
  <c r="A609" i="40"/>
  <c r="A610" i="40"/>
  <c r="A611" i="40"/>
  <c r="A612" i="40"/>
  <c r="A613" i="40"/>
  <c r="A614" i="40"/>
  <c r="A615" i="40"/>
  <c r="A616" i="40"/>
  <c r="A617" i="40"/>
  <c r="A618" i="40"/>
  <c r="A619" i="40"/>
  <c r="A620" i="40"/>
  <c r="A621" i="40"/>
  <c r="A622" i="40"/>
  <c r="A623" i="40"/>
  <c r="A624" i="40"/>
  <c r="A625" i="40"/>
  <c r="A626" i="40"/>
  <c r="A627" i="40"/>
  <c r="A628" i="40"/>
  <c r="A629" i="40"/>
  <c r="A630" i="40"/>
  <c r="A631" i="40"/>
  <c r="A632" i="40"/>
  <c r="A633" i="40"/>
  <c r="A634" i="40"/>
  <c r="A635" i="40"/>
  <c r="A636" i="40"/>
  <c r="A637" i="40"/>
  <c r="A638" i="40"/>
  <c r="A639" i="40"/>
  <c r="A640" i="40"/>
  <c r="A641" i="40"/>
  <c r="A642" i="40"/>
  <c r="A643" i="40"/>
  <c r="A644" i="40"/>
  <c r="A645" i="40"/>
  <c r="A646" i="40"/>
  <c r="A647" i="40"/>
  <c r="A648" i="40"/>
  <c r="A649" i="40"/>
  <c r="A650" i="40"/>
  <c r="A651" i="40"/>
  <c r="A652" i="40"/>
  <c r="A653" i="40"/>
  <c r="A654" i="40"/>
  <c r="A655" i="40"/>
  <c r="A656" i="40"/>
  <c r="A657" i="40"/>
  <c r="A658" i="40"/>
  <c r="A659" i="40"/>
  <c r="A660" i="40"/>
  <c r="A661" i="40"/>
  <c r="A662" i="40"/>
  <c r="A663" i="40"/>
  <c r="A664" i="40"/>
  <c r="A665" i="40"/>
  <c r="A666" i="40"/>
  <c r="A667" i="40"/>
  <c r="A668" i="40"/>
  <c r="A669" i="40"/>
  <c r="A670" i="40"/>
  <c r="A671" i="40"/>
  <c r="A672" i="40"/>
  <c r="A673" i="40"/>
  <c r="A674" i="40"/>
  <c r="A675" i="40"/>
  <c r="A676" i="40"/>
  <c r="A677" i="40"/>
  <c r="A678" i="40"/>
  <c r="A679" i="40"/>
  <c r="A680" i="40"/>
  <c r="A681" i="40"/>
  <c r="A682" i="40"/>
  <c r="A683" i="40"/>
  <c r="A684" i="40"/>
  <c r="A685" i="40"/>
  <c r="A686" i="40"/>
  <c r="A687" i="40"/>
  <c r="A688" i="40"/>
  <c r="A689" i="40"/>
  <c r="A690" i="40"/>
  <c r="A691" i="40"/>
  <c r="A692" i="40"/>
  <c r="A693" i="40"/>
  <c r="A694" i="40"/>
  <c r="A695" i="40"/>
  <c r="A696" i="40"/>
  <c r="A697" i="40"/>
  <c r="A698" i="40"/>
  <c r="A699" i="40"/>
  <c r="A700" i="40"/>
  <c r="A701" i="40"/>
  <c r="A702" i="40"/>
  <c r="A703" i="40"/>
  <c r="A704" i="40"/>
  <c r="A705" i="40"/>
  <c r="A706" i="40"/>
  <c r="A707" i="40"/>
  <c r="A708" i="40"/>
  <c r="A709" i="40"/>
  <c r="A710" i="40"/>
  <c r="A711" i="40"/>
  <c r="A712" i="40"/>
  <c r="A713" i="40"/>
  <c r="A714" i="40"/>
  <c r="A715" i="40"/>
  <c r="A716" i="40"/>
  <c r="A717" i="40"/>
  <c r="A718" i="40"/>
  <c r="A719" i="40"/>
  <c r="A720" i="40"/>
  <c r="A721" i="40"/>
  <c r="A722" i="40"/>
  <c r="A723" i="40"/>
  <c r="A724" i="40"/>
  <c r="A725" i="40"/>
  <c r="A726" i="40"/>
  <c r="A727" i="40"/>
  <c r="A728" i="40"/>
  <c r="A729" i="40"/>
  <c r="A730" i="40"/>
  <c r="A731" i="40"/>
  <c r="A732" i="40"/>
  <c r="A733" i="40"/>
  <c r="A734" i="40"/>
  <c r="A735" i="40"/>
  <c r="A736" i="40"/>
  <c r="A737" i="40"/>
  <c r="A738" i="40"/>
  <c r="A739" i="40"/>
  <c r="A740" i="40"/>
  <c r="A741" i="40"/>
  <c r="A742" i="40"/>
  <c r="A743" i="40"/>
  <c r="A744" i="40"/>
  <c r="A745" i="40"/>
  <c r="A746" i="40"/>
  <c r="A747" i="40"/>
  <c r="A748" i="40"/>
  <c r="A749" i="40"/>
  <c r="A750" i="40"/>
  <c r="A751" i="40"/>
  <c r="A752" i="40"/>
  <c r="A753" i="40"/>
  <c r="A754" i="40"/>
  <c r="A755" i="40"/>
  <c r="A756" i="40"/>
  <c r="A757" i="40"/>
  <c r="A758" i="40"/>
  <c r="A759" i="40"/>
  <c r="A760" i="40"/>
  <c r="A761" i="40"/>
  <c r="A762" i="40"/>
  <c r="A763" i="40"/>
  <c r="A764" i="40"/>
  <c r="A765" i="40"/>
  <c r="A766" i="40"/>
  <c r="A767" i="40"/>
  <c r="A768" i="40"/>
  <c r="A769" i="40"/>
  <c r="A770" i="40"/>
  <c r="A771" i="40"/>
  <c r="A772" i="40"/>
  <c r="A773" i="40"/>
  <c r="A774" i="40"/>
  <c r="A775" i="40"/>
  <c r="A776" i="40"/>
  <c r="A777" i="40"/>
  <c r="A778" i="40"/>
  <c r="A779" i="40"/>
  <c r="A780" i="40"/>
  <c r="A781" i="40"/>
  <c r="A782" i="40"/>
  <c r="A783" i="40"/>
  <c r="A784" i="40"/>
  <c r="A785" i="40"/>
  <c r="A786" i="40"/>
  <c r="A787" i="40"/>
  <c r="A788" i="40"/>
  <c r="A789" i="40"/>
  <c r="A790" i="40"/>
  <c r="A791" i="40"/>
  <c r="A792" i="40"/>
  <c r="A793" i="40"/>
  <c r="A794" i="40"/>
  <c r="A795" i="40"/>
  <c r="A796" i="40"/>
  <c r="A797" i="40"/>
  <c r="A798" i="40"/>
  <c r="A799" i="40"/>
  <c r="A800" i="40"/>
  <c r="A801" i="40"/>
  <c r="A802" i="40"/>
  <c r="A803" i="40"/>
  <c r="A804" i="40"/>
  <c r="A805" i="40"/>
  <c r="A806" i="40"/>
  <c r="A807" i="40"/>
  <c r="A808" i="40"/>
  <c r="A809" i="40"/>
  <c r="A810" i="40"/>
  <c r="A811" i="40"/>
  <c r="A812" i="40"/>
  <c r="A813" i="40"/>
  <c r="A814" i="40"/>
  <c r="A815" i="40"/>
  <c r="A816" i="40"/>
  <c r="A817" i="40"/>
  <c r="A818" i="40"/>
  <c r="A819" i="40"/>
  <c r="A820" i="40"/>
  <c r="A821" i="40"/>
  <c r="A822" i="40"/>
  <c r="A823" i="40"/>
  <c r="A824" i="40"/>
  <c r="A825" i="40"/>
  <c r="A826" i="40"/>
  <c r="A827" i="40"/>
  <c r="A828" i="40"/>
  <c r="A829" i="40"/>
  <c r="A830" i="40"/>
  <c r="A831" i="40"/>
  <c r="A832" i="40"/>
  <c r="A833" i="40"/>
  <c r="A834" i="40"/>
  <c r="A835" i="40"/>
  <c r="A836" i="40"/>
  <c r="A837" i="40"/>
  <c r="A838" i="40"/>
  <c r="A839" i="40"/>
  <c r="A840" i="40"/>
  <c r="A841" i="40"/>
  <c r="A842" i="40"/>
  <c r="A843" i="40"/>
  <c r="A844" i="40"/>
  <c r="A845" i="40"/>
  <c r="A846" i="40"/>
  <c r="A847" i="40"/>
  <c r="A848" i="40"/>
  <c r="A849" i="40"/>
  <c r="A850" i="40"/>
  <c r="A851" i="40"/>
  <c r="A852" i="40"/>
  <c r="A853" i="40"/>
  <c r="A854" i="40"/>
  <c r="A855" i="40"/>
  <c r="A856" i="40"/>
  <c r="A857" i="40"/>
  <c r="A858" i="40"/>
  <c r="A859" i="40"/>
  <c r="A860" i="40"/>
  <c r="A861" i="40"/>
  <c r="A862" i="40"/>
  <c r="A863" i="40"/>
  <c r="A864" i="40"/>
  <c r="A865" i="40"/>
  <c r="A866" i="40"/>
  <c r="A867" i="40"/>
  <c r="A868" i="40"/>
  <c r="A869" i="40"/>
  <c r="A870" i="40"/>
  <c r="A871" i="40"/>
  <c r="A872" i="40"/>
  <c r="A873" i="40"/>
  <c r="A874" i="40"/>
  <c r="A875" i="40"/>
  <c r="A876" i="40"/>
  <c r="A877" i="40"/>
  <c r="A878" i="40"/>
  <c r="A879" i="40"/>
  <c r="A880" i="40"/>
  <c r="A881" i="40"/>
  <c r="A882" i="40"/>
  <c r="A883" i="40"/>
  <c r="A884" i="40"/>
  <c r="A885" i="40"/>
  <c r="A886" i="40"/>
  <c r="A887" i="40"/>
  <c r="A888" i="40"/>
  <c r="A889" i="40"/>
  <c r="A890" i="40"/>
  <c r="A891" i="40"/>
  <c r="A892" i="40"/>
  <c r="A893" i="40"/>
  <c r="A894" i="40"/>
  <c r="A895" i="40"/>
  <c r="A896" i="40"/>
  <c r="A897" i="40"/>
  <c r="A898" i="40"/>
  <c r="A899" i="40"/>
  <c r="A900" i="40"/>
  <c r="A901" i="40"/>
  <c r="A902" i="40"/>
  <c r="A903" i="40"/>
  <c r="A904" i="40"/>
  <c r="A905" i="40"/>
  <c r="A906" i="40"/>
  <c r="A907" i="40"/>
  <c r="A908" i="40"/>
  <c r="A909" i="40"/>
  <c r="A910" i="40"/>
  <c r="A911" i="40"/>
  <c r="A912" i="40"/>
  <c r="A913" i="40"/>
  <c r="A914" i="40"/>
  <c r="A915" i="40"/>
  <c r="A916" i="40"/>
  <c r="A917" i="40"/>
  <c r="A918" i="40"/>
  <c r="A919" i="40"/>
  <c r="A920" i="40"/>
  <c r="A921" i="40"/>
  <c r="A922" i="40"/>
  <c r="A923" i="40"/>
  <c r="A924" i="40"/>
  <c r="A925" i="40"/>
  <c r="A926" i="40"/>
  <c r="A927" i="40"/>
  <c r="A928" i="40"/>
  <c r="A929" i="40"/>
  <c r="A930" i="40"/>
  <c r="A931" i="40"/>
  <c r="A932" i="40"/>
  <c r="A933" i="40"/>
  <c r="A934" i="40"/>
  <c r="A935" i="40"/>
  <c r="A936" i="40"/>
  <c r="A937" i="40"/>
  <c r="A938" i="40"/>
  <c r="A939" i="40"/>
  <c r="A940" i="40"/>
  <c r="A941" i="40"/>
  <c r="A942" i="40"/>
  <c r="A943" i="40"/>
  <c r="A944" i="40"/>
  <c r="A945" i="40"/>
  <c r="A946" i="40"/>
  <c r="A947" i="40"/>
  <c r="A948" i="40"/>
  <c r="A949" i="40"/>
  <c r="A950" i="40"/>
  <c r="A951" i="40"/>
  <c r="A952" i="40"/>
  <c r="A953" i="40"/>
  <c r="A954" i="40"/>
  <c r="A955" i="40"/>
  <c r="A956" i="40"/>
  <c r="A957" i="40"/>
  <c r="A958" i="40"/>
  <c r="A959" i="40"/>
  <c r="A960" i="40"/>
  <c r="A961" i="40"/>
  <c r="A962" i="40"/>
  <c r="A963" i="40"/>
  <c r="A964" i="40"/>
  <c r="A965" i="40"/>
  <c r="A966" i="40"/>
  <c r="A967" i="40"/>
  <c r="A968" i="40"/>
  <c r="A969" i="40"/>
  <c r="A970" i="40"/>
  <c r="A971" i="40"/>
  <c r="A972" i="40"/>
  <c r="A973" i="40"/>
  <c r="A974" i="40"/>
  <c r="A975" i="40"/>
  <c r="A976" i="40"/>
  <c r="A977" i="40"/>
  <c r="A978" i="40"/>
  <c r="A979" i="40"/>
  <c r="A980" i="40"/>
  <c r="A981" i="40"/>
  <c r="A982" i="40"/>
  <c r="A983" i="40"/>
  <c r="A984" i="40"/>
  <c r="A985" i="40"/>
  <c r="A986" i="40"/>
  <c r="A987" i="40"/>
  <c r="A988" i="40"/>
  <c r="A989" i="40"/>
  <c r="A990" i="40"/>
  <c r="A991" i="40"/>
  <c r="A992" i="40"/>
  <c r="A993" i="40"/>
  <c r="A994" i="40"/>
  <c r="A995" i="40"/>
  <c r="A996" i="40"/>
  <c r="A997" i="40"/>
  <c r="A998" i="40"/>
  <c r="A999" i="40"/>
  <c r="A1000" i="40"/>
  <c r="A1001" i="40"/>
  <c r="A1002" i="40"/>
  <c r="A1003" i="40"/>
  <c r="A1004" i="40"/>
  <c r="A1005" i="40"/>
  <c r="A1006" i="40"/>
  <c r="A1007" i="40"/>
  <c r="A1008" i="40"/>
  <c r="A1009" i="40"/>
  <c r="A1010" i="40"/>
  <c r="A1011" i="40"/>
  <c r="A1012" i="40"/>
  <c r="A1013" i="40"/>
  <c r="A1014" i="40"/>
  <c r="A1015" i="40"/>
  <c r="A1016" i="40"/>
  <c r="A1017" i="40"/>
  <c r="A1018" i="40"/>
  <c r="A1019" i="40"/>
  <c r="A1020" i="40"/>
  <c r="A1021" i="40"/>
  <c r="A1022" i="40"/>
  <c r="A1023" i="40"/>
  <c r="A1024" i="40"/>
  <c r="A1025" i="40"/>
  <c r="A1026" i="40"/>
  <c r="A1027" i="40"/>
  <c r="A1028" i="40"/>
  <c r="A1029" i="40"/>
  <c r="A1030" i="40"/>
  <c r="A1031" i="40"/>
  <c r="A1032" i="40"/>
  <c r="A1033" i="40"/>
  <c r="A1034" i="40"/>
  <c r="A1035" i="40"/>
  <c r="A1036" i="40"/>
  <c r="A1037" i="40"/>
  <c r="A1038" i="40"/>
  <c r="A1039" i="40"/>
  <c r="A1040" i="40"/>
  <c r="A1041" i="40"/>
  <c r="A1042" i="40"/>
  <c r="A1043" i="40"/>
  <c r="A1044" i="40"/>
  <c r="A1045" i="40"/>
  <c r="A1046" i="40"/>
  <c r="A1047" i="40"/>
  <c r="A1048" i="40"/>
  <c r="A1049" i="40"/>
  <c r="A1050" i="40"/>
  <c r="A1051" i="40"/>
  <c r="A1052" i="40"/>
  <c r="A1053" i="40"/>
  <c r="A1054" i="40"/>
  <c r="A1055" i="40"/>
  <c r="A1056" i="40"/>
  <c r="A1057" i="40"/>
  <c r="A1058" i="40"/>
  <c r="A1059" i="40"/>
  <c r="A1060" i="40"/>
  <c r="A1061" i="40"/>
  <c r="A1062" i="40"/>
  <c r="A1063" i="40"/>
  <c r="A1064" i="40"/>
  <c r="A1065" i="40"/>
  <c r="A1066" i="40"/>
  <c r="A1067" i="40"/>
  <c r="A1068" i="40"/>
  <c r="A1069" i="40"/>
  <c r="A1070" i="40"/>
  <c r="A1071" i="40"/>
  <c r="A1072" i="40"/>
  <c r="A1073" i="40"/>
  <c r="A1074" i="40"/>
  <c r="A1075" i="40"/>
  <c r="A1076" i="40"/>
  <c r="A1077" i="40"/>
  <c r="A1078" i="40"/>
  <c r="A1079" i="40"/>
  <c r="A1080" i="40"/>
  <c r="A1081" i="40"/>
  <c r="A1082" i="40"/>
  <c r="A1083" i="40"/>
  <c r="A1084" i="40"/>
  <c r="A1085" i="40"/>
  <c r="A1086" i="40"/>
  <c r="A1087" i="40"/>
  <c r="A1088" i="40"/>
  <c r="A1089" i="40"/>
  <c r="A1090" i="40"/>
  <c r="A1091" i="40"/>
  <c r="A1092" i="40"/>
  <c r="A1093" i="40"/>
  <c r="A1094" i="40"/>
  <c r="A1095" i="40"/>
  <c r="A1096" i="40"/>
  <c r="A1097" i="40"/>
  <c r="A1098" i="40"/>
  <c r="A1099" i="40"/>
  <c r="A1100" i="40"/>
  <c r="A1101" i="40"/>
  <c r="A1102" i="40"/>
  <c r="A1103" i="40"/>
  <c r="A1104" i="40"/>
  <c r="A1105" i="40"/>
  <c r="A1106" i="40"/>
  <c r="A1107" i="40"/>
  <c r="A1108" i="40"/>
  <c r="A1109" i="40"/>
  <c r="A1110" i="40"/>
  <c r="A1111" i="40"/>
  <c r="A1112" i="40"/>
  <c r="A1113" i="40"/>
  <c r="A1114" i="40"/>
  <c r="A1115" i="40"/>
  <c r="A1116" i="40"/>
  <c r="A1117" i="40"/>
  <c r="A1118" i="40"/>
  <c r="A1119" i="40"/>
  <c r="A1120" i="40"/>
  <c r="A1121" i="40"/>
  <c r="A1122" i="40"/>
  <c r="A1123" i="40"/>
  <c r="A1124" i="40"/>
  <c r="A1125" i="40"/>
  <c r="A1126" i="40"/>
  <c r="A1127" i="40"/>
  <c r="A1128" i="40"/>
  <c r="A1129" i="40"/>
  <c r="A1130" i="40"/>
  <c r="A1131" i="40"/>
  <c r="A1132" i="40"/>
  <c r="A1133" i="40"/>
  <c r="A1134" i="40"/>
  <c r="A1135" i="40"/>
  <c r="A1136" i="40"/>
  <c r="A1137" i="40"/>
  <c r="A1138" i="40"/>
  <c r="A1139" i="40"/>
  <c r="A1140" i="40"/>
  <c r="A1141" i="40"/>
  <c r="A1142" i="40"/>
  <c r="A1143" i="40"/>
  <c r="A1144" i="40"/>
  <c r="A1145" i="40"/>
  <c r="A1146" i="40"/>
  <c r="A1147" i="40"/>
  <c r="A1148" i="40"/>
  <c r="A1149" i="40"/>
  <c r="A1150" i="40"/>
  <c r="A1151" i="40"/>
  <c r="A1152" i="40"/>
  <c r="A1153" i="40"/>
  <c r="A1154" i="40"/>
  <c r="A1155" i="40"/>
  <c r="A1156" i="40"/>
  <c r="A1157" i="40"/>
  <c r="A1158" i="40"/>
  <c r="A1159" i="40"/>
  <c r="A1160" i="40"/>
  <c r="A1161" i="40"/>
  <c r="A1162" i="40"/>
  <c r="A1163" i="40"/>
  <c r="A1164" i="40"/>
  <c r="A1165" i="40"/>
  <c r="A1166" i="40"/>
  <c r="A1167" i="40"/>
  <c r="A1168" i="40"/>
  <c r="A1169" i="40"/>
  <c r="A1170" i="40"/>
  <c r="A1171" i="40"/>
  <c r="A1172" i="40"/>
  <c r="A1173" i="40"/>
  <c r="A1174" i="40"/>
  <c r="A1175" i="40"/>
  <c r="A1176" i="40"/>
  <c r="A1177" i="40"/>
  <c r="A1178" i="40"/>
  <c r="A1179" i="40"/>
  <c r="A1180" i="40"/>
  <c r="A1181" i="40"/>
  <c r="A1182" i="40"/>
  <c r="A1183" i="40"/>
  <c r="A1184" i="40"/>
  <c r="A1185" i="40"/>
  <c r="A1186" i="40"/>
  <c r="A1187" i="40"/>
  <c r="A1188" i="40"/>
  <c r="A1189" i="40"/>
  <c r="A1190" i="40"/>
  <c r="A1191" i="40"/>
  <c r="A1192" i="40"/>
  <c r="A1193" i="40"/>
  <c r="A1194" i="40"/>
  <c r="A1195" i="40"/>
  <c r="I141" i="30"/>
  <c r="I142" i="30"/>
  <c r="D141" i="30"/>
  <c r="E141" i="30"/>
  <c r="F141" i="30"/>
  <c r="G141" i="30"/>
  <c r="H141" i="30"/>
  <c r="D142" i="30"/>
  <c r="E142" i="30"/>
  <c r="F142" i="30"/>
  <c r="G142" i="30"/>
  <c r="H142" i="30"/>
  <c r="B141" i="30"/>
  <c r="B142" i="30"/>
  <c r="N386" i="40"/>
  <c r="D136" i="30"/>
  <c r="E136" i="30"/>
  <c r="F136" i="30"/>
  <c r="G136" i="30"/>
  <c r="H136" i="30"/>
  <c r="I136" i="30"/>
  <c r="B136" i="30"/>
  <c r="O3" i="40"/>
  <c r="O4" i="40"/>
  <c r="O5" i="40"/>
  <c r="O6" i="40"/>
  <c r="O7" i="40"/>
  <c r="O8" i="40"/>
  <c r="O9" i="40"/>
  <c r="O10" i="40"/>
  <c r="O11" i="40"/>
  <c r="O12" i="40"/>
  <c r="O13" i="40"/>
  <c r="O14" i="40"/>
  <c r="O15" i="40"/>
  <c r="O16" i="40"/>
  <c r="O17" i="40"/>
  <c r="O18" i="40"/>
  <c r="O19" i="40"/>
  <c r="O20" i="40"/>
  <c r="O21" i="40"/>
  <c r="O22" i="40"/>
  <c r="O23" i="40"/>
  <c r="O24" i="40"/>
  <c r="O25" i="40"/>
  <c r="O26" i="40"/>
  <c r="O27" i="40"/>
  <c r="O28" i="40"/>
  <c r="O29" i="40"/>
  <c r="O30" i="40"/>
  <c r="O31" i="40"/>
  <c r="O32" i="40"/>
  <c r="O33" i="40"/>
  <c r="O34" i="40"/>
  <c r="O35" i="40"/>
  <c r="O36" i="40"/>
  <c r="O37" i="40"/>
  <c r="O38" i="40"/>
  <c r="O39" i="40"/>
  <c r="O40" i="40"/>
  <c r="O41" i="40"/>
  <c r="O42" i="40"/>
  <c r="O43" i="40"/>
  <c r="O44" i="40"/>
  <c r="O45" i="40"/>
  <c r="O46" i="40"/>
  <c r="O47" i="40"/>
  <c r="O48" i="40"/>
  <c r="O49" i="40"/>
  <c r="O50" i="40"/>
  <c r="O51" i="40"/>
  <c r="O52" i="40"/>
  <c r="O53" i="40"/>
  <c r="O54" i="40"/>
  <c r="O55" i="40"/>
  <c r="O56" i="40"/>
  <c r="O57" i="40"/>
  <c r="O58" i="40"/>
  <c r="O59" i="40"/>
  <c r="O60" i="40"/>
  <c r="O61" i="40"/>
  <c r="O62" i="40"/>
  <c r="O63" i="40"/>
  <c r="O64" i="40"/>
  <c r="O65" i="40"/>
  <c r="O66" i="40"/>
  <c r="O67" i="40"/>
  <c r="O68" i="40"/>
  <c r="O69" i="40"/>
  <c r="O70" i="40"/>
  <c r="O71" i="40"/>
  <c r="O72" i="40"/>
  <c r="O73" i="40"/>
  <c r="O74" i="40"/>
  <c r="O75" i="40"/>
  <c r="O76" i="40"/>
  <c r="O77" i="40"/>
  <c r="O78" i="40"/>
  <c r="O79" i="40"/>
  <c r="O80" i="40"/>
  <c r="O81" i="40"/>
  <c r="O82" i="40"/>
  <c r="O83" i="40"/>
  <c r="O84" i="40"/>
  <c r="O85" i="40"/>
  <c r="O86" i="40"/>
  <c r="O87" i="40"/>
  <c r="O88" i="40"/>
  <c r="O89" i="40"/>
  <c r="O90" i="40"/>
  <c r="O91" i="40"/>
  <c r="O92" i="40"/>
  <c r="O93" i="40"/>
  <c r="O94" i="40"/>
  <c r="O95" i="40"/>
  <c r="O96" i="40"/>
  <c r="O97" i="40"/>
  <c r="O98" i="40"/>
  <c r="O99" i="40"/>
  <c r="O100" i="40"/>
  <c r="O101" i="40"/>
  <c r="O102" i="40"/>
  <c r="O103" i="40"/>
  <c r="O104" i="40"/>
  <c r="O105" i="40"/>
  <c r="O106" i="40"/>
  <c r="O107" i="40"/>
  <c r="O108" i="40"/>
  <c r="O109" i="40"/>
  <c r="O110" i="40"/>
  <c r="O111" i="40"/>
  <c r="O112" i="40"/>
  <c r="O113" i="40"/>
  <c r="O114" i="40"/>
  <c r="O115" i="40"/>
  <c r="O116" i="40"/>
  <c r="O117" i="40"/>
  <c r="O118" i="40"/>
  <c r="O119" i="40"/>
  <c r="O120" i="40"/>
  <c r="O121" i="40"/>
  <c r="O122" i="40"/>
  <c r="O123" i="40"/>
  <c r="O124" i="40"/>
  <c r="O125" i="40"/>
  <c r="O126" i="40"/>
  <c r="O127" i="40"/>
  <c r="O128" i="40"/>
  <c r="O129" i="40"/>
  <c r="O130" i="40"/>
  <c r="O131" i="40"/>
  <c r="O132" i="40"/>
  <c r="O133" i="40"/>
  <c r="O134" i="40"/>
  <c r="O135" i="40"/>
  <c r="O136" i="40"/>
  <c r="O137" i="40"/>
  <c r="O138" i="40"/>
  <c r="O139" i="40"/>
  <c r="O140" i="40"/>
  <c r="O141" i="40"/>
  <c r="O142" i="40"/>
  <c r="O143" i="40"/>
  <c r="O144" i="40"/>
  <c r="O145" i="40"/>
  <c r="O146" i="40"/>
  <c r="O147" i="40"/>
  <c r="O148" i="40"/>
  <c r="O149" i="40"/>
  <c r="O150" i="40"/>
  <c r="O151" i="40"/>
  <c r="O152" i="40"/>
  <c r="O153" i="40"/>
  <c r="O154" i="40"/>
  <c r="O155" i="40"/>
  <c r="O156" i="40"/>
  <c r="O157" i="40"/>
  <c r="O158" i="40"/>
  <c r="O159" i="40"/>
  <c r="O160" i="40"/>
  <c r="O161" i="40"/>
  <c r="O162" i="40"/>
  <c r="O163" i="40"/>
  <c r="O164" i="40"/>
  <c r="O165" i="40"/>
  <c r="O166" i="40"/>
  <c r="O167" i="40"/>
  <c r="O168" i="40"/>
  <c r="O169" i="40"/>
  <c r="O170" i="40"/>
  <c r="O171" i="40"/>
  <c r="O172" i="40"/>
  <c r="O173" i="40"/>
  <c r="O174" i="40"/>
  <c r="O175" i="40"/>
  <c r="O176" i="40"/>
  <c r="O177" i="40"/>
  <c r="O178" i="40"/>
  <c r="O179" i="40"/>
  <c r="O180" i="40"/>
  <c r="O181" i="40"/>
  <c r="O182" i="40"/>
  <c r="O183" i="40"/>
  <c r="O184" i="40"/>
  <c r="O185" i="40"/>
  <c r="O186" i="40"/>
  <c r="O187" i="40"/>
  <c r="O188" i="40"/>
  <c r="O189" i="40"/>
  <c r="O190" i="40"/>
  <c r="O191" i="40"/>
  <c r="O192" i="40"/>
  <c r="O193" i="40"/>
  <c r="O194" i="40"/>
  <c r="O195" i="40"/>
  <c r="O196" i="40"/>
  <c r="O197" i="40"/>
  <c r="O198" i="40"/>
  <c r="O199" i="40"/>
  <c r="O200" i="40"/>
  <c r="O201" i="40"/>
  <c r="O202" i="40"/>
  <c r="O203" i="40"/>
  <c r="O204" i="40"/>
  <c r="O205" i="40"/>
  <c r="O206" i="40"/>
  <c r="O207" i="40"/>
  <c r="O208" i="40"/>
  <c r="O209" i="40"/>
  <c r="O210" i="40"/>
  <c r="O211" i="40"/>
  <c r="O212" i="40"/>
  <c r="O213" i="40"/>
  <c r="O214" i="40"/>
  <c r="O215" i="40"/>
  <c r="O216" i="40"/>
  <c r="O217" i="40"/>
  <c r="O218" i="40"/>
  <c r="O219" i="40"/>
  <c r="O220" i="40"/>
  <c r="O221" i="40"/>
  <c r="O222" i="40"/>
  <c r="O223" i="40"/>
  <c r="O224" i="40"/>
  <c r="O225" i="40"/>
  <c r="O226" i="40"/>
  <c r="O227" i="40"/>
  <c r="O228" i="40"/>
  <c r="O229" i="40"/>
  <c r="O230" i="40"/>
  <c r="O231" i="40"/>
  <c r="O232" i="40"/>
  <c r="O233" i="40"/>
  <c r="O234" i="40"/>
  <c r="O235" i="40"/>
  <c r="O236" i="40"/>
  <c r="O237" i="40"/>
  <c r="O238" i="40"/>
  <c r="O239" i="40"/>
  <c r="O240" i="40"/>
  <c r="O241" i="40"/>
  <c r="O242" i="40"/>
  <c r="O243" i="40"/>
  <c r="O244" i="40"/>
  <c r="O245" i="40"/>
  <c r="O246" i="40"/>
  <c r="O247" i="40"/>
  <c r="O248" i="40"/>
  <c r="O249" i="40"/>
  <c r="O250" i="40"/>
  <c r="O251" i="40"/>
  <c r="O252" i="40"/>
  <c r="O253" i="40"/>
  <c r="O254" i="40"/>
  <c r="O255" i="40"/>
  <c r="O256" i="40"/>
  <c r="O257" i="40"/>
  <c r="O258" i="40"/>
  <c r="O259" i="40"/>
  <c r="O260" i="40"/>
  <c r="O261" i="40"/>
  <c r="O262" i="40"/>
  <c r="O263" i="40"/>
  <c r="O264" i="40"/>
  <c r="O265" i="40"/>
  <c r="O266" i="40"/>
  <c r="O267" i="40"/>
  <c r="O268" i="40"/>
  <c r="O269" i="40"/>
  <c r="O270" i="40"/>
  <c r="O271" i="40"/>
  <c r="O272" i="40"/>
  <c r="O273" i="40"/>
  <c r="O274" i="40"/>
  <c r="O275" i="40"/>
  <c r="O276" i="40"/>
  <c r="O277" i="40"/>
  <c r="O278" i="40"/>
  <c r="O279" i="40"/>
  <c r="O280" i="40"/>
  <c r="O281" i="40"/>
  <c r="O282" i="40"/>
  <c r="O283" i="40"/>
  <c r="O284" i="40"/>
  <c r="O285" i="40"/>
  <c r="O286" i="40"/>
  <c r="O287" i="40"/>
  <c r="O288" i="40"/>
  <c r="O289" i="40"/>
  <c r="O290" i="40"/>
  <c r="O291" i="40"/>
  <c r="O292" i="40"/>
  <c r="O293" i="40"/>
  <c r="O294" i="40"/>
  <c r="O295" i="40"/>
  <c r="O296" i="40"/>
  <c r="O297" i="40"/>
  <c r="O298" i="40"/>
  <c r="O299" i="40"/>
  <c r="O300" i="40"/>
  <c r="O301" i="40"/>
  <c r="O302" i="40"/>
  <c r="O303" i="40"/>
  <c r="O304" i="40"/>
  <c r="O305" i="40"/>
  <c r="O306" i="40"/>
  <c r="O307" i="40"/>
  <c r="O308" i="40"/>
  <c r="O309" i="40"/>
  <c r="O310" i="40"/>
  <c r="O311" i="40"/>
  <c r="O312" i="40"/>
  <c r="O313" i="40"/>
  <c r="O314" i="40"/>
  <c r="O315" i="40"/>
  <c r="O316" i="40"/>
  <c r="O317" i="40"/>
  <c r="O318" i="40"/>
  <c r="O319" i="40"/>
  <c r="O320" i="40"/>
  <c r="O321" i="40"/>
  <c r="O322" i="40"/>
  <c r="O323" i="40"/>
  <c r="O324" i="40"/>
  <c r="O325" i="40"/>
  <c r="O326" i="40"/>
  <c r="O327" i="40"/>
  <c r="O328" i="40"/>
  <c r="O329" i="40"/>
  <c r="O330" i="40"/>
  <c r="O331" i="40"/>
  <c r="O332" i="40"/>
  <c r="O333" i="40"/>
  <c r="O334" i="40"/>
  <c r="O335" i="40"/>
  <c r="O336" i="40"/>
  <c r="O337" i="40"/>
  <c r="O338" i="40"/>
  <c r="O339" i="40"/>
  <c r="O340" i="40"/>
  <c r="O341" i="40"/>
  <c r="O342" i="40"/>
  <c r="O343" i="40"/>
  <c r="O344" i="40"/>
  <c r="O345" i="40"/>
  <c r="O346" i="40"/>
  <c r="O347" i="40"/>
  <c r="O348" i="40"/>
  <c r="O349" i="40"/>
  <c r="O350" i="40"/>
  <c r="O351" i="40"/>
  <c r="O352" i="40"/>
  <c r="O353" i="40"/>
  <c r="O354" i="40"/>
  <c r="O355" i="40"/>
  <c r="O356" i="40"/>
  <c r="O357" i="40"/>
  <c r="O358" i="40"/>
  <c r="O359" i="40"/>
  <c r="O360" i="40"/>
  <c r="O361" i="40"/>
  <c r="O362" i="40"/>
  <c r="O363" i="40"/>
  <c r="O364" i="40"/>
  <c r="O365" i="40"/>
  <c r="O366" i="40"/>
  <c r="O367" i="40"/>
  <c r="O368" i="40"/>
  <c r="O369" i="40"/>
  <c r="O370" i="40"/>
  <c r="O371" i="40"/>
  <c r="O372" i="40"/>
  <c r="O373" i="40"/>
  <c r="O374" i="40"/>
  <c r="O375" i="40"/>
  <c r="O376" i="40"/>
  <c r="O377" i="40"/>
  <c r="O378" i="40"/>
  <c r="O379" i="40"/>
  <c r="O380" i="40"/>
  <c r="O381" i="40"/>
  <c r="O382" i="40"/>
  <c r="O383" i="40"/>
  <c r="O384" i="40"/>
  <c r="O385" i="40"/>
  <c r="O386" i="40"/>
  <c r="O387" i="40"/>
  <c r="O388" i="40"/>
  <c r="O389" i="40"/>
  <c r="O390" i="40"/>
  <c r="O391" i="40"/>
  <c r="O392" i="40"/>
  <c r="O393" i="40"/>
  <c r="O394" i="40"/>
  <c r="O395" i="40"/>
  <c r="O396" i="40"/>
  <c r="O397" i="40"/>
  <c r="O398" i="40"/>
  <c r="O399" i="40"/>
  <c r="O400" i="40"/>
  <c r="O401" i="40"/>
  <c r="O402" i="40"/>
  <c r="O403" i="40"/>
  <c r="O404" i="40"/>
  <c r="O405" i="40"/>
  <c r="O406" i="40"/>
  <c r="O407" i="40"/>
  <c r="O408" i="40"/>
  <c r="O409" i="40"/>
  <c r="O410" i="40"/>
  <c r="O411" i="40"/>
  <c r="O412" i="40"/>
  <c r="O413" i="40"/>
  <c r="O414" i="40"/>
  <c r="O415" i="40"/>
  <c r="O416" i="40"/>
  <c r="O417" i="40"/>
  <c r="O418" i="40"/>
  <c r="O419" i="40"/>
  <c r="O420" i="40"/>
  <c r="O421" i="40"/>
  <c r="O422" i="40"/>
  <c r="O423" i="40"/>
  <c r="O424" i="40"/>
  <c r="O425" i="40"/>
  <c r="O426" i="40"/>
  <c r="O427" i="40"/>
  <c r="O428" i="40"/>
  <c r="O429" i="40"/>
  <c r="O430" i="40"/>
  <c r="O431" i="40"/>
  <c r="O432" i="40"/>
  <c r="O433" i="40"/>
  <c r="O434" i="40"/>
  <c r="O435" i="40"/>
  <c r="O436" i="40"/>
  <c r="O437" i="40"/>
  <c r="O438" i="40"/>
  <c r="O439" i="40"/>
  <c r="O440" i="40"/>
  <c r="O441" i="40"/>
  <c r="O442" i="40"/>
  <c r="O443" i="40"/>
  <c r="O444" i="40"/>
  <c r="O445" i="40"/>
  <c r="O446" i="40"/>
  <c r="O447" i="40"/>
  <c r="O448" i="40"/>
  <c r="O449" i="40"/>
  <c r="O450" i="40"/>
  <c r="O451" i="40"/>
  <c r="O452" i="40"/>
  <c r="O453" i="40"/>
  <c r="O454" i="40"/>
  <c r="O455" i="40"/>
  <c r="O456" i="40"/>
  <c r="O457" i="40"/>
  <c r="O458" i="40"/>
  <c r="O459" i="40"/>
  <c r="O460" i="40"/>
  <c r="O461" i="40"/>
  <c r="O462" i="40"/>
  <c r="O463" i="40"/>
  <c r="O464" i="40"/>
  <c r="O465" i="40"/>
  <c r="O466" i="40"/>
  <c r="O467" i="40"/>
  <c r="O468" i="40"/>
  <c r="O469" i="40"/>
  <c r="O470" i="40"/>
  <c r="O471" i="40"/>
  <c r="O472" i="40"/>
  <c r="O473" i="40"/>
  <c r="O474" i="40"/>
  <c r="O475" i="40"/>
  <c r="O476" i="40"/>
  <c r="O477" i="40"/>
  <c r="O478" i="40"/>
  <c r="O479" i="40"/>
  <c r="O480" i="40"/>
  <c r="O481" i="40"/>
  <c r="O482" i="40"/>
  <c r="O483" i="40"/>
  <c r="O484" i="40"/>
  <c r="O485" i="40"/>
  <c r="O486" i="40"/>
  <c r="O487" i="40"/>
  <c r="O488" i="40"/>
  <c r="O489" i="40"/>
  <c r="O490" i="40"/>
  <c r="O491" i="40"/>
  <c r="O492" i="40"/>
  <c r="O493" i="40"/>
  <c r="O494" i="40"/>
  <c r="O495" i="40"/>
  <c r="O496" i="40"/>
  <c r="O497" i="40"/>
  <c r="O498" i="40"/>
  <c r="O499" i="40"/>
  <c r="O500" i="40"/>
  <c r="O501" i="40"/>
  <c r="O502" i="40"/>
  <c r="O503" i="40"/>
  <c r="O504" i="40"/>
  <c r="O505" i="40"/>
  <c r="O506" i="40"/>
  <c r="O507" i="40"/>
  <c r="O508" i="40"/>
  <c r="O509" i="40"/>
  <c r="O510" i="40"/>
  <c r="O511" i="40"/>
  <c r="O512" i="40"/>
  <c r="O513" i="40"/>
  <c r="O514" i="40"/>
  <c r="O515" i="40"/>
  <c r="O516" i="40"/>
  <c r="O517" i="40"/>
  <c r="O518" i="40"/>
  <c r="O519" i="40"/>
  <c r="O520" i="40"/>
  <c r="O521" i="40"/>
  <c r="O522" i="40"/>
  <c r="O523" i="40"/>
  <c r="O524" i="40"/>
  <c r="O525" i="40"/>
  <c r="O526" i="40"/>
  <c r="O527" i="40"/>
  <c r="O528" i="40"/>
  <c r="O529" i="40"/>
  <c r="O530" i="40"/>
  <c r="O531" i="40"/>
  <c r="O532" i="40"/>
  <c r="O533" i="40"/>
  <c r="O534" i="40"/>
  <c r="O535" i="40"/>
  <c r="O536" i="40"/>
  <c r="O537" i="40"/>
  <c r="O538" i="40"/>
  <c r="O539" i="40"/>
  <c r="O540" i="40"/>
  <c r="O541" i="40"/>
  <c r="O542" i="40"/>
  <c r="O543" i="40"/>
  <c r="O544" i="40"/>
  <c r="O545" i="40"/>
  <c r="O546" i="40"/>
  <c r="O547" i="40"/>
  <c r="O548" i="40"/>
  <c r="O549" i="40"/>
  <c r="O550" i="40"/>
  <c r="O551" i="40"/>
  <c r="O552" i="40"/>
  <c r="O553" i="40"/>
  <c r="O554" i="40"/>
  <c r="O555" i="40"/>
  <c r="O556" i="40"/>
  <c r="O557" i="40"/>
  <c r="O558" i="40"/>
  <c r="O559" i="40"/>
  <c r="O560" i="40"/>
  <c r="O561" i="40"/>
  <c r="O562" i="40"/>
  <c r="O563" i="40"/>
  <c r="O564" i="40"/>
  <c r="O565" i="40"/>
  <c r="O566" i="40"/>
  <c r="O567" i="40"/>
  <c r="O568" i="40"/>
  <c r="O569" i="40"/>
  <c r="O570" i="40"/>
  <c r="O571" i="40"/>
  <c r="O572" i="40"/>
  <c r="O573" i="40"/>
  <c r="O574" i="40"/>
  <c r="O575" i="40"/>
  <c r="O576" i="40"/>
  <c r="O577" i="40"/>
  <c r="O578" i="40"/>
  <c r="O579" i="40"/>
  <c r="O580" i="40"/>
  <c r="O581" i="40"/>
  <c r="O582" i="40"/>
  <c r="O583" i="40"/>
  <c r="O584" i="40"/>
  <c r="O585" i="40"/>
  <c r="O586" i="40"/>
  <c r="O587" i="40"/>
  <c r="O588" i="40"/>
  <c r="O589" i="40"/>
  <c r="O590" i="40"/>
  <c r="O591" i="40"/>
  <c r="O592" i="40"/>
  <c r="O593" i="40"/>
  <c r="O594" i="40"/>
  <c r="O595" i="40"/>
  <c r="O596" i="40"/>
  <c r="O597" i="40"/>
  <c r="O598" i="40"/>
  <c r="O599" i="40"/>
  <c r="O600" i="40"/>
  <c r="O601" i="40"/>
  <c r="O602" i="40"/>
  <c r="O603" i="40"/>
  <c r="O604" i="40"/>
  <c r="O605" i="40"/>
  <c r="O606" i="40"/>
  <c r="O607" i="40"/>
  <c r="O608" i="40"/>
  <c r="O609" i="40"/>
  <c r="O610" i="40"/>
  <c r="O611" i="40"/>
  <c r="O612" i="40"/>
  <c r="O613" i="40"/>
  <c r="O614" i="40"/>
  <c r="O615" i="40"/>
  <c r="O616" i="40"/>
  <c r="O617" i="40"/>
  <c r="O618" i="40"/>
  <c r="O619" i="40"/>
  <c r="O620" i="40"/>
  <c r="O621" i="40"/>
  <c r="O622" i="40"/>
  <c r="O623" i="40"/>
  <c r="O624" i="40"/>
  <c r="O625" i="40"/>
  <c r="O626" i="40"/>
  <c r="O627" i="40"/>
  <c r="O628" i="40"/>
  <c r="O629" i="40"/>
  <c r="O630" i="40"/>
  <c r="O631" i="40"/>
  <c r="O632" i="40"/>
  <c r="O633" i="40"/>
  <c r="O634" i="40"/>
  <c r="O635" i="40"/>
  <c r="O636" i="40"/>
  <c r="O637" i="40"/>
  <c r="O638" i="40"/>
  <c r="O639" i="40"/>
  <c r="O640" i="40"/>
  <c r="O641" i="40"/>
  <c r="O642" i="40"/>
  <c r="O643" i="40"/>
  <c r="O644" i="40"/>
  <c r="O645" i="40"/>
  <c r="O646" i="40"/>
  <c r="O647" i="40"/>
  <c r="O648" i="40"/>
  <c r="O649" i="40"/>
  <c r="O650" i="40"/>
  <c r="O651" i="40"/>
  <c r="O652" i="40"/>
  <c r="O653" i="40"/>
  <c r="O654" i="40"/>
  <c r="O655" i="40"/>
  <c r="O656" i="40"/>
  <c r="O657" i="40"/>
  <c r="O658" i="40"/>
  <c r="O659" i="40"/>
  <c r="O660" i="40"/>
  <c r="O661" i="40"/>
  <c r="O662" i="40"/>
  <c r="O663" i="40"/>
  <c r="O664" i="40"/>
  <c r="O665" i="40"/>
  <c r="O666" i="40"/>
  <c r="O667" i="40"/>
  <c r="O668" i="40"/>
  <c r="O669" i="40"/>
  <c r="O670" i="40"/>
  <c r="O671" i="40"/>
  <c r="O672" i="40"/>
  <c r="O673" i="40"/>
  <c r="O674" i="40"/>
  <c r="O675" i="40"/>
  <c r="O676" i="40"/>
  <c r="O677" i="40"/>
  <c r="O678" i="40"/>
  <c r="O679" i="40"/>
  <c r="O680" i="40"/>
  <c r="O681" i="40"/>
  <c r="O682" i="40"/>
  <c r="O683" i="40"/>
  <c r="O684" i="40"/>
  <c r="O685" i="40"/>
  <c r="O686" i="40"/>
  <c r="O687" i="40"/>
  <c r="O688" i="40"/>
  <c r="O689" i="40"/>
  <c r="O690" i="40"/>
  <c r="O691" i="40"/>
  <c r="O692" i="40"/>
  <c r="O693" i="40"/>
  <c r="O694" i="40"/>
  <c r="O695" i="40"/>
  <c r="O696" i="40"/>
  <c r="O697" i="40"/>
  <c r="O698" i="40"/>
  <c r="O699" i="40"/>
  <c r="O700" i="40"/>
  <c r="O701" i="40"/>
  <c r="O702" i="40"/>
  <c r="O703" i="40"/>
  <c r="O704" i="40"/>
  <c r="O705" i="40"/>
  <c r="O706" i="40"/>
  <c r="O707" i="40"/>
  <c r="O708" i="40"/>
  <c r="O709" i="40"/>
  <c r="O710" i="40"/>
  <c r="O711" i="40"/>
  <c r="O712" i="40"/>
  <c r="O713" i="40"/>
  <c r="O714" i="40"/>
  <c r="O715" i="40"/>
  <c r="O716" i="40"/>
  <c r="O717" i="40"/>
  <c r="O718" i="40"/>
  <c r="O719" i="40"/>
  <c r="O720" i="40"/>
  <c r="O721" i="40"/>
  <c r="O722" i="40"/>
  <c r="O723" i="40"/>
  <c r="O724" i="40"/>
  <c r="O725" i="40"/>
  <c r="O726" i="40"/>
  <c r="O727" i="40"/>
  <c r="O728" i="40"/>
  <c r="O729" i="40"/>
  <c r="O730" i="40"/>
  <c r="O731" i="40"/>
  <c r="O732" i="40"/>
  <c r="O733" i="40"/>
  <c r="O734" i="40"/>
  <c r="O735" i="40"/>
  <c r="O736" i="40"/>
  <c r="O737" i="40"/>
  <c r="O738" i="40"/>
  <c r="O739" i="40"/>
  <c r="O740" i="40"/>
  <c r="O741" i="40"/>
  <c r="O742" i="40"/>
  <c r="O743" i="40"/>
  <c r="O744" i="40"/>
  <c r="O745" i="40"/>
  <c r="O746" i="40"/>
  <c r="O747" i="40"/>
  <c r="O748" i="40"/>
  <c r="O749" i="40"/>
  <c r="O750" i="40"/>
  <c r="O751" i="40"/>
  <c r="O752" i="40"/>
  <c r="O753" i="40"/>
  <c r="O754" i="40"/>
  <c r="O755" i="40"/>
  <c r="O756" i="40"/>
  <c r="O757" i="40"/>
  <c r="O758" i="40"/>
  <c r="O759" i="40"/>
  <c r="O760" i="40"/>
  <c r="O761" i="40"/>
  <c r="O762" i="40"/>
  <c r="O763" i="40"/>
  <c r="O764" i="40"/>
  <c r="O765" i="40"/>
  <c r="O766" i="40"/>
  <c r="O767" i="40"/>
  <c r="O768" i="40"/>
  <c r="O769" i="40"/>
  <c r="O770" i="40"/>
  <c r="O771" i="40"/>
  <c r="O772" i="40"/>
  <c r="O773" i="40"/>
  <c r="O774" i="40"/>
  <c r="O775" i="40"/>
  <c r="O776" i="40"/>
  <c r="O777" i="40"/>
  <c r="O778" i="40"/>
  <c r="O779" i="40"/>
  <c r="O780" i="40"/>
  <c r="O781" i="40"/>
  <c r="O782" i="40"/>
  <c r="O783" i="40"/>
  <c r="O784" i="40"/>
  <c r="O785" i="40"/>
  <c r="O786" i="40"/>
  <c r="O787" i="40"/>
  <c r="O788" i="40"/>
  <c r="O789" i="40"/>
  <c r="O790" i="40"/>
  <c r="O791" i="40"/>
  <c r="O792" i="40"/>
  <c r="O793" i="40"/>
  <c r="O794" i="40"/>
  <c r="O795" i="40"/>
  <c r="O796" i="40"/>
  <c r="O797" i="40"/>
  <c r="O798" i="40"/>
  <c r="O799" i="40"/>
  <c r="O800" i="40"/>
  <c r="O801" i="40"/>
  <c r="O802" i="40"/>
  <c r="O803" i="40"/>
  <c r="O804" i="40"/>
  <c r="O805" i="40"/>
  <c r="O806" i="40"/>
  <c r="O807" i="40"/>
  <c r="O808" i="40"/>
  <c r="O809" i="40"/>
  <c r="O810" i="40"/>
  <c r="O811" i="40"/>
  <c r="O812" i="40"/>
  <c r="O813" i="40"/>
  <c r="O814" i="40"/>
  <c r="O815" i="40"/>
  <c r="O816" i="40"/>
  <c r="O817" i="40"/>
  <c r="O818" i="40"/>
  <c r="O819" i="40"/>
  <c r="O820" i="40"/>
  <c r="O821" i="40"/>
  <c r="O822" i="40"/>
  <c r="O823" i="40"/>
  <c r="O824" i="40"/>
  <c r="O825" i="40"/>
  <c r="O826" i="40"/>
  <c r="O827" i="40"/>
  <c r="O828" i="40"/>
  <c r="O829" i="40"/>
  <c r="O830" i="40"/>
  <c r="O831" i="40"/>
  <c r="O832" i="40"/>
  <c r="O833" i="40"/>
  <c r="O834" i="40"/>
  <c r="O835" i="40"/>
  <c r="O836" i="40"/>
  <c r="O837" i="40"/>
  <c r="O838" i="40"/>
  <c r="O839" i="40"/>
  <c r="O840" i="40"/>
  <c r="O841" i="40"/>
  <c r="O842" i="40"/>
  <c r="O843" i="40"/>
  <c r="O844" i="40"/>
  <c r="O845" i="40"/>
  <c r="O846" i="40"/>
  <c r="O847" i="40"/>
  <c r="O848" i="40"/>
  <c r="O849" i="40"/>
  <c r="O850" i="40"/>
  <c r="O851" i="40"/>
  <c r="O852" i="40"/>
  <c r="O853" i="40"/>
  <c r="O854" i="40"/>
  <c r="O855" i="40"/>
  <c r="O856" i="40"/>
  <c r="O857" i="40"/>
  <c r="O858" i="40"/>
  <c r="O859" i="40"/>
  <c r="O860" i="40"/>
  <c r="O861" i="40"/>
  <c r="O862" i="40"/>
  <c r="O863" i="40"/>
  <c r="O864" i="40"/>
  <c r="O865" i="40"/>
  <c r="O866" i="40"/>
  <c r="O867" i="40"/>
  <c r="O868" i="40"/>
  <c r="O869" i="40"/>
  <c r="O870" i="40"/>
  <c r="O871" i="40"/>
  <c r="O872" i="40"/>
  <c r="O873" i="40"/>
  <c r="O874" i="40"/>
  <c r="O875" i="40"/>
  <c r="O876" i="40"/>
  <c r="O877" i="40"/>
  <c r="O878" i="40"/>
  <c r="O879" i="40"/>
  <c r="O880" i="40"/>
  <c r="O881" i="40"/>
  <c r="O882" i="40"/>
  <c r="O883" i="40"/>
  <c r="O884" i="40"/>
  <c r="O885" i="40"/>
  <c r="O886" i="40"/>
  <c r="O887" i="40"/>
  <c r="O888" i="40"/>
  <c r="O889" i="40"/>
  <c r="O890" i="40"/>
  <c r="O891" i="40"/>
  <c r="O892" i="40"/>
  <c r="O893" i="40"/>
  <c r="O894" i="40"/>
  <c r="O895" i="40"/>
  <c r="O896" i="40"/>
  <c r="O897" i="40"/>
  <c r="O898" i="40"/>
  <c r="O899" i="40"/>
  <c r="O900" i="40"/>
  <c r="O901" i="40"/>
  <c r="O902" i="40"/>
  <c r="O903" i="40"/>
  <c r="O904" i="40"/>
  <c r="O905" i="40"/>
  <c r="O906" i="40"/>
  <c r="O907" i="40"/>
  <c r="O908" i="40"/>
  <c r="O909" i="40"/>
  <c r="O910" i="40"/>
  <c r="O911" i="40"/>
  <c r="O912" i="40"/>
  <c r="O913" i="40"/>
  <c r="O914" i="40"/>
  <c r="O915" i="40"/>
  <c r="O916" i="40"/>
  <c r="O917" i="40"/>
  <c r="O918" i="40"/>
  <c r="O919" i="40"/>
  <c r="O920" i="40"/>
  <c r="O921" i="40"/>
  <c r="O922" i="40"/>
  <c r="O923" i="40"/>
  <c r="O924" i="40"/>
  <c r="O925" i="40"/>
  <c r="O926" i="40"/>
  <c r="O927" i="40"/>
  <c r="O928" i="40"/>
  <c r="O929" i="40"/>
  <c r="O930" i="40"/>
  <c r="O931" i="40"/>
  <c r="O932" i="40"/>
  <c r="O933" i="40"/>
  <c r="O934" i="40"/>
  <c r="O935" i="40"/>
  <c r="O936" i="40"/>
  <c r="O937" i="40"/>
  <c r="O938" i="40"/>
  <c r="O939" i="40"/>
  <c r="O940" i="40"/>
  <c r="O941" i="40"/>
  <c r="O942" i="40"/>
  <c r="O943" i="40"/>
  <c r="O944" i="40"/>
  <c r="O945" i="40"/>
  <c r="O946" i="40"/>
  <c r="O947" i="40"/>
  <c r="O948" i="40"/>
  <c r="O949" i="40"/>
  <c r="O950" i="40"/>
  <c r="O951" i="40"/>
  <c r="O952" i="40"/>
  <c r="O953" i="40"/>
  <c r="O954" i="40"/>
  <c r="O955" i="40"/>
  <c r="O956" i="40"/>
  <c r="O957" i="40"/>
  <c r="O958" i="40"/>
  <c r="O959" i="40"/>
  <c r="O960" i="40"/>
  <c r="O961" i="40"/>
  <c r="O962" i="40"/>
  <c r="O963" i="40"/>
  <c r="O964" i="40"/>
  <c r="O965" i="40"/>
  <c r="O966" i="40"/>
  <c r="O967" i="40"/>
  <c r="O968" i="40"/>
  <c r="O969" i="40"/>
  <c r="O970" i="40"/>
  <c r="O971" i="40"/>
  <c r="O972" i="40"/>
  <c r="O973" i="40"/>
  <c r="O974" i="40"/>
  <c r="O975" i="40"/>
  <c r="O976" i="40"/>
  <c r="O977" i="40"/>
  <c r="O978" i="40"/>
  <c r="O979" i="40"/>
  <c r="O980" i="40"/>
  <c r="O981" i="40"/>
  <c r="O982" i="40"/>
  <c r="O983" i="40"/>
  <c r="O984" i="40"/>
  <c r="O985" i="40"/>
  <c r="O986" i="40"/>
  <c r="O987" i="40"/>
  <c r="O988" i="40"/>
  <c r="O989" i="40"/>
  <c r="O990" i="40"/>
  <c r="O991" i="40"/>
  <c r="O992" i="40"/>
  <c r="O993" i="40"/>
  <c r="O994" i="40"/>
  <c r="O995" i="40"/>
  <c r="O996" i="40"/>
  <c r="O997" i="40"/>
  <c r="O998" i="40"/>
  <c r="O999" i="40"/>
  <c r="O1000" i="40"/>
  <c r="O1001" i="40"/>
  <c r="O1002" i="40"/>
  <c r="O1003" i="40"/>
  <c r="O1004" i="40"/>
  <c r="O1005" i="40"/>
  <c r="O1006" i="40"/>
  <c r="O1007" i="40"/>
  <c r="O1008" i="40"/>
  <c r="O1009" i="40"/>
  <c r="O1010" i="40"/>
  <c r="O1011" i="40"/>
  <c r="O1012" i="40"/>
  <c r="O1013" i="40"/>
  <c r="O1014" i="40"/>
  <c r="O1015" i="40"/>
  <c r="O1016" i="40"/>
  <c r="O1017" i="40"/>
  <c r="O1018" i="40"/>
  <c r="O1019" i="40"/>
  <c r="O1020" i="40"/>
  <c r="O1021" i="40"/>
  <c r="O1022" i="40"/>
  <c r="O1023" i="40"/>
  <c r="O1024" i="40"/>
  <c r="O1025" i="40"/>
  <c r="O1026" i="40"/>
  <c r="O1027" i="40"/>
  <c r="O1028" i="40"/>
  <c r="O1029" i="40"/>
  <c r="O1030" i="40"/>
  <c r="O1031" i="40"/>
  <c r="O1032" i="40"/>
  <c r="O1033" i="40"/>
  <c r="O1034" i="40"/>
  <c r="O1035" i="40"/>
  <c r="O1036" i="40"/>
  <c r="O1037" i="40"/>
  <c r="O1038" i="40"/>
  <c r="O1039" i="40"/>
  <c r="O1040" i="40"/>
  <c r="O1041" i="40"/>
  <c r="O1042" i="40"/>
  <c r="O1043" i="40"/>
  <c r="O1044" i="40"/>
  <c r="O1045" i="40"/>
  <c r="O1046" i="40"/>
  <c r="O1047" i="40"/>
  <c r="O1048" i="40"/>
  <c r="O1049" i="40"/>
  <c r="O1050" i="40"/>
  <c r="O1051" i="40"/>
  <c r="O1052" i="40"/>
  <c r="O1053" i="40"/>
  <c r="O1054" i="40"/>
  <c r="O1055" i="40"/>
  <c r="O1056" i="40"/>
  <c r="O1057" i="40"/>
  <c r="O1058" i="40"/>
  <c r="O1059" i="40"/>
  <c r="O1060" i="40"/>
  <c r="O1061" i="40"/>
  <c r="O1062" i="40"/>
  <c r="O1063" i="40"/>
  <c r="O1064" i="40"/>
  <c r="O1065" i="40"/>
  <c r="O1066" i="40"/>
  <c r="O1067" i="40"/>
  <c r="O1068" i="40"/>
  <c r="O1069" i="40"/>
  <c r="O1070" i="40"/>
  <c r="O1071" i="40"/>
  <c r="O1072" i="40"/>
  <c r="O1073" i="40"/>
  <c r="O1074" i="40"/>
  <c r="O1075" i="40"/>
  <c r="O1076" i="40"/>
  <c r="O1077" i="40"/>
  <c r="O1078" i="40"/>
  <c r="O1079" i="40"/>
  <c r="O1080" i="40"/>
  <c r="O1081" i="40"/>
  <c r="O1082" i="40"/>
  <c r="O1083" i="40"/>
  <c r="O1084" i="40"/>
  <c r="O1085" i="40"/>
  <c r="O1086" i="40"/>
  <c r="O1087" i="40"/>
  <c r="O1088" i="40"/>
  <c r="O1089" i="40"/>
  <c r="O1090" i="40"/>
  <c r="O1091" i="40"/>
  <c r="O1092" i="40"/>
  <c r="O1093" i="40"/>
  <c r="O1094" i="40"/>
  <c r="O1095" i="40"/>
  <c r="O1096" i="40"/>
  <c r="O1097" i="40"/>
  <c r="O1098" i="40"/>
  <c r="O1099" i="40"/>
  <c r="O1100" i="40"/>
  <c r="O1101" i="40"/>
  <c r="O1102" i="40"/>
  <c r="O1103" i="40"/>
  <c r="O1104" i="40"/>
  <c r="O1105" i="40"/>
  <c r="O1106" i="40"/>
  <c r="O1107" i="40"/>
  <c r="O1108" i="40"/>
  <c r="O1109" i="40"/>
  <c r="O1110" i="40"/>
  <c r="O1111" i="40"/>
  <c r="O1112" i="40"/>
  <c r="O1113" i="40"/>
  <c r="O1114" i="40"/>
  <c r="O1115" i="40"/>
  <c r="O1116" i="40"/>
  <c r="O1117" i="40"/>
  <c r="O1118" i="40"/>
  <c r="O1119" i="40"/>
  <c r="O1120" i="40"/>
  <c r="O1121" i="40"/>
  <c r="O1122" i="40"/>
  <c r="O1123" i="40"/>
  <c r="O1124" i="40"/>
  <c r="O1125" i="40"/>
  <c r="O1126" i="40"/>
  <c r="O1127" i="40"/>
  <c r="O1128" i="40"/>
  <c r="O1129" i="40"/>
  <c r="O1130" i="40"/>
  <c r="O1131" i="40"/>
  <c r="O1132" i="40"/>
  <c r="O1133" i="40"/>
  <c r="O1134" i="40"/>
  <c r="O1135" i="40"/>
  <c r="O1136" i="40"/>
  <c r="O1137" i="40"/>
  <c r="O1138" i="40"/>
  <c r="O1139" i="40"/>
  <c r="O1140" i="40"/>
  <c r="O1141" i="40"/>
  <c r="O1142" i="40"/>
  <c r="O1143" i="40"/>
  <c r="O1144" i="40"/>
  <c r="O1145" i="40"/>
  <c r="O1146" i="40"/>
  <c r="O1147" i="40"/>
  <c r="O1148" i="40"/>
  <c r="O1149" i="40"/>
  <c r="O1150" i="40"/>
  <c r="O1151" i="40"/>
  <c r="O1152" i="40"/>
  <c r="O1153" i="40"/>
  <c r="O1154" i="40"/>
  <c r="O1155" i="40"/>
  <c r="O1156" i="40"/>
  <c r="O1157" i="40"/>
  <c r="O1158" i="40"/>
  <c r="O1159" i="40"/>
  <c r="O1160" i="40"/>
  <c r="O1161" i="40"/>
  <c r="O1162" i="40"/>
  <c r="O1163" i="40"/>
  <c r="O1164" i="40"/>
  <c r="O1165" i="40"/>
  <c r="O1166" i="40"/>
  <c r="O1167" i="40"/>
  <c r="O1168" i="40"/>
  <c r="O1169" i="40"/>
  <c r="O1170" i="40"/>
  <c r="O1171" i="40"/>
  <c r="O1172" i="40"/>
  <c r="O1173" i="40"/>
  <c r="O1174" i="40"/>
  <c r="O1175" i="40"/>
  <c r="O1176" i="40"/>
  <c r="O1177" i="40"/>
  <c r="O1178" i="40"/>
  <c r="O1179" i="40"/>
  <c r="O1180" i="40"/>
  <c r="O1181" i="40"/>
  <c r="O1182" i="40"/>
  <c r="O1183" i="40"/>
  <c r="O1184" i="40"/>
  <c r="O1185" i="40"/>
  <c r="O1186" i="40"/>
  <c r="O1187" i="40"/>
  <c r="O1188" i="40"/>
  <c r="O1189" i="40"/>
  <c r="O1190" i="40"/>
  <c r="O1191" i="40"/>
  <c r="O1192" i="40"/>
  <c r="O1193" i="40"/>
  <c r="O1194" i="40"/>
  <c r="O1195" i="40"/>
  <c r="O1196" i="40"/>
  <c r="O1197" i="40"/>
  <c r="O1198" i="40"/>
  <c r="O1199" i="40"/>
  <c r="O1200" i="40"/>
  <c r="O1201" i="40"/>
  <c r="O1202" i="40"/>
  <c r="O1203" i="40"/>
  <c r="O1204" i="40"/>
  <c r="O1205" i="40"/>
  <c r="O1206" i="40"/>
  <c r="O1207" i="40"/>
  <c r="O1208" i="40"/>
  <c r="O1209" i="40"/>
  <c r="O1210" i="40"/>
  <c r="O1211" i="40"/>
  <c r="O1212" i="40"/>
  <c r="O1213" i="40"/>
  <c r="O1214" i="40"/>
  <c r="O1215" i="40"/>
  <c r="O1216" i="40"/>
  <c r="O2" i="40"/>
  <c r="N2" i="40"/>
  <c r="D9" i="8"/>
  <c r="E8" i="25"/>
  <c r="E14" i="25"/>
  <c r="C14" i="25"/>
  <c r="AQ56" i="29"/>
  <c r="AO56" i="29"/>
  <c r="A56" i="29"/>
  <c r="E56" i="29"/>
  <c r="AO49" i="29"/>
  <c r="A49" i="29"/>
  <c r="E49" i="29"/>
  <c r="N29" i="8"/>
  <c r="N21" i="8"/>
  <c r="E29" i="8"/>
  <c r="E21" i="8"/>
  <c r="Y231" i="29"/>
  <c r="W232" i="29"/>
  <c r="AA214" i="29"/>
  <c r="AB214" i="29"/>
  <c r="AC214" i="29"/>
  <c r="O26" i="15"/>
  <c r="U22" i="19"/>
  <c r="U21" i="19"/>
  <c r="U39" i="19"/>
  <c r="U38" i="19"/>
  <c r="U37" i="19"/>
  <c r="U36" i="19"/>
  <c r="U11" i="21"/>
  <c r="U12" i="21"/>
  <c r="U13" i="21"/>
  <c r="AO249" i="29"/>
  <c r="U14" i="21"/>
  <c r="AO250" i="29"/>
  <c r="U15" i="21"/>
  <c r="AO251" i="29"/>
  <c r="U16" i="21"/>
  <c r="U17" i="21"/>
  <c r="U18" i="21"/>
  <c r="AO253" i="29"/>
  <c r="U19" i="21"/>
  <c r="U20" i="21"/>
  <c r="AO254" i="29"/>
  <c r="U21" i="21"/>
  <c r="U22" i="21"/>
  <c r="AO255" i="29"/>
  <c r="U23" i="21"/>
  <c r="U10" i="21"/>
  <c r="AO246" i="29"/>
  <c r="A219" i="43"/>
  <c r="A220" i="43"/>
  <c r="A221" i="43"/>
  <c r="A222" i="43"/>
  <c r="A223" i="43"/>
  <c r="A224" i="43"/>
  <c r="A225" i="43"/>
  <c r="A226" i="43"/>
  <c r="A227" i="43"/>
  <c r="A228" i="43"/>
  <c r="A229" i="43"/>
  <c r="A230" i="43"/>
  <c r="A231" i="43"/>
  <c r="A232" i="43"/>
  <c r="A233" i="43"/>
  <c r="A234" i="43"/>
  <c r="A235" i="43"/>
  <c r="A236" i="43"/>
  <c r="A237" i="43"/>
  <c r="A238" i="43"/>
  <c r="A239" i="43"/>
  <c r="A240" i="43"/>
  <c r="A241" i="43"/>
  <c r="A242" i="43"/>
  <c r="A243" i="43"/>
  <c r="A244" i="43"/>
  <c r="A245" i="43"/>
  <c r="A246" i="43"/>
  <c r="A247" i="43"/>
  <c r="A248" i="43"/>
  <c r="A249" i="43"/>
  <c r="A250" i="43"/>
  <c r="A251" i="43"/>
  <c r="A252" i="43"/>
  <c r="A253" i="43"/>
  <c r="A254" i="43"/>
  <c r="A255" i="43"/>
  <c r="A256" i="43"/>
  <c r="A257" i="43"/>
  <c r="A258" i="43"/>
  <c r="A259" i="43"/>
  <c r="A260" i="43"/>
  <c r="A261" i="43"/>
  <c r="A262" i="43"/>
  <c r="A263" i="43"/>
  <c r="A264" i="43"/>
  <c r="A265" i="43"/>
  <c r="A266" i="43"/>
  <c r="A267" i="43"/>
  <c r="A268" i="43"/>
  <c r="A269" i="43"/>
  <c r="A270" i="43"/>
  <c r="A271" i="43"/>
  <c r="A272" i="43"/>
  <c r="A273" i="43"/>
  <c r="A274" i="43"/>
  <c r="A275" i="43"/>
  <c r="A276" i="43"/>
  <c r="A277" i="43"/>
  <c r="A278" i="43"/>
  <c r="A279" i="43"/>
  <c r="A280" i="43"/>
  <c r="A281" i="43"/>
  <c r="A282" i="43"/>
  <c r="A283" i="43"/>
  <c r="A284" i="43"/>
  <c r="A285" i="43"/>
  <c r="A286" i="43"/>
  <c r="A287" i="43"/>
  <c r="A288" i="43"/>
  <c r="A289" i="43"/>
  <c r="A290" i="43"/>
  <c r="A291" i="43"/>
  <c r="A292" i="43"/>
  <c r="A293" i="43"/>
  <c r="A294" i="43"/>
  <c r="A295" i="43"/>
  <c r="A296" i="43"/>
  <c r="A297" i="43"/>
  <c r="A298" i="43"/>
  <c r="A299" i="43"/>
  <c r="A300" i="43"/>
  <c r="A301" i="43"/>
  <c r="A302" i="43"/>
  <c r="A303" i="43"/>
  <c r="A304" i="43"/>
  <c r="A305" i="43"/>
  <c r="A306" i="43"/>
  <c r="A307" i="43"/>
  <c r="A308" i="43"/>
  <c r="A309" i="43"/>
  <c r="A310" i="43"/>
  <c r="A311" i="43"/>
  <c r="A312" i="43"/>
  <c r="A313" i="43"/>
  <c r="A314" i="43"/>
  <c r="A315" i="43"/>
  <c r="A316" i="43"/>
  <c r="A317" i="43"/>
  <c r="A318" i="43"/>
  <c r="A319" i="43"/>
  <c r="A320" i="43"/>
  <c r="A321" i="43"/>
  <c r="A322" i="43"/>
  <c r="A323" i="43"/>
  <c r="A324" i="43"/>
  <c r="A325" i="43"/>
  <c r="A326" i="43"/>
  <c r="A327" i="43"/>
  <c r="A328" i="43"/>
  <c r="A329" i="43"/>
  <c r="A330" i="43"/>
  <c r="A331" i="43"/>
  <c r="A332" i="43"/>
  <c r="A333" i="43"/>
  <c r="A334" i="43"/>
  <c r="A335" i="43"/>
  <c r="A336" i="43"/>
  <c r="A337" i="43"/>
  <c r="A338" i="43"/>
  <c r="A339" i="43"/>
  <c r="A340" i="43"/>
  <c r="A341" i="43"/>
  <c r="A342" i="43"/>
  <c r="A343" i="43"/>
  <c r="A344" i="43"/>
  <c r="A345" i="43"/>
  <c r="A346" i="43"/>
  <c r="A347" i="43"/>
  <c r="A348" i="43"/>
  <c r="A349" i="43"/>
  <c r="A350" i="43"/>
  <c r="A351" i="43"/>
  <c r="A352" i="43"/>
  <c r="A353" i="43"/>
  <c r="A354" i="43"/>
  <c r="A355" i="43"/>
  <c r="A356" i="43"/>
  <c r="A357" i="43"/>
  <c r="A358" i="43"/>
  <c r="A359" i="43"/>
  <c r="A360" i="43"/>
  <c r="A361" i="43"/>
  <c r="A362" i="43"/>
  <c r="A363" i="43"/>
  <c r="A364" i="43"/>
  <c r="A365" i="43"/>
  <c r="A366" i="43"/>
  <c r="A367" i="43"/>
  <c r="A368" i="43"/>
  <c r="A369" i="43"/>
  <c r="A370" i="43"/>
  <c r="A371" i="43"/>
  <c r="A372" i="43"/>
  <c r="A373" i="43"/>
  <c r="A374" i="43"/>
  <c r="A375" i="43"/>
  <c r="A376" i="43"/>
  <c r="A377" i="43"/>
  <c r="A378" i="43"/>
  <c r="A379" i="43"/>
  <c r="A380" i="43"/>
  <c r="A381" i="43"/>
  <c r="A382" i="43"/>
  <c r="A383" i="43"/>
  <c r="A384" i="43"/>
  <c r="A385" i="43"/>
  <c r="A386" i="43"/>
  <c r="A387" i="43"/>
  <c r="A388" i="43"/>
  <c r="A389" i="43"/>
  <c r="A390" i="43"/>
  <c r="A391" i="43"/>
  <c r="A392" i="43"/>
  <c r="A393" i="43"/>
  <c r="A394" i="43"/>
  <c r="A395" i="43"/>
  <c r="A396" i="43"/>
  <c r="A397" i="43"/>
  <c r="A398" i="43"/>
  <c r="A399" i="43"/>
  <c r="A400" i="43"/>
  <c r="A401" i="43"/>
  <c r="A402" i="43"/>
  <c r="A403" i="43"/>
  <c r="A404" i="43"/>
  <c r="A405" i="43"/>
  <c r="A406" i="43"/>
  <c r="A407" i="43"/>
  <c r="A408" i="43"/>
  <c r="A409" i="43"/>
  <c r="A410" i="43"/>
  <c r="A411" i="43"/>
  <c r="A412" i="43"/>
  <c r="A413" i="43"/>
  <c r="A414" i="43"/>
  <c r="A415" i="43"/>
  <c r="A416" i="43"/>
  <c r="A417" i="43"/>
  <c r="A418" i="43"/>
  <c r="A419" i="43"/>
  <c r="A420" i="43"/>
  <c r="A421" i="43"/>
  <c r="A422" i="43"/>
  <c r="A423" i="43"/>
  <c r="A424" i="43"/>
  <c r="A425" i="43"/>
  <c r="A426" i="43"/>
  <c r="A427" i="43"/>
  <c r="A428" i="43"/>
  <c r="A429" i="43"/>
  <c r="A430" i="43"/>
  <c r="A431" i="43"/>
  <c r="A432" i="43"/>
  <c r="A433" i="43"/>
  <c r="A434" i="43"/>
  <c r="A435" i="43"/>
  <c r="A436" i="43"/>
  <c r="A437" i="43"/>
  <c r="A438" i="43"/>
  <c r="A439" i="43"/>
  <c r="A440" i="43"/>
  <c r="A441" i="43"/>
  <c r="A442" i="43"/>
  <c r="A443" i="43"/>
  <c r="A444" i="43"/>
  <c r="A445" i="43"/>
  <c r="A446" i="43"/>
  <c r="A447" i="43"/>
  <c r="A448" i="43"/>
  <c r="A449" i="43"/>
  <c r="A450" i="43"/>
  <c r="A451" i="43"/>
  <c r="A452" i="43"/>
  <c r="A453" i="43"/>
  <c r="A454" i="43"/>
  <c r="A455" i="43"/>
  <c r="A456" i="43"/>
  <c r="A457" i="43"/>
  <c r="A458" i="43"/>
  <c r="A459" i="43"/>
  <c r="A460" i="43"/>
  <c r="A461" i="43"/>
  <c r="A462" i="43"/>
  <c r="A463" i="43"/>
  <c r="A464" i="43"/>
  <c r="A465" i="43"/>
  <c r="A466" i="43"/>
  <c r="A467" i="43"/>
  <c r="A468" i="43"/>
  <c r="A469" i="43"/>
  <c r="A470" i="43"/>
  <c r="A471" i="43"/>
  <c r="A472" i="43"/>
  <c r="A473" i="43"/>
  <c r="A474" i="43"/>
  <c r="A475" i="43"/>
  <c r="A476" i="43"/>
  <c r="A477" i="43"/>
  <c r="A478" i="43"/>
  <c r="A479" i="43"/>
  <c r="A480" i="43"/>
  <c r="A481" i="43"/>
  <c r="A482" i="43"/>
  <c r="A483" i="43"/>
  <c r="A484" i="43"/>
  <c r="A485" i="43"/>
  <c r="A486" i="43"/>
  <c r="A487" i="43"/>
  <c r="A488" i="43"/>
  <c r="A489" i="43"/>
  <c r="A490" i="43"/>
  <c r="A491" i="43"/>
  <c r="A492" i="43"/>
  <c r="A493" i="43"/>
  <c r="A494" i="43"/>
  <c r="A495" i="43"/>
  <c r="A496" i="43"/>
  <c r="A497" i="43"/>
  <c r="A498" i="43"/>
  <c r="A499" i="43"/>
  <c r="A500" i="43"/>
  <c r="A501" i="43"/>
  <c r="A502" i="43"/>
  <c r="A503" i="43"/>
  <c r="A504" i="43"/>
  <c r="A505" i="43"/>
  <c r="A506" i="43"/>
  <c r="A507" i="43"/>
  <c r="A508" i="43"/>
  <c r="A509" i="43"/>
  <c r="A510" i="43"/>
  <c r="A511" i="43"/>
  <c r="A512" i="43"/>
  <c r="A513" i="43"/>
  <c r="A514" i="43"/>
  <c r="A515" i="43"/>
  <c r="A516" i="43"/>
  <c r="A517" i="43"/>
  <c r="A518" i="43"/>
  <c r="A519" i="43"/>
  <c r="A520" i="43"/>
  <c r="A521" i="43"/>
  <c r="A522" i="43"/>
  <c r="A523" i="43"/>
  <c r="A524" i="43"/>
  <c r="A525" i="43"/>
  <c r="A526" i="43"/>
  <c r="A527" i="43"/>
  <c r="A528" i="43"/>
  <c r="A529" i="43"/>
  <c r="A530" i="43"/>
  <c r="A531" i="43"/>
  <c r="A532" i="43"/>
  <c r="A533" i="43"/>
  <c r="A534" i="43"/>
  <c r="A535" i="43"/>
  <c r="A536" i="43"/>
  <c r="A537" i="43"/>
  <c r="A538" i="43"/>
  <c r="A539" i="43"/>
  <c r="A540" i="43"/>
  <c r="A541" i="43"/>
  <c r="A542" i="43"/>
  <c r="A543" i="43"/>
  <c r="A544" i="43"/>
  <c r="A545" i="43"/>
  <c r="A546" i="43"/>
  <c r="A547" i="43"/>
  <c r="A548" i="43"/>
  <c r="A549" i="43"/>
  <c r="A550" i="43"/>
  <c r="A551" i="43"/>
  <c r="A552" i="43"/>
  <c r="A553" i="43"/>
  <c r="A554" i="43"/>
  <c r="A555" i="43"/>
  <c r="A556" i="43"/>
  <c r="A557" i="43"/>
  <c r="A558" i="43"/>
  <c r="A559" i="43"/>
  <c r="A560" i="43"/>
  <c r="A561" i="43"/>
  <c r="A562" i="43"/>
  <c r="A563" i="43"/>
  <c r="A564" i="43"/>
  <c r="A565" i="43"/>
  <c r="A566" i="43"/>
  <c r="A567" i="43"/>
  <c r="A568" i="43"/>
  <c r="A569" i="43"/>
  <c r="A570" i="43"/>
  <c r="A571" i="43"/>
  <c r="A572" i="43"/>
  <c r="A573" i="43"/>
  <c r="A574" i="43"/>
  <c r="A575" i="43"/>
  <c r="A576" i="43"/>
  <c r="A577" i="43"/>
  <c r="A578" i="43"/>
  <c r="A579" i="43"/>
  <c r="A580" i="43"/>
  <c r="A581" i="43"/>
  <c r="A582" i="43"/>
  <c r="A583" i="43"/>
  <c r="A584" i="43"/>
  <c r="A585" i="43"/>
  <c r="A586" i="43"/>
  <c r="A587" i="43"/>
  <c r="A588" i="43"/>
  <c r="A589" i="43"/>
  <c r="A590" i="43"/>
  <c r="A591" i="43"/>
  <c r="A592" i="43"/>
  <c r="A593" i="43"/>
  <c r="A594" i="43"/>
  <c r="A595" i="43"/>
  <c r="A596" i="43"/>
  <c r="A597" i="43"/>
  <c r="A598" i="43"/>
  <c r="A599" i="43"/>
  <c r="A600" i="43"/>
  <c r="A601" i="43"/>
  <c r="A602" i="43"/>
  <c r="A603" i="43"/>
  <c r="A604" i="43"/>
  <c r="A605" i="43"/>
  <c r="A606" i="43"/>
  <c r="A607" i="43"/>
  <c r="A608" i="43"/>
  <c r="A609" i="43"/>
  <c r="A610" i="43"/>
  <c r="A611" i="43"/>
  <c r="A612" i="43"/>
  <c r="A613" i="43"/>
  <c r="A614" i="43"/>
  <c r="A615" i="43"/>
  <c r="A616" i="43"/>
  <c r="A617" i="43"/>
  <c r="A618" i="43"/>
  <c r="A619" i="43"/>
  <c r="A620" i="43"/>
  <c r="A621" i="43"/>
  <c r="A622" i="43"/>
  <c r="A623" i="43"/>
  <c r="A624" i="43"/>
  <c r="A625" i="43"/>
  <c r="A626" i="43"/>
  <c r="A627" i="43"/>
  <c r="A628" i="43"/>
  <c r="A629" i="43"/>
  <c r="A630" i="43"/>
  <c r="A631" i="43"/>
  <c r="A632" i="43"/>
  <c r="A633" i="43"/>
  <c r="A634" i="43"/>
  <c r="A635" i="43"/>
  <c r="A1196" i="40"/>
  <c r="A1197" i="40"/>
  <c r="A1198" i="40"/>
  <c r="A1199" i="40"/>
  <c r="A1200" i="40"/>
  <c r="A1201" i="40"/>
  <c r="A1202" i="40"/>
  <c r="A1203" i="40"/>
  <c r="A1204" i="40"/>
  <c r="A1205" i="40"/>
  <c r="A1206" i="40"/>
  <c r="A1207" i="40"/>
  <c r="A1208" i="40"/>
  <c r="A1209" i="40"/>
  <c r="A1210" i="40"/>
  <c r="A1211" i="40"/>
  <c r="A1212" i="40"/>
  <c r="A1213" i="40"/>
  <c r="A1214" i="40"/>
  <c r="A1215" i="40"/>
  <c r="A1216" i="40"/>
  <c r="N372" i="40"/>
  <c r="N373" i="40"/>
  <c r="N374" i="40"/>
  <c r="N376" i="40"/>
  <c r="N377" i="40"/>
  <c r="N378" i="40"/>
  <c r="N379" i="40"/>
  <c r="N380" i="40"/>
  <c r="N381" i="40"/>
  <c r="N382" i="40"/>
  <c r="N383" i="40"/>
  <c r="N384" i="40"/>
  <c r="N385" i="40"/>
  <c r="N387" i="40"/>
  <c r="N388" i="40"/>
  <c r="N390" i="40"/>
  <c r="N392" i="40"/>
  <c r="N393" i="40"/>
  <c r="N394" i="40"/>
  <c r="N396" i="40"/>
  <c r="N397" i="40"/>
  <c r="N398" i="40"/>
  <c r="N399" i="40"/>
  <c r="N400" i="40"/>
  <c r="N401" i="40"/>
  <c r="N402" i="40"/>
  <c r="N403" i="40"/>
  <c r="N404" i="40"/>
  <c r="N405" i="40"/>
  <c r="N406" i="40"/>
  <c r="N407" i="40"/>
  <c r="N408" i="40"/>
  <c r="N410" i="40"/>
  <c r="N412" i="40"/>
  <c r="N413" i="40"/>
  <c r="N414" i="40"/>
  <c r="N416" i="40"/>
  <c r="N417" i="40"/>
  <c r="N418" i="40"/>
  <c r="N419" i="40"/>
  <c r="N420" i="40"/>
  <c r="N421" i="40"/>
  <c r="N422" i="40"/>
  <c r="N423" i="40"/>
  <c r="N424" i="40"/>
  <c r="N425" i="40"/>
  <c r="N426" i="40"/>
  <c r="N427" i="40"/>
  <c r="N428" i="40"/>
  <c r="N430" i="40"/>
  <c r="N432" i="40"/>
  <c r="N433" i="40"/>
  <c r="N434" i="40"/>
  <c r="N436" i="40"/>
  <c r="N437" i="40"/>
  <c r="N438" i="40"/>
  <c r="N439" i="40"/>
  <c r="N440" i="40"/>
  <c r="N441" i="40"/>
  <c r="N442" i="40"/>
  <c r="N443" i="40"/>
  <c r="N444" i="40"/>
  <c r="N445" i="40"/>
  <c r="N446" i="40"/>
  <c r="N447" i="40"/>
  <c r="N448" i="40"/>
  <c r="N450" i="40"/>
  <c r="N452" i="40"/>
  <c r="N453" i="40"/>
  <c r="N454" i="40"/>
  <c r="N456" i="40"/>
  <c r="N457" i="40"/>
  <c r="N458" i="40"/>
  <c r="N459" i="40"/>
  <c r="N460" i="40"/>
  <c r="N461" i="40"/>
  <c r="N462" i="40"/>
  <c r="N463" i="40"/>
  <c r="N464" i="40"/>
  <c r="N465" i="40"/>
  <c r="N466" i="40"/>
  <c r="N467" i="40"/>
  <c r="N468" i="40"/>
  <c r="N470" i="40"/>
  <c r="N472" i="40"/>
  <c r="N473" i="40"/>
  <c r="N474" i="40"/>
  <c r="N476" i="40"/>
  <c r="N477" i="40"/>
  <c r="N478" i="40"/>
  <c r="N479" i="40"/>
  <c r="N480" i="40"/>
  <c r="N481" i="40"/>
  <c r="N482" i="40"/>
  <c r="N483" i="40"/>
  <c r="N484" i="40"/>
  <c r="N485" i="40"/>
  <c r="N486" i="40"/>
  <c r="N487" i="40"/>
  <c r="N488" i="40"/>
  <c r="N490" i="40"/>
  <c r="N492" i="40"/>
  <c r="N493" i="40"/>
  <c r="N494" i="40"/>
  <c r="N496" i="40"/>
  <c r="N497" i="40"/>
  <c r="N498" i="40"/>
  <c r="N499" i="40"/>
  <c r="N500" i="40"/>
  <c r="N501" i="40"/>
  <c r="N502" i="40"/>
  <c r="N503" i="40"/>
  <c r="N504" i="40"/>
  <c r="N505" i="40"/>
  <c r="N506" i="40"/>
  <c r="N507" i="40"/>
  <c r="N508" i="40"/>
  <c r="N510" i="40"/>
  <c r="N512" i="40"/>
  <c r="N513" i="40"/>
  <c r="N514" i="40"/>
  <c r="N516" i="40"/>
  <c r="N517" i="40"/>
  <c r="N518" i="40"/>
  <c r="N519" i="40"/>
  <c r="N520" i="40"/>
  <c r="N521" i="40"/>
  <c r="N522" i="40"/>
  <c r="N523" i="40"/>
  <c r="N524" i="40"/>
  <c r="N525" i="40"/>
  <c r="N526" i="40"/>
  <c r="N527" i="40"/>
  <c r="N528" i="40"/>
  <c r="N530" i="40"/>
  <c r="N532" i="40"/>
  <c r="N533" i="40"/>
  <c r="N534" i="40"/>
  <c r="N535" i="40"/>
  <c r="N536" i="40"/>
  <c r="N537" i="40"/>
  <c r="N538" i="40"/>
  <c r="N539" i="40"/>
  <c r="N540" i="40"/>
  <c r="N541" i="40"/>
  <c r="N542" i="40"/>
  <c r="N543" i="40"/>
  <c r="N544" i="40"/>
  <c r="N545" i="40"/>
  <c r="N546" i="40"/>
  <c r="N547" i="40"/>
  <c r="N548" i="40"/>
  <c r="N550" i="40"/>
  <c r="N551" i="40"/>
  <c r="N552" i="40"/>
  <c r="N553" i="40"/>
  <c r="N554" i="40"/>
  <c r="N555" i="40"/>
  <c r="N556" i="40"/>
  <c r="N557" i="40"/>
  <c r="N558" i="40"/>
  <c r="N559" i="40"/>
  <c r="N560" i="40"/>
  <c r="N561" i="40"/>
  <c r="N562" i="40"/>
  <c r="N563" i="40"/>
  <c r="N564" i="40"/>
  <c r="N565" i="40"/>
  <c r="N566" i="40"/>
  <c r="N567" i="40"/>
  <c r="N568" i="40"/>
  <c r="N570" i="40"/>
  <c r="N571" i="40"/>
  <c r="N572" i="40"/>
  <c r="N573" i="40"/>
  <c r="N574" i="40"/>
  <c r="N575" i="40"/>
  <c r="N576" i="40"/>
  <c r="N577" i="40"/>
  <c r="N578" i="40"/>
  <c r="N579" i="40"/>
  <c r="N580" i="40"/>
  <c r="N581" i="40"/>
  <c r="N582" i="40"/>
  <c r="N583" i="40"/>
  <c r="N584" i="40"/>
  <c r="N585" i="40"/>
  <c r="N586" i="40"/>
  <c r="N587" i="40"/>
  <c r="N588" i="40"/>
  <c r="N589" i="40"/>
  <c r="N590" i="40"/>
  <c r="N591" i="40"/>
  <c r="N592" i="40"/>
  <c r="N593" i="40"/>
  <c r="N594" i="40"/>
  <c r="N595" i="40"/>
  <c r="N596" i="40"/>
  <c r="N597" i="40"/>
  <c r="N598" i="40"/>
  <c r="N599" i="40"/>
  <c r="N600" i="40"/>
  <c r="N601" i="40"/>
  <c r="N602" i="40"/>
  <c r="N603" i="40"/>
  <c r="N604" i="40"/>
  <c r="N605" i="40"/>
  <c r="N606" i="40"/>
  <c r="N607" i="40"/>
  <c r="N608" i="40"/>
  <c r="N609" i="40"/>
  <c r="N610" i="40"/>
  <c r="N611" i="40"/>
  <c r="N612" i="40"/>
  <c r="N613" i="40"/>
  <c r="N614" i="40"/>
  <c r="N615" i="40"/>
  <c r="N616" i="40"/>
  <c r="N617" i="40"/>
  <c r="N618" i="40"/>
  <c r="N619" i="40"/>
  <c r="N620" i="40"/>
  <c r="N621" i="40"/>
  <c r="N622" i="40"/>
  <c r="N623" i="40"/>
  <c r="N624" i="40"/>
  <c r="N625" i="40"/>
  <c r="N626" i="40"/>
  <c r="N627" i="40"/>
  <c r="N628" i="40"/>
  <c r="N629" i="40"/>
  <c r="N630" i="40"/>
  <c r="N631" i="40"/>
  <c r="N632" i="40"/>
  <c r="N633" i="40"/>
  <c r="N634" i="40"/>
  <c r="N635" i="40"/>
  <c r="N636" i="40"/>
  <c r="N637" i="40"/>
  <c r="N638" i="40"/>
  <c r="N639" i="40"/>
  <c r="N640" i="40"/>
  <c r="N641" i="40"/>
  <c r="N642" i="40"/>
  <c r="N643" i="40"/>
  <c r="N644" i="40"/>
  <c r="N645" i="40"/>
  <c r="N646" i="40"/>
  <c r="N647" i="40"/>
  <c r="N648" i="40"/>
  <c r="N649" i="40"/>
  <c r="N650" i="40"/>
  <c r="N651" i="40"/>
  <c r="N652" i="40"/>
  <c r="N653" i="40"/>
  <c r="N654" i="40"/>
  <c r="N655" i="40"/>
  <c r="N656" i="40"/>
  <c r="N657" i="40"/>
  <c r="N658" i="40"/>
  <c r="N659" i="40"/>
  <c r="N660" i="40"/>
  <c r="N661" i="40"/>
  <c r="N662" i="40"/>
  <c r="N663" i="40"/>
  <c r="N664" i="40"/>
  <c r="N665" i="40"/>
  <c r="N666" i="40"/>
  <c r="N667" i="40"/>
  <c r="N668" i="40"/>
  <c r="N669" i="40"/>
  <c r="N670" i="40"/>
  <c r="N671" i="40"/>
  <c r="N672" i="40"/>
  <c r="N673" i="40"/>
  <c r="N674" i="40"/>
  <c r="N675" i="40"/>
  <c r="N676" i="40"/>
  <c r="N677" i="40"/>
  <c r="N678" i="40"/>
  <c r="N679" i="40"/>
  <c r="N680" i="40"/>
  <c r="N681" i="40"/>
  <c r="N682" i="40"/>
  <c r="N683" i="40"/>
  <c r="N684" i="40"/>
  <c r="N685" i="40"/>
  <c r="N686" i="40"/>
  <c r="N687" i="40"/>
  <c r="N688" i="40"/>
  <c r="N689" i="40"/>
  <c r="N690" i="40"/>
  <c r="N691" i="40"/>
  <c r="N692" i="40"/>
  <c r="N693" i="40"/>
  <c r="N694" i="40"/>
  <c r="N695" i="40"/>
  <c r="N696" i="40"/>
  <c r="N697" i="40"/>
  <c r="N698" i="40"/>
  <c r="N699" i="40"/>
  <c r="N700" i="40"/>
  <c r="N701" i="40"/>
  <c r="N702" i="40"/>
  <c r="N703" i="40"/>
  <c r="N704" i="40"/>
  <c r="N705" i="40"/>
  <c r="N706" i="40"/>
  <c r="N707" i="40"/>
  <c r="N708" i="40"/>
  <c r="N709" i="40"/>
  <c r="N710" i="40"/>
  <c r="N711" i="40"/>
  <c r="N712" i="40"/>
  <c r="N713" i="40"/>
  <c r="N714" i="40"/>
  <c r="N715" i="40"/>
  <c r="N716" i="40"/>
  <c r="N717" i="40"/>
  <c r="N718" i="40"/>
  <c r="N719" i="40"/>
  <c r="N720" i="40"/>
  <c r="N721" i="40"/>
  <c r="N722" i="40"/>
  <c r="N723" i="40"/>
  <c r="N724" i="40"/>
  <c r="N725" i="40"/>
  <c r="N726" i="40"/>
  <c r="N727" i="40"/>
  <c r="N728" i="40"/>
  <c r="N729" i="40"/>
  <c r="N730" i="40"/>
  <c r="N731" i="40"/>
  <c r="N732" i="40"/>
  <c r="N733" i="40"/>
  <c r="N734" i="40"/>
  <c r="N735" i="40"/>
  <c r="N736" i="40"/>
  <c r="N737" i="40"/>
  <c r="N738" i="40"/>
  <c r="N739" i="40"/>
  <c r="N740" i="40"/>
  <c r="N741" i="40"/>
  <c r="N742" i="40"/>
  <c r="N743" i="40"/>
  <c r="N744" i="40"/>
  <c r="N745" i="40"/>
  <c r="N746" i="40"/>
  <c r="N747" i="40"/>
  <c r="N748" i="40"/>
  <c r="N749" i="40"/>
  <c r="N750" i="40"/>
  <c r="N751" i="40"/>
  <c r="N752" i="40"/>
  <c r="N753" i="40"/>
  <c r="N754" i="40"/>
  <c r="N755" i="40"/>
  <c r="N756" i="40"/>
  <c r="N757" i="40"/>
  <c r="N758" i="40"/>
  <c r="N759" i="40"/>
  <c r="N760" i="40"/>
  <c r="N761" i="40"/>
  <c r="N762" i="40"/>
  <c r="N763" i="40"/>
  <c r="N764" i="40"/>
  <c r="N765" i="40"/>
  <c r="N766" i="40"/>
  <c r="N767" i="40"/>
  <c r="N768" i="40"/>
  <c r="N769" i="40"/>
  <c r="N770" i="40"/>
  <c r="N771" i="40"/>
  <c r="N772" i="40"/>
  <c r="N773" i="40"/>
  <c r="N774" i="40"/>
  <c r="N775" i="40"/>
  <c r="N776" i="40"/>
  <c r="N777" i="40"/>
  <c r="N778" i="40"/>
  <c r="N779" i="40"/>
  <c r="N780" i="40"/>
  <c r="N781" i="40"/>
  <c r="N782" i="40"/>
  <c r="N783" i="40"/>
  <c r="N784" i="40"/>
  <c r="N785" i="40"/>
  <c r="N786" i="40"/>
  <c r="N787" i="40"/>
  <c r="N788" i="40"/>
  <c r="N789" i="40"/>
  <c r="N790" i="40"/>
  <c r="N791" i="40"/>
  <c r="N792" i="40"/>
  <c r="N793" i="40"/>
  <c r="N794" i="40"/>
  <c r="N795" i="40"/>
  <c r="N796" i="40"/>
  <c r="N797" i="40"/>
  <c r="N798" i="40"/>
  <c r="N799" i="40"/>
  <c r="N800" i="40"/>
  <c r="N801" i="40"/>
  <c r="N802" i="40"/>
  <c r="N803" i="40"/>
  <c r="N804" i="40"/>
  <c r="N805" i="40"/>
  <c r="N806" i="40"/>
  <c r="N807" i="40"/>
  <c r="N808" i="40"/>
  <c r="N809" i="40"/>
  <c r="N810" i="40"/>
  <c r="N811" i="40"/>
  <c r="N812" i="40"/>
  <c r="N813" i="40"/>
  <c r="N814" i="40"/>
  <c r="N815" i="40"/>
  <c r="N816" i="40"/>
  <c r="N817" i="40"/>
  <c r="N818" i="40"/>
  <c r="N819" i="40"/>
  <c r="N820" i="40"/>
  <c r="N821" i="40"/>
  <c r="N822" i="40"/>
  <c r="N823" i="40"/>
  <c r="N824" i="40"/>
  <c r="N825" i="40"/>
  <c r="N826" i="40"/>
  <c r="N827" i="40"/>
  <c r="N828" i="40"/>
  <c r="N829" i="40"/>
  <c r="N830" i="40"/>
  <c r="N831" i="40"/>
  <c r="N832" i="40"/>
  <c r="N833" i="40"/>
  <c r="N834" i="40"/>
  <c r="N835" i="40"/>
  <c r="N836" i="40"/>
  <c r="N837" i="40"/>
  <c r="N838" i="40"/>
  <c r="N839" i="40"/>
  <c r="N840" i="40"/>
  <c r="N841" i="40"/>
  <c r="N842" i="40"/>
  <c r="N843" i="40"/>
  <c r="N844" i="40"/>
  <c r="N845" i="40"/>
  <c r="N846" i="40"/>
  <c r="N847" i="40"/>
  <c r="N848" i="40"/>
  <c r="N849" i="40"/>
  <c r="N850" i="40"/>
  <c r="N851" i="40"/>
  <c r="N852" i="40"/>
  <c r="N853" i="40"/>
  <c r="N854" i="40"/>
  <c r="N855" i="40"/>
  <c r="N856" i="40"/>
  <c r="N857" i="40"/>
  <c r="N858" i="40"/>
  <c r="N859" i="40"/>
  <c r="N860" i="40"/>
  <c r="N861" i="40"/>
  <c r="N862" i="40"/>
  <c r="N863" i="40"/>
  <c r="N864" i="40"/>
  <c r="N865" i="40"/>
  <c r="N866" i="40"/>
  <c r="N867" i="40"/>
  <c r="N868" i="40"/>
  <c r="N869" i="40"/>
  <c r="N870" i="40"/>
  <c r="N871" i="40"/>
  <c r="N872" i="40"/>
  <c r="N873" i="40"/>
  <c r="N874" i="40"/>
  <c r="N875" i="40"/>
  <c r="N876" i="40"/>
  <c r="N877" i="40"/>
  <c r="N878" i="40"/>
  <c r="N879" i="40"/>
  <c r="N880" i="40"/>
  <c r="N881" i="40"/>
  <c r="N882" i="40"/>
  <c r="N883" i="40"/>
  <c r="N884" i="40"/>
  <c r="N885" i="40"/>
  <c r="N886" i="40"/>
  <c r="N887" i="40"/>
  <c r="N888" i="40"/>
  <c r="N889" i="40"/>
  <c r="N890" i="40"/>
  <c r="N891" i="40"/>
  <c r="N892" i="40"/>
  <c r="N893" i="40"/>
  <c r="N894" i="40"/>
  <c r="N895" i="40"/>
  <c r="N896" i="40"/>
  <c r="N897" i="40"/>
  <c r="N898" i="40"/>
  <c r="N899" i="40"/>
  <c r="N900" i="40"/>
  <c r="N901" i="40"/>
  <c r="N902" i="40"/>
  <c r="N903" i="40"/>
  <c r="N904" i="40"/>
  <c r="N905" i="40"/>
  <c r="N906" i="40"/>
  <c r="N907" i="40"/>
  <c r="N908" i="40"/>
  <c r="N909" i="40"/>
  <c r="N910" i="40"/>
  <c r="N911" i="40"/>
  <c r="N912" i="40"/>
  <c r="N913" i="40"/>
  <c r="N914" i="40"/>
  <c r="N915" i="40"/>
  <c r="N916" i="40"/>
  <c r="N917" i="40"/>
  <c r="N918" i="40"/>
  <c r="N919" i="40"/>
  <c r="N920" i="40"/>
  <c r="N921" i="40"/>
  <c r="N922" i="40"/>
  <c r="N923" i="40"/>
  <c r="N924" i="40"/>
  <c r="N925" i="40"/>
  <c r="N926" i="40"/>
  <c r="N927" i="40"/>
  <c r="N928" i="40"/>
  <c r="N929" i="40"/>
  <c r="N930" i="40"/>
  <c r="N931" i="40"/>
  <c r="N932" i="40"/>
  <c r="N933" i="40"/>
  <c r="N934" i="40"/>
  <c r="N935" i="40"/>
  <c r="N936" i="40"/>
  <c r="N937" i="40"/>
  <c r="N938" i="40"/>
  <c r="N939" i="40"/>
  <c r="N940" i="40"/>
  <c r="N941" i="40"/>
  <c r="N942" i="40"/>
  <c r="N943" i="40"/>
  <c r="N944" i="40"/>
  <c r="N945" i="40"/>
  <c r="N946" i="40"/>
  <c r="N947" i="40"/>
  <c r="N948" i="40"/>
  <c r="N949" i="40"/>
  <c r="N950" i="40"/>
  <c r="N951" i="40"/>
  <c r="N952" i="40"/>
  <c r="N953" i="40"/>
  <c r="N954" i="40"/>
  <c r="N955" i="40"/>
  <c r="N956" i="40"/>
  <c r="N957" i="40"/>
  <c r="N958" i="40"/>
  <c r="N959" i="40"/>
  <c r="N960" i="40"/>
  <c r="N961" i="40"/>
  <c r="N962" i="40"/>
  <c r="N963" i="40"/>
  <c r="N964" i="40"/>
  <c r="N965" i="40"/>
  <c r="N966" i="40"/>
  <c r="N967" i="40"/>
  <c r="N968" i="40"/>
  <c r="N969" i="40"/>
  <c r="N970" i="40"/>
  <c r="N971" i="40"/>
  <c r="N972" i="40"/>
  <c r="N973" i="40"/>
  <c r="N974" i="40"/>
  <c r="N975" i="40"/>
  <c r="N976" i="40"/>
  <c r="N977" i="40"/>
  <c r="N978" i="40"/>
  <c r="N979" i="40"/>
  <c r="N980" i="40"/>
  <c r="N981" i="40"/>
  <c r="N982" i="40"/>
  <c r="N983" i="40"/>
  <c r="N984" i="40"/>
  <c r="N985" i="40"/>
  <c r="N986" i="40"/>
  <c r="N987" i="40"/>
  <c r="N988" i="40"/>
  <c r="N989" i="40"/>
  <c r="N990" i="40"/>
  <c r="N991" i="40"/>
  <c r="N992" i="40"/>
  <c r="N993" i="40"/>
  <c r="N994" i="40"/>
  <c r="N995" i="40"/>
  <c r="N996" i="40"/>
  <c r="N997" i="40"/>
  <c r="N998" i="40"/>
  <c r="N999" i="40"/>
  <c r="N1000" i="40"/>
  <c r="N1001" i="40"/>
  <c r="N1002" i="40"/>
  <c r="N1003" i="40"/>
  <c r="N1004" i="40"/>
  <c r="N1005" i="40"/>
  <c r="N1006" i="40"/>
  <c r="N1007" i="40"/>
  <c r="N1008" i="40"/>
  <c r="N1009" i="40"/>
  <c r="N1010" i="40"/>
  <c r="N1011" i="40"/>
  <c r="N1012" i="40"/>
  <c r="N1013" i="40"/>
  <c r="N1014" i="40"/>
  <c r="N1015" i="40"/>
  <c r="N1016" i="40"/>
  <c r="N1017" i="40"/>
  <c r="N1018" i="40"/>
  <c r="N1019" i="40"/>
  <c r="N1020" i="40"/>
  <c r="N1021" i="40"/>
  <c r="N1022" i="40"/>
  <c r="N1023" i="40"/>
  <c r="N1024" i="40"/>
  <c r="N1025" i="40"/>
  <c r="N1026" i="40"/>
  <c r="N1027" i="40"/>
  <c r="N1028" i="40"/>
  <c r="N1029" i="40"/>
  <c r="N1030" i="40"/>
  <c r="N1031" i="40"/>
  <c r="N1032" i="40"/>
  <c r="N1033" i="40"/>
  <c r="N1034" i="40"/>
  <c r="N1035" i="40"/>
  <c r="N1036" i="40"/>
  <c r="N1037" i="40"/>
  <c r="N1038" i="40"/>
  <c r="N1039" i="40"/>
  <c r="N1040" i="40"/>
  <c r="N1041" i="40"/>
  <c r="N1042" i="40"/>
  <c r="N1043" i="40"/>
  <c r="N1044" i="40"/>
  <c r="N1045" i="40"/>
  <c r="N1046" i="40"/>
  <c r="N1047" i="40"/>
  <c r="N1048" i="40"/>
  <c r="N1049" i="40"/>
  <c r="N1050" i="40"/>
  <c r="N1051" i="40"/>
  <c r="N1052" i="40"/>
  <c r="N1053" i="40"/>
  <c r="N1054" i="40"/>
  <c r="N1055" i="40"/>
  <c r="N1056" i="40"/>
  <c r="N1057" i="40"/>
  <c r="N1058" i="40"/>
  <c r="N1059" i="40"/>
  <c r="N1060" i="40"/>
  <c r="N1061" i="40"/>
  <c r="N1062" i="40"/>
  <c r="N1063" i="40"/>
  <c r="N1064" i="40"/>
  <c r="N1065" i="40"/>
  <c r="N1066" i="40"/>
  <c r="N1067" i="40"/>
  <c r="N1068" i="40"/>
  <c r="N1069" i="40"/>
  <c r="N1070" i="40"/>
  <c r="N1071" i="40"/>
  <c r="N1072" i="40"/>
  <c r="N1073" i="40"/>
  <c r="N1074" i="40"/>
  <c r="N1075" i="40"/>
  <c r="N1076" i="40"/>
  <c r="N1077" i="40"/>
  <c r="N1078" i="40"/>
  <c r="N1079" i="40"/>
  <c r="N1080" i="40"/>
  <c r="N1081" i="40"/>
  <c r="N1082" i="40"/>
  <c r="N1083" i="40"/>
  <c r="N1084" i="40"/>
  <c r="N1085" i="40"/>
  <c r="N1086" i="40"/>
  <c r="N1087" i="40"/>
  <c r="N1088" i="40"/>
  <c r="N1089" i="40"/>
  <c r="N1090" i="40"/>
  <c r="N1091" i="40"/>
  <c r="N1092" i="40"/>
  <c r="N1093" i="40"/>
  <c r="N1094" i="40"/>
  <c r="N1095" i="40"/>
  <c r="N1096" i="40"/>
  <c r="N1097" i="40"/>
  <c r="N1098" i="40"/>
  <c r="N1099" i="40"/>
  <c r="N1100" i="40"/>
  <c r="N1101" i="40"/>
  <c r="N1102" i="40"/>
  <c r="N1103" i="40"/>
  <c r="N1104" i="40"/>
  <c r="N1105" i="40"/>
  <c r="N1106" i="40"/>
  <c r="N1107" i="40"/>
  <c r="N1108" i="40"/>
  <c r="N1109" i="40"/>
  <c r="N1110" i="40"/>
  <c r="N1111" i="40"/>
  <c r="N1112" i="40"/>
  <c r="N1113" i="40"/>
  <c r="N1114" i="40"/>
  <c r="N1115" i="40"/>
  <c r="N1116" i="40"/>
  <c r="N1117" i="40"/>
  <c r="N1118" i="40"/>
  <c r="N1119" i="40"/>
  <c r="N1120" i="40"/>
  <c r="N1121" i="40"/>
  <c r="N1122" i="40"/>
  <c r="N1123" i="40"/>
  <c r="N1124" i="40"/>
  <c r="N1125" i="40"/>
  <c r="N1126" i="40"/>
  <c r="N1127" i="40"/>
  <c r="N1128" i="40"/>
  <c r="N1129" i="40"/>
  <c r="N1130" i="40"/>
  <c r="N1131" i="40"/>
  <c r="N1132" i="40"/>
  <c r="N1133" i="40"/>
  <c r="N1134" i="40"/>
  <c r="N1135" i="40"/>
  <c r="N1136" i="40"/>
  <c r="N1137" i="40"/>
  <c r="N1138" i="40"/>
  <c r="N1139" i="40"/>
  <c r="N1140" i="40"/>
  <c r="N1141" i="40"/>
  <c r="N1142" i="40"/>
  <c r="N1143" i="40"/>
  <c r="N1144" i="40"/>
  <c r="N1145" i="40"/>
  <c r="N1146" i="40"/>
  <c r="N1147" i="40"/>
  <c r="N1148" i="40"/>
  <c r="N1149" i="40"/>
  <c r="N1150" i="40"/>
  <c r="N1151" i="40"/>
  <c r="N1152" i="40"/>
  <c r="N1153" i="40"/>
  <c r="N1154" i="40"/>
  <c r="N1155" i="40"/>
  <c r="N1156" i="40"/>
  <c r="N1157" i="40"/>
  <c r="N1158" i="40"/>
  <c r="N1159" i="40"/>
  <c r="N1160" i="40"/>
  <c r="N1161" i="40"/>
  <c r="N1162" i="40"/>
  <c r="N1163" i="40"/>
  <c r="N1164" i="40"/>
  <c r="N1165" i="40"/>
  <c r="N1166" i="40"/>
  <c r="N1167" i="40"/>
  <c r="N1168" i="40"/>
  <c r="N1169" i="40"/>
  <c r="N1170" i="40"/>
  <c r="N1171" i="40"/>
  <c r="N1172" i="40"/>
  <c r="N1173" i="40"/>
  <c r="N1174" i="40"/>
  <c r="N1175" i="40"/>
  <c r="N1176" i="40"/>
  <c r="N1177" i="40"/>
  <c r="N1178" i="40"/>
  <c r="N1179" i="40"/>
  <c r="N1180" i="40"/>
  <c r="N1181" i="40"/>
  <c r="N1182" i="40"/>
  <c r="N1183" i="40"/>
  <c r="N1184" i="40"/>
  <c r="N1185" i="40"/>
  <c r="N1186" i="40"/>
  <c r="N1187" i="40"/>
  <c r="N1188" i="40"/>
  <c r="N1189" i="40"/>
  <c r="N1190" i="40"/>
  <c r="N1191" i="40"/>
  <c r="N1192" i="40"/>
  <c r="N1193" i="40"/>
  <c r="N1194" i="40"/>
  <c r="N1195" i="40"/>
  <c r="N1196" i="40"/>
  <c r="N1197" i="40"/>
  <c r="N1198" i="40"/>
  <c r="N1199" i="40"/>
  <c r="N1200" i="40"/>
  <c r="N1201" i="40"/>
  <c r="N1202" i="40"/>
  <c r="N1203" i="40"/>
  <c r="N1204" i="40"/>
  <c r="N1205" i="40"/>
  <c r="N1206" i="40"/>
  <c r="N1207" i="40"/>
  <c r="N1208" i="40"/>
  <c r="N1209" i="40"/>
  <c r="N1210" i="40"/>
  <c r="N1211" i="40"/>
  <c r="N1212" i="40"/>
  <c r="N1213" i="40"/>
  <c r="N1214" i="40"/>
  <c r="N1215" i="40"/>
  <c r="N1216" i="40"/>
  <c r="AQ255" i="29"/>
  <c r="A255" i="29"/>
  <c r="E255" i="29"/>
  <c r="AQ242" i="29"/>
  <c r="AO241" i="29"/>
  <c r="AO242" i="29"/>
  <c r="AO243" i="29"/>
  <c r="AO239" i="29"/>
  <c r="A242" i="29"/>
  <c r="E242" i="29"/>
  <c r="AQ232" i="29"/>
  <c r="AO232" i="29"/>
  <c r="A232" i="29"/>
  <c r="E232" i="29"/>
  <c r="AO214" i="29"/>
  <c r="AQ214" i="29"/>
  <c r="A214" i="29"/>
  <c r="E214" i="29"/>
  <c r="AO187" i="29"/>
  <c r="AO188" i="29"/>
  <c r="AO189" i="29"/>
  <c r="AO190" i="29"/>
  <c r="AO191" i="29"/>
  <c r="AO192" i="29"/>
  <c r="AO193" i="29"/>
  <c r="AO194" i="29"/>
  <c r="AO195" i="29"/>
  <c r="AO196" i="29"/>
  <c r="H50" i="32"/>
  <c r="H52" i="32"/>
  <c r="H53" i="32"/>
  <c r="H54" i="32"/>
  <c r="H55" i="32"/>
  <c r="H56" i="32"/>
  <c r="H57" i="32"/>
  <c r="H58" i="32"/>
  <c r="H59" i="32"/>
  <c r="H60" i="32"/>
  <c r="H61" i="32"/>
  <c r="G50" i="32"/>
  <c r="G52" i="32"/>
  <c r="G53" i="32"/>
  <c r="G54" i="32"/>
  <c r="G55" i="32"/>
  <c r="G56" i="32"/>
  <c r="G57" i="32"/>
  <c r="G58" i="32"/>
  <c r="G59" i="32"/>
  <c r="G60" i="32"/>
  <c r="G61" i="32"/>
  <c r="G49" i="32"/>
  <c r="E22" i="20"/>
  <c r="F50" i="32"/>
  <c r="F52" i="32"/>
  <c r="F53" i="32"/>
  <c r="F54" i="32"/>
  <c r="F55" i="32"/>
  <c r="F56" i="32"/>
  <c r="F57" i="32"/>
  <c r="F58" i="32"/>
  <c r="F59" i="32"/>
  <c r="F60" i="32"/>
  <c r="F61" i="32"/>
  <c r="F49" i="32"/>
  <c r="E50" i="32"/>
  <c r="E52" i="32"/>
  <c r="E53" i="32"/>
  <c r="E54" i="32"/>
  <c r="E55" i="32"/>
  <c r="E56" i="32"/>
  <c r="E57" i="32"/>
  <c r="E58" i="32"/>
  <c r="E59" i="32"/>
  <c r="E60" i="32"/>
  <c r="E61" i="32"/>
  <c r="E49" i="32"/>
  <c r="D22" i="20"/>
  <c r="D50" i="32"/>
  <c r="D52" i="32"/>
  <c r="D53" i="32"/>
  <c r="D54" i="32"/>
  <c r="D55" i="32"/>
  <c r="D56" i="32"/>
  <c r="D57" i="32"/>
  <c r="D58" i="32"/>
  <c r="D59" i="32"/>
  <c r="D60" i="32"/>
  <c r="D61" i="32"/>
  <c r="D49" i="32"/>
  <c r="C22" i="20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32" i="32"/>
  <c r="B8" i="12"/>
  <c r="B9" i="12"/>
  <c r="B9" i="13"/>
  <c r="K110" i="29"/>
  <c r="B10" i="12"/>
  <c r="B11" i="12"/>
  <c r="B11" i="13"/>
  <c r="K112" i="29"/>
  <c r="B12" i="12"/>
  <c r="B12" i="13"/>
  <c r="K113" i="29"/>
  <c r="B13" i="12"/>
  <c r="B13" i="13"/>
  <c r="K114" i="29"/>
  <c r="B14" i="12"/>
  <c r="B14" i="13"/>
  <c r="K115" i="29"/>
  <c r="B16" i="12"/>
  <c r="B17" i="12"/>
  <c r="B17" i="13"/>
  <c r="K118" i="29"/>
  <c r="B18" i="12"/>
  <c r="B18" i="13"/>
  <c r="K119" i="29"/>
  <c r="B19" i="12"/>
  <c r="B19" i="13"/>
  <c r="K120" i="29"/>
  <c r="B20" i="12"/>
  <c r="B20" i="13"/>
  <c r="K121" i="29"/>
  <c r="F55" i="30"/>
  <c r="F56" i="30"/>
  <c r="F57" i="30"/>
  <c r="F59" i="30"/>
  <c r="S33" i="11"/>
  <c r="S36" i="11"/>
  <c r="E41" i="10"/>
  <c r="R82" i="10"/>
  <c r="Q18" i="18"/>
  <c r="S61" i="33"/>
  <c r="S47" i="33"/>
  <c r="S48" i="33"/>
  <c r="H11" i="32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7" i="30"/>
  <c r="B138" i="30"/>
  <c r="B139" i="30"/>
  <c r="B140" i="30"/>
  <c r="B143" i="30"/>
  <c r="B144" i="30"/>
  <c r="B145" i="30"/>
  <c r="B146" i="30"/>
  <c r="B147" i="30"/>
  <c r="B8" i="30"/>
  <c r="I22" i="30"/>
  <c r="I144" i="30"/>
  <c r="I134" i="30"/>
  <c r="I133" i="30"/>
  <c r="I132" i="30"/>
  <c r="I131" i="30"/>
  <c r="I129" i="30"/>
  <c r="I128" i="30"/>
  <c r="I126" i="30"/>
  <c r="I125" i="30"/>
  <c r="I124" i="30"/>
  <c r="I123" i="30"/>
  <c r="I122" i="30"/>
  <c r="I121" i="30"/>
  <c r="I120" i="30"/>
  <c r="I119" i="30"/>
  <c r="I117" i="30"/>
  <c r="I116" i="30"/>
  <c r="I115" i="30"/>
  <c r="I114" i="30"/>
  <c r="I113" i="30"/>
  <c r="I112" i="30"/>
  <c r="I111" i="30"/>
  <c r="I110" i="30"/>
  <c r="I109" i="30"/>
  <c r="I107" i="30"/>
  <c r="I106" i="30"/>
  <c r="I105" i="30"/>
  <c r="I104" i="30"/>
  <c r="I103" i="30"/>
  <c r="I102" i="30"/>
  <c r="I101" i="30"/>
  <c r="I100" i="30"/>
  <c r="I99" i="30"/>
  <c r="I98" i="30"/>
  <c r="I97" i="30"/>
  <c r="I95" i="30"/>
  <c r="I94" i="30"/>
  <c r="I93" i="30"/>
  <c r="I92" i="30"/>
  <c r="I91" i="30"/>
  <c r="I90" i="30"/>
  <c r="I89" i="30"/>
  <c r="I88" i="30"/>
  <c r="I86" i="30"/>
  <c r="I85" i="30"/>
  <c r="I84" i="30"/>
  <c r="I83" i="30"/>
  <c r="I82" i="30"/>
  <c r="I81" i="30"/>
  <c r="I80" i="30"/>
  <c r="I79" i="30"/>
  <c r="I78" i="30"/>
  <c r="I76" i="30"/>
  <c r="I75" i="30"/>
  <c r="I74" i="30"/>
  <c r="I73" i="30"/>
  <c r="I72" i="30"/>
  <c r="I71" i="30"/>
  <c r="I70" i="30"/>
  <c r="I69" i="30"/>
  <c r="I67" i="30"/>
  <c r="I66" i="30"/>
  <c r="I65" i="30"/>
  <c r="I64" i="30"/>
  <c r="I63" i="30"/>
  <c r="I62" i="30"/>
  <c r="I61" i="30"/>
  <c r="I60" i="30"/>
  <c r="I59" i="30"/>
  <c r="I56" i="30"/>
  <c r="I58" i="30"/>
  <c r="I55" i="30"/>
  <c r="I54" i="30"/>
  <c r="I53" i="30"/>
  <c r="F8" i="6"/>
  <c r="I51" i="30"/>
  <c r="I49" i="30"/>
  <c r="M32" i="8"/>
  <c r="I48" i="30"/>
  <c r="I47" i="30"/>
  <c r="I46" i="30"/>
  <c r="M33" i="8"/>
  <c r="H46" i="30"/>
  <c r="C33" i="8"/>
  <c r="E33" i="8"/>
  <c r="I45" i="30"/>
  <c r="M12" i="8"/>
  <c r="I43" i="30"/>
  <c r="I41" i="30"/>
  <c r="I40" i="30"/>
  <c r="I39" i="30"/>
  <c r="I38" i="30"/>
  <c r="I37" i="30"/>
  <c r="I36" i="30"/>
  <c r="I35" i="30"/>
  <c r="I33" i="30"/>
  <c r="I31" i="30"/>
  <c r="I30" i="30"/>
  <c r="I29" i="30"/>
  <c r="I27" i="30"/>
  <c r="I26" i="30"/>
  <c r="I25" i="30"/>
  <c r="I24" i="30"/>
  <c r="I23" i="30"/>
  <c r="I21" i="30"/>
  <c r="I19" i="30"/>
  <c r="I18" i="30"/>
  <c r="I16" i="30"/>
  <c r="I15" i="30"/>
  <c r="I14" i="30"/>
  <c r="I12" i="30"/>
  <c r="I11" i="30"/>
  <c r="I10" i="30"/>
  <c r="I9" i="30"/>
  <c r="D45" i="32"/>
  <c r="E27" i="32"/>
  <c r="H28" i="32"/>
  <c r="A636" i="43"/>
  <c r="A637" i="43"/>
  <c r="A638" i="43"/>
  <c r="A639" i="43"/>
  <c r="A640" i="43"/>
  <c r="A641" i="43"/>
  <c r="A642" i="43"/>
  <c r="A643" i="43"/>
  <c r="A644" i="43"/>
  <c r="A645" i="43"/>
  <c r="A646" i="43"/>
  <c r="A647" i="43"/>
  <c r="A648" i="43"/>
  <c r="A649" i="43"/>
  <c r="A650" i="43"/>
  <c r="A651" i="43"/>
  <c r="A652" i="43"/>
  <c r="A653" i="43"/>
  <c r="A654" i="43"/>
  <c r="A655" i="43"/>
  <c r="A656" i="43"/>
  <c r="A657" i="43"/>
  <c r="A658" i="43"/>
  <c r="A659" i="43"/>
  <c r="A660" i="43"/>
  <c r="A661" i="43"/>
  <c r="A662" i="43"/>
  <c r="A663" i="43"/>
  <c r="A664" i="43"/>
  <c r="A665" i="43"/>
  <c r="A666" i="43"/>
  <c r="A667" i="43"/>
  <c r="A668" i="43"/>
  <c r="A669" i="43"/>
  <c r="A670" i="43"/>
  <c r="A671" i="43"/>
  <c r="A672" i="43"/>
  <c r="A673" i="43"/>
  <c r="A674" i="43"/>
  <c r="A675" i="43"/>
  <c r="A676" i="43"/>
  <c r="A677" i="43"/>
  <c r="A678" i="43"/>
  <c r="A679" i="43"/>
  <c r="A680" i="43"/>
  <c r="A681" i="43"/>
  <c r="A682" i="43"/>
  <c r="A683" i="43"/>
  <c r="A684" i="43"/>
  <c r="A685" i="43"/>
  <c r="A686" i="43"/>
  <c r="A687" i="43"/>
  <c r="A688" i="43"/>
  <c r="A689" i="43"/>
  <c r="A690" i="43"/>
  <c r="A691" i="43"/>
  <c r="A692" i="43"/>
  <c r="A693" i="43"/>
  <c r="A694" i="43"/>
  <c r="A695" i="43"/>
  <c r="A696" i="43"/>
  <c r="A697" i="43"/>
  <c r="A698" i="43"/>
  <c r="A699" i="43"/>
  <c r="A700" i="43"/>
  <c r="A701" i="43"/>
  <c r="A702" i="43"/>
  <c r="A703" i="43"/>
  <c r="A704" i="43"/>
  <c r="A705" i="43"/>
  <c r="A706" i="43"/>
  <c r="A707" i="43"/>
  <c r="A708" i="43"/>
  <c r="A709" i="43"/>
  <c r="A710" i="43"/>
  <c r="A711" i="43"/>
  <c r="A712" i="43"/>
  <c r="A713" i="43"/>
  <c r="A714" i="43"/>
  <c r="A715" i="43"/>
  <c r="A716" i="43"/>
  <c r="A717" i="43"/>
  <c r="A718" i="43"/>
  <c r="A719" i="43"/>
  <c r="A720" i="43"/>
  <c r="A721" i="43"/>
  <c r="A722" i="43"/>
  <c r="A723" i="43"/>
  <c r="A724" i="43"/>
  <c r="A725" i="43"/>
  <c r="A726" i="43"/>
  <c r="A727" i="43"/>
  <c r="A728" i="43"/>
  <c r="A729" i="43"/>
  <c r="A730" i="43"/>
  <c r="A731" i="43"/>
  <c r="A732" i="43"/>
  <c r="A733" i="43"/>
  <c r="A734" i="43"/>
  <c r="A735" i="43"/>
  <c r="A736" i="43"/>
  <c r="A737" i="43"/>
  <c r="A738" i="43"/>
  <c r="A739" i="43"/>
  <c r="A740" i="43"/>
  <c r="A741" i="43"/>
  <c r="A742" i="43"/>
  <c r="A743" i="43"/>
  <c r="A744" i="43"/>
  <c r="A745" i="43"/>
  <c r="A746" i="43"/>
  <c r="A747" i="43"/>
  <c r="A748" i="43"/>
  <c r="A749" i="43"/>
  <c r="A750" i="43"/>
  <c r="A751" i="43"/>
  <c r="A752" i="43"/>
  <c r="A753" i="43"/>
  <c r="A754" i="43"/>
  <c r="A755" i="43"/>
  <c r="A756" i="43"/>
  <c r="A757" i="43"/>
  <c r="A758" i="43"/>
  <c r="A759" i="43"/>
  <c r="A760" i="43"/>
  <c r="A761" i="43"/>
  <c r="A762" i="43"/>
  <c r="A763" i="43"/>
  <c r="A764" i="43"/>
  <c r="A765" i="43"/>
  <c r="A766" i="43"/>
  <c r="A767" i="43"/>
  <c r="A768" i="43"/>
  <c r="A769" i="43"/>
  <c r="A770" i="43"/>
  <c r="A771" i="43"/>
  <c r="A772" i="43"/>
  <c r="A773" i="43"/>
  <c r="A774" i="43"/>
  <c r="A775" i="43"/>
  <c r="A776" i="43"/>
  <c r="A777" i="43"/>
  <c r="A778" i="43"/>
  <c r="A779" i="43"/>
  <c r="A780" i="43"/>
  <c r="A781" i="43"/>
  <c r="A782" i="43"/>
  <c r="A783" i="43"/>
  <c r="A784" i="43"/>
  <c r="A785" i="43"/>
  <c r="A786" i="43"/>
  <c r="A787" i="43"/>
  <c r="A788" i="43"/>
  <c r="A789" i="43"/>
  <c r="A790" i="43"/>
  <c r="A791" i="43"/>
  <c r="A792" i="43"/>
  <c r="A793" i="43"/>
  <c r="A794" i="43"/>
  <c r="A795" i="43"/>
  <c r="A796" i="43"/>
  <c r="A797" i="43"/>
  <c r="A798" i="43"/>
  <c r="A799" i="43"/>
  <c r="A800" i="43"/>
  <c r="A801" i="43"/>
  <c r="A802" i="43"/>
  <c r="A803" i="43"/>
  <c r="A804" i="43"/>
  <c r="A805" i="43"/>
  <c r="A806" i="43"/>
  <c r="A807" i="43"/>
  <c r="A808" i="43"/>
  <c r="A809" i="43"/>
  <c r="A810" i="43"/>
  <c r="A811" i="43"/>
  <c r="A812" i="43"/>
  <c r="A813" i="43"/>
  <c r="A814" i="43"/>
  <c r="A815" i="43"/>
  <c r="A816" i="43"/>
  <c r="A817" i="43"/>
  <c r="A818" i="43"/>
  <c r="A819" i="43"/>
  <c r="A820" i="43"/>
  <c r="A821" i="43"/>
  <c r="A822" i="43"/>
  <c r="A823" i="43"/>
  <c r="A824" i="43"/>
  <c r="A825" i="43"/>
  <c r="A826" i="43"/>
  <c r="A827" i="43"/>
  <c r="A828" i="43"/>
  <c r="A829" i="43"/>
  <c r="A830" i="43"/>
  <c r="A831" i="43"/>
  <c r="A832" i="43"/>
  <c r="A833" i="43"/>
  <c r="A834" i="43"/>
  <c r="A835" i="43"/>
  <c r="A836" i="43"/>
  <c r="A837" i="43"/>
  <c r="A838" i="43"/>
  <c r="A839" i="43"/>
  <c r="A840" i="43"/>
  <c r="A841" i="43"/>
  <c r="A842" i="43"/>
  <c r="A843" i="43"/>
  <c r="A844" i="43"/>
  <c r="A845" i="43"/>
  <c r="A846" i="43"/>
  <c r="A847" i="43"/>
  <c r="A848" i="43"/>
  <c r="A849" i="43"/>
  <c r="A850" i="43"/>
  <c r="A851" i="43"/>
  <c r="A852" i="43"/>
  <c r="A853" i="43"/>
  <c r="A854" i="43"/>
  <c r="A855" i="43"/>
  <c r="A856" i="43"/>
  <c r="A857" i="43"/>
  <c r="A858" i="43"/>
  <c r="A859" i="43"/>
  <c r="A860" i="43"/>
  <c r="A861" i="43"/>
  <c r="A862" i="43"/>
  <c r="A863" i="43"/>
  <c r="A864" i="43"/>
  <c r="A865" i="43"/>
  <c r="A866" i="43"/>
  <c r="A867" i="43"/>
  <c r="A868" i="43"/>
  <c r="A869" i="43"/>
  <c r="A870" i="43"/>
  <c r="A871" i="43"/>
  <c r="A872" i="43"/>
  <c r="A873" i="43"/>
  <c r="A874" i="43"/>
  <c r="A875" i="43"/>
  <c r="A876" i="43"/>
  <c r="A877" i="43"/>
  <c r="A878" i="43"/>
  <c r="A879" i="43"/>
  <c r="A880" i="43"/>
  <c r="A881" i="43"/>
  <c r="A882" i="43"/>
  <c r="A883" i="43"/>
  <c r="A884" i="43"/>
  <c r="A885" i="43"/>
  <c r="A886" i="43"/>
  <c r="A887" i="43"/>
  <c r="A888" i="43"/>
  <c r="A889" i="43"/>
  <c r="A890" i="43"/>
  <c r="A891" i="43"/>
  <c r="A892" i="43"/>
  <c r="A893" i="43"/>
  <c r="A894" i="43"/>
  <c r="A895" i="43"/>
  <c r="A896" i="43"/>
  <c r="A897" i="43"/>
  <c r="A898" i="43"/>
  <c r="A899" i="43"/>
  <c r="A900" i="43"/>
  <c r="D27" i="32"/>
  <c r="D24" i="32"/>
  <c r="D23" i="32"/>
  <c r="D22" i="32"/>
  <c r="D21" i="32"/>
  <c r="D30" i="32"/>
  <c r="D17" i="32"/>
  <c r="C18" i="20"/>
  <c r="D8" i="30"/>
  <c r="C8" i="20"/>
  <c r="C19" i="20"/>
  <c r="D14" i="32"/>
  <c r="C16" i="20"/>
  <c r="D12" i="32"/>
  <c r="C13" i="20"/>
  <c r="C13" i="21"/>
  <c r="I249" i="29"/>
  <c r="D11" i="32"/>
  <c r="D10" i="32"/>
  <c r="D9" i="32"/>
  <c r="E33" i="32"/>
  <c r="E28" i="32"/>
  <c r="E26" i="32"/>
  <c r="E24" i="32"/>
  <c r="E23" i="32"/>
  <c r="E22" i="32"/>
  <c r="E21" i="32"/>
  <c r="E30" i="32"/>
  <c r="E17" i="32"/>
  <c r="D18" i="20"/>
  <c r="E8" i="32"/>
  <c r="E14" i="32"/>
  <c r="E19" i="32"/>
  <c r="E12" i="32"/>
  <c r="D13" i="20"/>
  <c r="D13" i="21"/>
  <c r="J249" i="29"/>
  <c r="E11" i="32"/>
  <c r="E10" i="32"/>
  <c r="D12" i="20"/>
  <c r="D12" i="21"/>
  <c r="J248" i="29"/>
  <c r="E9" i="32"/>
  <c r="D11" i="20"/>
  <c r="D11" i="21"/>
  <c r="J247" i="29"/>
  <c r="F27" i="32"/>
  <c r="F26" i="32"/>
  <c r="F24" i="32"/>
  <c r="F23" i="32"/>
  <c r="C25" i="19"/>
  <c r="F22" i="32"/>
  <c r="F17" i="32"/>
  <c r="F14" i="32"/>
  <c r="F12" i="32"/>
  <c r="C53" i="16"/>
  <c r="F11" i="32"/>
  <c r="F10" i="32"/>
  <c r="C52" i="16"/>
  <c r="F9" i="32"/>
  <c r="G26" i="32"/>
  <c r="G25" i="32"/>
  <c r="G24" i="32"/>
  <c r="G23" i="32"/>
  <c r="D25" i="19"/>
  <c r="L216" i="29"/>
  <c r="G22" i="32"/>
  <c r="D24" i="18"/>
  <c r="D25" i="18"/>
  <c r="D26" i="18"/>
  <c r="G17" i="32"/>
  <c r="E18" i="20"/>
  <c r="G14" i="32"/>
  <c r="E16" i="20"/>
  <c r="G12" i="32"/>
  <c r="E13" i="20"/>
  <c r="E13" i="21"/>
  <c r="L249" i="29"/>
  <c r="G11" i="32"/>
  <c r="G10" i="32"/>
  <c r="G9" i="32"/>
  <c r="E11" i="20"/>
  <c r="H29" i="32"/>
  <c r="H27" i="32"/>
  <c r="H26" i="32"/>
  <c r="H24" i="32"/>
  <c r="H23" i="32"/>
  <c r="Q25" i="19"/>
  <c r="H22" i="32"/>
  <c r="Q24" i="18"/>
  <c r="Q25" i="18"/>
  <c r="Q26" i="18"/>
  <c r="H17" i="32"/>
  <c r="S18" i="20"/>
  <c r="S8" i="20"/>
  <c r="S19" i="20"/>
  <c r="H14" i="32"/>
  <c r="H8" i="32"/>
  <c r="H19" i="32"/>
  <c r="S16" i="20"/>
  <c r="S10" i="20"/>
  <c r="S20" i="20"/>
  <c r="H12" i="32"/>
  <c r="S13" i="20"/>
  <c r="S13" i="21"/>
  <c r="H10" i="32"/>
  <c r="H9" i="32"/>
  <c r="G8" i="32"/>
  <c r="G19" i="32"/>
  <c r="F8" i="32"/>
  <c r="F19" i="32"/>
  <c r="D8" i="32"/>
  <c r="I143" i="30"/>
  <c r="I140" i="30"/>
  <c r="I138" i="30"/>
  <c r="I137" i="30"/>
  <c r="I135" i="30"/>
  <c r="F19" i="6"/>
  <c r="I130" i="30"/>
  <c r="I127" i="30"/>
  <c r="I68" i="30"/>
  <c r="I57" i="30"/>
  <c r="I52" i="30"/>
  <c r="I50" i="30"/>
  <c r="I42" i="30"/>
  <c r="I20" i="30"/>
  <c r="I17" i="30"/>
  <c r="I13" i="30"/>
  <c r="H145" i="30"/>
  <c r="H144" i="30"/>
  <c r="H143" i="30"/>
  <c r="H140" i="30"/>
  <c r="H138" i="30"/>
  <c r="H137" i="30"/>
  <c r="D18" i="6"/>
  <c r="H135" i="30"/>
  <c r="H134" i="30"/>
  <c r="H133" i="30"/>
  <c r="H132" i="30"/>
  <c r="H88" i="30"/>
  <c r="D17" i="6"/>
  <c r="H131" i="30"/>
  <c r="H130" i="30"/>
  <c r="H129" i="30"/>
  <c r="H128" i="30"/>
  <c r="H127" i="30"/>
  <c r="H126" i="30"/>
  <c r="H125" i="30"/>
  <c r="H124" i="30"/>
  <c r="H123" i="30"/>
  <c r="H122" i="30"/>
  <c r="H121" i="30"/>
  <c r="H120" i="30"/>
  <c r="H117" i="30"/>
  <c r="H116" i="30"/>
  <c r="H115" i="30"/>
  <c r="H114" i="30"/>
  <c r="H113" i="30"/>
  <c r="H112" i="30"/>
  <c r="H111" i="30"/>
  <c r="H110" i="30"/>
  <c r="H109" i="30"/>
  <c r="H107" i="30"/>
  <c r="H106" i="30"/>
  <c r="H105" i="30"/>
  <c r="H104" i="30"/>
  <c r="H103" i="30"/>
  <c r="H102" i="30"/>
  <c r="H101" i="30"/>
  <c r="H100" i="30"/>
  <c r="H99" i="30"/>
  <c r="H98" i="30"/>
  <c r="H95" i="30"/>
  <c r="H94" i="30"/>
  <c r="H93" i="30"/>
  <c r="H92" i="30"/>
  <c r="H91" i="30"/>
  <c r="H90" i="30"/>
  <c r="H89" i="30"/>
  <c r="H86" i="30"/>
  <c r="H85" i="30"/>
  <c r="C33" i="12"/>
  <c r="H83" i="30"/>
  <c r="H82" i="30"/>
  <c r="H81" i="30"/>
  <c r="H80" i="30"/>
  <c r="H65" i="30"/>
  <c r="D16" i="6"/>
  <c r="H79" i="30"/>
  <c r="H78" i="30"/>
  <c r="H76" i="30"/>
  <c r="H75" i="30"/>
  <c r="H74" i="30"/>
  <c r="H73" i="30"/>
  <c r="H72" i="30"/>
  <c r="H71" i="30"/>
  <c r="H70" i="30"/>
  <c r="H69" i="30"/>
  <c r="H68" i="30"/>
  <c r="H67" i="30"/>
  <c r="H66" i="30"/>
  <c r="C32" i="12"/>
  <c r="H64" i="30"/>
  <c r="D14" i="6"/>
  <c r="H63" i="30"/>
  <c r="H62" i="30"/>
  <c r="H61" i="30"/>
  <c r="H60" i="30"/>
  <c r="D13" i="6"/>
  <c r="H58" i="30"/>
  <c r="H57" i="30"/>
  <c r="H56" i="30"/>
  <c r="H55" i="30"/>
  <c r="H59" i="30"/>
  <c r="D10" i="6"/>
  <c r="H54" i="30"/>
  <c r="H53" i="30"/>
  <c r="D8" i="6"/>
  <c r="H52" i="30"/>
  <c r="H51" i="30"/>
  <c r="H50" i="30"/>
  <c r="H49" i="30"/>
  <c r="C32" i="8"/>
  <c r="H48" i="30"/>
  <c r="H47" i="30"/>
  <c r="C31" i="8"/>
  <c r="H43" i="30"/>
  <c r="H42" i="30"/>
  <c r="H41" i="30"/>
  <c r="H40" i="30"/>
  <c r="H39" i="30"/>
  <c r="H38" i="30"/>
  <c r="H37" i="30"/>
  <c r="H36" i="30"/>
  <c r="H35" i="30"/>
  <c r="H33" i="30"/>
  <c r="H30" i="30"/>
  <c r="H29" i="30"/>
  <c r="H27" i="30"/>
  <c r="E11" i="8"/>
  <c r="H25" i="30"/>
  <c r="H22" i="30"/>
  <c r="H21" i="30"/>
  <c r="H20" i="30"/>
  <c r="H19" i="30"/>
  <c r="H18" i="30"/>
  <c r="H17" i="30"/>
  <c r="C37" i="8"/>
  <c r="H16" i="30"/>
  <c r="H15" i="30"/>
  <c r="H14" i="30"/>
  <c r="H13" i="30"/>
  <c r="E9" i="20"/>
  <c r="H12" i="30"/>
  <c r="H11" i="30"/>
  <c r="H9" i="30"/>
  <c r="G147" i="30"/>
  <c r="G144" i="30"/>
  <c r="G143" i="30"/>
  <c r="G140" i="30"/>
  <c r="G139" i="30"/>
  <c r="G138" i="30"/>
  <c r="G137" i="30"/>
  <c r="G135" i="30"/>
  <c r="G134" i="30"/>
  <c r="G133" i="30"/>
  <c r="G132" i="30"/>
  <c r="G131" i="30"/>
  <c r="G130" i="30"/>
  <c r="G129" i="30"/>
  <c r="G128" i="30"/>
  <c r="G127" i="30"/>
  <c r="G126" i="30"/>
  <c r="G125" i="30"/>
  <c r="G124" i="30"/>
  <c r="G123" i="30"/>
  <c r="G122" i="30"/>
  <c r="G121" i="30"/>
  <c r="G120" i="30"/>
  <c r="G118" i="30"/>
  <c r="G117" i="30"/>
  <c r="G116" i="30"/>
  <c r="G115" i="30"/>
  <c r="G114" i="30"/>
  <c r="G113" i="30"/>
  <c r="G112" i="30"/>
  <c r="G111" i="30"/>
  <c r="G110" i="30"/>
  <c r="G109" i="30"/>
  <c r="G107" i="30"/>
  <c r="G106" i="30"/>
  <c r="G105" i="30"/>
  <c r="G104" i="30"/>
  <c r="G103" i="30"/>
  <c r="G102" i="30"/>
  <c r="G101" i="30"/>
  <c r="G100" i="30"/>
  <c r="G99" i="30"/>
  <c r="G98" i="30"/>
  <c r="G96" i="30"/>
  <c r="G95" i="30"/>
  <c r="G94" i="30"/>
  <c r="G93" i="30"/>
  <c r="G92" i="30"/>
  <c r="G91" i="30"/>
  <c r="G90" i="30"/>
  <c r="G89" i="30"/>
  <c r="G88" i="30"/>
  <c r="G86" i="30"/>
  <c r="G85" i="30"/>
  <c r="G83" i="30"/>
  <c r="G82" i="30"/>
  <c r="G81" i="30"/>
  <c r="G80" i="30"/>
  <c r="G79" i="30"/>
  <c r="G78" i="30"/>
  <c r="G77" i="30"/>
  <c r="G76" i="30"/>
  <c r="G75" i="30"/>
  <c r="G74" i="30"/>
  <c r="G73" i="30"/>
  <c r="G72" i="30"/>
  <c r="G71" i="30"/>
  <c r="G70" i="30"/>
  <c r="G69" i="30"/>
  <c r="G68" i="30"/>
  <c r="G67" i="30"/>
  <c r="G66" i="30"/>
  <c r="G65" i="30"/>
  <c r="G64" i="30"/>
  <c r="G63" i="30"/>
  <c r="G62" i="30"/>
  <c r="G61" i="30"/>
  <c r="G60" i="30"/>
  <c r="G58" i="30"/>
  <c r="G57" i="30"/>
  <c r="G56" i="30"/>
  <c r="G55" i="30"/>
  <c r="G54" i="30"/>
  <c r="G53" i="30"/>
  <c r="G52" i="30"/>
  <c r="G51" i="30"/>
  <c r="G50" i="30"/>
  <c r="G49" i="30"/>
  <c r="G48" i="30"/>
  <c r="G47" i="30"/>
  <c r="G46" i="30"/>
  <c r="G45" i="30"/>
  <c r="G44" i="30"/>
  <c r="G43" i="30"/>
  <c r="G42" i="30"/>
  <c r="G41" i="30"/>
  <c r="G40" i="30"/>
  <c r="G39" i="30"/>
  <c r="G38" i="30"/>
  <c r="G37" i="30"/>
  <c r="G36" i="30"/>
  <c r="G35" i="30"/>
  <c r="G33" i="30"/>
  <c r="G30" i="30"/>
  <c r="G29" i="30"/>
  <c r="G27" i="30"/>
  <c r="G26" i="30"/>
  <c r="G25" i="30"/>
  <c r="G21" i="30"/>
  <c r="G20" i="30"/>
  <c r="G19" i="30"/>
  <c r="G18" i="30"/>
  <c r="G17" i="30"/>
  <c r="G16" i="30"/>
  <c r="G15" i="30"/>
  <c r="G14" i="30"/>
  <c r="G13" i="30"/>
  <c r="G12" i="30"/>
  <c r="G11" i="30"/>
  <c r="G9" i="30"/>
  <c r="F147" i="30"/>
  <c r="C20" i="6"/>
  <c r="F144" i="30"/>
  <c r="F143" i="30"/>
  <c r="F140" i="30"/>
  <c r="F138" i="30"/>
  <c r="F137" i="30"/>
  <c r="C18" i="6"/>
  <c r="F135" i="30"/>
  <c r="C19" i="6"/>
  <c r="F134" i="30"/>
  <c r="F133" i="30"/>
  <c r="F132" i="30"/>
  <c r="F131" i="30"/>
  <c r="F130" i="30"/>
  <c r="F129" i="30"/>
  <c r="F128" i="30"/>
  <c r="F127" i="30"/>
  <c r="F126" i="30"/>
  <c r="F125" i="30"/>
  <c r="F124" i="30"/>
  <c r="F123" i="30"/>
  <c r="F122" i="30"/>
  <c r="F121" i="30"/>
  <c r="F120" i="30"/>
  <c r="F117" i="30"/>
  <c r="F116" i="30"/>
  <c r="F115" i="30"/>
  <c r="F114" i="30"/>
  <c r="F113" i="30"/>
  <c r="F112" i="30"/>
  <c r="F111" i="30"/>
  <c r="F110" i="30"/>
  <c r="F109" i="30"/>
  <c r="F107" i="30"/>
  <c r="F106" i="30"/>
  <c r="F105" i="30"/>
  <c r="F104" i="30"/>
  <c r="F103" i="30"/>
  <c r="F102" i="30"/>
  <c r="F101" i="30"/>
  <c r="F100" i="30"/>
  <c r="F99" i="30"/>
  <c r="F98" i="30"/>
  <c r="F95" i="30"/>
  <c r="F94" i="30"/>
  <c r="F93" i="30"/>
  <c r="F92" i="30"/>
  <c r="F91" i="30"/>
  <c r="F90" i="30"/>
  <c r="F89" i="30"/>
  <c r="F88" i="30"/>
  <c r="F86" i="30"/>
  <c r="F85" i="30"/>
  <c r="B33" i="12"/>
  <c r="F83" i="30"/>
  <c r="B30" i="12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C14" i="6"/>
  <c r="F63" i="30"/>
  <c r="F62" i="30"/>
  <c r="F61" i="30"/>
  <c r="F60" i="30"/>
  <c r="C13" i="6"/>
  <c r="F58" i="30"/>
  <c r="F54" i="30"/>
  <c r="F53" i="30"/>
  <c r="C8" i="6"/>
  <c r="F52" i="30"/>
  <c r="F51" i="30"/>
  <c r="F50" i="30"/>
  <c r="F49" i="30"/>
  <c r="B32" i="8"/>
  <c r="F48" i="30"/>
  <c r="F47" i="30"/>
  <c r="F46" i="30"/>
  <c r="C81" i="10"/>
  <c r="C66" i="10"/>
  <c r="B33" i="8"/>
  <c r="F45" i="30"/>
  <c r="B12" i="8"/>
  <c r="F44" i="30"/>
  <c r="B31" i="8"/>
  <c r="F43" i="30"/>
  <c r="F42" i="30"/>
  <c r="F41" i="30"/>
  <c r="F40" i="30"/>
  <c r="F39" i="30"/>
  <c r="F38" i="30"/>
  <c r="F37" i="30"/>
  <c r="F36" i="30"/>
  <c r="F35" i="30"/>
  <c r="F33" i="30"/>
  <c r="F30" i="30"/>
  <c r="F29" i="30"/>
  <c r="F27" i="30"/>
  <c r="F26" i="30"/>
  <c r="B11" i="8"/>
  <c r="B8" i="8"/>
  <c r="F25" i="30"/>
  <c r="F21" i="30"/>
  <c r="F20" i="30"/>
  <c r="F19" i="30"/>
  <c r="F18" i="30"/>
  <c r="F17" i="30"/>
  <c r="B37" i="8"/>
  <c r="F16" i="30"/>
  <c r="F15" i="30"/>
  <c r="F14" i="30"/>
  <c r="F13" i="30"/>
  <c r="F12" i="30"/>
  <c r="F11" i="30"/>
  <c r="F9" i="30"/>
  <c r="E147" i="30"/>
  <c r="B20" i="6"/>
  <c r="E144" i="30"/>
  <c r="E143" i="30"/>
  <c r="E140" i="30"/>
  <c r="E138" i="30"/>
  <c r="E137" i="30"/>
  <c r="E135" i="30"/>
  <c r="E134" i="30"/>
  <c r="E133" i="30"/>
  <c r="E132" i="30"/>
  <c r="E131" i="30"/>
  <c r="E130" i="30"/>
  <c r="E129" i="30"/>
  <c r="E128" i="30"/>
  <c r="E127" i="30"/>
  <c r="E126" i="30"/>
  <c r="E125" i="30"/>
  <c r="E124" i="30"/>
  <c r="E123" i="30"/>
  <c r="E122" i="30"/>
  <c r="E121" i="30"/>
  <c r="E120" i="30"/>
  <c r="E117" i="30"/>
  <c r="E116" i="30"/>
  <c r="E115" i="30"/>
  <c r="E114" i="30"/>
  <c r="E113" i="30"/>
  <c r="E112" i="30"/>
  <c r="E111" i="30"/>
  <c r="E110" i="30"/>
  <c r="E109" i="30"/>
  <c r="E107" i="30"/>
  <c r="E106" i="30"/>
  <c r="E105" i="30"/>
  <c r="E104" i="30"/>
  <c r="E103" i="30"/>
  <c r="E102" i="30"/>
  <c r="E101" i="30"/>
  <c r="E100" i="30"/>
  <c r="E99" i="30"/>
  <c r="E98" i="30"/>
  <c r="E95" i="30"/>
  <c r="E94" i="30"/>
  <c r="E93" i="30"/>
  <c r="E92" i="30"/>
  <c r="E91" i="30"/>
  <c r="E90" i="30"/>
  <c r="E89" i="30"/>
  <c r="E88" i="30"/>
  <c r="E86" i="30"/>
  <c r="E85" i="30"/>
  <c r="E83" i="30"/>
  <c r="E82" i="30"/>
  <c r="E81" i="30"/>
  <c r="E80" i="30"/>
  <c r="E65" i="30"/>
  <c r="E79" i="30"/>
  <c r="E78" i="30"/>
  <c r="E77" i="30"/>
  <c r="E76" i="30"/>
  <c r="E75" i="30"/>
  <c r="E74" i="30"/>
  <c r="E73" i="30"/>
  <c r="E72" i="30"/>
  <c r="E71" i="30"/>
  <c r="E70" i="30"/>
  <c r="E69" i="30"/>
  <c r="E68" i="30"/>
  <c r="E67" i="30"/>
  <c r="E66" i="30"/>
  <c r="E64" i="30"/>
  <c r="B14" i="6"/>
  <c r="E8" i="30"/>
  <c r="D8" i="20"/>
  <c r="B7" i="6"/>
  <c r="E63" i="30"/>
  <c r="E62" i="30"/>
  <c r="E61" i="30"/>
  <c r="E60" i="30"/>
  <c r="B13" i="6"/>
  <c r="E58" i="30"/>
  <c r="B12" i="6"/>
  <c r="E57" i="30"/>
  <c r="E55" i="30"/>
  <c r="E56" i="30"/>
  <c r="E59" i="30"/>
  <c r="B10" i="6"/>
  <c r="E54" i="30"/>
  <c r="E53" i="30"/>
  <c r="B8" i="6"/>
  <c r="E52" i="30"/>
  <c r="E51" i="30"/>
  <c r="E50" i="30"/>
  <c r="E49" i="30"/>
  <c r="E48" i="30"/>
  <c r="E47" i="30"/>
  <c r="E46" i="30"/>
  <c r="E45" i="30"/>
  <c r="E44" i="30"/>
  <c r="E43" i="30"/>
  <c r="E42" i="30"/>
  <c r="E41" i="30"/>
  <c r="E40" i="30"/>
  <c r="E39" i="30"/>
  <c r="E38" i="30"/>
  <c r="E37" i="30"/>
  <c r="E36" i="30"/>
  <c r="E35" i="30"/>
  <c r="E33" i="30"/>
  <c r="E31" i="30"/>
  <c r="E30" i="30"/>
  <c r="E29" i="30"/>
  <c r="E27" i="30"/>
  <c r="E26" i="30"/>
  <c r="E25" i="30"/>
  <c r="E21" i="30"/>
  <c r="E20" i="30"/>
  <c r="E19" i="30"/>
  <c r="E18" i="30"/>
  <c r="E17" i="30"/>
  <c r="E16" i="30"/>
  <c r="E15" i="30"/>
  <c r="E14" i="30"/>
  <c r="E13" i="30"/>
  <c r="D9" i="20"/>
  <c r="E12" i="30"/>
  <c r="E11" i="30"/>
  <c r="E9" i="30"/>
  <c r="D147" i="30"/>
  <c r="A20" i="6"/>
  <c r="D144" i="30"/>
  <c r="D143" i="30"/>
  <c r="D140" i="30"/>
  <c r="D138" i="30"/>
  <c r="D137" i="30"/>
  <c r="A18" i="6"/>
  <c r="D135" i="30"/>
  <c r="A19" i="6"/>
  <c r="D134" i="30"/>
  <c r="D133" i="30"/>
  <c r="D132" i="30"/>
  <c r="D131" i="30"/>
  <c r="D130" i="30"/>
  <c r="D129" i="30"/>
  <c r="D128" i="30"/>
  <c r="D127" i="30"/>
  <c r="D126" i="30"/>
  <c r="D125" i="30"/>
  <c r="D124" i="30"/>
  <c r="D123" i="30"/>
  <c r="D122" i="30"/>
  <c r="D121" i="30"/>
  <c r="D120" i="30"/>
  <c r="D117" i="30"/>
  <c r="D116" i="30"/>
  <c r="D115" i="30"/>
  <c r="D114" i="30"/>
  <c r="D113" i="30"/>
  <c r="D112" i="30"/>
  <c r="D111" i="30"/>
  <c r="D110" i="30"/>
  <c r="D109" i="30"/>
  <c r="D107" i="30"/>
  <c r="D106" i="30"/>
  <c r="D105" i="30"/>
  <c r="D104" i="30"/>
  <c r="D103" i="30"/>
  <c r="D102" i="30"/>
  <c r="D101" i="30"/>
  <c r="D100" i="30"/>
  <c r="D99" i="30"/>
  <c r="D98" i="30"/>
  <c r="D95" i="30"/>
  <c r="D94" i="30"/>
  <c r="D93" i="30"/>
  <c r="D92" i="30"/>
  <c r="D91" i="30"/>
  <c r="D90" i="30"/>
  <c r="D89" i="30"/>
  <c r="D88" i="30"/>
  <c r="A17" i="6"/>
  <c r="D87" i="30"/>
  <c r="D86" i="30"/>
  <c r="D85" i="30"/>
  <c r="D83" i="30"/>
  <c r="D82" i="30"/>
  <c r="D81" i="30"/>
  <c r="D80" i="30"/>
  <c r="D79" i="30"/>
  <c r="D78" i="30"/>
  <c r="D77" i="30"/>
  <c r="D76" i="30"/>
  <c r="D75" i="30"/>
  <c r="D74" i="30"/>
  <c r="D73" i="30"/>
  <c r="D72" i="30"/>
  <c r="D71" i="30"/>
  <c r="D70" i="30"/>
  <c r="D69" i="30"/>
  <c r="D68" i="30"/>
  <c r="D67" i="30"/>
  <c r="D66" i="30"/>
  <c r="D65" i="30"/>
  <c r="D64" i="30"/>
  <c r="A14" i="6"/>
  <c r="D63" i="30"/>
  <c r="D62" i="30"/>
  <c r="D61" i="30"/>
  <c r="D60" i="30"/>
  <c r="A13" i="6"/>
  <c r="D58" i="30"/>
  <c r="A12" i="6"/>
  <c r="D57" i="30"/>
  <c r="D55" i="30"/>
  <c r="D56" i="30"/>
  <c r="D59" i="30"/>
  <c r="A10" i="6"/>
  <c r="A7" i="6"/>
  <c r="A11" i="6"/>
  <c r="D54" i="30"/>
  <c r="D53" i="30"/>
  <c r="A8" i="6"/>
  <c r="D52" i="30"/>
  <c r="D51" i="30"/>
  <c r="D50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3" i="30"/>
  <c r="D30" i="30"/>
  <c r="D29" i="30"/>
  <c r="D27" i="30"/>
  <c r="D26" i="30"/>
  <c r="D25" i="30"/>
  <c r="D21" i="30"/>
  <c r="D20" i="30"/>
  <c r="D19" i="30"/>
  <c r="D18" i="30"/>
  <c r="D17" i="30"/>
  <c r="D16" i="30"/>
  <c r="D15" i="30"/>
  <c r="D14" i="30"/>
  <c r="D13" i="30"/>
  <c r="C9" i="20"/>
  <c r="D12" i="30"/>
  <c r="D11" i="30"/>
  <c r="D9" i="30"/>
  <c r="G8" i="30"/>
  <c r="F8" i="30"/>
  <c r="B6" i="8"/>
  <c r="D16" i="20"/>
  <c r="D16" i="21"/>
  <c r="N42" i="40"/>
  <c r="N62" i="40"/>
  <c r="N102" i="40"/>
  <c r="N122" i="40"/>
  <c r="N142" i="40"/>
  <c r="N162" i="40"/>
  <c r="N182" i="40"/>
  <c r="N202" i="40"/>
  <c r="N222" i="40"/>
  <c r="N242" i="40"/>
  <c r="N262" i="40"/>
  <c r="N282" i="40"/>
  <c r="N302" i="40"/>
  <c r="N322" i="40"/>
  <c r="N342" i="40"/>
  <c r="N362" i="40"/>
  <c r="N21" i="40"/>
  <c r="N39" i="40"/>
  <c r="N41" i="40"/>
  <c r="N59" i="40"/>
  <c r="N61" i="40"/>
  <c r="N79" i="40"/>
  <c r="N81" i="40"/>
  <c r="N99" i="40"/>
  <c r="N101" i="40"/>
  <c r="N119" i="40"/>
  <c r="N121" i="40"/>
  <c r="N139" i="40"/>
  <c r="N141" i="40"/>
  <c r="N159" i="40"/>
  <c r="N161" i="40"/>
  <c r="N179" i="40"/>
  <c r="N181" i="40"/>
  <c r="N199" i="40"/>
  <c r="N201" i="40"/>
  <c r="N219" i="40"/>
  <c r="N221" i="40"/>
  <c r="Q37" i="18"/>
  <c r="R37" i="18"/>
  <c r="Q36" i="18"/>
  <c r="H19" i="14"/>
  <c r="W214" i="29"/>
  <c r="X232" i="29"/>
  <c r="Y232" i="29"/>
  <c r="Z232" i="29"/>
  <c r="AA232" i="29"/>
  <c r="AB232" i="29"/>
  <c r="AC232" i="29"/>
  <c r="AD214" i="29"/>
  <c r="AE214" i="29"/>
  <c r="AF214" i="29"/>
  <c r="AG214" i="29"/>
  <c r="Q22" i="19"/>
  <c r="AH214" i="29"/>
  <c r="R22" i="19"/>
  <c r="O232" i="29"/>
  <c r="D22" i="19"/>
  <c r="L214" i="29"/>
  <c r="E22" i="19"/>
  <c r="L232" i="29"/>
  <c r="C22" i="19"/>
  <c r="K214" i="29"/>
  <c r="C21" i="19"/>
  <c r="T22" i="18"/>
  <c r="T21" i="18"/>
  <c r="S22" i="18"/>
  <c r="S21" i="18"/>
  <c r="Q45" i="16"/>
  <c r="S42" i="17"/>
  <c r="D24" i="16"/>
  <c r="C24" i="16"/>
  <c r="E24" i="16"/>
  <c r="E8" i="16"/>
  <c r="D8" i="16"/>
  <c r="C8" i="16"/>
  <c r="C51" i="16"/>
  <c r="Q42" i="16"/>
  <c r="S22" i="19"/>
  <c r="T22" i="19"/>
  <c r="T71" i="10"/>
  <c r="S69" i="10"/>
  <c r="S68" i="10"/>
  <c r="S64" i="10"/>
  <c r="S63" i="10"/>
  <c r="S59" i="10"/>
  <c r="S58" i="10"/>
  <c r="S54" i="10"/>
  <c r="S53" i="10"/>
  <c r="R35" i="10"/>
  <c r="R34" i="10"/>
  <c r="R32" i="10"/>
  <c r="R31" i="10"/>
  <c r="R29" i="10"/>
  <c r="R28" i="10"/>
  <c r="R26" i="10"/>
  <c r="R25" i="10"/>
  <c r="S36" i="10"/>
  <c r="S33" i="10"/>
  <c r="S30" i="10"/>
  <c r="S27" i="10"/>
  <c r="S24" i="10"/>
  <c r="S21" i="10"/>
  <c r="S18" i="10"/>
  <c r="W38" i="11"/>
  <c r="W37" i="11"/>
  <c r="W35" i="11"/>
  <c r="W34" i="11"/>
  <c r="W32" i="11"/>
  <c r="W31" i="11"/>
  <c r="W29" i="11"/>
  <c r="W28" i="11"/>
  <c r="AO79" i="29"/>
  <c r="W26" i="11"/>
  <c r="W25" i="11"/>
  <c r="A77" i="29"/>
  <c r="E77" i="29"/>
  <c r="A78" i="29"/>
  <c r="E78" i="29"/>
  <c r="A79" i="29"/>
  <c r="E79" i="29"/>
  <c r="A80" i="29"/>
  <c r="E80" i="29"/>
  <c r="A81" i="29"/>
  <c r="E81" i="29"/>
  <c r="A82" i="29"/>
  <c r="E82" i="29"/>
  <c r="A83" i="29"/>
  <c r="E83" i="29"/>
  <c r="A84" i="29"/>
  <c r="E84" i="29"/>
  <c r="A85" i="29"/>
  <c r="E85" i="29"/>
  <c r="A86" i="29"/>
  <c r="E86" i="29"/>
  <c r="AQ77" i="29"/>
  <c r="AQ78" i="29"/>
  <c r="AQ79" i="29"/>
  <c r="AQ80" i="29"/>
  <c r="AQ81" i="29"/>
  <c r="AQ82" i="29"/>
  <c r="AQ83" i="29"/>
  <c r="AQ84" i="29"/>
  <c r="AQ85" i="29"/>
  <c r="AQ86" i="29"/>
  <c r="AO86" i="29"/>
  <c r="AO85" i="29"/>
  <c r="AO84" i="29"/>
  <c r="AO83" i="29"/>
  <c r="AO82" i="29"/>
  <c r="AO81" i="29"/>
  <c r="AO80" i="29"/>
  <c r="AO78" i="29"/>
  <c r="AO77" i="29"/>
  <c r="AN86" i="29"/>
  <c r="AN85" i="29"/>
  <c r="AN84" i="29"/>
  <c r="AN83" i="29"/>
  <c r="AN82" i="29"/>
  <c r="AN81" i="29"/>
  <c r="AN80" i="29"/>
  <c r="AN79" i="29"/>
  <c r="AN78" i="29"/>
  <c r="AN77" i="29"/>
  <c r="S30" i="11"/>
  <c r="S27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4" i="11"/>
  <c r="B13" i="11"/>
  <c r="B11" i="11"/>
  <c r="B10" i="11"/>
  <c r="B8" i="11"/>
  <c r="D75" i="10"/>
  <c r="D76" i="10"/>
  <c r="D41" i="10"/>
  <c r="D40" i="10"/>
  <c r="U34" i="10"/>
  <c r="U35" i="10"/>
  <c r="U31" i="10"/>
  <c r="U32" i="10"/>
  <c r="U28" i="10"/>
  <c r="U29" i="10"/>
  <c r="U25" i="10"/>
  <c r="V34" i="10"/>
  <c r="V31" i="10"/>
  <c r="V28" i="10"/>
  <c r="V25" i="10"/>
  <c r="T35" i="10"/>
  <c r="T34" i="10"/>
  <c r="T32" i="10"/>
  <c r="T31" i="10"/>
  <c r="T29" i="10"/>
  <c r="T28" i="10"/>
  <c r="T26" i="10"/>
  <c r="T25" i="10"/>
  <c r="D39" i="10"/>
  <c r="R36" i="10"/>
  <c r="T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R33" i="10"/>
  <c r="T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R30" i="10"/>
  <c r="T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R27" i="10"/>
  <c r="T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36" i="10"/>
  <c r="B35" i="10"/>
  <c r="B33" i="10"/>
  <c r="B32" i="10"/>
  <c r="B30" i="10"/>
  <c r="B29" i="10"/>
  <c r="B27" i="10"/>
  <c r="B26" i="10"/>
  <c r="B24" i="10"/>
  <c r="B23" i="10"/>
  <c r="AQ238" i="29"/>
  <c r="AQ239" i="29"/>
  <c r="E238" i="29"/>
  <c r="E239" i="29"/>
  <c r="A238" i="29"/>
  <c r="A239" i="29"/>
  <c r="R33" i="19"/>
  <c r="O239" i="29"/>
  <c r="R32" i="19"/>
  <c r="O238" i="29"/>
  <c r="U32" i="19"/>
  <c r="AO238" i="29"/>
  <c r="U33" i="19"/>
  <c r="T31" i="18"/>
  <c r="S31" i="18"/>
  <c r="U26" i="10"/>
  <c r="B10" i="14"/>
  <c r="B20" i="8"/>
  <c r="B17" i="8"/>
  <c r="A4" i="26"/>
  <c r="B6" i="19"/>
  <c r="A4" i="13"/>
  <c r="A4" i="11"/>
  <c r="A4" i="46"/>
  <c r="M26" i="15"/>
  <c r="O159" i="29"/>
  <c r="M25" i="15"/>
  <c r="B26" i="15"/>
  <c r="K159" i="29"/>
  <c r="E26" i="15"/>
  <c r="N159" i="29"/>
  <c r="M159" i="29"/>
  <c r="C26" i="15"/>
  <c r="L159" i="29"/>
  <c r="M158" i="29"/>
  <c r="C25" i="15"/>
  <c r="L158" i="29"/>
  <c r="B25" i="15"/>
  <c r="K158" i="29"/>
  <c r="AO240" i="29"/>
  <c r="B27" i="46"/>
  <c r="B26" i="46"/>
  <c r="B25" i="46"/>
  <c r="B24" i="46"/>
  <c r="B23" i="46"/>
  <c r="B22" i="46"/>
  <c r="B21" i="46"/>
  <c r="AL28" i="29"/>
  <c r="B20" i="46"/>
  <c r="B19" i="46"/>
  <c r="B18" i="46"/>
  <c r="B16" i="46"/>
  <c r="AL23" i="29"/>
  <c r="B15" i="46"/>
  <c r="B14" i="46"/>
  <c r="B13" i="46"/>
  <c r="AL20" i="29"/>
  <c r="B12" i="46"/>
  <c r="B11" i="46"/>
  <c r="B10" i="46"/>
  <c r="B9" i="46"/>
  <c r="B8" i="46"/>
  <c r="B7" i="46"/>
  <c r="B7" i="4"/>
  <c r="C7" i="4"/>
  <c r="B6" i="4"/>
  <c r="D137" i="29"/>
  <c r="C6" i="4"/>
  <c r="C19" i="29"/>
  <c r="R21" i="19"/>
  <c r="O231" i="29"/>
  <c r="Q21" i="19"/>
  <c r="AH213" i="29"/>
  <c r="O213" i="29"/>
  <c r="E21" i="19"/>
  <c r="L231" i="29"/>
  <c r="D21" i="19"/>
  <c r="L213" i="29"/>
  <c r="K213" i="29"/>
  <c r="S29" i="18"/>
  <c r="T29" i="18"/>
  <c r="S30" i="18"/>
  <c r="T30" i="18"/>
  <c r="A3" i="29"/>
  <c r="E3" i="29"/>
  <c r="A4" i="29"/>
  <c r="E4" i="29"/>
  <c r="A5" i="29"/>
  <c r="E5" i="29"/>
  <c r="A6" i="29"/>
  <c r="E6" i="29"/>
  <c r="A7" i="29"/>
  <c r="E7" i="29"/>
  <c r="A8" i="29"/>
  <c r="E8" i="29"/>
  <c r="A9" i="29"/>
  <c r="E9" i="29"/>
  <c r="A10" i="29"/>
  <c r="E10" i="29"/>
  <c r="A11" i="29"/>
  <c r="E11" i="29"/>
  <c r="A12" i="29"/>
  <c r="E12" i="29"/>
  <c r="A13" i="29"/>
  <c r="E13" i="29"/>
  <c r="A14" i="29"/>
  <c r="E14" i="29"/>
  <c r="A15" i="29"/>
  <c r="E15" i="29"/>
  <c r="A16" i="29"/>
  <c r="E16" i="29"/>
  <c r="A17" i="29"/>
  <c r="E17" i="29"/>
  <c r="A18" i="29"/>
  <c r="E18" i="29"/>
  <c r="A19" i="29"/>
  <c r="E19" i="29"/>
  <c r="A20" i="29"/>
  <c r="E20" i="29"/>
  <c r="A21" i="29"/>
  <c r="E21" i="29"/>
  <c r="A22" i="29"/>
  <c r="E22" i="29"/>
  <c r="A23" i="29"/>
  <c r="E23" i="29"/>
  <c r="A24" i="29"/>
  <c r="E24" i="29"/>
  <c r="A25" i="29"/>
  <c r="E25" i="29"/>
  <c r="A26" i="29"/>
  <c r="E26" i="29"/>
  <c r="A27" i="29"/>
  <c r="E27" i="29"/>
  <c r="A28" i="29"/>
  <c r="E28" i="29"/>
  <c r="A29" i="29"/>
  <c r="E29" i="29"/>
  <c r="A30" i="29"/>
  <c r="E30" i="29"/>
  <c r="A31" i="29"/>
  <c r="E31" i="29"/>
  <c r="A32" i="29"/>
  <c r="E32" i="29"/>
  <c r="A33" i="29"/>
  <c r="E33" i="29"/>
  <c r="A34" i="29"/>
  <c r="E34" i="29"/>
  <c r="A35" i="29"/>
  <c r="E35" i="29"/>
  <c r="A36" i="29"/>
  <c r="E36" i="29"/>
  <c r="A37" i="29"/>
  <c r="E37" i="29"/>
  <c r="A38" i="29"/>
  <c r="E38" i="29"/>
  <c r="A39" i="29"/>
  <c r="E39" i="29"/>
  <c r="A40" i="29"/>
  <c r="E40" i="29"/>
  <c r="A41" i="29"/>
  <c r="E41" i="29"/>
  <c r="A42" i="29"/>
  <c r="E42" i="29"/>
  <c r="A43" i="29"/>
  <c r="E43" i="29"/>
  <c r="A44" i="29"/>
  <c r="E44" i="29"/>
  <c r="A45" i="29"/>
  <c r="E45" i="29"/>
  <c r="A46" i="29"/>
  <c r="E46" i="29"/>
  <c r="A47" i="29"/>
  <c r="E47" i="29"/>
  <c r="A48" i="29"/>
  <c r="E48" i="29"/>
  <c r="A50" i="29"/>
  <c r="E50" i="29"/>
  <c r="A51" i="29"/>
  <c r="E51" i="29"/>
  <c r="A52" i="29"/>
  <c r="E52" i="29"/>
  <c r="A53" i="29"/>
  <c r="E53" i="29"/>
  <c r="A54" i="29"/>
  <c r="E54" i="29"/>
  <c r="A55" i="29"/>
  <c r="E55" i="29"/>
  <c r="A57" i="29"/>
  <c r="E57" i="29"/>
  <c r="A58" i="29"/>
  <c r="E58" i="29"/>
  <c r="A59" i="29"/>
  <c r="E59" i="29"/>
  <c r="A60" i="29"/>
  <c r="E60" i="29"/>
  <c r="A61" i="29"/>
  <c r="E61" i="29"/>
  <c r="A62" i="29"/>
  <c r="E62" i="29"/>
  <c r="A63" i="29"/>
  <c r="E63" i="29"/>
  <c r="A64" i="29"/>
  <c r="E64" i="29"/>
  <c r="A65" i="29"/>
  <c r="E65" i="29"/>
  <c r="A66" i="29"/>
  <c r="E66" i="29"/>
  <c r="A67" i="29"/>
  <c r="E67" i="29"/>
  <c r="A68" i="29"/>
  <c r="E68" i="29"/>
  <c r="A69" i="29"/>
  <c r="E69" i="29"/>
  <c r="A70" i="29"/>
  <c r="E70" i="29"/>
  <c r="A71" i="29"/>
  <c r="E71" i="29"/>
  <c r="A72" i="29"/>
  <c r="E72" i="29"/>
  <c r="A73" i="29"/>
  <c r="E73" i="29"/>
  <c r="A74" i="29"/>
  <c r="E74" i="29"/>
  <c r="A75" i="29"/>
  <c r="E75" i="29"/>
  <c r="A76" i="29"/>
  <c r="E76" i="29"/>
  <c r="A87" i="29"/>
  <c r="E87" i="29"/>
  <c r="A88" i="29"/>
  <c r="E88" i="29"/>
  <c r="A89" i="29"/>
  <c r="E89" i="29"/>
  <c r="A90" i="29"/>
  <c r="E90" i="29"/>
  <c r="A91" i="29"/>
  <c r="E91" i="29"/>
  <c r="A92" i="29"/>
  <c r="E92" i="29"/>
  <c r="A93" i="29"/>
  <c r="E93" i="29"/>
  <c r="A94" i="29"/>
  <c r="E94" i="29"/>
  <c r="A95" i="29"/>
  <c r="E95" i="29"/>
  <c r="A96" i="29"/>
  <c r="E96" i="29"/>
  <c r="A97" i="29"/>
  <c r="E97" i="29"/>
  <c r="A98" i="29"/>
  <c r="E98" i="29"/>
  <c r="A99" i="29"/>
  <c r="E99" i="29"/>
  <c r="A100" i="29"/>
  <c r="E100" i="29"/>
  <c r="A101" i="29"/>
  <c r="E101" i="29"/>
  <c r="A102" i="29"/>
  <c r="E102" i="29"/>
  <c r="A103" i="29"/>
  <c r="E103" i="29"/>
  <c r="A104" i="29"/>
  <c r="E104" i="29"/>
  <c r="A105" i="29"/>
  <c r="E105" i="29"/>
  <c r="A106" i="29"/>
  <c r="E106" i="29"/>
  <c r="A107" i="29"/>
  <c r="E107" i="29"/>
  <c r="A108" i="29"/>
  <c r="E108" i="29"/>
  <c r="A109" i="29"/>
  <c r="E109" i="29"/>
  <c r="A110" i="29"/>
  <c r="E110" i="29"/>
  <c r="A111" i="29"/>
  <c r="E111" i="29"/>
  <c r="A112" i="29"/>
  <c r="E112" i="29"/>
  <c r="A113" i="29"/>
  <c r="E113" i="29"/>
  <c r="A114" i="29"/>
  <c r="E114" i="29"/>
  <c r="A115" i="29"/>
  <c r="E115" i="29"/>
  <c r="A116" i="29"/>
  <c r="E116" i="29"/>
  <c r="A117" i="29"/>
  <c r="E117" i="29"/>
  <c r="A118" i="29"/>
  <c r="E118" i="29"/>
  <c r="A119" i="29"/>
  <c r="E119" i="29"/>
  <c r="A120" i="29"/>
  <c r="E120" i="29"/>
  <c r="A121" i="29"/>
  <c r="E121" i="29"/>
  <c r="A122" i="29"/>
  <c r="E122" i="29"/>
  <c r="A123" i="29"/>
  <c r="E123" i="29"/>
  <c r="A124" i="29"/>
  <c r="E124" i="29"/>
  <c r="A125" i="29"/>
  <c r="E125" i="29"/>
  <c r="A126" i="29"/>
  <c r="E126" i="29"/>
  <c r="A127" i="29"/>
  <c r="E127" i="29"/>
  <c r="A128" i="29"/>
  <c r="E128" i="29"/>
  <c r="A129" i="29"/>
  <c r="E129" i="29"/>
  <c r="A130" i="29"/>
  <c r="E130" i="29"/>
  <c r="A131" i="29"/>
  <c r="E131" i="29"/>
  <c r="A132" i="29"/>
  <c r="E132" i="29"/>
  <c r="A133" i="29"/>
  <c r="E133" i="29"/>
  <c r="A134" i="29"/>
  <c r="E134" i="29"/>
  <c r="A135" i="29"/>
  <c r="E135" i="29"/>
  <c r="A136" i="29"/>
  <c r="E136" i="29"/>
  <c r="A137" i="29"/>
  <c r="E137" i="29"/>
  <c r="A138" i="29"/>
  <c r="E138" i="29"/>
  <c r="A139" i="29"/>
  <c r="E139" i="29"/>
  <c r="A140" i="29"/>
  <c r="E140" i="29"/>
  <c r="A141" i="29"/>
  <c r="E141" i="29"/>
  <c r="A142" i="29"/>
  <c r="E142" i="29"/>
  <c r="A143" i="29"/>
  <c r="E143" i="29"/>
  <c r="A144" i="29"/>
  <c r="E144" i="29"/>
  <c r="A145" i="29"/>
  <c r="E145" i="29"/>
  <c r="A146" i="29"/>
  <c r="E146" i="29"/>
  <c r="A147" i="29"/>
  <c r="E147" i="29"/>
  <c r="A148" i="29"/>
  <c r="E148" i="29"/>
  <c r="A149" i="29"/>
  <c r="E149" i="29"/>
  <c r="A150" i="29"/>
  <c r="E150" i="29"/>
  <c r="A151" i="29"/>
  <c r="E151" i="29"/>
  <c r="A152" i="29"/>
  <c r="E152" i="29"/>
  <c r="A153" i="29"/>
  <c r="E153" i="29"/>
  <c r="A154" i="29"/>
  <c r="E154" i="29"/>
  <c r="A155" i="29"/>
  <c r="E155" i="29"/>
  <c r="A156" i="29"/>
  <c r="E156" i="29"/>
  <c r="A157" i="29"/>
  <c r="E157" i="29"/>
  <c r="A158" i="29"/>
  <c r="E158" i="29"/>
  <c r="A159" i="29"/>
  <c r="E159" i="29"/>
  <c r="A160" i="29"/>
  <c r="E160" i="29"/>
  <c r="A161" i="29"/>
  <c r="E161" i="29"/>
  <c r="A162" i="29"/>
  <c r="E162" i="29"/>
  <c r="A163" i="29"/>
  <c r="E163" i="29"/>
  <c r="A164" i="29"/>
  <c r="E164" i="29"/>
  <c r="A165" i="29"/>
  <c r="E165" i="29"/>
  <c r="A166" i="29"/>
  <c r="E166" i="29"/>
  <c r="A167" i="29"/>
  <c r="E167" i="29"/>
  <c r="A168" i="29"/>
  <c r="E168" i="29"/>
  <c r="A169" i="29"/>
  <c r="E169" i="29"/>
  <c r="A170" i="29"/>
  <c r="E170" i="29"/>
  <c r="A171" i="29"/>
  <c r="E171" i="29"/>
  <c r="A172" i="29"/>
  <c r="E172" i="29"/>
  <c r="A173" i="29"/>
  <c r="E173" i="29"/>
  <c r="A174" i="29"/>
  <c r="E174" i="29"/>
  <c r="A175" i="29"/>
  <c r="E175" i="29"/>
  <c r="A176" i="29"/>
  <c r="E176" i="29"/>
  <c r="A177" i="29"/>
  <c r="E177" i="29"/>
  <c r="A178" i="29"/>
  <c r="E178" i="29"/>
  <c r="A179" i="29"/>
  <c r="E179" i="29"/>
  <c r="A180" i="29"/>
  <c r="E180" i="29"/>
  <c r="A181" i="29"/>
  <c r="E181" i="29"/>
  <c r="A182" i="29"/>
  <c r="E182" i="29"/>
  <c r="A183" i="29"/>
  <c r="E183" i="29"/>
  <c r="A184" i="29"/>
  <c r="E184" i="29"/>
  <c r="A185" i="29"/>
  <c r="E185" i="29"/>
  <c r="A186" i="29"/>
  <c r="E186" i="29"/>
  <c r="A187" i="29"/>
  <c r="E187" i="29"/>
  <c r="A188" i="29"/>
  <c r="E188" i="29"/>
  <c r="A189" i="29"/>
  <c r="E189" i="29"/>
  <c r="A190" i="29"/>
  <c r="E190" i="29"/>
  <c r="A191" i="29"/>
  <c r="E191" i="29"/>
  <c r="A192" i="29"/>
  <c r="E192" i="29"/>
  <c r="A193" i="29"/>
  <c r="E193" i="29"/>
  <c r="A194" i="29"/>
  <c r="E194" i="29"/>
  <c r="A195" i="29"/>
  <c r="E195" i="29"/>
  <c r="A196" i="29"/>
  <c r="E196" i="29"/>
  <c r="A197" i="29"/>
  <c r="E197" i="29"/>
  <c r="A198" i="29"/>
  <c r="E198" i="29"/>
  <c r="A199" i="29"/>
  <c r="E199" i="29"/>
  <c r="A200" i="29"/>
  <c r="E200" i="29"/>
  <c r="A201" i="29"/>
  <c r="E201" i="29"/>
  <c r="A202" i="29"/>
  <c r="E202" i="29"/>
  <c r="A203" i="29"/>
  <c r="E203" i="29"/>
  <c r="A204" i="29"/>
  <c r="E204" i="29"/>
  <c r="A205" i="29"/>
  <c r="E205" i="29"/>
  <c r="A206" i="29"/>
  <c r="E206" i="29"/>
  <c r="A207" i="29"/>
  <c r="E207" i="29"/>
  <c r="A208" i="29"/>
  <c r="E208" i="29"/>
  <c r="A209" i="29"/>
  <c r="E209" i="29"/>
  <c r="A210" i="29"/>
  <c r="E210" i="29"/>
  <c r="A211" i="29"/>
  <c r="E211" i="29"/>
  <c r="A212" i="29"/>
  <c r="E212" i="29"/>
  <c r="A213" i="29"/>
  <c r="E213" i="29"/>
  <c r="A215" i="29"/>
  <c r="E215" i="29"/>
  <c r="A216" i="29"/>
  <c r="E216" i="29"/>
  <c r="A217" i="29"/>
  <c r="E217" i="29"/>
  <c r="A218" i="29"/>
  <c r="E218" i="29"/>
  <c r="A219" i="29"/>
  <c r="E219" i="29"/>
  <c r="A220" i="29"/>
  <c r="E220" i="29"/>
  <c r="A221" i="29"/>
  <c r="E221" i="29"/>
  <c r="A222" i="29"/>
  <c r="E222" i="29"/>
  <c r="A223" i="29"/>
  <c r="E223" i="29"/>
  <c r="A224" i="29"/>
  <c r="E224" i="29"/>
  <c r="A225" i="29"/>
  <c r="E225" i="29"/>
  <c r="A226" i="29"/>
  <c r="E226" i="29"/>
  <c r="A227" i="29"/>
  <c r="E227" i="29"/>
  <c r="A228" i="29"/>
  <c r="E228" i="29"/>
  <c r="A229" i="29"/>
  <c r="E229" i="29"/>
  <c r="A230" i="29"/>
  <c r="E230" i="29"/>
  <c r="A231" i="29"/>
  <c r="E231" i="29"/>
  <c r="A233" i="29"/>
  <c r="E233" i="29"/>
  <c r="A234" i="29"/>
  <c r="E234" i="29"/>
  <c r="A235" i="29"/>
  <c r="E235" i="29"/>
  <c r="A236" i="29"/>
  <c r="E236" i="29"/>
  <c r="A237" i="29"/>
  <c r="E237" i="29"/>
  <c r="A240" i="29"/>
  <c r="E240" i="29"/>
  <c r="A241" i="29"/>
  <c r="E241" i="29"/>
  <c r="A243" i="29"/>
  <c r="E243" i="29"/>
  <c r="A244" i="29"/>
  <c r="E244" i="29"/>
  <c r="A245" i="29"/>
  <c r="E245" i="29"/>
  <c r="A246" i="29"/>
  <c r="E246" i="29"/>
  <c r="A247" i="29"/>
  <c r="E247" i="29"/>
  <c r="A248" i="29"/>
  <c r="E248" i="29"/>
  <c r="A249" i="29"/>
  <c r="E249" i="29"/>
  <c r="A250" i="29"/>
  <c r="E250" i="29"/>
  <c r="A251" i="29"/>
  <c r="E251" i="29"/>
  <c r="A252" i="29"/>
  <c r="E252" i="29"/>
  <c r="A253" i="29"/>
  <c r="E253" i="29"/>
  <c r="A254" i="29"/>
  <c r="E254" i="29"/>
  <c r="A256" i="29"/>
  <c r="E256" i="29"/>
  <c r="A257" i="29"/>
  <c r="E257" i="29"/>
  <c r="A258" i="29"/>
  <c r="E258" i="29"/>
  <c r="A259" i="29"/>
  <c r="E259" i="29"/>
  <c r="A260" i="29"/>
  <c r="E260" i="29"/>
  <c r="A261" i="29"/>
  <c r="E261" i="29"/>
  <c r="A262" i="29"/>
  <c r="E262" i="29"/>
  <c r="A263" i="29"/>
  <c r="E263" i="29"/>
  <c r="A264" i="29"/>
  <c r="E264" i="29"/>
  <c r="A265" i="29"/>
  <c r="E265" i="29"/>
  <c r="A266" i="29"/>
  <c r="E266" i="29"/>
  <c r="A267" i="29"/>
  <c r="E267" i="29"/>
  <c r="A268" i="29"/>
  <c r="E268" i="29"/>
  <c r="A269" i="29"/>
  <c r="E269" i="29"/>
  <c r="A270" i="29"/>
  <c r="E270" i="29"/>
  <c r="A271" i="29"/>
  <c r="E271" i="29"/>
  <c r="A272" i="29"/>
  <c r="E272" i="29"/>
  <c r="A273" i="29"/>
  <c r="E273" i="29"/>
  <c r="A274" i="29"/>
  <c r="E274" i="29"/>
  <c r="A275" i="29"/>
  <c r="E275" i="29"/>
  <c r="A276" i="29"/>
  <c r="E276" i="29"/>
  <c r="A277" i="29"/>
  <c r="E277" i="29"/>
  <c r="A278" i="29"/>
  <c r="E278" i="29"/>
  <c r="A279" i="29"/>
  <c r="E279" i="29"/>
  <c r="A280" i="29"/>
  <c r="E280" i="29"/>
  <c r="A281" i="29"/>
  <c r="E281" i="29"/>
  <c r="A282" i="29"/>
  <c r="E282" i="29"/>
  <c r="A283" i="29"/>
  <c r="E283" i="29"/>
  <c r="A284" i="29"/>
  <c r="E284" i="29"/>
  <c r="A285" i="29"/>
  <c r="E285" i="29"/>
  <c r="A286" i="29"/>
  <c r="E286" i="29"/>
  <c r="A287" i="29"/>
  <c r="E287" i="29"/>
  <c r="A288" i="29"/>
  <c r="E288" i="29"/>
  <c r="A289" i="29"/>
  <c r="E289" i="29"/>
  <c r="A290" i="29"/>
  <c r="E290" i="29"/>
  <c r="A291" i="29"/>
  <c r="E291" i="29"/>
  <c r="A292" i="29"/>
  <c r="E292" i="29"/>
  <c r="A293" i="29"/>
  <c r="E293" i="29"/>
  <c r="A294" i="29"/>
  <c r="E294" i="29"/>
  <c r="A295" i="29"/>
  <c r="E295" i="29"/>
  <c r="AQ3" i="29"/>
  <c r="AQ4" i="29"/>
  <c r="AQ5" i="29"/>
  <c r="AQ6" i="29"/>
  <c r="AQ7" i="29"/>
  <c r="AQ8" i="29"/>
  <c r="AQ9" i="29"/>
  <c r="AQ10" i="29"/>
  <c r="AQ11" i="29"/>
  <c r="AQ12" i="29"/>
  <c r="AQ13" i="29"/>
  <c r="AQ14" i="29"/>
  <c r="AQ15" i="29"/>
  <c r="AQ16" i="29"/>
  <c r="AQ17" i="29"/>
  <c r="AQ18" i="29"/>
  <c r="AQ19" i="29"/>
  <c r="AQ20" i="29"/>
  <c r="AQ21" i="29"/>
  <c r="AQ22" i="29"/>
  <c r="AQ23" i="29"/>
  <c r="AQ24" i="29"/>
  <c r="AQ25" i="29"/>
  <c r="AQ26" i="29"/>
  <c r="AQ27" i="29"/>
  <c r="AQ28" i="29"/>
  <c r="AQ29" i="29"/>
  <c r="AQ30" i="29"/>
  <c r="AQ31" i="29"/>
  <c r="AQ32" i="29"/>
  <c r="AQ33" i="29"/>
  <c r="AQ34" i="29"/>
  <c r="AQ35" i="29"/>
  <c r="AQ36" i="29"/>
  <c r="AQ37" i="29"/>
  <c r="AQ38" i="29"/>
  <c r="AQ39" i="29"/>
  <c r="AQ40" i="29"/>
  <c r="AQ41" i="29"/>
  <c r="AQ42" i="29"/>
  <c r="AQ43" i="29"/>
  <c r="AQ44" i="29"/>
  <c r="AQ45" i="29"/>
  <c r="AQ46" i="29"/>
  <c r="AQ47" i="29"/>
  <c r="AQ48" i="29"/>
  <c r="AQ50" i="29"/>
  <c r="AQ51" i="29"/>
  <c r="AQ52" i="29"/>
  <c r="AQ53" i="29"/>
  <c r="AQ54" i="29"/>
  <c r="AQ55" i="29"/>
  <c r="AQ57" i="29"/>
  <c r="AQ58" i="29"/>
  <c r="AQ59" i="29"/>
  <c r="AQ60" i="29"/>
  <c r="AQ61" i="29"/>
  <c r="AQ62" i="29"/>
  <c r="AQ63" i="29"/>
  <c r="AQ64" i="29"/>
  <c r="AQ65" i="29"/>
  <c r="AQ66" i="29"/>
  <c r="AQ67" i="29"/>
  <c r="AQ68" i="29"/>
  <c r="AQ69" i="29"/>
  <c r="AQ70" i="29"/>
  <c r="AQ71" i="29"/>
  <c r="AQ72" i="29"/>
  <c r="AQ73" i="29"/>
  <c r="AQ74" i="29"/>
  <c r="AQ75" i="29"/>
  <c r="AQ76" i="29"/>
  <c r="AQ87" i="29"/>
  <c r="AQ88" i="29"/>
  <c r="AQ89" i="29"/>
  <c r="AQ90" i="29"/>
  <c r="AQ91" i="29"/>
  <c r="AQ92" i="29"/>
  <c r="AQ93" i="29"/>
  <c r="AQ94" i="29"/>
  <c r="AQ95" i="29"/>
  <c r="AQ96" i="29"/>
  <c r="AQ97" i="29"/>
  <c r="AQ98" i="29"/>
  <c r="AQ99" i="29"/>
  <c r="AQ100" i="29"/>
  <c r="AQ101" i="29"/>
  <c r="AQ102" i="29"/>
  <c r="AQ103" i="29"/>
  <c r="AQ104" i="29"/>
  <c r="AQ105" i="29"/>
  <c r="AQ106" i="29"/>
  <c r="AQ107" i="29"/>
  <c r="AQ108" i="29"/>
  <c r="AQ109" i="29"/>
  <c r="AQ110" i="29"/>
  <c r="AQ111" i="29"/>
  <c r="AQ112" i="29"/>
  <c r="AQ113" i="29"/>
  <c r="AQ114" i="29"/>
  <c r="AQ115" i="29"/>
  <c r="AQ116" i="29"/>
  <c r="AQ117" i="29"/>
  <c r="AQ118" i="29"/>
  <c r="AQ119" i="29"/>
  <c r="AQ120" i="29"/>
  <c r="AQ121" i="29"/>
  <c r="AQ122" i="29"/>
  <c r="AQ123" i="29"/>
  <c r="AQ124" i="29"/>
  <c r="AQ125" i="29"/>
  <c r="AQ126" i="29"/>
  <c r="AQ127" i="29"/>
  <c r="AQ128" i="29"/>
  <c r="AQ129" i="29"/>
  <c r="AQ130" i="29"/>
  <c r="AQ131" i="29"/>
  <c r="AQ132" i="29"/>
  <c r="AQ133" i="29"/>
  <c r="AQ134" i="29"/>
  <c r="AQ135" i="29"/>
  <c r="AQ136" i="29"/>
  <c r="AQ137" i="29"/>
  <c r="AQ138" i="29"/>
  <c r="AQ139" i="29"/>
  <c r="AQ140" i="29"/>
  <c r="AQ141" i="29"/>
  <c r="AQ142" i="29"/>
  <c r="AQ143" i="29"/>
  <c r="AQ144" i="29"/>
  <c r="AQ145" i="29"/>
  <c r="AQ146" i="29"/>
  <c r="AQ147" i="29"/>
  <c r="AQ148" i="29"/>
  <c r="AQ149" i="29"/>
  <c r="AQ150" i="29"/>
  <c r="AQ151" i="29"/>
  <c r="AQ152" i="29"/>
  <c r="AQ153" i="29"/>
  <c r="AQ154" i="29"/>
  <c r="AQ155" i="29"/>
  <c r="AQ156" i="29"/>
  <c r="AQ157" i="29"/>
  <c r="AQ158" i="29"/>
  <c r="AQ159" i="29"/>
  <c r="AQ160" i="29"/>
  <c r="AQ161" i="29"/>
  <c r="AQ162" i="29"/>
  <c r="AQ163" i="29"/>
  <c r="AQ164" i="29"/>
  <c r="AQ165" i="29"/>
  <c r="AQ166" i="29"/>
  <c r="AQ167" i="29"/>
  <c r="AQ168" i="29"/>
  <c r="AQ169" i="29"/>
  <c r="AQ170" i="29"/>
  <c r="AQ171" i="29"/>
  <c r="AQ172" i="29"/>
  <c r="AQ173" i="29"/>
  <c r="AQ174" i="29"/>
  <c r="AQ175" i="29"/>
  <c r="AQ176" i="29"/>
  <c r="AQ177" i="29"/>
  <c r="AQ178" i="29"/>
  <c r="AQ179" i="29"/>
  <c r="AQ180" i="29"/>
  <c r="AQ181" i="29"/>
  <c r="AQ182" i="29"/>
  <c r="AQ183" i="29"/>
  <c r="AQ184" i="29"/>
  <c r="AQ185" i="29"/>
  <c r="AQ186" i="29"/>
  <c r="AQ187" i="29"/>
  <c r="AQ188" i="29"/>
  <c r="AQ189" i="29"/>
  <c r="AQ190" i="29"/>
  <c r="AQ191" i="29"/>
  <c r="AQ192" i="29"/>
  <c r="AQ193" i="29"/>
  <c r="AQ194" i="29"/>
  <c r="AQ195" i="29"/>
  <c r="AQ196" i="29"/>
  <c r="AQ197" i="29"/>
  <c r="AQ198" i="29"/>
  <c r="AQ199" i="29"/>
  <c r="AQ200" i="29"/>
  <c r="AQ201" i="29"/>
  <c r="AQ202" i="29"/>
  <c r="AQ203" i="29"/>
  <c r="AQ204" i="29"/>
  <c r="AQ205" i="29"/>
  <c r="AQ206" i="29"/>
  <c r="AQ207" i="29"/>
  <c r="AQ208" i="29"/>
  <c r="AQ209" i="29"/>
  <c r="AQ210" i="29"/>
  <c r="AQ211" i="29"/>
  <c r="AQ212" i="29"/>
  <c r="AQ213" i="29"/>
  <c r="AQ215" i="29"/>
  <c r="AQ216" i="29"/>
  <c r="AQ217" i="29"/>
  <c r="AQ218" i="29"/>
  <c r="AQ219" i="29"/>
  <c r="AQ220" i="29"/>
  <c r="AQ221" i="29"/>
  <c r="AQ222" i="29"/>
  <c r="AQ223" i="29"/>
  <c r="AQ224" i="29"/>
  <c r="AQ225" i="29"/>
  <c r="AQ226" i="29"/>
  <c r="AQ227" i="29"/>
  <c r="AQ228" i="29"/>
  <c r="AQ229" i="29"/>
  <c r="AQ230" i="29"/>
  <c r="AQ231" i="29"/>
  <c r="AQ233" i="29"/>
  <c r="AQ234" i="29"/>
  <c r="AQ235" i="29"/>
  <c r="AQ236" i="29"/>
  <c r="AQ237" i="29"/>
  <c r="AQ240" i="29"/>
  <c r="AQ241" i="29"/>
  <c r="AQ243" i="29"/>
  <c r="AQ244" i="29"/>
  <c r="AQ245" i="29"/>
  <c r="AQ246" i="29"/>
  <c r="AQ247" i="29"/>
  <c r="AQ248" i="29"/>
  <c r="AQ249" i="29"/>
  <c r="AQ250" i="29"/>
  <c r="AQ251" i="29"/>
  <c r="AQ252" i="29"/>
  <c r="AQ253" i="29"/>
  <c r="AQ254" i="29"/>
  <c r="AQ256" i="29"/>
  <c r="AQ257" i="29"/>
  <c r="AQ258" i="29"/>
  <c r="AQ259" i="29"/>
  <c r="AQ260" i="29"/>
  <c r="AQ261" i="29"/>
  <c r="AQ262" i="29"/>
  <c r="AQ263" i="29"/>
  <c r="AQ264" i="29"/>
  <c r="AQ265" i="29"/>
  <c r="AQ266" i="29"/>
  <c r="AQ267" i="29"/>
  <c r="AQ268" i="29"/>
  <c r="AQ269" i="29"/>
  <c r="AQ270" i="29"/>
  <c r="AQ271" i="29"/>
  <c r="AQ272" i="29"/>
  <c r="AQ273" i="29"/>
  <c r="AQ274" i="29"/>
  <c r="AQ275" i="29"/>
  <c r="AQ276" i="29"/>
  <c r="AQ277" i="29"/>
  <c r="AQ278" i="29"/>
  <c r="AQ279" i="29"/>
  <c r="AQ280" i="29"/>
  <c r="AQ281" i="29"/>
  <c r="AQ282" i="29"/>
  <c r="AQ283" i="29"/>
  <c r="AQ284" i="29"/>
  <c r="AQ285" i="29"/>
  <c r="AQ286" i="29"/>
  <c r="AQ287" i="29"/>
  <c r="AQ288" i="29"/>
  <c r="AQ289" i="29"/>
  <c r="AQ290" i="29"/>
  <c r="AQ291" i="29"/>
  <c r="AQ292" i="29"/>
  <c r="AQ293" i="29"/>
  <c r="AQ294" i="29"/>
  <c r="AQ295" i="29"/>
  <c r="AQ2" i="29"/>
  <c r="O15" i="15"/>
  <c r="AO148" i="29"/>
  <c r="W41" i="11"/>
  <c r="AO88" i="29"/>
  <c r="W40" i="11"/>
  <c r="AO87" i="29"/>
  <c r="D28" i="46"/>
  <c r="AO35" i="29"/>
  <c r="D17" i="46"/>
  <c r="AO24" i="29"/>
  <c r="D6" i="46"/>
  <c r="AO13" i="29"/>
  <c r="AN15" i="29"/>
  <c r="AN16" i="29"/>
  <c r="AN17" i="29"/>
  <c r="AN24" i="29"/>
  <c r="AN25" i="29"/>
  <c r="AN27" i="29"/>
  <c r="AN28" i="29"/>
  <c r="AN35" i="29"/>
  <c r="AN13" i="29"/>
  <c r="AL14" i="29"/>
  <c r="AL15" i="29"/>
  <c r="AL16" i="29"/>
  <c r="AL17" i="29"/>
  <c r="AL18" i="29"/>
  <c r="AL19" i="29"/>
  <c r="AL21" i="29"/>
  <c r="AL22" i="29"/>
  <c r="AL25" i="29"/>
  <c r="AL26" i="29"/>
  <c r="AL27" i="29"/>
  <c r="AL29" i="29"/>
  <c r="AL30" i="29"/>
  <c r="AL31" i="29"/>
  <c r="AL32" i="29"/>
  <c r="AL33" i="29"/>
  <c r="AL34" i="29"/>
  <c r="E2" i="29"/>
  <c r="S34" i="17"/>
  <c r="AO186" i="29"/>
  <c r="S35" i="17"/>
  <c r="S36" i="17"/>
  <c r="S37" i="17"/>
  <c r="S38" i="17"/>
  <c r="S39" i="17"/>
  <c r="S40" i="17"/>
  <c r="S41" i="17"/>
  <c r="S43" i="17"/>
  <c r="S26" i="17"/>
  <c r="AO178" i="29"/>
  <c r="S27" i="17"/>
  <c r="AO179" i="29"/>
  <c r="S28" i="17"/>
  <c r="AO180" i="29"/>
  <c r="S29" i="17"/>
  <c r="AO181" i="29"/>
  <c r="S30" i="17"/>
  <c r="AO182" i="29"/>
  <c r="S31" i="17"/>
  <c r="AO183" i="29"/>
  <c r="S10" i="17"/>
  <c r="AO162" i="29"/>
  <c r="S11" i="17"/>
  <c r="AO163" i="29"/>
  <c r="S12" i="17"/>
  <c r="AO164" i="29"/>
  <c r="S13" i="17"/>
  <c r="AO165" i="29"/>
  <c r="S14" i="17"/>
  <c r="AO166" i="29"/>
  <c r="S15" i="17"/>
  <c r="AO167" i="29"/>
  <c r="S16" i="17"/>
  <c r="AO168" i="29"/>
  <c r="S17" i="17"/>
  <c r="AO169" i="29"/>
  <c r="S18" i="17"/>
  <c r="AO170" i="29"/>
  <c r="S19" i="17"/>
  <c r="AO171" i="29"/>
  <c r="S20" i="17"/>
  <c r="AO172" i="29"/>
  <c r="S21" i="17"/>
  <c r="AO173" i="29"/>
  <c r="S22" i="17"/>
  <c r="AO174" i="29"/>
  <c r="S23" i="17"/>
  <c r="AO175" i="29"/>
  <c r="Q20" i="16"/>
  <c r="Q21" i="16"/>
  <c r="Q22" i="16"/>
  <c r="Q23" i="16"/>
  <c r="D27" i="46"/>
  <c r="AO34" i="29"/>
  <c r="D26" i="46"/>
  <c r="AO33" i="29"/>
  <c r="D25" i="46"/>
  <c r="AO32" i="29"/>
  <c r="D24" i="46"/>
  <c r="AO31" i="29"/>
  <c r="D23" i="46"/>
  <c r="AO30" i="29"/>
  <c r="D22" i="46"/>
  <c r="AO29" i="29"/>
  <c r="D21" i="46"/>
  <c r="AO28" i="29"/>
  <c r="D20" i="46"/>
  <c r="AO27" i="29"/>
  <c r="D19" i="46"/>
  <c r="AO26" i="29"/>
  <c r="D18" i="46"/>
  <c r="AO25" i="29"/>
  <c r="D16" i="46"/>
  <c r="AO23" i="29"/>
  <c r="D15" i="46"/>
  <c r="AO22" i="29"/>
  <c r="D14" i="46"/>
  <c r="AO21" i="29"/>
  <c r="D13" i="46"/>
  <c r="AO20" i="29"/>
  <c r="D12" i="46"/>
  <c r="AO19" i="29"/>
  <c r="D11" i="46"/>
  <c r="AO18" i="29"/>
  <c r="D10" i="46"/>
  <c r="AO17" i="29"/>
  <c r="D9" i="46"/>
  <c r="AO16" i="29"/>
  <c r="D8" i="46"/>
  <c r="AO15" i="29"/>
  <c r="D7" i="46"/>
  <c r="AO14" i="29"/>
  <c r="A27" i="46"/>
  <c r="AN34" i="29"/>
  <c r="A26" i="46"/>
  <c r="AN33" i="29"/>
  <c r="A25" i="46"/>
  <c r="AN32" i="29"/>
  <c r="A24" i="46"/>
  <c r="AN31" i="29"/>
  <c r="A23" i="46"/>
  <c r="AN30" i="29"/>
  <c r="A22" i="46"/>
  <c r="AN29" i="29"/>
  <c r="A21" i="46"/>
  <c r="A20" i="46"/>
  <c r="A19" i="46"/>
  <c r="AN26" i="29"/>
  <c r="A18" i="46"/>
  <c r="A16" i="46"/>
  <c r="AN23" i="29"/>
  <c r="A15" i="46"/>
  <c r="AN22" i="29"/>
  <c r="A14" i="46"/>
  <c r="AN21" i="29"/>
  <c r="A13" i="46"/>
  <c r="AN20" i="29"/>
  <c r="A12" i="46"/>
  <c r="AN19" i="29"/>
  <c r="A11" i="46"/>
  <c r="AN18" i="29"/>
  <c r="A10" i="46"/>
  <c r="A9" i="46"/>
  <c r="A8" i="46"/>
  <c r="A7" i="46"/>
  <c r="AN14" i="29"/>
  <c r="A1" i="46"/>
  <c r="C6" i="45"/>
  <c r="C17" i="45"/>
  <c r="B17" i="45"/>
  <c r="B17" i="46"/>
  <c r="AL24" i="29"/>
  <c r="B6" i="45"/>
  <c r="B6" i="46"/>
  <c r="AL13" i="29"/>
  <c r="A1" i="45"/>
  <c r="C12" i="19"/>
  <c r="K205" i="29"/>
  <c r="C13" i="19"/>
  <c r="K206" i="29"/>
  <c r="C14" i="19"/>
  <c r="K207" i="29"/>
  <c r="C15" i="19"/>
  <c r="K208" i="29"/>
  <c r="C16" i="19"/>
  <c r="K209" i="29"/>
  <c r="C17" i="19"/>
  <c r="K210" i="29"/>
  <c r="C7" i="19"/>
  <c r="K200" i="29"/>
  <c r="C8" i="19"/>
  <c r="K201" i="29"/>
  <c r="C9" i="19"/>
  <c r="K202" i="29"/>
  <c r="C10" i="19"/>
  <c r="K203" i="29"/>
  <c r="C18" i="18"/>
  <c r="C11" i="18"/>
  <c r="Q159" i="29"/>
  <c r="T158" i="29"/>
  <c r="B7" i="14"/>
  <c r="B24" i="14"/>
  <c r="B24" i="15"/>
  <c r="K157" i="29"/>
  <c r="B18" i="14"/>
  <c r="C71" i="10"/>
  <c r="C68" i="10"/>
  <c r="C64" i="10"/>
  <c r="C63" i="10"/>
  <c r="C59" i="10"/>
  <c r="C58" i="10"/>
  <c r="C54" i="10"/>
  <c r="C53" i="10"/>
  <c r="C44" i="10"/>
  <c r="C21" i="10"/>
  <c r="C18" i="10"/>
  <c r="C15" i="10"/>
  <c r="C12" i="10"/>
  <c r="C9" i="10"/>
  <c r="K198" i="29"/>
  <c r="Q15" i="33"/>
  <c r="Q18" i="33"/>
  <c r="N3" i="40"/>
  <c r="N4" i="40"/>
  <c r="N5" i="40"/>
  <c r="N6" i="40"/>
  <c r="N7" i="40"/>
  <c r="N8" i="40"/>
  <c r="N9" i="40"/>
  <c r="N10" i="40"/>
  <c r="N11" i="40"/>
  <c r="N12" i="40"/>
  <c r="N13" i="40"/>
  <c r="N14" i="40"/>
  <c r="N15" i="40"/>
  <c r="N16" i="40"/>
  <c r="N17" i="40"/>
  <c r="N18" i="40"/>
  <c r="N20" i="40"/>
  <c r="N23" i="40"/>
  <c r="N24" i="40"/>
  <c r="N25" i="40"/>
  <c r="N26" i="40"/>
  <c r="N27" i="40"/>
  <c r="N28" i="40"/>
  <c r="N29" i="40"/>
  <c r="N30" i="40"/>
  <c r="N31" i="40"/>
  <c r="N32" i="40"/>
  <c r="N33" i="40"/>
  <c r="N34" i="40"/>
  <c r="N35" i="40"/>
  <c r="N36" i="40"/>
  <c r="N37" i="40"/>
  <c r="N38" i="40"/>
  <c r="N40" i="40"/>
  <c r="N43" i="40"/>
  <c r="N44" i="40"/>
  <c r="N45" i="40"/>
  <c r="N46" i="40"/>
  <c r="N47" i="40"/>
  <c r="N48" i="40"/>
  <c r="N49" i="40"/>
  <c r="N50" i="40"/>
  <c r="N51" i="40"/>
  <c r="N52" i="40"/>
  <c r="N53" i="40"/>
  <c r="N54" i="40"/>
  <c r="N55" i="40"/>
  <c r="N56" i="40"/>
  <c r="N57" i="40"/>
  <c r="N58" i="40"/>
  <c r="N60" i="40"/>
  <c r="N63" i="40"/>
  <c r="N64" i="40"/>
  <c r="N65" i="40"/>
  <c r="N66" i="40"/>
  <c r="N67" i="40"/>
  <c r="N68" i="40"/>
  <c r="N69" i="40"/>
  <c r="N70" i="40"/>
  <c r="N71" i="40"/>
  <c r="N72" i="40"/>
  <c r="N73" i="40"/>
  <c r="N74" i="40"/>
  <c r="N75" i="40"/>
  <c r="N76" i="40"/>
  <c r="N77" i="40"/>
  <c r="N78" i="40"/>
  <c r="N80" i="40"/>
  <c r="N82" i="40"/>
  <c r="N83" i="40"/>
  <c r="N84" i="40"/>
  <c r="N85" i="40"/>
  <c r="N86" i="40"/>
  <c r="N87" i="40"/>
  <c r="N88" i="40"/>
  <c r="N89" i="40"/>
  <c r="N90" i="40"/>
  <c r="N91" i="40"/>
  <c r="N92" i="40"/>
  <c r="N93" i="40"/>
  <c r="N94" i="40"/>
  <c r="N95" i="40"/>
  <c r="N96" i="40"/>
  <c r="N97" i="40"/>
  <c r="N98" i="40"/>
  <c r="N100" i="40"/>
  <c r="N103" i="40"/>
  <c r="N104" i="40"/>
  <c r="N105" i="40"/>
  <c r="N106" i="40"/>
  <c r="N107" i="40"/>
  <c r="N108" i="40"/>
  <c r="N109" i="40"/>
  <c r="N110" i="40"/>
  <c r="N111" i="40"/>
  <c r="N112" i="40"/>
  <c r="N113" i="40"/>
  <c r="N114" i="40"/>
  <c r="N115" i="40"/>
  <c r="N116" i="40"/>
  <c r="N117" i="40"/>
  <c r="N118" i="40"/>
  <c r="N120" i="40"/>
  <c r="N123" i="40"/>
  <c r="N124" i="40"/>
  <c r="N125" i="40"/>
  <c r="N126" i="40"/>
  <c r="N127" i="40"/>
  <c r="N128" i="40"/>
  <c r="N129" i="40"/>
  <c r="N130" i="40"/>
  <c r="N131" i="40"/>
  <c r="N132" i="40"/>
  <c r="N133" i="40"/>
  <c r="N134" i="40"/>
  <c r="N135" i="40"/>
  <c r="N136" i="40"/>
  <c r="N137" i="40"/>
  <c r="N138" i="40"/>
  <c r="N140" i="40"/>
  <c r="N143" i="40"/>
  <c r="N144" i="40"/>
  <c r="N145" i="40"/>
  <c r="N146" i="40"/>
  <c r="N147" i="40"/>
  <c r="N148" i="40"/>
  <c r="N149" i="40"/>
  <c r="N150" i="40"/>
  <c r="N151" i="40"/>
  <c r="N152" i="40"/>
  <c r="N153" i="40"/>
  <c r="N154" i="40"/>
  <c r="N155" i="40"/>
  <c r="N156" i="40"/>
  <c r="N157" i="40"/>
  <c r="N158" i="40"/>
  <c r="N160" i="40"/>
  <c r="N163" i="40"/>
  <c r="N164" i="40"/>
  <c r="N165" i="40"/>
  <c r="N166" i="40"/>
  <c r="N167" i="40"/>
  <c r="N168" i="40"/>
  <c r="N169" i="40"/>
  <c r="N170" i="40"/>
  <c r="N171" i="40"/>
  <c r="N172" i="40"/>
  <c r="N173" i="40"/>
  <c r="N174" i="40"/>
  <c r="N175" i="40"/>
  <c r="N176" i="40"/>
  <c r="N177" i="40"/>
  <c r="N178" i="40"/>
  <c r="N180" i="40"/>
  <c r="N183" i="40"/>
  <c r="N184" i="40"/>
  <c r="N185" i="40"/>
  <c r="N186" i="40"/>
  <c r="N187" i="40"/>
  <c r="N188" i="40"/>
  <c r="N189" i="40"/>
  <c r="N190" i="40"/>
  <c r="N191" i="40"/>
  <c r="N192" i="40"/>
  <c r="N193" i="40"/>
  <c r="N194" i="40"/>
  <c r="N195" i="40"/>
  <c r="N196" i="40"/>
  <c r="N197" i="40"/>
  <c r="N198" i="40"/>
  <c r="N200" i="40"/>
  <c r="N203" i="40"/>
  <c r="N204" i="40"/>
  <c r="N205" i="40"/>
  <c r="N206" i="40"/>
  <c r="N207" i="40"/>
  <c r="N208" i="40"/>
  <c r="N209" i="40"/>
  <c r="N210" i="40"/>
  <c r="N211" i="40"/>
  <c r="N212" i="40"/>
  <c r="N213" i="40"/>
  <c r="N214" i="40"/>
  <c r="N215" i="40"/>
  <c r="N216" i="40"/>
  <c r="N217" i="40"/>
  <c r="N218" i="40"/>
  <c r="N220" i="40"/>
  <c r="N254" i="40"/>
  <c r="Q44" i="16"/>
  <c r="Q41" i="16"/>
  <c r="Q40" i="16"/>
  <c r="Q39" i="16"/>
  <c r="Q38" i="16"/>
  <c r="Q37" i="16"/>
  <c r="Q36" i="16"/>
  <c r="Q35" i="16"/>
  <c r="Q34" i="16"/>
  <c r="Q33" i="16"/>
  <c r="Q30" i="16"/>
  <c r="Q29" i="16"/>
  <c r="Q28" i="16"/>
  <c r="Q27" i="16"/>
  <c r="Q26" i="16"/>
  <c r="Q25" i="16"/>
  <c r="Q19" i="16"/>
  <c r="Q18" i="16"/>
  <c r="Q17" i="16"/>
  <c r="Q16" i="16"/>
  <c r="Q15" i="16"/>
  <c r="Q14" i="16"/>
  <c r="Q13" i="16"/>
  <c r="Q12" i="16"/>
  <c r="Q11" i="16"/>
  <c r="Q10" i="16"/>
  <c r="Q9" i="16"/>
  <c r="M15" i="14"/>
  <c r="E15" i="14"/>
  <c r="S13" i="33"/>
  <c r="S16" i="33"/>
  <c r="S20" i="33"/>
  <c r="S31" i="33"/>
  <c r="N223" i="40"/>
  <c r="N224" i="40"/>
  <c r="N225" i="40"/>
  <c r="N226" i="40"/>
  <c r="N227" i="40"/>
  <c r="N228" i="40"/>
  <c r="N229" i="40"/>
  <c r="N230" i="40"/>
  <c r="N231" i="40"/>
  <c r="N232" i="40"/>
  <c r="N233" i="40"/>
  <c r="N234" i="40"/>
  <c r="N235" i="40"/>
  <c r="N236" i="40"/>
  <c r="N237" i="40"/>
  <c r="N238" i="40"/>
  <c r="N239" i="40"/>
  <c r="N240" i="40"/>
  <c r="N241" i="40"/>
  <c r="N243" i="40"/>
  <c r="N244" i="40"/>
  <c r="N245" i="40"/>
  <c r="N246" i="40"/>
  <c r="N247" i="40"/>
  <c r="N248" i="40"/>
  <c r="N249" i="40"/>
  <c r="N250" i="40"/>
  <c r="N251" i="40"/>
  <c r="N252" i="40"/>
  <c r="N253" i="40"/>
  <c r="N255" i="40"/>
  <c r="N256" i="40"/>
  <c r="N257" i="40"/>
  <c r="N258" i="40"/>
  <c r="N259" i="40"/>
  <c r="N260" i="40"/>
  <c r="N261" i="40"/>
  <c r="N263" i="40"/>
  <c r="N264" i="40"/>
  <c r="N265" i="40"/>
  <c r="N266" i="40"/>
  <c r="N267" i="40"/>
  <c r="N268" i="40"/>
  <c r="N269" i="40"/>
  <c r="N270" i="40"/>
  <c r="N271" i="40"/>
  <c r="N272" i="40"/>
  <c r="N273" i="40"/>
  <c r="N274" i="40"/>
  <c r="N275" i="40"/>
  <c r="N276" i="40"/>
  <c r="N277" i="40"/>
  <c r="N278" i="40"/>
  <c r="N279" i="40"/>
  <c r="N280" i="40"/>
  <c r="N281" i="40"/>
  <c r="N283" i="40"/>
  <c r="N284" i="40"/>
  <c r="N285" i="40"/>
  <c r="N286" i="40"/>
  <c r="N287" i="40"/>
  <c r="N288" i="40"/>
  <c r="N289" i="40"/>
  <c r="N290" i="40"/>
  <c r="N291" i="40"/>
  <c r="N292" i="40"/>
  <c r="N293" i="40"/>
  <c r="N294" i="40"/>
  <c r="N295" i="40"/>
  <c r="N296" i="40"/>
  <c r="N297" i="40"/>
  <c r="N298" i="40"/>
  <c r="N299" i="40"/>
  <c r="N300" i="40"/>
  <c r="N301" i="40"/>
  <c r="N303" i="40"/>
  <c r="N304" i="40"/>
  <c r="N305" i="40"/>
  <c r="N306" i="40"/>
  <c r="N307" i="40"/>
  <c r="N308" i="40"/>
  <c r="N309" i="40"/>
  <c r="N310" i="40"/>
  <c r="N311" i="40"/>
  <c r="N312" i="40"/>
  <c r="N313" i="40"/>
  <c r="N314" i="40"/>
  <c r="N315" i="40"/>
  <c r="N316" i="40"/>
  <c r="N317" i="40"/>
  <c r="N318" i="40"/>
  <c r="N319" i="40"/>
  <c r="N320" i="40"/>
  <c r="N321" i="40"/>
  <c r="N323" i="40"/>
  <c r="N324" i="40"/>
  <c r="N325" i="40"/>
  <c r="N326" i="40"/>
  <c r="N327" i="40"/>
  <c r="N328" i="40"/>
  <c r="N329" i="40"/>
  <c r="N330" i="40"/>
  <c r="N331" i="40"/>
  <c r="N332" i="40"/>
  <c r="N333" i="40"/>
  <c r="N334" i="40"/>
  <c r="N335" i="40"/>
  <c r="N336" i="40"/>
  <c r="N337" i="40"/>
  <c r="N338" i="40"/>
  <c r="N339" i="40"/>
  <c r="N340" i="40"/>
  <c r="N341" i="40"/>
  <c r="N343" i="40"/>
  <c r="N344" i="40"/>
  <c r="N345" i="40"/>
  <c r="N346" i="40"/>
  <c r="N347" i="40"/>
  <c r="N348" i="40"/>
  <c r="N349" i="40"/>
  <c r="N350" i="40"/>
  <c r="N351" i="40"/>
  <c r="N352" i="40"/>
  <c r="N353" i="40"/>
  <c r="N354" i="40"/>
  <c r="N355" i="40"/>
  <c r="N356" i="40"/>
  <c r="N357" i="40"/>
  <c r="N358" i="40"/>
  <c r="N359" i="40"/>
  <c r="N360" i="40"/>
  <c r="N361" i="40"/>
  <c r="N363" i="40"/>
  <c r="N364" i="40"/>
  <c r="N365" i="40"/>
  <c r="N366" i="40"/>
  <c r="N367" i="40"/>
  <c r="N368" i="40"/>
  <c r="N369" i="40"/>
  <c r="N370" i="40"/>
  <c r="N371" i="40"/>
  <c r="C1" i="33"/>
  <c r="C1" i="32"/>
  <c r="C1" i="31"/>
  <c r="C1" i="30"/>
  <c r="D7" i="30"/>
  <c r="E7" i="30"/>
  <c r="H7" i="30"/>
  <c r="I7" i="30"/>
  <c r="A2" i="29"/>
  <c r="Q157" i="29"/>
  <c r="R157" i="29"/>
  <c r="S157" i="29"/>
  <c r="T157" i="29"/>
  <c r="U157" i="29"/>
  <c r="V157" i="29"/>
  <c r="Q158" i="29"/>
  <c r="R158" i="29"/>
  <c r="S158" i="29"/>
  <c r="U158" i="29"/>
  <c r="V158" i="29"/>
  <c r="R159" i="29"/>
  <c r="S159" i="29"/>
  <c r="T159" i="29"/>
  <c r="U159" i="29"/>
  <c r="W250" i="29"/>
  <c r="X250" i="29"/>
  <c r="Y250" i="29"/>
  <c r="Z250" i="29"/>
  <c r="AA250" i="29"/>
  <c r="AB250" i="29"/>
  <c r="AC250" i="29"/>
  <c r="AD250" i="29"/>
  <c r="AE250" i="29"/>
  <c r="AF250" i="29"/>
  <c r="AG250" i="29"/>
  <c r="W251" i="29"/>
  <c r="X251" i="29"/>
  <c r="Y251" i="29"/>
  <c r="Z251" i="29"/>
  <c r="AA251" i="29"/>
  <c r="AB251" i="29"/>
  <c r="AC251" i="29"/>
  <c r="AD251" i="29"/>
  <c r="AE251" i="29"/>
  <c r="AF251" i="29"/>
  <c r="AG251" i="29"/>
  <c r="AH251" i="29"/>
  <c r="J256" i="29"/>
  <c r="L256" i="29"/>
  <c r="O256" i="29"/>
  <c r="AN256" i="29"/>
  <c r="J257" i="29"/>
  <c r="L257" i="29"/>
  <c r="O257" i="29"/>
  <c r="AN257" i="29"/>
  <c r="J258" i="29"/>
  <c r="L258" i="29"/>
  <c r="O258" i="29"/>
  <c r="AN258" i="29"/>
  <c r="J259" i="29"/>
  <c r="L259" i="29"/>
  <c r="O259" i="29"/>
  <c r="AN259" i="29"/>
  <c r="J260" i="29"/>
  <c r="L260" i="29"/>
  <c r="O260" i="29"/>
  <c r="AN260" i="29"/>
  <c r="J261" i="29"/>
  <c r="L261" i="29"/>
  <c r="O261" i="29"/>
  <c r="AN261" i="29"/>
  <c r="J262" i="29"/>
  <c r="L262" i="29"/>
  <c r="O262" i="29"/>
  <c r="AN262" i="29"/>
  <c r="J263" i="29"/>
  <c r="L263" i="29"/>
  <c r="O263" i="29"/>
  <c r="AN263" i="29"/>
  <c r="J264" i="29"/>
  <c r="L264" i="29"/>
  <c r="O264" i="29"/>
  <c r="AN264" i="29"/>
  <c r="J265" i="29"/>
  <c r="L265" i="29"/>
  <c r="O265" i="29"/>
  <c r="AN265" i="29"/>
  <c r="J266" i="29"/>
  <c r="L266" i="29"/>
  <c r="O266" i="29"/>
  <c r="AN266" i="29"/>
  <c r="J267" i="29"/>
  <c r="AO268" i="29"/>
  <c r="AO270" i="29"/>
  <c r="AN271" i="29"/>
  <c r="AN273" i="29"/>
  <c r="A1" i="28"/>
  <c r="A4" i="28"/>
  <c r="A6" i="28"/>
  <c r="AN275" i="29"/>
  <c r="A7" i="28"/>
  <c r="AN276" i="29"/>
  <c r="A8" i="28"/>
  <c r="AN277" i="29"/>
  <c r="A9" i="28"/>
  <c r="AN278" i="29"/>
  <c r="A10" i="28"/>
  <c r="AN279" i="29"/>
  <c r="A11" i="28"/>
  <c r="AN280" i="29"/>
  <c r="A12" i="28"/>
  <c r="AN281" i="29"/>
  <c r="A13" i="28"/>
  <c r="AN282" i="29"/>
  <c r="A14" i="28"/>
  <c r="AN283" i="29"/>
  <c r="A15" i="28"/>
  <c r="AN284" i="29"/>
  <c r="A16" i="28"/>
  <c r="AN285" i="29"/>
  <c r="A17" i="28"/>
  <c r="AN286" i="29"/>
  <c r="A18" i="28"/>
  <c r="AN287" i="29"/>
  <c r="A19" i="28"/>
  <c r="AN288" i="29"/>
  <c r="A20" i="28"/>
  <c r="AN289" i="29"/>
  <c r="A21" i="28"/>
  <c r="AN290" i="29"/>
  <c r="A22" i="28"/>
  <c r="AN291" i="29"/>
  <c r="A23" i="28"/>
  <c r="AN292" i="29"/>
  <c r="A24" i="28"/>
  <c r="AN293" i="29"/>
  <c r="A25" i="28"/>
  <c r="AN294" i="29"/>
  <c r="A26" i="28"/>
  <c r="AN295" i="29"/>
  <c r="A1" i="27"/>
  <c r="B15" i="27"/>
  <c r="C15" i="27"/>
  <c r="D15" i="27"/>
  <c r="B25" i="27"/>
  <c r="B26" i="27"/>
  <c r="C25" i="27"/>
  <c r="D25" i="27"/>
  <c r="D26" i="27"/>
  <c r="A1" i="26"/>
  <c r="B8" i="26"/>
  <c r="G8" i="26"/>
  <c r="A9" i="26"/>
  <c r="AN269" i="29"/>
  <c r="G9" i="26"/>
  <c r="AO269" i="29"/>
  <c r="A10" i="26"/>
  <c r="AN270" i="29"/>
  <c r="G10" i="26"/>
  <c r="A11" i="26"/>
  <c r="G11" i="26"/>
  <c r="AO271" i="29"/>
  <c r="A12" i="26"/>
  <c r="AN272" i="29"/>
  <c r="G12" i="26"/>
  <c r="AO272" i="29"/>
  <c r="A13" i="26"/>
  <c r="G13" i="26"/>
  <c r="AO273" i="29"/>
  <c r="G14" i="26"/>
  <c r="AO274" i="29"/>
  <c r="A1" i="25"/>
  <c r="E9" i="25"/>
  <c r="F9" i="25"/>
  <c r="E10" i="25"/>
  <c r="F10" i="25"/>
  <c r="E11" i="25"/>
  <c r="F11" i="25"/>
  <c r="E12" i="25"/>
  <c r="F12" i="25"/>
  <c r="E13" i="25"/>
  <c r="F13" i="25"/>
  <c r="D14" i="25"/>
  <c r="M10" i="8"/>
  <c r="A1" i="22"/>
  <c r="E7" i="22"/>
  <c r="F7" i="22"/>
  <c r="E8" i="22"/>
  <c r="F8" i="22"/>
  <c r="E9" i="22"/>
  <c r="F9" i="22"/>
  <c r="E10" i="22"/>
  <c r="F10" i="22"/>
  <c r="E11" i="22"/>
  <c r="F11" i="22"/>
  <c r="E12" i="22"/>
  <c r="F12" i="22"/>
  <c r="E13" i="22"/>
  <c r="F13" i="22"/>
  <c r="E14" i="22"/>
  <c r="F14" i="22"/>
  <c r="E15" i="22"/>
  <c r="F15" i="22"/>
  <c r="E16" i="22"/>
  <c r="F16" i="22"/>
  <c r="E17" i="22"/>
  <c r="F17" i="22"/>
  <c r="B18" i="22"/>
  <c r="L267" i="29"/>
  <c r="D18" i="22"/>
  <c r="E18" i="22"/>
  <c r="A1" i="21"/>
  <c r="A6" i="21"/>
  <c r="U8" i="21"/>
  <c r="AO244" i="29"/>
  <c r="U9" i="21"/>
  <c r="AO245" i="29"/>
  <c r="AO247" i="29"/>
  <c r="AO248" i="29"/>
  <c r="C15" i="21"/>
  <c r="I251" i="29"/>
  <c r="D15" i="21"/>
  <c r="J251" i="29"/>
  <c r="E15" i="21"/>
  <c r="L251" i="29"/>
  <c r="R15" i="21"/>
  <c r="P251" i="29"/>
  <c r="AO252" i="29"/>
  <c r="A1" i="20"/>
  <c r="R8" i="20"/>
  <c r="A1" i="19"/>
  <c r="U6" i="19"/>
  <c r="AO199" i="29"/>
  <c r="D7" i="19"/>
  <c r="L200" i="29"/>
  <c r="E7" i="19"/>
  <c r="E11" i="19"/>
  <c r="Q7" i="19"/>
  <c r="O200" i="29"/>
  <c r="R7" i="19"/>
  <c r="O218" i="29"/>
  <c r="U7" i="19"/>
  <c r="AO218" i="29"/>
  <c r="D8" i="19"/>
  <c r="L201" i="29"/>
  <c r="E8" i="19"/>
  <c r="L219" i="29"/>
  <c r="Q8" i="19"/>
  <c r="O201" i="29"/>
  <c r="R8" i="19"/>
  <c r="U8" i="19"/>
  <c r="AO219" i="29"/>
  <c r="D9" i="19"/>
  <c r="L202" i="29"/>
  <c r="E9" i="19"/>
  <c r="Q9" i="19"/>
  <c r="O202" i="29"/>
  <c r="R9" i="19"/>
  <c r="T9" i="19"/>
  <c r="U9" i="19"/>
  <c r="AO202" i="29"/>
  <c r="D10" i="19"/>
  <c r="L203" i="29"/>
  <c r="E10" i="19"/>
  <c r="L221" i="29"/>
  <c r="Q10" i="19"/>
  <c r="O203" i="29"/>
  <c r="R10" i="19"/>
  <c r="O221" i="29"/>
  <c r="U10" i="19"/>
  <c r="AO203" i="29"/>
  <c r="U11" i="19"/>
  <c r="AO204" i="29"/>
  <c r="D12" i="19"/>
  <c r="L205" i="29"/>
  <c r="E12" i="19"/>
  <c r="L223" i="29"/>
  <c r="F12" i="19"/>
  <c r="W205" i="29"/>
  <c r="G12" i="19"/>
  <c r="X205" i="29"/>
  <c r="H12" i="19"/>
  <c r="Y205" i="29"/>
  <c r="I12" i="19"/>
  <c r="Z205" i="29"/>
  <c r="J12" i="19"/>
  <c r="AA205" i="29"/>
  <c r="K12" i="19"/>
  <c r="AB205" i="29"/>
  <c r="L12" i="19"/>
  <c r="M12" i="19"/>
  <c r="AD205" i="29"/>
  <c r="N12" i="19"/>
  <c r="AE205" i="29"/>
  <c r="O12" i="19"/>
  <c r="AF205" i="29"/>
  <c r="P12" i="19"/>
  <c r="AG205" i="29"/>
  <c r="Q12" i="19"/>
  <c r="O205" i="29"/>
  <c r="AH205" i="29"/>
  <c r="U12" i="19"/>
  <c r="AO205" i="29"/>
  <c r="D13" i="19"/>
  <c r="L206" i="29"/>
  <c r="E13" i="19"/>
  <c r="L224" i="29"/>
  <c r="F13" i="19"/>
  <c r="W206" i="29"/>
  <c r="G13" i="19"/>
  <c r="X206" i="29"/>
  <c r="H13" i="19"/>
  <c r="I13" i="19"/>
  <c r="Z206" i="29"/>
  <c r="J13" i="19"/>
  <c r="AA206" i="29"/>
  <c r="K13" i="19"/>
  <c r="AB206" i="29"/>
  <c r="L13" i="19"/>
  <c r="AC206" i="29"/>
  <c r="M13" i="19"/>
  <c r="AD206" i="29"/>
  <c r="N13" i="19"/>
  <c r="AE206" i="29"/>
  <c r="O13" i="19"/>
  <c r="AF206" i="29"/>
  <c r="P13" i="19"/>
  <c r="AG206" i="29"/>
  <c r="Q13" i="19"/>
  <c r="AH206" i="29"/>
  <c r="U13" i="19"/>
  <c r="AO224" i="29"/>
  <c r="D14" i="19"/>
  <c r="L207" i="29"/>
  <c r="E14" i="19"/>
  <c r="L225" i="29"/>
  <c r="F14" i="19"/>
  <c r="W207" i="29"/>
  <c r="G14" i="19"/>
  <c r="X207" i="29"/>
  <c r="H14" i="19"/>
  <c r="Y207" i="29"/>
  <c r="I14" i="19"/>
  <c r="Z207" i="29"/>
  <c r="J14" i="19"/>
  <c r="AA207" i="29"/>
  <c r="K14" i="19"/>
  <c r="AB207" i="29"/>
  <c r="L14" i="19"/>
  <c r="AC207" i="29"/>
  <c r="M14" i="19"/>
  <c r="AD207" i="29"/>
  <c r="N14" i="19"/>
  <c r="AE207" i="29"/>
  <c r="O14" i="19"/>
  <c r="AF207" i="29"/>
  <c r="P14" i="19"/>
  <c r="AG207" i="29"/>
  <c r="Q14" i="19"/>
  <c r="O207" i="29"/>
  <c r="U14" i="19"/>
  <c r="AO225" i="29"/>
  <c r="D15" i="19"/>
  <c r="L208" i="29"/>
  <c r="E15" i="19"/>
  <c r="L226" i="29"/>
  <c r="F15" i="19"/>
  <c r="W208" i="29"/>
  <c r="G15" i="19"/>
  <c r="X208" i="29"/>
  <c r="H15" i="19"/>
  <c r="Y208" i="29"/>
  <c r="I15" i="19"/>
  <c r="Z208" i="29"/>
  <c r="J15" i="19"/>
  <c r="AA208" i="29"/>
  <c r="K15" i="19"/>
  <c r="AB208" i="29"/>
  <c r="L15" i="19"/>
  <c r="AC208" i="29"/>
  <c r="M15" i="19"/>
  <c r="AD208" i="29"/>
  <c r="N15" i="19"/>
  <c r="AE208" i="29"/>
  <c r="O15" i="19"/>
  <c r="AF208" i="29"/>
  <c r="P15" i="19"/>
  <c r="AG208" i="29"/>
  <c r="Q15" i="19"/>
  <c r="O208" i="29"/>
  <c r="U15" i="19"/>
  <c r="AO208" i="29"/>
  <c r="D16" i="19"/>
  <c r="L209" i="29"/>
  <c r="E16" i="19"/>
  <c r="L227" i="29"/>
  <c r="F16" i="19"/>
  <c r="W209" i="29"/>
  <c r="G16" i="19"/>
  <c r="X209" i="29"/>
  <c r="H16" i="19"/>
  <c r="Y209" i="29"/>
  <c r="I16" i="19"/>
  <c r="Z209" i="29"/>
  <c r="J16" i="19"/>
  <c r="AA209" i="29"/>
  <c r="K16" i="19"/>
  <c r="AB209" i="29"/>
  <c r="L16" i="19"/>
  <c r="AC209" i="29"/>
  <c r="M16" i="19"/>
  <c r="AD209" i="29"/>
  <c r="N16" i="19"/>
  <c r="AE209" i="29"/>
  <c r="O16" i="19"/>
  <c r="AF209" i="29"/>
  <c r="P16" i="19"/>
  <c r="AG209" i="29"/>
  <c r="Q16" i="19"/>
  <c r="AH209" i="29"/>
  <c r="U16" i="19"/>
  <c r="AO227" i="29"/>
  <c r="D17" i="19"/>
  <c r="L210" i="29"/>
  <c r="E17" i="19"/>
  <c r="L228" i="29"/>
  <c r="F17" i="19"/>
  <c r="W210" i="29"/>
  <c r="G17" i="19"/>
  <c r="X210" i="29"/>
  <c r="H17" i="19"/>
  <c r="Y210" i="29"/>
  <c r="I17" i="19"/>
  <c r="Z210" i="29"/>
  <c r="J17" i="19"/>
  <c r="AA210" i="29"/>
  <c r="K17" i="19"/>
  <c r="AB210" i="29"/>
  <c r="L17" i="19"/>
  <c r="AC210" i="29"/>
  <c r="M17" i="19"/>
  <c r="AD210" i="29"/>
  <c r="N17" i="19"/>
  <c r="AE210" i="29"/>
  <c r="O17" i="19"/>
  <c r="AF210" i="29"/>
  <c r="P17" i="19"/>
  <c r="AG210" i="29"/>
  <c r="Q17" i="19"/>
  <c r="O210" i="29"/>
  <c r="U17" i="19"/>
  <c r="AO228" i="29"/>
  <c r="U18" i="19"/>
  <c r="AO211" i="29"/>
  <c r="U19" i="19"/>
  <c r="AO212" i="29"/>
  <c r="U20" i="19"/>
  <c r="W231" i="29"/>
  <c r="X231" i="29"/>
  <c r="Y213" i="29"/>
  <c r="Z231" i="29"/>
  <c r="AA231" i="29"/>
  <c r="AB231" i="29"/>
  <c r="AC231" i="29"/>
  <c r="AD231" i="29"/>
  <c r="AE231" i="29"/>
  <c r="AF231" i="29"/>
  <c r="AG231" i="29"/>
  <c r="AO231" i="29"/>
  <c r="U23" i="19"/>
  <c r="E24" i="19"/>
  <c r="L233" i="29"/>
  <c r="R24" i="19"/>
  <c r="U24" i="19"/>
  <c r="AO233" i="29"/>
  <c r="E25" i="19"/>
  <c r="L234" i="29"/>
  <c r="R25" i="19"/>
  <c r="U25" i="19"/>
  <c r="AO216" i="29"/>
  <c r="U26" i="19"/>
  <c r="U28" i="19"/>
  <c r="U29" i="19"/>
  <c r="AO235" i="29"/>
  <c r="U30" i="19"/>
  <c r="AO236" i="29"/>
  <c r="U31" i="19"/>
  <c r="AO237" i="29"/>
  <c r="A1" i="18"/>
  <c r="S7" i="18"/>
  <c r="T7" i="18"/>
  <c r="S8" i="18"/>
  <c r="T8" i="18"/>
  <c r="S9" i="18"/>
  <c r="T9" i="18"/>
  <c r="S10" i="18"/>
  <c r="T10" i="18"/>
  <c r="D11" i="18"/>
  <c r="E11" i="18"/>
  <c r="Q11" i="18"/>
  <c r="R11" i="18"/>
  <c r="R12" i="18"/>
  <c r="R13" i="18"/>
  <c r="R14" i="18"/>
  <c r="S14" i="18"/>
  <c r="R15" i="18"/>
  <c r="S15" i="18"/>
  <c r="R16" i="18"/>
  <c r="T16" i="18"/>
  <c r="R17" i="18"/>
  <c r="R17" i="19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S24" i="18"/>
  <c r="T24" i="18"/>
  <c r="S25" i="18"/>
  <c r="T25" i="18"/>
  <c r="A1" i="17"/>
  <c r="B5" i="17"/>
  <c r="S7" i="17"/>
  <c r="S8" i="17"/>
  <c r="AO160" i="29"/>
  <c r="S9" i="17"/>
  <c r="AO161" i="29"/>
  <c r="S24" i="17"/>
  <c r="AO176" i="29"/>
  <c r="S25" i="17"/>
  <c r="AO177" i="29"/>
  <c r="S32" i="17"/>
  <c r="AO184" i="29"/>
  <c r="S33" i="17"/>
  <c r="AO185" i="29"/>
  <c r="S44" i="17"/>
  <c r="S45" i="17"/>
  <c r="S46" i="17"/>
  <c r="AO197" i="29"/>
  <c r="S47" i="17"/>
  <c r="AO198" i="29"/>
  <c r="A1" i="16"/>
  <c r="A1" i="15"/>
  <c r="A4" i="15"/>
  <c r="O6" i="15"/>
  <c r="AO140" i="29"/>
  <c r="O7" i="15"/>
  <c r="AO141" i="29"/>
  <c r="O8" i="15"/>
  <c r="AO142" i="29"/>
  <c r="O9" i="15"/>
  <c r="O10" i="15"/>
  <c r="AO143" i="29"/>
  <c r="O11" i="15"/>
  <c r="AO144" i="29"/>
  <c r="O12" i="15"/>
  <c r="AO145" i="29"/>
  <c r="O13" i="15"/>
  <c r="AO146" i="29"/>
  <c r="O14" i="15"/>
  <c r="AO147" i="29"/>
  <c r="O16" i="15"/>
  <c r="AO149" i="29"/>
  <c r="O17" i="15"/>
  <c r="AO150" i="29"/>
  <c r="O18" i="15"/>
  <c r="AO151" i="29"/>
  <c r="O19" i="15"/>
  <c r="AO152" i="29"/>
  <c r="O20" i="15"/>
  <c r="AO153" i="29"/>
  <c r="O21" i="15"/>
  <c r="AO154" i="29"/>
  <c r="O22" i="15"/>
  <c r="AO155" i="29"/>
  <c r="O23" i="15"/>
  <c r="AO156" i="29"/>
  <c r="O24" i="15"/>
  <c r="AO157" i="29"/>
  <c r="O25" i="15"/>
  <c r="AO158" i="29"/>
  <c r="AO159" i="29"/>
  <c r="A1" i="14"/>
  <c r="D6" i="14"/>
  <c r="F6" i="14"/>
  <c r="G6" i="14"/>
  <c r="H6" i="14"/>
  <c r="I6" i="14"/>
  <c r="K6" i="14"/>
  <c r="K9" i="14"/>
  <c r="C7" i="14"/>
  <c r="D7" i="14"/>
  <c r="E7" i="14"/>
  <c r="E7" i="15"/>
  <c r="N141" i="29"/>
  <c r="F7" i="14"/>
  <c r="G7" i="14"/>
  <c r="H7" i="14"/>
  <c r="I7" i="14"/>
  <c r="J7" i="14"/>
  <c r="K7" i="14"/>
  <c r="L7" i="14"/>
  <c r="C10" i="14"/>
  <c r="D10" i="14"/>
  <c r="G10" i="14"/>
  <c r="I10" i="14"/>
  <c r="K10" i="14"/>
  <c r="L10" i="14"/>
  <c r="E11" i="14"/>
  <c r="M11" i="14"/>
  <c r="E12" i="14"/>
  <c r="M12" i="14"/>
  <c r="E13" i="14"/>
  <c r="M13" i="14"/>
  <c r="E14" i="14"/>
  <c r="M14" i="14"/>
  <c r="E16" i="14"/>
  <c r="M16" i="14"/>
  <c r="E17" i="14"/>
  <c r="M17" i="14"/>
  <c r="C18" i="14"/>
  <c r="C8" i="14"/>
  <c r="D18" i="14"/>
  <c r="D8" i="14"/>
  <c r="G18" i="14"/>
  <c r="I18" i="14"/>
  <c r="K18" i="14"/>
  <c r="L18" i="14"/>
  <c r="E19" i="14"/>
  <c r="M19" i="14"/>
  <c r="E20" i="14"/>
  <c r="M20" i="14"/>
  <c r="E21" i="14"/>
  <c r="M21" i="14"/>
  <c r="E22" i="14"/>
  <c r="M22" i="14"/>
  <c r="E23" i="14"/>
  <c r="M23" i="14"/>
  <c r="C24" i="14"/>
  <c r="C24" i="15"/>
  <c r="L24" i="14"/>
  <c r="M24" i="15"/>
  <c r="O157" i="29"/>
  <c r="E25" i="14"/>
  <c r="E25" i="15"/>
  <c r="N158" i="29"/>
  <c r="M25" i="14"/>
  <c r="E26" i="14"/>
  <c r="M26" i="14"/>
  <c r="A1" i="13"/>
  <c r="W7" i="13"/>
  <c r="AO108" i="29"/>
  <c r="W8" i="13"/>
  <c r="AO109" i="29"/>
  <c r="W9" i="13"/>
  <c r="AO110" i="29"/>
  <c r="W10" i="13"/>
  <c r="AO111" i="29"/>
  <c r="W11" i="13"/>
  <c r="AO112" i="29"/>
  <c r="W12" i="13"/>
  <c r="AO113" i="29"/>
  <c r="W13" i="13"/>
  <c r="AO114" i="29"/>
  <c r="W14" i="13"/>
  <c r="AO115" i="29"/>
  <c r="W15" i="13"/>
  <c r="AO116" i="29"/>
  <c r="W16" i="13"/>
  <c r="AO117" i="29"/>
  <c r="W17" i="13"/>
  <c r="AO118" i="29"/>
  <c r="W18" i="13"/>
  <c r="AO119" i="29"/>
  <c r="W19" i="13"/>
  <c r="AO120" i="29"/>
  <c r="W20" i="13"/>
  <c r="AO121" i="29"/>
  <c r="W21" i="13"/>
  <c r="AO122" i="29"/>
  <c r="W22" i="13"/>
  <c r="AO123" i="29"/>
  <c r="W23" i="13"/>
  <c r="AO124" i="29"/>
  <c r="W24" i="13"/>
  <c r="AO125" i="29"/>
  <c r="W25" i="13"/>
  <c r="AO126" i="29"/>
  <c r="W26" i="13"/>
  <c r="AO127" i="29"/>
  <c r="W27" i="13"/>
  <c r="AO128" i="29"/>
  <c r="W28" i="13"/>
  <c r="AO129" i="29"/>
  <c r="W29" i="13"/>
  <c r="AO130" i="29"/>
  <c r="W30" i="13"/>
  <c r="AO131" i="29"/>
  <c r="W31" i="13"/>
  <c r="AO132" i="29"/>
  <c r="W32" i="13"/>
  <c r="AO133" i="29"/>
  <c r="W33" i="13"/>
  <c r="AO134" i="29"/>
  <c r="W34" i="13"/>
  <c r="AO135" i="29"/>
  <c r="W35" i="13"/>
  <c r="W36" i="13"/>
  <c r="AO136" i="29"/>
  <c r="W37" i="13"/>
  <c r="W38" i="13"/>
  <c r="AO137" i="29"/>
  <c r="W39" i="13"/>
  <c r="W40" i="13"/>
  <c r="AO138" i="29"/>
  <c r="W41" i="13"/>
  <c r="W42" i="13"/>
  <c r="AO139" i="29"/>
  <c r="W43" i="13"/>
  <c r="A1" i="12"/>
  <c r="Q7" i="12"/>
  <c r="Q15" i="12"/>
  <c r="Q36" i="12"/>
  <c r="P25" i="12"/>
  <c r="P30" i="12"/>
  <c r="P29" i="12"/>
  <c r="C30" i="12"/>
  <c r="C29" i="12"/>
  <c r="R29" i="12"/>
  <c r="R26" i="12"/>
  <c r="P8" i="12"/>
  <c r="G33" i="32"/>
  <c r="C8" i="12"/>
  <c r="R8" i="12"/>
  <c r="R42" i="12"/>
  <c r="M6" i="8"/>
  <c r="P7" i="12"/>
  <c r="C6" i="8"/>
  <c r="C7" i="12"/>
  <c r="R7" i="12"/>
  <c r="R43" i="12"/>
  <c r="G34" i="32"/>
  <c r="G35" i="32"/>
  <c r="G36" i="32"/>
  <c r="G37" i="32"/>
  <c r="G38" i="32"/>
  <c r="G39" i="32"/>
  <c r="G40" i="32"/>
  <c r="D27" i="12"/>
  <c r="E27" i="12"/>
  <c r="F27" i="12"/>
  <c r="G27" i="12"/>
  <c r="H27" i="12"/>
  <c r="I27" i="12"/>
  <c r="J27" i="12"/>
  <c r="K27" i="12"/>
  <c r="L27" i="12"/>
  <c r="M27" i="12"/>
  <c r="N27" i="12"/>
  <c r="O27" i="12"/>
  <c r="R27" i="12"/>
  <c r="S27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R28" i="12"/>
  <c r="S28" i="12"/>
  <c r="Q30" i="12"/>
  <c r="R30" i="13"/>
  <c r="P131" i="29"/>
  <c r="Q42" i="12"/>
  <c r="A1" i="11"/>
  <c r="W6" i="11"/>
  <c r="B7" i="11"/>
  <c r="AN65" i="29"/>
  <c r="W7" i="11"/>
  <c r="AO65" i="29"/>
  <c r="W8" i="11"/>
  <c r="AO66" i="29"/>
  <c r="W9" i="11"/>
  <c r="AN67" i="29"/>
  <c r="W10" i="11"/>
  <c r="AO67" i="29"/>
  <c r="W11" i="11"/>
  <c r="AO68" i="29"/>
  <c r="W12" i="11"/>
  <c r="AN69" i="29"/>
  <c r="W13" i="11"/>
  <c r="AO69" i="29"/>
  <c r="W14" i="11"/>
  <c r="AO70" i="29"/>
  <c r="W15" i="11"/>
  <c r="AN71" i="29"/>
  <c r="W16" i="11"/>
  <c r="AO71" i="29"/>
  <c r="W17" i="11"/>
  <c r="AO72" i="29"/>
  <c r="S18" i="11"/>
  <c r="W18" i="11"/>
  <c r="AN73" i="29"/>
  <c r="W19" i="11"/>
  <c r="AO73" i="29"/>
  <c r="W20" i="11"/>
  <c r="AO74" i="29"/>
  <c r="S21" i="11"/>
  <c r="W21" i="11"/>
  <c r="AN75" i="29"/>
  <c r="W22" i="11"/>
  <c r="AO75" i="29"/>
  <c r="AN76" i="29"/>
  <c r="W23" i="11"/>
  <c r="AO76" i="29"/>
  <c r="S24" i="11"/>
  <c r="W24" i="11"/>
  <c r="W44" i="11"/>
  <c r="B45" i="11"/>
  <c r="W45" i="11"/>
  <c r="AO89" i="29"/>
  <c r="B46" i="11"/>
  <c r="W46" i="11"/>
  <c r="AO90" i="29"/>
  <c r="B47" i="11"/>
  <c r="W47" i="11"/>
  <c r="AO91" i="29"/>
  <c r="W48" i="11"/>
  <c r="W49" i="11"/>
  <c r="B50" i="11"/>
  <c r="AN92" i="29"/>
  <c r="W50" i="11"/>
  <c r="AO92" i="29"/>
  <c r="W51" i="11"/>
  <c r="AO93" i="29"/>
  <c r="W52" i="11"/>
  <c r="AO94" i="29"/>
  <c r="S53" i="11"/>
  <c r="W53" i="11"/>
  <c r="S54" i="11"/>
  <c r="W54" i="11"/>
  <c r="B55" i="11"/>
  <c r="AN95" i="29"/>
  <c r="W55" i="11"/>
  <c r="AO95" i="29"/>
  <c r="W56" i="11"/>
  <c r="AO96" i="29"/>
  <c r="W57" i="11"/>
  <c r="AO97" i="29"/>
  <c r="S58" i="11"/>
  <c r="W58" i="11"/>
  <c r="S59" i="11"/>
  <c r="W59" i="11"/>
  <c r="B60" i="11"/>
  <c r="AN98" i="29"/>
  <c r="W60" i="11"/>
  <c r="AO98" i="29"/>
  <c r="W61" i="11"/>
  <c r="AO99" i="29"/>
  <c r="W62" i="11"/>
  <c r="AO100" i="29"/>
  <c r="S63" i="11"/>
  <c r="W63" i="11"/>
  <c r="S64" i="11"/>
  <c r="W64" i="11"/>
  <c r="B65" i="11"/>
  <c r="AN101" i="29"/>
  <c r="W65" i="11"/>
  <c r="AO101" i="29"/>
  <c r="B66" i="11"/>
  <c r="AN102" i="29"/>
  <c r="W66" i="11"/>
  <c r="AO102" i="29"/>
  <c r="B67" i="11"/>
  <c r="AN103" i="29"/>
  <c r="W67" i="11"/>
  <c r="AO103" i="29"/>
  <c r="B68" i="11"/>
  <c r="S68" i="11"/>
  <c r="W68" i="11"/>
  <c r="B69" i="11"/>
  <c r="S69" i="11"/>
  <c r="W69" i="11"/>
  <c r="W70" i="11"/>
  <c r="AO104" i="29"/>
  <c r="W71" i="11"/>
  <c r="AO105" i="29"/>
  <c r="W72" i="11"/>
  <c r="W73" i="11"/>
  <c r="W74" i="11"/>
  <c r="W75" i="11"/>
  <c r="AO106" i="29"/>
  <c r="W76" i="11"/>
  <c r="AO107" i="29"/>
  <c r="W77" i="11"/>
  <c r="A1" i="10"/>
  <c r="AN66" i="29"/>
  <c r="R8" i="10"/>
  <c r="S8" i="10"/>
  <c r="B9" i="10"/>
  <c r="B9" i="11"/>
  <c r="D9" i="10"/>
  <c r="E9" i="10"/>
  <c r="F9" i="10"/>
  <c r="G9" i="10"/>
  <c r="J9" i="10"/>
  <c r="K9" i="10"/>
  <c r="L9" i="10"/>
  <c r="M9" i="10"/>
  <c r="N9" i="10"/>
  <c r="O9" i="10"/>
  <c r="P9" i="10"/>
  <c r="Q9" i="10"/>
  <c r="AN68" i="29"/>
  <c r="R11" i="10"/>
  <c r="S11" i="10"/>
  <c r="S11" i="11"/>
  <c r="P68" i="29"/>
  <c r="B12" i="10"/>
  <c r="B12" i="11"/>
  <c r="D12" i="10"/>
  <c r="E12" i="10"/>
  <c r="G12" i="10"/>
  <c r="I12" i="10"/>
  <c r="J12" i="10"/>
  <c r="K12" i="10"/>
  <c r="L12" i="10"/>
  <c r="M12" i="10"/>
  <c r="N12" i="10"/>
  <c r="O12" i="10"/>
  <c r="P12" i="10"/>
  <c r="Q12" i="10"/>
  <c r="AN70" i="29"/>
  <c r="R14" i="10"/>
  <c r="S14" i="10"/>
  <c r="S14" i="11"/>
  <c r="P70" i="29"/>
  <c r="B15" i="10"/>
  <c r="B15" i="11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6" i="10"/>
  <c r="B17" i="10"/>
  <c r="AN72" i="29"/>
  <c r="R17" i="10"/>
  <c r="T17" i="10"/>
  <c r="B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9" i="10"/>
  <c r="T19" i="10"/>
  <c r="B20" i="10"/>
  <c r="AN74" i="29"/>
  <c r="R20" i="10"/>
  <c r="T20" i="10"/>
  <c r="B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D2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S44" i="10"/>
  <c r="R45" i="10"/>
  <c r="R46" i="10"/>
  <c r="T46" i="10"/>
  <c r="R47" i="10"/>
  <c r="T47" i="10"/>
  <c r="R50" i="10"/>
  <c r="T50" i="10"/>
  <c r="B51" i="10"/>
  <c r="B51" i="11"/>
  <c r="AN93" i="29"/>
  <c r="R51" i="10"/>
  <c r="T51" i="10"/>
  <c r="B52" i="10"/>
  <c r="B52" i="11"/>
  <c r="AN94" i="29"/>
  <c r="R52" i="10"/>
  <c r="T52" i="10"/>
  <c r="B53" i="10"/>
  <c r="B53" i="11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B54" i="10"/>
  <c r="B54" i="11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5" i="10"/>
  <c r="T55" i="10"/>
  <c r="B56" i="10"/>
  <c r="B56" i="11"/>
  <c r="AN96" i="29"/>
  <c r="R56" i="10"/>
  <c r="T56" i="10"/>
  <c r="B57" i="10"/>
  <c r="B57" i="11"/>
  <c r="AN97" i="29"/>
  <c r="R57" i="10"/>
  <c r="B58" i="10"/>
  <c r="B58" i="11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B59" i="10"/>
  <c r="B59" i="11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60" i="10"/>
  <c r="B61" i="10"/>
  <c r="B61" i="11"/>
  <c r="AN99" i="29"/>
  <c r="R61" i="10"/>
  <c r="B62" i="10"/>
  <c r="B62" i="11"/>
  <c r="AN100" i="29"/>
  <c r="R62" i="10"/>
  <c r="T62" i="10"/>
  <c r="B63" i="10"/>
  <c r="B63" i="11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B64" i="10"/>
  <c r="B64" i="11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5" i="10"/>
  <c r="T65" i="10"/>
  <c r="R67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D69" i="10"/>
  <c r="D70" i="10"/>
  <c r="S70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S71" i="10"/>
  <c r="A1" i="9"/>
  <c r="A4" i="9"/>
  <c r="P6" i="9"/>
  <c r="AO36" i="29"/>
  <c r="P7" i="9"/>
  <c r="AO37" i="29"/>
  <c r="P8" i="9"/>
  <c r="AO38" i="29"/>
  <c r="P9" i="9"/>
  <c r="P10" i="9"/>
  <c r="AO39" i="29"/>
  <c r="P11" i="9"/>
  <c r="AO40" i="29"/>
  <c r="P12" i="9"/>
  <c r="AO41" i="29"/>
  <c r="P13" i="9"/>
  <c r="AO42" i="29"/>
  <c r="P14" i="9"/>
  <c r="AO43" i="29"/>
  <c r="P15" i="9"/>
  <c r="AO44" i="29"/>
  <c r="P16" i="9"/>
  <c r="AO45" i="29"/>
  <c r="P17" i="9"/>
  <c r="AO46" i="29"/>
  <c r="M18" i="9"/>
  <c r="P18" i="9"/>
  <c r="P19" i="9"/>
  <c r="AO47" i="29"/>
  <c r="P20" i="9"/>
  <c r="AO48" i="29"/>
  <c r="P22" i="9"/>
  <c r="AO50" i="29"/>
  <c r="M23" i="9"/>
  <c r="P23" i="9"/>
  <c r="P24" i="9"/>
  <c r="AO51" i="29"/>
  <c r="P25" i="9"/>
  <c r="AO52" i="29"/>
  <c r="P26" i="9"/>
  <c r="AO53" i="29"/>
  <c r="P27" i="9"/>
  <c r="AO54" i="29"/>
  <c r="P28" i="9"/>
  <c r="AO55" i="29"/>
  <c r="P30" i="9"/>
  <c r="AO57" i="29"/>
  <c r="P31" i="9"/>
  <c r="AO58" i="29"/>
  <c r="P32" i="9"/>
  <c r="AO59" i="29"/>
  <c r="P33" i="9"/>
  <c r="AO60" i="29"/>
  <c r="P34" i="9"/>
  <c r="AO61" i="29"/>
  <c r="P35" i="9"/>
  <c r="AO62" i="29"/>
  <c r="P36" i="9"/>
  <c r="J37" i="9"/>
  <c r="P37" i="9"/>
  <c r="AO63" i="29"/>
  <c r="J38" i="9"/>
  <c r="P38" i="9"/>
  <c r="AO64" i="29"/>
  <c r="P39" i="9"/>
  <c r="A1" i="8"/>
  <c r="E7" i="8"/>
  <c r="N7" i="8"/>
  <c r="D8" i="8"/>
  <c r="G8" i="8"/>
  <c r="H8" i="8"/>
  <c r="I8" i="8"/>
  <c r="E10" i="8"/>
  <c r="E13" i="8"/>
  <c r="N13" i="8"/>
  <c r="E14" i="8"/>
  <c r="N14" i="8"/>
  <c r="E15" i="8"/>
  <c r="N15" i="8"/>
  <c r="E19" i="8"/>
  <c r="E19" i="9"/>
  <c r="N47" i="29"/>
  <c r="N19" i="8"/>
  <c r="C20" i="8"/>
  <c r="C28" i="8"/>
  <c r="C22" i="8"/>
  <c r="D20" i="8"/>
  <c r="D17" i="8"/>
  <c r="G20" i="8"/>
  <c r="G17" i="8"/>
  <c r="I20" i="8"/>
  <c r="I28" i="8"/>
  <c r="I22" i="8"/>
  <c r="L20" i="8"/>
  <c r="L17" i="8"/>
  <c r="M20" i="8"/>
  <c r="M17" i="8"/>
  <c r="R28" i="18"/>
  <c r="E24" i="8"/>
  <c r="N24" i="8"/>
  <c r="E25" i="8"/>
  <c r="N25" i="8"/>
  <c r="E26" i="8"/>
  <c r="N26" i="8"/>
  <c r="E27" i="8"/>
  <c r="N27" i="8"/>
  <c r="E30" i="8"/>
  <c r="N30" i="8"/>
  <c r="D35" i="8"/>
  <c r="G35" i="8"/>
  <c r="H35" i="8"/>
  <c r="I35" i="8"/>
  <c r="L35" i="8"/>
  <c r="A1" i="7"/>
  <c r="E5" i="7"/>
  <c r="A25" i="7"/>
  <c r="A26" i="7"/>
  <c r="A27" i="7"/>
  <c r="A28" i="7"/>
  <c r="A29" i="7"/>
  <c r="A30" i="7"/>
  <c r="A31" i="7"/>
  <c r="A32" i="7"/>
  <c r="A1" i="6"/>
  <c r="B4" i="4"/>
  <c r="B56" i="29"/>
  <c r="B5" i="4"/>
  <c r="F197" i="29"/>
  <c r="B8" i="4"/>
  <c r="A4" i="10"/>
  <c r="V13" i="10"/>
  <c r="S26" i="12"/>
  <c r="O267" i="29"/>
  <c r="F18" i="22"/>
  <c r="P159" i="29"/>
  <c r="E10" i="14"/>
  <c r="I8" i="14"/>
  <c r="G8" i="14"/>
  <c r="S15" i="33"/>
  <c r="B8" i="14"/>
  <c r="P158" i="29"/>
  <c r="M10" i="14"/>
  <c r="V159" i="29"/>
  <c r="O158" i="29"/>
  <c r="N25" i="15"/>
  <c r="S72" i="10"/>
  <c r="R54" i="10"/>
  <c r="T54" i="10"/>
  <c r="R44" i="10"/>
  <c r="R63" i="10"/>
  <c r="D72" i="10"/>
  <c r="R68" i="10"/>
  <c r="T68" i="10"/>
  <c r="T8" i="10"/>
  <c r="R59" i="10"/>
  <c r="T59" i="10"/>
  <c r="D77" i="10"/>
  <c r="T60" i="10"/>
  <c r="R21" i="10"/>
  <c r="T21" i="10"/>
  <c r="J24" i="10"/>
  <c r="F24" i="10"/>
  <c r="R23" i="10"/>
  <c r="M24" i="10"/>
  <c r="N24" i="10"/>
  <c r="T67" i="10"/>
  <c r="V19" i="10"/>
  <c r="T63" i="10"/>
  <c r="R71" i="10"/>
  <c r="U19" i="10"/>
  <c r="V10" i="10"/>
  <c r="R18" i="10"/>
  <c r="T18" i="10"/>
  <c r="R53" i="10"/>
  <c r="T53" i="10"/>
  <c r="H24" i="10"/>
  <c r="R22" i="10"/>
  <c r="L24" i="10"/>
  <c r="O24" i="10"/>
  <c r="G24" i="10"/>
  <c r="T61" i="10"/>
  <c r="R64" i="10"/>
  <c r="T64" i="10"/>
  <c r="D42" i="10"/>
  <c r="P24" i="10"/>
  <c r="U16" i="10"/>
  <c r="T16" i="10"/>
  <c r="K24" i="10"/>
  <c r="Q24" i="10"/>
  <c r="I24" i="10"/>
  <c r="E24" i="10"/>
  <c r="V16" i="10"/>
  <c r="T57" i="10"/>
  <c r="R58" i="10"/>
  <c r="T58" i="10"/>
  <c r="T45" i="10"/>
  <c r="T44" i="10"/>
  <c r="B28" i="8"/>
  <c r="B22" i="8"/>
  <c r="S18" i="33"/>
  <c r="C24" i="10"/>
  <c r="P157" i="29"/>
  <c r="U20" i="10"/>
  <c r="U17" i="10"/>
  <c r="T23" i="10"/>
  <c r="V22" i="10"/>
  <c r="U22" i="10"/>
  <c r="R24" i="10"/>
  <c r="T24" i="10"/>
  <c r="T22" i="10"/>
  <c r="U23" i="10"/>
  <c r="Q43" i="16"/>
  <c r="J24" i="16"/>
  <c r="L24" i="16"/>
  <c r="N8" i="16"/>
  <c r="I8" i="16"/>
  <c r="M24" i="16"/>
  <c r="P8" i="16"/>
  <c r="K8" i="16"/>
  <c r="M8" i="16"/>
  <c r="K24" i="16"/>
  <c r="L8" i="16"/>
  <c r="H8" i="16"/>
  <c r="H24" i="16"/>
  <c r="F24" i="16"/>
  <c r="N24" i="16"/>
  <c r="J8" i="16"/>
  <c r="F8" i="16"/>
  <c r="O24" i="16"/>
  <c r="I24" i="16"/>
  <c r="O8" i="16"/>
  <c r="G24" i="16"/>
  <c r="P24" i="16"/>
  <c r="G8" i="16"/>
  <c r="D19" i="18"/>
  <c r="AH207" i="29"/>
  <c r="R16" i="19"/>
  <c r="S16" i="19"/>
  <c r="O220" i="29"/>
  <c r="AO210" i="29"/>
  <c r="AO230" i="29"/>
  <c r="T10" i="19"/>
  <c r="S25" i="19"/>
  <c r="T7" i="19"/>
  <c r="AO229" i="29"/>
  <c r="AO200" i="29"/>
  <c r="AO223" i="29"/>
  <c r="S17" i="18"/>
  <c r="S8" i="19"/>
  <c r="AO207" i="29"/>
  <c r="E19" i="18"/>
  <c r="S10" i="19"/>
  <c r="R12" i="19"/>
  <c r="T12" i="19"/>
  <c r="O219" i="29"/>
  <c r="AO222" i="29"/>
  <c r="T11" i="18"/>
  <c r="S12" i="18"/>
  <c r="T12" i="18"/>
  <c r="S24" i="19"/>
  <c r="AO220" i="29"/>
  <c r="O18" i="19"/>
  <c r="AF211" i="29"/>
  <c r="C19" i="18"/>
  <c r="O234" i="29"/>
  <c r="N18" i="19"/>
  <c r="AE211" i="29"/>
  <c r="T8" i="19"/>
  <c r="O209" i="29"/>
  <c r="AO226" i="29"/>
  <c r="AO215" i="29"/>
  <c r="I18" i="19"/>
  <c r="Z211" i="29"/>
  <c r="K18" i="19"/>
  <c r="AB211" i="29"/>
  <c r="F18" i="19"/>
  <c r="W211" i="29"/>
  <c r="H18" i="19"/>
  <c r="Y211" i="29"/>
  <c r="L218" i="29"/>
  <c r="J18" i="19"/>
  <c r="AA211" i="29"/>
  <c r="AO201" i="29"/>
  <c r="G18" i="19"/>
  <c r="X211" i="29"/>
  <c r="L220" i="29"/>
  <c r="T25" i="19"/>
  <c r="D11" i="19"/>
  <c r="L204" i="29"/>
  <c r="R11" i="19"/>
  <c r="E18" i="19"/>
  <c r="L229" i="29"/>
  <c r="L18" i="19"/>
  <c r="AC211" i="29"/>
  <c r="AO213" i="29"/>
  <c r="AO221" i="29"/>
  <c r="D18" i="19"/>
  <c r="C11" i="19"/>
  <c r="K204" i="29"/>
  <c r="AO209" i="29"/>
  <c r="S7" i="19"/>
  <c r="T24" i="19"/>
  <c r="M18" i="19"/>
  <c r="AD211" i="29"/>
  <c r="S16" i="18"/>
  <c r="AO206" i="29"/>
  <c r="Y206" i="29"/>
  <c r="AC205" i="29"/>
  <c r="S21" i="19"/>
  <c r="C18" i="19"/>
  <c r="T21" i="19"/>
  <c r="T17" i="18"/>
  <c r="AO217" i="29"/>
  <c r="O233" i="29"/>
  <c r="Q11" i="19"/>
  <c r="O204" i="29"/>
  <c r="P18" i="19"/>
  <c r="AG211" i="29"/>
  <c r="AO234" i="29"/>
  <c r="Q8" i="16"/>
  <c r="Q24" i="16"/>
  <c r="Q32" i="16"/>
  <c r="Q31" i="16"/>
  <c r="L211" i="29"/>
  <c r="O222" i="29"/>
  <c r="K211" i="29"/>
  <c r="C19" i="19"/>
  <c r="K212" i="29"/>
  <c r="N19" i="40"/>
  <c r="E10" i="20"/>
  <c r="D46" i="16"/>
  <c r="N22" i="40"/>
  <c r="C11" i="20"/>
  <c r="C11" i="21"/>
  <c r="I247" i="29"/>
  <c r="F18" i="6"/>
  <c r="F14" i="6"/>
  <c r="F15" i="6"/>
  <c r="F13" i="6"/>
  <c r="C24" i="18"/>
  <c r="C25" i="18"/>
  <c r="C26" i="18"/>
  <c r="S11" i="20"/>
  <c r="D52" i="16"/>
  <c r="Q24" i="19"/>
  <c r="O215" i="29"/>
  <c r="P33" i="12"/>
  <c r="I33" i="12"/>
  <c r="F33" i="12"/>
  <c r="M11" i="8"/>
  <c r="P32" i="12"/>
  <c r="F32" i="12"/>
  <c r="G32" i="12"/>
  <c r="C24" i="19"/>
  <c r="K215" i="29"/>
  <c r="C24" i="12"/>
  <c r="C46" i="16"/>
  <c r="C49" i="16"/>
  <c r="C10" i="20"/>
  <c r="C20" i="20"/>
  <c r="C21" i="20"/>
  <c r="S9" i="20"/>
  <c r="F17" i="6"/>
  <c r="G17" i="6"/>
  <c r="D51" i="16"/>
  <c r="C12" i="20"/>
  <c r="B7" i="16"/>
  <c r="F21" i="32"/>
  <c r="F30" i="32"/>
  <c r="E12" i="20"/>
  <c r="E12" i="21"/>
  <c r="L248" i="29"/>
  <c r="H21" i="32"/>
  <c r="H30" i="32"/>
  <c r="H25" i="32"/>
  <c r="P14" i="12"/>
  <c r="C14" i="12"/>
  <c r="R14" i="12"/>
  <c r="P10" i="12"/>
  <c r="Q10" i="13"/>
  <c r="R39" i="18"/>
  <c r="D28" i="30"/>
  <c r="D108" i="30"/>
  <c r="E32" i="30"/>
  <c r="G97" i="30"/>
  <c r="E29" i="32"/>
  <c r="D10" i="30"/>
  <c r="E34" i="30"/>
  <c r="G59" i="30"/>
  <c r="G119" i="30"/>
  <c r="H23" i="30"/>
  <c r="H146" i="30"/>
  <c r="I87" i="30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D25" i="32"/>
  <c r="D31" i="30"/>
  <c r="F96" i="30"/>
  <c r="H24" i="30"/>
  <c r="H84" i="30"/>
  <c r="I28" i="30"/>
  <c r="I108" i="30"/>
  <c r="P11" i="12"/>
  <c r="G27" i="32"/>
  <c r="D26" i="32"/>
  <c r="D32" i="30"/>
  <c r="E96" i="30"/>
  <c r="F97" i="30"/>
  <c r="G28" i="32"/>
  <c r="E97" i="30"/>
  <c r="F118" i="30"/>
  <c r="F139" i="30"/>
  <c r="G22" i="30"/>
  <c r="G145" i="30"/>
  <c r="P13" i="12"/>
  <c r="G29" i="32"/>
  <c r="D28" i="32"/>
  <c r="D34" i="30"/>
  <c r="E118" i="30"/>
  <c r="E139" i="30"/>
  <c r="F22" i="30"/>
  <c r="F119" i="30"/>
  <c r="G23" i="30"/>
  <c r="G146" i="30"/>
  <c r="H87" i="30"/>
  <c r="S8" i="12"/>
  <c r="D29" i="32"/>
  <c r="E119" i="30"/>
  <c r="F23" i="30"/>
  <c r="G24" i="30"/>
  <c r="G84" i="30"/>
  <c r="H28" i="30"/>
  <c r="H108" i="30"/>
  <c r="I32" i="30"/>
  <c r="C9" i="12"/>
  <c r="C9" i="13"/>
  <c r="P9" i="12"/>
  <c r="F25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6" i="32"/>
  <c r="D32" i="32"/>
  <c r="D96" i="30"/>
  <c r="F24" i="30"/>
  <c r="F84" i="30"/>
  <c r="C10" i="12"/>
  <c r="D97" i="30"/>
  <c r="F145" i="30"/>
  <c r="H10" i="30"/>
  <c r="I34" i="30"/>
  <c r="C11" i="12"/>
  <c r="D11" i="13"/>
  <c r="D118" i="30"/>
  <c r="D139" i="30"/>
  <c r="E22" i="30"/>
  <c r="E145" i="30"/>
  <c r="F146" i="30"/>
  <c r="G87" i="30"/>
  <c r="H31" i="30"/>
  <c r="P19" i="12"/>
  <c r="G44" i="32"/>
  <c r="C19" i="12"/>
  <c r="S19" i="12"/>
  <c r="D19" i="13"/>
  <c r="C12" i="12"/>
  <c r="F28" i="32"/>
  <c r="D119" i="30"/>
  <c r="E23" i="30"/>
  <c r="E146" i="30"/>
  <c r="G28" i="30"/>
  <c r="G108" i="30"/>
  <c r="H32" i="30"/>
  <c r="I96" i="30"/>
  <c r="H46" i="32"/>
  <c r="C13" i="12"/>
  <c r="F29" i="32"/>
  <c r="E24" i="30"/>
  <c r="E84" i="30"/>
  <c r="F28" i="30"/>
  <c r="G10" i="30"/>
  <c r="H34" i="30"/>
  <c r="I118" i="30"/>
  <c r="I139" i="30"/>
  <c r="G41" i="32"/>
  <c r="C16" i="12"/>
  <c r="D22" i="30"/>
  <c r="D145" i="30"/>
  <c r="F10" i="30"/>
  <c r="F87" i="30"/>
  <c r="G31" i="30"/>
  <c r="G42" i="32"/>
  <c r="G43" i="32"/>
  <c r="G45" i="32"/>
  <c r="G46" i="32"/>
  <c r="D23" i="30"/>
  <c r="D146" i="30"/>
  <c r="E87" i="30"/>
  <c r="F31" i="30"/>
  <c r="F108" i="30"/>
  <c r="G32" i="30"/>
  <c r="H96" i="30"/>
  <c r="C18" i="12"/>
  <c r="D24" i="30"/>
  <c r="D84" i="30"/>
  <c r="E28" i="30"/>
  <c r="E108" i="30"/>
  <c r="F32" i="30"/>
  <c r="H97" i="30"/>
  <c r="E25" i="32"/>
  <c r="G34" i="30"/>
  <c r="H118" i="30"/>
  <c r="H139" i="30"/>
  <c r="I145" i="30"/>
  <c r="C20" i="12"/>
  <c r="P20" i="12"/>
  <c r="S20" i="12"/>
  <c r="E10" i="30"/>
  <c r="F34" i="30"/>
  <c r="H119" i="30"/>
  <c r="I146" i="30"/>
  <c r="C10" i="6"/>
  <c r="P12" i="12"/>
  <c r="R15" i="19"/>
  <c r="T15" i="18"/>
  <c r="R18" i="18"/>
  <c r="R19" i="18"/>
  <c r="R13" i="19"/>
  <c r="O206" i="29"/>
  <c r="T13" i="18"/>
  <c r="S13" i="18"/>
  <c r="S12" i="19"/>
  <c r="O223" i="29"/>
  <c r="S15" i="19"/>
  <c r="O226" i="29"/>
  <c r="T15" i="19"/>
  <c r="T13" i="19"/>
  <c r="M157" i="29"/>
  <c r="M18" i="14"/>
  <c r="N26" i="15"/>
  <c r="E18" i="14"/>
  <c r="E24" i="14"/>
  <c r="E24" i="15"/>
  <c r="N157" i="29"/>
  <c r="M31" i="8"/>
  <c r="R80" i="10"/>
  <c r="P18" i="12"/>
  <c r="S18" i="12"/>
  <c r="E8" i="20"/>
  <c r="E81" i="10"/>
  <c r="E66" i="10"/>
  <c r="P17" i="12"/>
  <c r="H49" i="32"/>
  <c r="S22" i="20"/>
  <c r="S17" i="19"/>
  <c r="T17" i="19"/>
  <c r="O228" i="29"/>
  <c r="O224" i="29"/>
  <c r="S13" i="19"/>
  <c r="S18" i="18"/>
  <c r="T16" i="19"/>
  <c r="Q18" i="19"/>
  <c r="Q26" i="19"/>
  <c r="AH210" i="29"/>
  <c r="AH208" i="29"/>
  <c r="O227" i="29"/>
  <c r="R14" i="19"/>
  <c r="T14" i="18"/>
  <c r="R26" i="18"/>
  <c r="O216" i="29"/>
  <c r="P31" i="12"/>
  <c r="M31" i="12"/>
  <c r="O31" i="12"/>
  <c r="R81" i="10"/>
  <c r="T81" i="10"/>
  <c r="S14" i="19"/>
  <c r="O225" i="29"/>
  <c r="T14" i="19"/>
  <c r="AH211" i="29"/>
  <c r="Q19" i="19"/>
  <c r="O212" i="29"/>
  <c r="O211" i="29"/>
  <c r="R18" i="19"/>
  <c r="T18" i="19"/>
  <c r="S18" i="19"/>
  <c r="O229" i="29"/>
  <c r="R19" i="19"/>
  <c r="R26" i="19"/>
  <c r="O230" i="29"/>
  <c r="S17" i="20"/>
  <c r="L28" i="8"/>
  <c r="L22" i="8"/>
  <c r="L42" i="8"/>
  <c r="C17" i="8"/>
  <c r="G28" i="8"/>
  <c r="G22" i="8"/>
  <c r="N20" i="8"/>
  <c r="M7" i="14"/>
  <c r="I17" i="8"/>
  <c r="E20" i="8"/>
  <c r="Q43" i="12"/>
  <c r="C28" i="45"/>
  <c r="B28" i="45"/>
  <c r="B28" i="46"/>
  <c r="AL35" i="29"/>
  <c r="D5" i="29"/>
  <c r="D226" i="29"/>
  <c r="B38" i="18"/>
  <c r="A11" i="4"/>
  <c r="H16" i="4"/>
  <c r="E5" i="6"/>
  <c r="B39" i="18"/>
  <c r="F281" i="29"/>
  <c r="C90" i="29"/>
  <c r="D11" i="29"/>
  <c r="D6" i="29"/>
  <c r="C287" i="29"/>
  <c r="D223" i="29"/>
  <c r="D23" i="29"/>
  <c r="C157" i="29"/>
  <c r="C163" i="29"/>
  <c r="D141" i="29"/>
  <c r="C80" i="29"/>
  <c r="C39" i="29"/>
  <c r="C270" i="29"/>
  <c r="C113" i="29"/>
  <c r="D280" i="29"/>
  <c r="D293" i="29"/>
  <c r="D81" i="29"/>
  <c r="D61" i="29"/>
  <c r="D277" i="29"/>
  <c r="D278" i="29"/>
  <c r="F91" i="29"/>
  <c r="D48" i="29"/>
  <c r="D29" i="29"/>
  <c r="D268" i="29"/>
  <c r="D10" i="29"/>
  <c r="D115" i="29"/>
  <c r="D286" i="29"/>
  <c r="D147" i="29"/>
  <c r="D45" i="29"/>
  <c r="D213" i="29"/>
  <c r="D43" i="29"/>
  <c r="D224" i="29"/>
  <c r="C74" i="29"/>
  <c r="D212" i="29"/>
  <c r="D148" i="29"/>
  <c r="C210" i="29"/>
  <c r="C229" i="29"/>
  <c r="C216" i="29"/>
  <c r="C174" i="29"/>
  <c r="C153" i="29"/>
  <c r="C233" i="29"/>
  <c r="C69" i="29"/>
  <c r="C82" i="29"/>
  <c r="F239" i="29"/>
  <c r="D37" i="29"/>
  <c r="D182" i="29"/>
  <c r="D283" i="29"/>
  <c r="C252" i="29"/>
  <c r="C66" i="29"/>
  <c r="F208" i="29"/>
  <c r="D146" i="29"/>
  <c r="D215" i="29"/>
  <c r="D89" i="29"/>
  <c r="D117" i="29"/>
  <c r="C127" i="29"/>
  <c r="C84" i="29"/>
  <c r="D63" i="29"/>
  <c r="D238" i="29"/>
  <c r="D25" i="29"/>
  <c r="C173" i="29"/>
  <c r="C16" i="29"/>
  <c r="C226" i="29"/>
  <c r="C154" i="29"/>
  <c r="C130" i="29"/>
  <c r="D18" i="29"/>
  <c r="D130" i="29"/>
  <c r="D276" i="29"/>
  <c r="C276" i="29"/>
  <c r="C97" i="29"/>
  <c r="C202" i="29"/>
  <c r="C7" i="29"/>
  <c r="D32" i="29"/>
  <c r="C76" i="29"/>
  <c r="D174" i="29"/>
  <c r="D220" i="29"/>
  <c r="D122" i="29"/>
  <c r="C238" i="29"/>
  <c r="C191" i="29"/>
  <c r="C148" i="29"/>
  <c r="C169" i="29"/>
  <c r="C75" i="29"/>
  <c r="C259" i="29"/>
  <c r="C114" i="29"/>
  <c r="C83" i="29"/>
  <c r="C283" i="29"/>
  <c r="C199" i="29"/>
  <c r="C288" i="29"/>
  <c r="C223" i="29"/>
  <c r="D93" i="29"/>
  <c r="C180" i="29"/>
  <c r="C179" i="29"/>
  <c r="C147" i="29"/>
  <c r="C213" i="29"/>
  <c r="C208" i="29"/>
  <c r="F156" i="29"/>
  <c r="D161" i="29"/>
  <c r="C193" i="29"/>
  <c r="C112" i="29"/>
  <c r="C246" i="29"/>
  <c r="C284" i="29"/>
  <c r="D209" i="29"/>
  <c r="D60" i="29"/>
  <c r="D269" i="29"/>
  <c r="D284" i="29"/>
  <c r="C132" i="29"/>
  <c r="D177" i="29"/>
  <c r="D8" i="29"/>
  <c r="D185" i="29"/>
  <c r="D199" i="29"/>
  <c r="C57" i="29"/>
  <c r="C67" i="29"/>
  <c r="C206" i="29"/>
  <c r="D98" i="29"/>
  <c r="D175" i="29"/>
  <c r="D97" i="29"/>
  <c r="C156" i="29"/>
  <c r="C251" i="29"/>
  <c r="C106" i="29"/>
  <c r="D264" i="29"/>
  <c r="R37" i="19"/>
  <c r="AH241" i="29"/>
  <c r="B242" i="29"/>
  <c r="B214" i="29"/>
  <c r="B41" i="29"/>
  <c r="B291" i="29"/>
  <c r="B67" i="29"/>
  <c r="B77" i="29"/>
  <c r="B72" i="29"/>
  <c r="B70" i="29"/>
  <c r="B73" i="29"/>
  <c r="B103" i="29"/>
  <c r="B243" i="29"/>
  <c r="B229" i="29"/>
  <c r="B177" i="29"/>
  <c r="B159" i="29"/>
  <c r="B124" i="29"/>
  <c r="B255" i="29"/>
  <c r="B261" i="29"/>
  <c r="B182" i="29"/>
  <c r="B192" i="29"/>
  <c r="B92" i="29"/>
  <c r="B260" i="29"/>
  <c r="B140" i="29"/>
  <c r="B174" i="29"/>
  <c r="B189" i="29"/>
  <c r="B157" i="29"/>
  <c r="B66" i="29"/>
  <c r="B240" i="29"/>
  <c r="B290" i="29"/>
  <c r="B78" i="29"/>
  <c r="B105" i="29"/>
  <c r="B193" i="29"/>
  <c r="B7" i="29"/>
  <c r="B133" i="29"/>
  <c r="B155" i="29"/>
  <c r="B16" i="29"/>
  <c r="B59" i="29"/>
  <c r="B90" i="29"/>
  <c r="B108" i="29"/>
  <c r="B222" i="29"/>
  <c r="B196" i="29"/>
  <c r="B176" i="29"/>
  <c r="B289" i="29"/>
  <c r="B20" i="29"/>
  <c r="B164" i="29"/>
  <c r="H1" i="4"/>
  <c r="B32" i="29"/>
  <c r="B295" i="29"/>
  <c r="B104" i="29"/>
  <c r="B194" i="29"/>
  <c r="B146" i="29"/>
  <c r="B223" i="29"/>
  <c r="B4" i="29"/>
  <c r="B89" i="29"/>
  <c r="B8" i="29"/>
  <c r="B107" i="29"/>
  <c r="B293" i="29"/>
  <c r="B282" i="29"/>
  <c r="B68" i="29"/>
  <c r="B273" i="29"/>
  <c r="B152" i="29"/>
  <c r="B60" i="29"/>
  <c r="B94" i="29"/>
  <c r="B272" i="29"/>
  <c r="B84" i="29"/>
  <c r="B142" i="29"/>
  <c r="B210" i="29"/>
  <c r="B119" i="29"/>
  <c r="B284" i="29"/>
  <c r="B266" i="29"/>
  <c r="B63" i="29"/>
  <c r="B52" i="29"/>
  <c r="B150" i="29"/>
  <c r="B227" i="29"/>
  <c r="B112" i="29"/>
  <c r="B80" i="29"/>
  <c r="B197" i="29"/>
  <c r="B163" i="29"/>
  <c r="B206" i="29"/>
  <c r="B65" i="29"/>
  <c r="B91" i="29"/>
  <c r="B232" i="29"/>
  <c r="B248" i="29"/>
  <c r="B286" i="29"/>
  <c r="B280" i="29"/>
  <c r="B239" i="29"/>
  <c r="B256" i="29"/>
  <c r="B230" i="29"/>
  <c r="B129" i="29"/>
  <c r="B29" i="29"/>
  <c r="B127" i="29"/>
  <c r="B264" i="29"/>
  <c r="B209" i="29"/>
  <c r="B283" i="29"/>
  <c r="B226" i="29"/>
  <c r="B186" i="29"/>
  <c r="B267" i="29"/>
  <c r="B200" i="29"/>
  <c r="B181" i="29"/>
  <c r="B110" i="29"/>
  <c r="B5" i="29"/>
  <c r="B134" i="29"/>
  <c r="B117" i="29"/>
  <c r="B130" i="29"/>
  <c r="B235" i="29"/>
  <c r="B138" i="29"/>
  <c r="B123" i="29"/>
  <c r="B161" i="29"/>
  <c r="B207" i="29"/>
  <c r="B171" i="29"/>
  <c r="B19" i="29"/>
  <c r="B98" i="29"/>
  <c r="B96" i="29"/>
  <c r="B69" i="29"/>
  <c r="B179" i="29"/>
  <c r="B58" i="29"/>
  <c r="B118" i="29"/>
  <c r="B9" i="29"/>
  <c r="B82" i="29"/>
  <c r="B100" i="29"/>
  <c r="B64" i="29"/>
  <c r="B167" i="29"/>
  <c r="B148" i="29"/>
  <c r="B201" i="29"/>
  <c r="B234" i="29"/>
  <c r="B250" i="29"/>
  <c r="B231" i="29"/>
  <c r="B30" i="29"/>
  <c r="B31" i="29"/>
  <c r="B101" i="29"/>
  <c r="B121" i="29"/>
  <c r="B145" i="29"/>
  <c r="B17" i="29"/>
  <c r="B249" i="29"/>
  <c r="B271" i="29"/>
  <c r="B162" i="29"/>
  <c r="B270" i="29"/>
  <c r="B188" i="29"/>
  <c r="B281" i="29"/>
  <c r="B47" i="29"/>
  <c r="B246" i="29"/>
  <c r="B211" i="29"/>
  <c r="B13" i="29"/>
  <c r="B51" i="29"/>
  <c r="B102" i="29"/>
  <c r="B75" i="29"/>
  <c r="B221" i="29"/>
  <c r="B204" i="29"/>
  <c r="B237" i="29"/>
  <c r="B166" i="29"/>
  <c r="B247" i="29"/>
  <c r="B275" i="29"/>
  <c r="B170" i="29"/>
  <c r="B45" i="29"/>
  <c r="B294" i="29"/>
  <c r="B205" i="29"/>
  <c r="B46" i="29"/>
  <c r="B154" i="29"/>
  <c r="B149" i="29"/>
  <c r="B36" i="29"/>
  <c r="B285" i="29"/>
  <c r="B208" i="29"/>
  <c r="B25" i="29"/>
  <c r="B81" i="29"/>
  <c r="B199" i="29"/>
  <c r="B136" i="29"/>
  <c r="B3" i="29"/>
  <c r="B224" i="29"/>
  <c r="B128" i="29"/>
  <c r="B251" i="29"/>
  <c r="B125" i="29"/>
  <c r="B53" i="29"/>
  <c r="B212" i="29"/>
  <c r="B236" i="29"/>
  <c r="B14" i="29"/>
  <c r="B113" i="29"/>
  <c r="B277" i="29"/>
  <c r="B24" i="29"/>
  <c r="B217" i="29"/>
  <c r="B228" i="29"/>
  <c r="B55" i="29"/>
  <c r="B116" i="29"/>
  <c r="B252" i="29"/>
  <c r="B184" i="29"/>
  <c r="B74" i="29"/>
  <c r="B2" i="29"/>
  <c r="B241" i="29"/>
  <c r="B50" i="29"/>
  <c r="B269" i="29"/>
  <c r="B131" i="29"/>
  <c r="B262" i="29"/>
  <c r="B87" i="29"/>
  <c r="B187" i="29"/>
  <c r="B185" i="29"/>
  <c r="B15" i="29"/>
  <c r="B54" i="29"/>
  <c r="B292" i="29"/>
  <c r="B203" i="29"/>
  <c r="B132" i="29"/>
  <c r="B198" i="29"/>
  <c r="B43" i="29"/>
  <c r="B218" i="29"/>
  <c r="B288" i="29"/>
  <c r="B83" i="29"/>
  <c r="B144" i="29"/>
  <c r="B276" i="29"/>
  <c r="B158" i="29"/>
  <c r="B180" i="29"/>
  <c r="B44" i="29"/>
  <c r="B22" i="29"/>
  <c r="B265" i="29"/>
  <c r="B173" i="29"/>
  <c r="B220" i="29"/>
  <c r="B195" i="29"/>
  <c r="B213" i="29"/>
  <c r="B12" i="29"/>
  <c r="B238" i="29"/>
  <c r="B156" i="29"/>
  <c r="B190" i="29"/>
  <c r="B38" i="29"/>
  <c r="B120" i="29"/>
  <c r="B216" i="29"/>
  <c r="B34" i="29"/>
  <c r="B11" i="29"/>
  <c r="B93" i="29"/>
  <c r="B18" i="29"/>
  <c r="B160" i="29"/>
  <c r="B37" i="29"/>
  <c r="B76" i="29"/>
  <c r="B6" i="29"/>
  <c r="B245" i="29"/>
  <c r="B23" i="29"/>
  <c r="B86" i="29"/>
  <c r="B191" i="29"/>
  <c r="B106" i="29"/>
  <c r="B175" i="29"/>
  <c r="B114" i="29"/>
  <c r="B263" i="29"/>
  <c r="B253" i="29"/>
  <c r="B147" i="29"/>
  <c r="B139" i="29"/>
  <c r="B39" i="29"/>
  <c r="B225" i="29"/>
  <c r="B254" i="29"/>
  <c r="B85" i="29"/>
  <c r="B95" i="29"/>
  <c r="B115" i="29"/>
  <c r="B57" i="29"/>
  <c r="B233" i="29"/>
  <c r="B259" i="29"/>
  <c r="B99" i="29"/>
  <c r="B153" i="29"/>
  <c r="B172" i="29"/>
  <c r="B137" i="29"/>
  <c r="B33" i="29"/>
  <c r="B244" i="29"/>
  <c r="B202" i="29"/>
  <c r="B97" i="29"/>
  <c r="B168" i="29"/>
  <c r="B274" i="29"/>
  <c r="B111" i="29"/>
  <c r="B10" i="29"/>
  <c r="B151" i="29"/>
  <c r="B21" i="29"/>
  <c r="B135" i="29"/>
  <c r="B257" i="29"/>
  <c r="B61" i="29"/>
  <c r="B40" i="29"/>
  <c r="B278" i="29"/>
  <c r="B28" i="29"/>
  <c r="B126" i="29"/>
  <c r="B268" i="29"/>
  <c r="B27" i="29"/>
  <c r="B122" i="29"/>
  <c r="B165" i="29"/>
  <c r="B215" i="29"/>
  <c r="B48" i="29"/>
  <c r="B35" i="29"/>
  <c r="B26" i="29"/>
  <c r="B219" i="29"/>
  <c r="B42" i="29"/>
  <c r="B88" i="29"/>
  <c r="B141" i="29"/>
  <c r="B178" i="29"/>
  <c r="B109" i="29"/>
  <c r="B62" i="29"/>
  <c r="B279" i="29"/>
  <c r="B71" i="29"/>
  <c r="B79" i="29"/>
  <c r="B183" i="29"/>
  <c r="B258" i="29"/>
  <c r="B287" i="29"/>
  <c r="B169" i="29"/>
  <c r="E16" i="4"/>
  <c r="C10" i="7"/>
  <c r="K4" i="29"/>
  <c r="D13" i="4"/>
  <c r="E13" i="4"/>
  <c r="C9" i="17"/>
  <c r="K161" i="29"/>
  <c r="F284" i="29"/>
  <c r="D218" i="29"/>
  <c r="D132" i="29"/>
  <c r="D254" i="29"/>
  <c r="D52" i="29"/>
  <c r="D154" i="29"/>
  <c r="D4" i="29"/>
  <c r="C155" i="29"/>
  <c r="C93" i="29"/>
  <c r="C115" i="29"/>
  <c r="C244" i="29"/>
  <c r="C125" i="29"/>
  <c r="C203" i="29"/>
  <c r="C21" i="29"/>
  <c r="C15" i="29"/>
  <c r="C228" i="29"/>
  <c r="D95" i="29"/>
  <c r="F44" i="29"/>
  <c r="A4" i="27"/>
  <c r="F16" i="29"/>
  <c r="F41" i="29"/>
  <c r="F225" i="29"/>
  <c r="F290" i="29"/>
  <c r="C72" i="29"/>
  <c r="D184" i="29"/>
  <c r="D188" i="29"/>
  <c r="D86" i="29"/>
  <c r="D66" i="29"/>
  <c r="D35" i="29"/>
  <c r="D196" i="29"/>
  <c r="C254" i="29"/>
  <c r="C52" i="29"/>
  <c r="C116" i="29"/>
  <c r="C188" i="29"/>
  <c r="C77" i="29"/>
  <c r="C292" i="29"/>
  <c r="D227" i="29"/>
  <c r="F101" i="29"/>
  <c r="A4" i="45"/>
  <c r="F85" i="29"/>
  <c r="F249" i="29"/>
  <c r="F158" i="29"/>
  <c r="F69" i="29"/>
  <c r="F205" i="29"/>
  <c r="F107" i="29"/>
  <c r="D19" i="29"/>
  <c r="D206" i="29"/>
  <c r="D228" i="29"/>
  <c r="D205" i="29"/>
  <c r="D229" i="29"/>
  <c r="D123" i="29"/>
  <c r="D26" i="29"/>
  <c r="C181" i="29"/>
  <c r="C45" i="29"/>
  <c r="C152" i="29"/>
  <c r="C207" i="29"/>
  <c r="C100" i="29"/>
  <c r="C91" i="29"/>
  <c r="D153" i="29"/>
  <c r="D36" i="29"/>
  <c r="B38" i="19"/>
  <c r="F127" i="29"/>
  <c r="F215" i="29"/>
  <c r="A6" i="20"/>
  <c r="F271" i="29"/>
  <c r="D92" i="29"/>
  <c r="D74" i="29"/>
  <c r="D289" i="29"/>
  <c r="D101" i="29"/>
  <c r="D116" i="29"/>
  <c r="D162" i="29"/>
  <c r="D282" i="29"/>
  <c r="D31" i="29"/>
  <c r="C122" i="29"/>
  <c r="C71" i="29"/>
  <c r="C282" i="29"/>
  <c r="C167" i="29"/>
  <c r="C135" i="29"/>
  <c r="C8" i="29"/>
  <c r="C275" i="29"/>
  <c r="B6" i="18"/>
  <c r="A4" i="12"/>
  <c r="D232" i="29"/>
  <c r="B39" i="19"/>
  <c r="A4" i="25"/>
  <c r="F109" i="29"/>
  <c r="D258" i="29"/>
  <c r="D291" i="29"/>
  <c r="D168" i="29"/>
  <c r="D65" i="29"/>
  <c r="D272" i="29"/>
  <c r="D77" i="29"/>
  <c r="D125" i="29"/>
  <c r="C37" i="29"/>
  <c r="C215" i="29"/>
  <c r="C50" i="29"/>
  <c r="C249" i="29"/>
  <c r="C241" i="29"/>
  <c r="C43" i="29"/>
  <c r="C218" i="29"/>
  <c r="C212" i="29"/>
  <c r="C162" i="29"/>
  <c r="D69" i="29"/>
  <c r="F188" i="29"/>
  <c r="A4" i="8"/>
  <c r="F122" i="29"/>
  <c r="F13" i="29"/>
  <c r="F212" i="29"/>
  <c r="F27" i="29"/>
  <c r="D142" i="29"/>
  <c r="D94" i="29"/>
  <c r="D9" i="29"/>
  <c r="D178" i="29"/>
  <c r="D84" i="29"/>
  <c r="D247" i="29"/>
  <c r="C293" i="29"/>
  <c r="D24" i="29"/>
  <c r="C134" i="29"/>
  <c r="C146" i="29"/>
  <c r="C63" i="29"/>
  <c r="C25" i="29"/>
  <c r="C261" i="29"/>
  <c r="C145" i="29"/>
  <c r="A4" i="14"/>
  <c r="F75" i="29"/>
  <c r="F189" i="29"/>
  <c r="F153" i="29"/>
  <c r="C88" i="29"/>
  <c r="F187" i="29"/>
  <c r="F17" i="29"/>
  <c r="F195" i="29"/>
  <c r="F94" i="29"/>
  <c r="D192" i="29"/>
  <c r="D171" i="29"/>
  <c r="D186" i="29"/>
  <c r="D55" i="29"/>
  <c r="D75" i="29"/>
  <c r="D109" i="29"/>
  <c r="C126" i="29"/>
  <c r="C4" i="29"/>
  <c r="C245" i="29"/>
  <c r="C260" i="29"/>
  <c r="C34" i="29"/>
  <c r="C54" i="29"/>
  <c r="C266" i="29"/>
  <c r="C55" i="29"/>
  <c r="C279" i="29"/>
  <c r="B5" i="16"/>
  <c r="F209" i="29"/>
  <c r="D253" i="29"/>
  <c r="D155" i="29"/>
  <c r="D100" i="29"/>
  <c r="D233" i="29"/>
  <c r="D259" i="29"/>
  <c r="D181" i="29"/>
  <c r="D203" i="29"/>
  <c r="D204" i="29"/>
  <c r="C224" i="29"/>
  <c r="C78" i="29"/>
  <c r="C237" i="29"/>
  <c r="C138" i="29"/>
  <c r="C129" i="29"/>
  <c r="C87" i="29"/>
  <c r="C104" i="29"/>
  <c r="C267" i="29"/>
  <c r="C182" i="29"/>
  <c r="D193" i="29"/>
  <c r="F199" i="29"/>
  <c r="F119" i="29"/>
  <c r="F183" i="29"/>
  <c r="F236" i="29"/>
  <c r="F96" i="29"/>
  <c r="F166" i="29"/>
  <c r="F124" i="29"/>
  <c r="F82" i="29"/>
  <c r="C291" i="29"/>
  <c r="D59" i="29"/>
  <c r="D118" i="29"/>
  <c r="D250" i="29"/>
  <c r="D46" i="29"/>
  <c r="D139" i="29"/>
  <c r="D150" i="29"/>
  <c r="D28" i="29"/>
  <c r="C280" i="29"/>
  <c r="C46" i="29"/>
  <c r="C240" i="29"/>
  <c r="C31" i="29"/>
  <c r="C143" i="29"/>
  <c r="C26" i="29"/>
  <c r="C12" i="29"/>
  <c r="C183" i="29"/>
  <c r="C109" i="29"/>
  <c r="D270" i="29"/>
  <c r="C253" i="29"/>
  <c r="F292" i="29"/>
  <c r="F152" i="29"/>
  <c r="F15" i="29"/>
  <c r="C285" i="29"/>
  <c r="D82" i="29"/>
  <c r="D47" i="29"/>
  <c r="D245" i="29"/>
  <c r="D145" i="29"/>
  <c r="D44" i="29"/>
  <c r="D16" i="29"/>
  <c r="D152" i="29"/>
  <c r="D83" i="29"/>
  <c r="D260" i="29"/>
  <c r="C96" i="29"/>
  <c r="C111" i="29"/>
  <c r="C32" i="29"/>
  <c r="C23" i="29"/>
  <c r="C196" i="29"/>
  <c r="C195" i="29"/>
  <c r="C222" i="29"/>
  <c r="C110" i="29"/>
  <c r="C17" i="29"/>
  <c r="C105" i="29"/>
  <c r="C209" i="29"/>
  <c r="F142" i="29"/>
  <c r="F120" i="29"/>
  <c r="D255" i="29"/>
  <c r="F181" i="29"/>
  <c r="F99" i="29"/>
  <c r="D103" i="29"/>
  <c r="D136" i="29"/>
  <c r="D287" i="29"/>
  <c r="D144" i="29"/>
  <c r="D241" i="29"/>
  <c r="D239" i="29"/>
  <c r="D85" i="29"/>
  <c r="D216" i="29"/>
  <c r="D230" i="29"/>
  <c r="D62" i="29"/>
  <c r="D221" i="29"/>
  <c r="C189" i="29"/>
  <c r="C236" i="29"/>
  <c r="C123" i="29"/>
  <c r="C204" i="29"/>
  <c r="C277" i="29"/>
  <c r="C94" i="29"/>
  <c r="C133" i="29"/>
  <c r="C149" i="29"/>
  <c r="C227" i="29"/>
  <c r="C13" i="29"/>
  <c r="C211" i="29"/>
  <c r="C160" i="29"/>
  <c r="F214" i="29"/>
  <c r="Q36" i="19"/>
  <c r="O240" i="29"/>
  <c r="F242" i="29"/>
  <c r="Q37" i="19"/>
  <c r="O241" i="29"/>
  <c r="F28" i="29"/>
  <c r="F174" i="29"/>
  <c r="D138" i="29"/>
  <c r="D266" i="29"/>
  <c r="D252" i="29"/>
  <c r="D110" i="29"/>
  <c r="D13" i="29"/>
  <c r="D120" i="29"/>
  <c r="D201" i="29"/>
  <c r="D79" i="29"/>
  <c r="D194" i="29"/>
  <c r="D58" i="29"/>
  <c r="C198" i="29"/>
  <c r="D219" i="29"/>
  <c r="C239" i="29"/>
  <c r="C197" i="29"/>
  <c r="C20" i="29"/>
  <c r="C190" i="29"/>
  <c r="C107" i="29"/>
  <c r="C184" i="29"/>
  <c r="C271" i="29"/>
  <c r="C64" i="29"/>
  <c r="C60" i="29"/>
  <c r="D12" i="29"/>
  <c r="F147" i="29"/>
  <c r="D143" i="29"/>
  <c r="C214" i="29"/>
  <c r="Z214" i="29"/>
  <c r="Y214" i="29"/>
  <c r="X214" i="29"/>
  <c r="AG232" i="29"/>
  <c r="AF232" i="29"/>
  <c r="AE232" i="29"/>
  <c r="AD232" i="29"/>
  <c r="AG213" i="29"/>
  <c r="AF213" i="29"/>
  <c r="AE213" i="29"/>
  <c r="AD213" i="29"/>
  <c r="AC213" i="29"/>
  <c r="AB213" i="29"/>
  <c r="W213" i="29"/>
  <c r="AA213" i="29"/>
  <c r="Z213" i="29"/>
  <c r="X213" i="29"/>
  <c r="E28" i="18"/>
  <c r="B13" i="4"/>
  <c r="H18" i="14"/>
  <c r="B16" i="4"/>
  <c r="C13" i="4"/>
  <c r="C16" i="4"/>
  <c r="H13" i="4"/>
  <c r="G16" i="4"/>
  <c r="D16" i="4"/>
  <c r="F13" i="4"/>
  <c r="G13" i="4"/>
  <c r="D43" i="17"/>
  <c r="L195" i="29"/>
  <c r="F16" i="4"/>
  <c r="C47" i="11"/>
  <c r="K91" i="29"/>
  <c r="C65" i="11"/>
  <c r="C37" i="17"/>
  <c r="K189" i="29"/>
  <c r="C16" i="17"/>
  <c r="K168" i="29"/>
  <c r="C27" i="17"/>
  <c r="K179" i="29"/>
  <c r="C20" i="17"/>
  <c r="K172" i="29"/>
  <c r="C12" i="17"/>
  <c r="K164" i="29"/>
  <c r="C39" i="17"/>
  <c r="K191" i="29"/>
  <c r="C22" i="17"/>
  <c r="K174" i="29"/>
  <c r="C24" i="17"/>
  <c r="K176" i="29"/>
  <c r="C41" i="17"/>
  <c r="K193" i="29"/>
  <c r="C14" i="17"/>
  <c r="K166" i="29"/>
  <c r="C13" i="17"/>
  <c r="K165" i="29"/>
  <c r="C10" i="17"/>
  <c r="K162" i="29"/>
  <c r="C45" i="17"/>
  <c r="K196" i="29"/>
  <c r="C42" i="17"/>
  <c r="K194" i="29"/>
  <c r="C36" i="17"/>
  <c r="K188" i="29"/>
  <c r="C17" i="17"/>
  <c r="K169" i="29"/>
  <c r="R1" i="16"/>
  <c r="G1" i="6"/>
  <c r="W1" i="11"/>
  <c r="D1" i="28"/>
  <c r="O1" i="15"/>
  <c r="P1" i="9"/>
  <c r="W1" i="10"/>
  <c r="F1" i="22"/>
  <c r="U1" i="18"/>
  <c r="O1" i="8"/>
  <c r="U1" i="21"/>
  <c r="G1" i="26"/>
  <c r="D1" i="46"/>
  <c r="G1" i="7"/>
  <c r="N1" i="14"/>
  <c r="G1" i="25"/>
  <c r="S1" i="17"/>
  <c r="D1" i="45"/>
  <c r="T1" i="12"/>
  <c r="W1" i="13"/>
  <c r="U1" i="19"/>
  <c r="D1" i="27"/>
  <c r="U1" i="20"/>
  <c r="C14" i="46"/>
  <c r="AM21" i="29"/>
  <c r="D28" i="13"/>
  <c r="N34" i="11"/>
  <c r="L46" i="11"/>
  <c r="AC90" i="29"/>
  <c r="C13" i="26"/>
  <c r="K55" i="11"/>
  <c r="H11" i="11"/>
  <c r="Y68" i="29"/>
  <c r="D9" i="28"/>
  <c r="AK278" i="29"/>
  <c r="N10" i="11"/>
  <c r="S50" i="11"/>
  <c r="P92" i="29"/>
  <c r="S29" i="11"/>
  <c r="P80" i="29"/>
  <c r="Q46" i="11"/>
  <c r="AH90" i="29"/>
  <c r="F47" i="11"/>
  <c r="S61" i="11"/>
  <c r="P99" i="29"/>
  <c r="N52" i="11"/>
  <c r="AE94" i="29"/>
  <c r="M15" i="9"/>
  <c r="P44" i="29"/>
  <c r="O45" i="11"/>
  <c r="AF89" i="29"/>
  <c r="K8" i="11"/>
  <c r="AB66" i="29"/>
  <c r="I17" i="11"/>
  <c r="Z72" i="29"/>
  <c r="D12" i="26"/>
  <c r="L6" i="15"/>
  <c r="P140" i="29"/>
  <c r="G25" i="13"/>
  <c r="Y126" i="29"/>
  <c r="M19" i="9"/>
  <c r="P47" i="29"/>
  <c r="M71" i="11"/>
  <c r="AD105" i="29"/>
  <c r="K17" i="11"/>
  <c r="AB72" i="29"/>
  <c r="M22" i="11"/>
  <c r="N25" i="11"/>
  <c r="G25" i="11"/>
  <c r="M28" i="9"/>
  <c r="P55" i="29"/>
  <c r="H71" i="11"/>
  <c r="Y105" i="29"/>
  <c r="L60" i="11"/>
  <c r="L7" i="11"/>
  <c r="J57" i="11"/>
  <c r="AA97" i="29"/>
  <c r="S16" i="11"/>
  <c r="P71" i="29"/>
  <c r="S41" i="11"/>
  <c r="O57" i="11"/>
  <c r="AF97" i="29"/>
  <c r="G29" i="11"/>
  <c r="X80" i="29"/>
  <c r="N24" i="9"/>
  <c r="M65" i="11"/>
  <c r="M22" i="15"/>
  <c r="E26" i="13"/>
  <c r="W127" i="29"/>
  <c r="R29" i="13"/>
  <c r="P130" i="29"/>
  <c r="R28" i="13"/>
  <c r="P129" i="29"/>
  <c r="J26" i="11"/>
  <c r="AA78" i="29"/>
  <c r="F25" i="11"/>
  <c r="G47" i="11"/>
  <c r="X91" i="29"/>
  <c r="H28" i="11"/>
  <c r="M38" i="9"/>
  <c r="O62" i="11"/>
  <c r="AF100" i="29"/>
  <c r="J50" i="11"/>
  <c r="F25" i="13"/>
  <c r="X126" i="29"/>
  <c r="L34" i="11"/>
  <c r="L36" i="11"/>
  <c r="O34" i="11"/>
  <c r="AF83" i="29"/>
  <c r="M7" i="9"/>
  <c r="P37" i="29"/>
  <c r="L32" i="11"/>
  <c r="AC82" i="29"/>
  <c r="G61" i="11"/>
  <c r="X99" i="29"/>
  <c r="M25" i="9"/>
  <c r="P52" i="29"/>
  <c r="H17" i="11"/>
  <c r="Y72" i="29"/>
  <c r="G7" i="11"/>
  <c r="P50" i="11"/>
  <c r="O14" i="11"/>
  <c r="AF70" i="29"/>
  <c r="M26" i="11"/>
  <c r="AD78" i="29"/>
  <c r="B10" i="28"/>
  <c r="AI279" i="29"/>
  <c r="P32" i="11"/>
  <c r="L7" i="15"/>
  <c r="P141" i="29"/>
  <c r="M19" i="11"/>
  <c r="N47" i="11"/>
  <c r="AE91" i="29"/>
  <c r="G32" i="11"/>
  <c r="X82" i="29"/>
  <c r="H32" i="11"/>
  <c r="Y82" i="29"/>
  <c r="G26" i="13"/>
  <c r="Y127" i="29"/>
  <c r="P71" i="11"/>
  <c r="AG105" i="29"/>
  <c r="S20" i="11"/>
  <c r="P74" i="29"/>
  <c r="F51" i="11"/>
  <c r="K51" i="11"/>
  <c r="AB93" i="29"/>
  <c r="N11" i="11"/>
  <c r="AE68" i="29"/>
  <c r="R12" i="13"/>
  <c r="P113" i="29"/>
  <c r="M16" i="9"/>
  <c r="P45" i="29"/>
  <c r="C23" i="28"/>
  <c r="AJ292" i="29"/>
  <c r="K31" i="11"/>
  <c r="H67" i="11"/>
  <c r="Y103" i="29"/>
  <c r="I28" i="13"/>
  <c r="AA129" i="29"/>
  <c r="I65" i="11"/>
  <c r="K7" i="11"/>
  <c r="N14" i="11"/>
  <c r="AE70" i="29"/>
  <c r="C10" i="28"/>
  <c r="AJ279" i="29"/>
  <c r="R13" i="13"/>
  <c r="P114" i="29"/>
  <c r="G17" i="11"/>
  <c r="X72" i="29"/>
  <c r="B18" i="28"/>
  <c r="AI287" i="29"/>
  <c r="D6" i="28"/>
  <c r="H22" i="11"/>
  <c r="B22" i="28"/>
  <c r="AI291" i="29"/>
  <c r="G67" i="11"/>
  <c r="X103" i="29"/>
  <c r="M15" i="15"/>
  <c r="Q61" i="11"/>
  <c r="AH99" i="29"/>
  <c r="O7" i="11"/>
  <c r="R30" i="19"/>
  <c r="R22" i="13"/>
  <c r="P123" i="29"/>
  <c r="F61" i="11"/>
  <c r="C9" i="46"/>
  <c r="AM16" i="29"/>
  <c r="N19" i="11"/>
  <c r="L71" i="11"/>
  <c r="AC105" i="29"/>
  <c r="D13" i="26"/>
  <c r="O31" i="11"/>
  <c r="B9" i="28"/>
  <c r="AI278" i="29"/>
  <c r="M20" i="11"/>
  <c r="AD74" i="29"/>
  <c r="H60" i="11"/>
  <c r="H19" i="11"/>
  <c r="P57" i="11"/>
  <c r="AG97" i="29"/>
  <c r="Q60" i="11"/>
  <c r="Q64" i="11"/>
  <c r="I28" i="11"/>
  <c r="C9" i="26"/>
  <c r="D14" i="26"/>
  <c r="O274" i="29"/>
  <c r="K61" i="11"/>
  <c r="AB99" i="29"/>
  <c r="P26" i="11"/>
  <c r="AG78" i="29"/>
  <c r="C17" i="28"/>
  <c r="AJ286" i="29"/>
  <c r="M28" i="13"/>
  <c r="AE129" i="29"/>
  <c r="Q8" i="11"/>
  <c r="AH66" i="29"/>
  <c r="I44" i="11"/>
  <c r="H57" i="11"/>
  <c r="Y97" i="29"/>
  <c r="H58" i="11"/>
  <c r="S8" i="21"/>
  <c r="N19" i="9"/>
  <c r="L57" i="11"/>
  <c r="AC97" i="29"/>
  <c r="M16" i="11"/>
  <c r="K27" i="13"/>
  <c r="AC128" i="29"/>
  <c r="C7" i="46"/>
  <c r="AM14" i="29"/>
  <c r="D16" i="28"/>
  <c r="N8" i="11"/>
  <c r="AE66" i="29"/>
  <c r="I22" i="11"/>
  <c r="Q20" i="11"/>
  <c r="AH74" i="29"/>
  <c r="J25" i="11"/>
  <c r="I71" i="11"/>
  <c r="Z105" i="29"/>
  <c r="M35" i="9"/>
  <c r="P62" i="29"/>
  <c r="L11" i="11"/>
  <c r="AC68" i="29"/>
  <c r="N45" i="11"/>
  <c r="AE89" i="29"/>
  <c r="N15" i="9"/>
  <c r="P13" i="11"/>
  <c r="H51" i="11"/>
  <c r="Y93" i="29"/>
  <c r="O28" i="13"/>
  <c r="AG129" i="29"/>
  <c r="S60" i="11"/>
  <c r="P98" i="29"/>
  <c r="E25" i="13"/>
  <c r="W126" i="29"/>
  <c r="N22" i="11"/>
  <c r="F62" i="11"/>
  <c r="Q28" i="13"/>
  <c r="M25" i="13"/>
  <c r="AE126" i="29"/>
  <c r="I35" i="11"/>
  <c r="Z84" i="29"/>
  <c r="P62" i="11"/>
  <c r="AG100" i="29"/>
  <c r="P56" i="11"/>
  <c r="AG96" i="29"/>
  <c r="M37" i="9"/>
  <c r="P63" i="29"/>
  <c r="N35" i="11"/>
  <c r="AE84" i="29"/>
  <c r="L35" i="11"/>
  <c r="AC84" i="29"/>
  <c r="M23" i="11"/>
  <c r="AD76" i="29"/>
  <c r="J45" i="11"/>
  <c r="AA89" i="29"/>
  <c r="C6" i="28"/>
  <c r="AJ275" i="29"/>
  <c r="J23" i="11"/>
  <c r="AA76" i="29"/>
  <c r="M26" i="9"/>
  <c r="P53" i="29"/>
  <c r="Q25" i="11"/>
  <c r="Q62" i="11"/>
  <c r="AH100" i="29"/>
  <c r="R25" i="13"/>
  <c r="P126" i="29"/>
  <c r="Q17" i="11"/>
  <c r="AH72" i="29"/>
  <c r="R20" i="13"/>
  <c r="P121" i="29"/>
  <c r="N28" i="11"/>
  <c r="O8" i="11"/>
  <c r="AF66" i="29"/>
  <c r="N26" i="13"/>
  <c r="AF127" i="29"/>
  <c r="O26" i="11"/>
  <c r="AF78" i="29"/>
  <c r="H61" i="11"/>
  <c r="Y99" i="29"/>
  <c r="D22" i="28"/>
  <c r="AK291" i="29"/>
  <c r="S34" i="11"/>
  <c r="P83" i="29"/>
  <c r="M56" i="11"/>
  <c r="AD96" i="29"/>
  <c r="C13" i="28"/>
  <c r="AJ282" i="29"/>
  <c r="N57" i="11"/>
  <c r="AE97" i="29"/>
  <c r="G19" i="11"/>
  <c r="G27" i="13"/>
  <c r="Y128" i="29"/>
  <c r="M26" i="13"/>
  <c r="AE127" i="29"/>
  <c r="O27" i="13"/>
  <c r="AG128" i="29"/>
  <c r="B12" i="28"/>
  <c r="AI281" i="29"/>
  <c r="D17" i="28"/>
  <c r="AK286" i="29"/>
  <c r="S22" i="11"/>
  <c r="P75" i="29"/>
  <c r="D27" i="13"/>
  <c r="M17" i="15"/>
  <c r="K10" i="11"/>
  <c r="C16" i="46"/>
  <c r="AM23" i="29"/>
  <c r="L55" i="11"/>
  <c r="H44" i="11"/>
  <c r="N27" i="9"/>
  <c r="C8" i="28"/>
  <c r="AJ277" i="29"/>
  <c r="J71" i="11"/>
  <c r="AA105" i="29"/>
  <c r="P20" i="11"/>
  <c r="AG74" i="29"/>
  <c r="Q65" i="11"/>
  <c r="J16" i="11"/>
  <c r="B13" i="28"/>
  <c r="AI282" i="29"/>
  <c r="H26" i="11"/>
  <c r="Y78" i="29"/>
  <c r="M57" i="11"/>
  <c r="AD97" i="29"/>
  <c r="C19" i="46"/>
  <c r="AM26" i="29"/>
  <c r="I47" i="11"/>
  <c r="Z91" i="29"/>
  <c r="G28" i="13"/>
  <c r="Y129" i="29"/>
  <c r="N31" i="11"/>
  <c r="F29" i="11"/>
  <c r="L44" i="11"/>
  <c r="Q47" i="11"/>
  <c r="AH91" i="29"/>
  <c r="Q10" i="11"/>
  <c r="Q12" i="11"/>
  <c r="D8" i="28"/>
  <c r="AK277" i="29"/>
  <c r="L16" i="15"/>
  <c r="P149" i="29"/>
  <c r="H31" i="11"/>
  <c r="Y81" i="29"/>
  <c r="G46" i="11"/>
  <c r="X90" i="29"/>
  <c r="K11" i="11"/>
  <c r="AB68" i="29"/>
  <c r="F23" i="11"/>
  <c r="N20" i="9"/>
  <c r="K20" i="11"/>
  <c r="AB74" i="29"/>
  <c r="F71" i="11"/>
  <c r="W105" i="29"/>
  <c r="L51" i="11"/>
  <c r="AC93" i="29"/>
  <c r="C22" i="28"/>
  <c r="AJ291" i="29"/>
  <c r="P28" i="11"/>
  <c r="L22" i="15"/>
  <c r="P155" i="29"/>
  <c r="L14" i="11"/>
  <c r="AC70" i="29"/>
  <c r="J62" i="11"/>
  <c r="AA100" i="29"/>
  <c r="I34" i="11"/>
  <c r="L23" i="15"/>
  <c r="P156" i="29"/>
  <c r="M35" i="11"/>
  <c r="AD84" i="29"/>
  <c r="C11" i="46"/>
  <c r="AM18" i="29"/>
  <c r="L26" i="11"/>
  <c r="AC78" i="29"/>
  <c r="F55" i="11"/>
  <c r="L65" i="11"/>
  <c r="R8" i="13"/>
  <c r="P109" i="29"/>
  <c r="I19" i="11"/>
  <c r="C25" i="46"/>
  <c r="AM32" i="29"/>
  <c r="Q23" i="11"/>
  <c r="AH76" i="29"/>
  <c r="P19" i="11"/>
  <c r="I11" i="11"/>
  <c r="Z68" i="29"/>
  <c r="Q44" i="11"/>
  <c r="D23" i="28"/>
  <c r="AK292" i="29"/>
  <c r="M62" i="11"/>
  <c r="AD100" i="29"/>
  <c r="K25" i="11"/>
  <c r="AB77" i="29"/>
  <c r="M34" i="11"/>
  <c r="S52" i="11"/>
  <c r="P94" i="29"/>
  <c r="Q51" i="11"/>
  <c r="AH93" i="29"/>
  <c r="I20" i="11"/>
  <c r="Z74" i="29"/>
  <c r="L22" i="11"/>
  <c r="C12" i="46"/>
  <c r="AM19" i="29"/>
  <c r="J34" i="11"/>
  <c r="P22" i="11"/>
  <c r="I32" i="11"/>
  <c r="Z82" i="29"/>
  <c r="G34" i="11"/>
  <c r="G36" i="11"/>
  <c r="M14" i="11"/>
  <c r="AD70" i="29"/>
  <c r="M10" i="9"/>
  <c r="P39" i="29"/>
  <c r="Q50" i="11"/>
  <c r="C26" i="46"/>
  <c r="AM33" i="29"/>
  <c r="H8" i="11"/>
  <c r="Y66" i="29"/>
  <c r="O22" i="11"/>
  <c r="L8" i="11"/>
  <c r="AC66" i="29"/>
  <c r="M61" i="11"/>
  <c r="AD99" i="29"/>
  <c r="R17" i="13"/>
  <c r="P118" i="29"/>
  <c r="F52" i="11"/>
  <c r="C23" i="46"/>
  <c r="AM30" i="29"/>
  <c r="P47" i="11"/>
  <c r="AG91" i="29"/>
  <c r="L13" i="11"/>
  <c r="M10" i="15"/>
  <c r="L29" i="11"/>
  <c r="AC80" i="29"/>
  <c r="H56" i="11"/>
  <c r="Y96" i="29"/>
  <c r="P45" i="11"/>
  <c r="AG89" i="29"/>
  <c r="J25" i="13"/>
  <c r="AB126" i="29"/>
  <c r="G51" i="11"/>
  <c r="X93" i="29"/>
  <c r="K45" i="11"/>
  <c r="AB89" i="29"/>
  <c r="H23" i="11"/>
  <c r="Y76" i="29"/>
  <c r="J8" i="11"/>
  <c r="AA66" i="29"/>
  <c r="P46" i="11"/>
  <c r="AG90" i="29"/>
  <c r="D10" i="26"/>
  <c r="K25" i="13"/>
  <c r="AC126" i="29"/>
  <c r="B19" i="28"/>
  <c r="AI288" i="29"/>
  <c r="L17" i="11"/>
  <c r="AC72" i="29"/>
  <c r="G8" i="11"/>
  <c r="X66" i="29"/>
  <c r="O44" i="11"/>
  <c r="O11" i="11"/>
  <c r="AF68" i="29"/>
  <c r="Q29" i="11"/>
  <c r="AH80" i="29"/>
  <c r="N13" i="9"/>
  <c r="O16" i="11"/>
  <c r="N44" i="11"/>
  <c r="S56" i="11"/>
  <c r="P96" i="29"/>
  <c r="S31" i="11"/>
  <c r="P81" i="29"/>
  <c r="S66" i="11"/>
  <c r="P102" i="29"/>
  <c r="Q35" i="11"/>
  <c r="AH84" i="29"/>
  <c r="O35" i="11"/>
  <c r="AF84" i="29"/>
  <c r="J44" i="11"/>
  <c r="S37" i="11"/>
  <c r="P85" i="29"/>
  <c r="M22" i="9"/>
  <c r="P50" i="29"/>
  <c r="P52" i="11"/>
  <c r="AG94" i="29"/>
  <c r="Q11" i="11"/>
  <c r="AH68" i="29"/>
  <c r="M55" i="11"/>
  <c r="L10" i="15"/>
  <c r="P143" i="29"/>
  <c r="C15" i="46"/>
  <c r="AM22" i="29"/>
  <c r="P10" i="11"/>
  <c r="K23" i="11"/>
  <c r="AB76" i="29"/>
  <c r="J29" i="11"/>
  <c r="AA80" i="29"/>
  <c r="H55" i="11"/>
  <c r="L67" i="11"/>
  <c r="AC103" i="29"/>
  <c r="K28" i="11"/>
  <c r="K30" i="11"/>
  <c r="S35" i="11"/>
  <c r="P84" i="29"/>
  <c r="L11" i="15"/>
  <c r="P144" i="29"/>
  <c r="Q22" i="11"/>
  <c r="S40" i="11"/>
  <c r="C12" i="28"/>
  <c r="AJ281" i="29"/>
  <c r="N29" i="11"/>
  <c r="AE80" i="29"/>
  <c r="Q27" i="13"/>
  <c r="N28" i="13"/>
  <c r="AF129" i="29"/>
  <c r="F35" i="11"/>
  <c r="O56" i="11"/>
  <c r="AF96" i="29"/>
  <c r="J13" i="11"/>
  <c r="B23" i="28"/>
  <c r="AI292" i="29"/>
  <c r="H28" i="13"/>
  <c r="Z129" i="29"/>
  <c r="R14" i="13"/>
  <c r="P115" i="29"/>
  <c r="I14" i="11"/>
  <c r="Z70" i="29"/>
  <c r="O17" i="11"/>
  <c r="AF72" i="29"/>
  <c r="L25" i="11"/>
  <c r="F65" i="11"/>
  <c r="K57" i="11"/>
  <c r="AB97" i="29"/>
  <c r="M13" i="9"/>
  <c r="P42" i="29"/>
  <c r="R24" i="13"/>
  <c r="P125" i="29"/>
  <c r="I23" i="11"/>
  <c r="Z76" i="29"/>
  <c r="F20" i="11"/>
  <c r="N7" i="11"/>
  <c r="F67" i="11"/>
  <c r="F28" i="11"/>
  <c r="D26" i="13"/>
  <c r="J22" i="11"/>
  <c r="Q57" i="11"/>
  <c r="AH97" i="29"/>
  <c r="Q32" i="11"/>
  <c r="AH82" i="29"/>
  <c r="M6" i="9"/>
  <c r="F57" i="11"/>
  <c r="K29" i="11"/>
  <c r="L50" i="11"/>
  <c r="C27" i="46"/>
  <c r="AM34" i="29"/>
  <c r="R44" i="11"/>
  <c r="P25" i="11"/>
  <c r="F27" i="13"/>
  <c r="X128" i="29"/>
  <c r="I50" i="11"/>
  <c r="N50" i="11"/>
  <c r="H52" i="11"/>
  <c r="Y94" i="29"/>
  <c r="S65" i="11"/>
  <c r="P101" i="29"/>
  <c r="J28" i="13"/>
  <c r="AB129" i="29"/>
  <c r="F16" i="11"/>
  <c r="G60" i="11"/>
  <c r="H50" i="11"/>
  <c r="M60" i="11"/>
  <c r="J19" i="11"/>
  <c r="S51" i="11"/>
  <c r="P93" i="29"/>
  <c r="I26" i="13"/>
  <c r="AA127" i="29"/>
  <c r="F45" i="11"/>
  <c r="I25" i="13"/>
  <c r="AA126" i="29"/>
  <c r="L19" i="11"/>
  <c r="F31" i="11"/>
  <c r="J27" i="13"/>
  <c r="AB128" i="29"/>
  <c r="F22" i="11"/>
  <c r="C20" i="28"/>
  <c r="AJ289" i="29"/>
  <c r="O46" i="11"/>
  <c r="AF90" i="29"/>
  <c r="G13" i="11"/>
  <c r="J32" i="11"/>
  <c r="AA82" i="29"/>
  <c r="Q34" i="11"/>
  <c r="L15" i="15"/>
  <c r="P148" i="29"/>
  <c r="G45" i="11"/>
  <c r="F34" i="11"/>
  <c r="M11" i="11"/>
  <c r="AD68" i="29"/>
  <c r="I13" i="11"/>
  <c r="R7" i="13"/>
  <c r="P108" i="29"/>
  <c r="J60" i="11"/>
  <c r="P55" i="11"/>
  <c r="H35" i="11"/>
  <c r="Y84" i="29"/>
  <c r="G28" i="11"/>
  <c r="H34" i="11"/>
  <c r="M28" i="11"/>
  <c r="Q55" i="11"/>
  <c r="P65" i="11"/>
  <c r="D7" i="28"/>
  <c r="AK276" i="29"/>
  <c r="G56" i="11"/>
  <c r="X96" i="29"/>
  <c r="N26" i="11"/>
  <c r="AE78" i="29"/>
  <c r="K67" i="11"/>
  <c r="AB103" i="29"/>
  <c r="M67" i="11"/>
  <c r="AD103" i="29"/>
  <c r="H14" i="11"/>
  <c r="Y70" i="29"/>
  <c r="C19" i="28"/>
  <c r="AJ288" i="29"/>
  <c r="N14" i="9"/>
  <c r="H16" i="11"/>
  <c r="P60" i="11"/>
  <c r="L8" i="15"/>
  <c r="S47" i="11"/>
  <c r="P91" i="29"/>
  <c r="N62" i="11"/>
  <c r="AE100" i="29"/>
  <c r="R29" i="19"/>
  <c r="N60" i="11"/>
  <c r="AE98" i="29"/>
  <c r="I25" i="11"/>
  <c r="M12" i="9"/>
  <c r="P41" i="29"/>
  <c r="I61" i="11"/>
  <c r="Z99" i="29"/>
  <c r="C10" i="46"/>
  <c r="AM17" i="29"/>
  <c r="F46" i="11"/>
  <c r="Q13" i="11"/>
  <c r="Q52" i="11"/>
  <c r="AH94" i="29"/>
  <c r="C18" i="46"/>
  <c r="AM25" i="29"/>
  <c r="O52" i="11"/>
  <c r="AF94" i="29"/>
  <c r="D11" i="28"/>
  <c r="AK280" i="29"/>
  <c r="D19" i="28"/>
  <c r="AK288" i="29"/>
  <c r="G71" i="11"/>
  <c r="X105" i="29"/>
  <c r="I51" i="11"/>
  <c r="Z93" i="29"/>
  <c r="L47" i="11"/>
  <c r="AC91" i="29"/>
  <c r="J10" i="11"/>
  <c r="H25" i="13"/>
  <c r="Z126" i="29"/>
  <c r="D20" i="28"/>
  <c r="AK289" i="29"/>
  <c r="K52" i="11"/>
  <c r="AB94" i="29"/>
  <c r="C18" i="28"/>
  <c r="AJ287" i="29"/>
  <c r="K44" i="11"/>
  <c r="M17" i="9"/>
  <c r="P46" i="29"/>
  <c r="N55" i="11"/>
  <c r="I16" i="11"/>
  <c r="J61" i="11"/>
  <c r="AA99" i="29"/>
  <c r="G10" i="11"/>
  <c r="M12" i="15"/>
  <c r="D21" i="28"/>
  <c r="AK290" i="29"/>
  <c r="I52" i="11"/>
  <c r="Z94" i="29"/>
  <c r="M44" i="11"/>
  <c r="F14" i="11"/>
  <c r="L20" i="11"/>
  <c r="AC74" i="29"/>
  <c r="B16" i="28"/>
  <c r="G14" i="11"/>
  <c r="X70" i="29"/>
  <c r="P61" i="11"/>
  <c r="AG99" i="29"/>
  <c r="J31" i="11"/>
  <c r="L12" i="15"/>
  <c r="P145" i="29"/>
  <c r="D14" i="28"/>
  <c r="AK283" i="29"/>
  <c r="B14" i="28"/>
  <c r="AI283" i="29"/>
  <c r="N16" i="11"/>
  <c r="R19" i="13"/>
  <c r="P120" i="29"/>
  <c r="I62" i="11"/>
  <c r="Z100" i="29"/>
  <c r="L61" i="11"/>
  <c r="L64" i="11"/>
  <c r="AC99" i="29"/>
  <c r="M19" i="15"/>
  <c r="M21" i="15"/>
  <c r="N71" i="11"/>
  <c r="AE105" i="29"/>
  <c r="M32" i="11"/>
  <c r="AD82" i="29"/>
  <c r="S55" i="11"/>
  <c r="P95" i="29"/>
  <c r="B11" i="28"/>
  <c r="AI280" i="29"/>
  <c r="I45" i="11"/>
  <c r="Z89" i="29"/>
  <c r="J20" i="11"/>
  <c r="AA74" i="29"/>
  <c r="L16" i="11"/>
  <c r="K50" i="11"/>
  <c r="B6" i="28"/>
  <c r="S45" i="11"/>
  <c r="P89" i="29"/>
  <c r="B21" i="28"/>
  <c r="AI290" i="29"/>
  <c r="F28" i="13"/>
  <c r="X129" i="29"/>
  <c r="L62" i="11"/>
  <c r="AC100" i="29"/>
  <c r="S70" i="11"/>
  <c r="S25" i="11"/>
  <c r="P77" i="29"/>
  <c r="L14" i="15"/>
  <c r="P147" i="29"/>
  <c r="S17" i="11"/>
  <c r="P72" i="29"/>
  <c r="P23" i="11"/>
  <c r="AG76" i="29"/>
  <c r="K62" i="11"/>
  <c r="AB100" i="29"/>
  <c r="G20" i="11"/>
  <c r="X74" i="29"/>
  <c r="S71" i="11"/>
  <c r="P105" i="29"/>
  <c r="M29" i="11"/>
  <c r="AD80" i="29"/>
  <c r="N67" i="11"/>
  <c r="AE103" i="29"/>
  <c r="M14" i="15"/>
  <c r="G50" i="11"/>
  <c r="F56" i="11"/>
  <c r="H47" i="11"/>
  <c r="Y91" i="29"/>
  <c r="R33" i="13"/>
  <c r="P134" i="29"/>
  <c r="G52" i="11"/>
  <c r="X94" i="29"/>
  <c r="M31" i="9"/>
  <c r="P58" i="29"/>
  <c r="N23" i="11"/>
  <c r="AE76" i="29"/>
  <c r="G65" i="11"/>
  <c r="O25" i="13"/>
  <c r="AG126" i="29"/>
  <c r="R10" i="13"/>
  <c r="P111" i="29"/>
  <c r="Q71" i="11"/>
  <c r="AH105" i="29"/>
  <c r="F60" i="11"/>
  <c r="S19" i="11"/>
  <c r="P73" i="29"/>
  <c r="L27" i="13"/>
  <c r="AD128" i="29"/>
  <c r="G22" i="11"/>
  <c r="M13" i="15"/>
  <c r="F32" i="11"/>
  <c r="I31" i="11"/>
  <c r="L25" i="13"/>
  <c r="AD126" i="29"/>
  <c r="G31" i="11"/>
  <c r="P27" i="13"/>
  <c r="AH128" i="29"/>
  <c r="L17" i="15"/>
  <c r="P150" i="29"/>
  <c r="M32" i="9"/>
  <c r="P59" i="29"/>
  <c r="L52" i="11"/>
  <c r="AC94" i="29"/>
  <c r="L28" i="11"/>
  <c r="K32" i="11"/>
  <c r="AB82" i="29"/>
  <c r="Q26" i="11"/>
  <c r="AH78" i="29"/>
  <c r="Q26" i="13"/>
  <c r="U26" i="13"/>
  <c r="Q8" i="13"/>
  <c r="D8" i="13"/>
  <c r="U8" i="13"/>
  <c r="U42" i="13"/>
  <c r="Q7" i="13"/>
  <c r="D7" i="13"/>
  <c r="U7" i="13"/>
  <c r="U43" i="13"/>
  <c r="F8" i="11"/>
  <c r="C17" i="46"/>
  <c r="AM24" i="29"/>
  <c r="M11" i="15"/>
  <c r="H13" i="11"/>
  <c r="I56" i="11"/>
  <c r="Z96" i="29"/>
  <c r="R31" i="13"/>
  <c r="P132" i="29"/>
  <c r="O25" i="11"/>
  <c r="J52" i="11"/>
  <c r="AA94" i="29"/>
  <c r="S44" i="11"/>
  <c r="K71" i="11"/>
  <c r="AB105" i="29"/>
  <c r="F26" i="13"/>
  <c r="X127" i="29"/>
  <c r="B20" i="28"/>
  <c r="AI289" i="29"/>
  <c r="M7" i="15"/>
  <c r="K7" i="15"/>
  <c r="V141" i="29"/>
  <c r="R71" i="11"/>
  <c r="O105" i="29"/>
  <c r="J55" i="11"/>
  <c r="H29" i="11"/>
  <c r="Y80" i="29"/>
  <c r="M17" i="11"/>
  <c r="AD72" i="29"/>
  <c r="H25" i="11"/>
  <c r="P8" i="11"/>
  <c r="AG66" i="29"/>
  <c r="S26" i="11"/>
  <c r="P78" i="29"/>
  <c r="M14" i="9"/>
  <c r="P43" i="29"/>
  <c r="N51" i="11"/>
  <c r="AE93" i="29"/>
  <c r="L45" i="11"/>
  <c r="AC89" i="29"/>
  <c r="H26" i="13"/>
  <c r="Z127" i="29"/>
  <c r="M50" i="11"/>
  <c r="M18" i="15"/>
  <c r="O51" i="11"/>
  <c r="AF93" i="29"/>
  <c r="C21" i="46"/>
  <c r="AM28" i="29"/>
  <c r="L20" i="15"/>
  <c r="P153" i="29"/>
  <c r="S46" i="11"/>
  <c r="P90" i="29"/>
  <c r="P17" i="11"/>
  <c r="AG72" i="29"/>
  <c r="J35" i="11"/>
  <c r="AA84" i="29"/>
  <c r="M8" i="9"/>
  <c r="P38" i="29"/>
  <c r="K47" i="11"/>
  <c r="M27" i="13"/>
  <c r="AE128" i="29"/>
  <c r="R18" i="13"/>
  <c r="P119" i="29"/>
  <c r="C11" i="26"/>
  <c r="F11" i="26"/>
  <c r="L28" i="13"/>
  <c r="AD129" i="29"/>
  <c r="M51" i="11"/>
  <c r="AD93" i="29"/>
  <c r="I60" i="11"/>
  <c r="O26" i="13"/>
  <c r="AG127" i="29"/>
  <c r="O20" i="11"/>
  <c r="J26" i="13"/>
  <c r="AB127" i="29"/>
  <c r="R32" i="13"/>
  <c r="P133" i="29"/>
  <c r="K34" i="11"/>
  <c r="G11" i="11"/>
  <c r="X68" i="29"/>
  <c r="Q14" i="11"/>
  <c r="AH70" i="29"/>
  <c r="S38" i="11"/>
  <c r="P86" i="29"/>
  <c r="M24" i="9"/>
  <c r="P51" i="29"/>
  <c r="O19" i="11"/>
  <c r="R42" i="13"/>
  <c r="P139" i="29"/>
  <c r="G23" i="11"/>
  <c r="X76" i="29"/>
  <c r="C24" i="46"/>
  <c r="AM31" i="29"/>
  <c r="M13" i="11"/>
  <c r="C6" i="46"/>
  <c r="AM13" i="29"/>
  <c r="O71" i="11"/>
  <c r="AF105" i="29"/>
  <c r="K19" i="11"/>
  <c r="G62" i="11"/>
  <c r="X100" i="29"/>
  <c r="C20" i="46"/>
  <c r="AM27" i="29"/>
  <c r="C13" i="46"/>
  <c r="AM20" i="29"/>
  <c r="C10" i="26"/>
  <c r="N25" i="13"/>
  <c r="AF126" i="29"/>
  <c r="N27" i="13"/>
  <c r="AF128" i="29"/>
  <c r="R26" i="13"/>
  <c r="P127" i="29"/>
  <c r="O50" i="11"/>
  <c r="C24" i="28"/>
  <c r="AJ293" i="29"/>
  <c r="N32" i="11"/>
  <c r="AE82" i="29"/>
  <c r="K22" i="11"/>
  <c r="K46" i="11"/>
  <c r="AB90" i="29"/>
  <c r="C7" i="28"/>
  <c r="AJ276" i="29"/>
  <c r="M34" i="9"/>
  <c r="P61" i="29"/>
  <c r="H27" i="13"/>
  <c r="Z128" i="29"/>
  <c r="Q19" i="11"/>
  <c r="M11" i="9"/>
  <c r="P40" i="29"/>
  <c r="S32" i="11"/>
  <c r="P82" i="29"/>
  <c r="I10" i="11"/>
  <c r="K65" i="11"/>
  <c r="R15" i="13"/>
  <c r="P116" i="29"/>
  <c r="N13" i="11"/>
  <c r="K26" i="13"/>
  <c r="AC127" i="29"/>
  <c r="P28" i="13"/>
  <c r="AH129" i="29"/>
  <c r="H45" i="11"/>
  <c r="Y89" i="29"/>
  <c r="S28" i="11"/>
  <c r="P79" i="29"/>
  <c r="P29" i="11"/>
  <c r="AG80" i="29"/>
  <c r="I8" i="11"/>
  <c r="Z66" i="29"/>
  <c r="G57" i="11"/>
  <c r="M16" i="15"/>
  <c r="O32" i="11"/>
  <c r="AF82" i="29"/>
  <c r="M46" i="11"/>
  <c r="AD90" i="29"/>
  <c r="C9" i="28"/>
  <c r="AJ278" i="29"/>
  <c r="K56" i="11"/>
  <c r="AB96" i="29"/>
  <c r="P35" i="11"/>
  <c r="AG84" i="29"/>
  <c r="B8" i="28"/>
  <c r="AI277" i="29"/>
  <c r="G35" i="11"/>
  <c r="X84" i="29"/>
  <c r="K26" i="11"/>
  <c r="AB78" i="29"/>
  <c r="M27" i="9"/>
  <c r="P54" i="29"/>
  <c r="P67" i="11"/>
  <c r="AG103" i="29"/>
  <c r="F11" i="11"/>
  <c r="W68" i="29"/>
  <c r="L31" i="11"/>
  <c r="N30" i="9"/>
  <c r="J28" i="11"/>
  <c r="K16" i="11"/>
  <c r="Q31" i="11"/>
  <c r="C14" i="28"/>
  <c r="AJ283" i="29"/>
  <c r="L13" i="15"/>
  <c r="P146" i="29"/>
  <c r="Q28" i="11"/>
  <c r="Q30" i="11"/>
  <c r="AH79" i="29"/>
  <c r="M25" i="11"/>
  <c r="M27" i="11"/>
  <c r="D25" i="13"/>
  <c r="P31" i="11"/>
  <c r="H62" i="11"/>
  <c r="Y100" i="29"/>
  <c r="D9" i="26"/>
  <c r="J51" i="11"/>
  <c r="AA93" i="29"/>
  <c r="K35" i="11"/>
  <c r="AB84" i="29"/>
  <c r="P51" i="11"/>
  <c r="AG93" i="29"/>
  <c r="E27" i="13"/>
  <c r="W128" i="29"/>
  <c r="M33" i="9"/>
  <c r="P60" i="29"/>
  <c r="G44" i="11"/>
  <c r="G26" i="11"/>
  <c r="X78" i="29"/>
  <c r="O13" i="11"/>
  <c r="C12" i="26"/>
  <c r="S67" i="11"/>
  <c r="P103" i="29"/>
  <c r="E28" i="13"/>
  <c r="W129" i="29"/>
  <c r="R11" i="13"/>
  <c r="P112" i="29"/>
  <c r="G16" i="11"/>
  <c r="F7" i="11"/>
  <c r="R9" i="13"/>
  <c r="P110" i="29"/>
  <c r="J7" i="11"/>
  <c r="I67" i="11"/>
  <c r="Z103" i="29"/>
  <c r="F17" i="11"/>
  <c r="J11" i="11"/>
  <c r="AA68" i="29"/>
  <c r="N17" i="11"/>
  <c r="AE72" i="29"/>
  <c r="C16" i="28"/>
  <c r="M31" i="11"/>
  <c r="N26" i="9"/>
  <c r="Q67" i="11"/>
  <c r="AH103" i="29"/>
  <c r="O10" i="11"/>
  <c r="J67" i="11"/>
  <c r="AA103" i="29"/>
  <c r="M52" i="11"/>
  <c r="M54" i="11"/>
  <c r="J46" i="11"/>
  <c r="AA90" i="29"/>
  <c r="O23" i="11"/>
  <c r="AF76" i="29"/>
  <c r="Q45" i="11"/>
  <c r="AH89" i="29"/>
  <c r="N46" i="11"/>
  <c r="AE90" i="29"/>
  <c r="D11" i="26"/>
  <c r="I26" i="11"/>
  <c r="D24" i="28"/>
  <c r="AK293" i="29"/>
  <c r="J17" i="11"/>
  <c r="AA72" i="29"/>
  <c r="I29" i="11"/>
  <c r="Z80" i="29"/>
  <c r="M47" i="11"/>
  <c r="AD91" i="29"/>
  <c r="O67" i="11"/>
  <c r="L10" i="11"/>
  <c r="L19" i="15"/>
  <c r="P152" i="29"/>
  <c r="Q56" i="11"/>
  <c r="AH96" i="29"/>
  <c r="N25" i="9"/>
  <c r="O25" i="9"/>
  <c r="P25" i="13"/>
  <c r="AH126" i="29"/>
  <c r="D18" i="28"/>
  <c r="AK287" i="29"/>
  <c r="M20" i="15"/>
  <c r="D13" i="28"/>
  <c r="AK282" i="29"/>
  <c r="P7" i="11"/>
  <c r="AG65" i="29"/>
  <c r="H20" i="11"/>
  <c r="B17" i="28"/>
  <c r="AI286" i="29"/>
  <c r="S23" i="11"/>
  <c r="P76" i="29"/>
  <c r="C8" i="46"/>
  <c r="AM15" i="29"/>
  <c r="K28" i="13"/>
  <c r="AC129" i="29"/>
  <c r="L23" i="11"/>
  <c r="AC76" i="29"/>
  <c r="S57" i="11"/>
  <c r="P97" i="29"/>
  <c r="C11" i="28"/>
  <c r="AJ280" i="29"/>
  <c r="O47" i="11"/>
  <c r="AF91" i="29"/>
  <c r="M20" i="9"/>
  <c r="P48" i="29"/>
  <c r="O55" i="11"/>
  <c r="N20" i="11"/>
  <c r="AE74" i="29"/>
  <c r="P34" i="11"/>
  <c r="AG83" i="29"/>
  <c r="M45" i="11"/>
  <c r="AD89" i="29"/>
  <c r="M7" i="11"/>
  <c r="O29" i="11"/>
  <c r="AF80" i="29"/>
  <c r="P16" i="11"/>
  <c r="G55" i="11"/>
  <c r="P11" i="11"/>
  <c r="AG68" i="29"/>
  <c r="R27" i="13"/>
  <c r="P128" i="29"/>
  <c r="N61" i="11"/>
  <c r="AE99" i="29"/>
  <c r="L18" i="15"/>
  <c r="P151" i="29"/>
  <c r="R31" i="19"/>
  <c r="O61" i="11"/>
  <c r="AF99" i="29"/>
  <c r="N65" i="11"/>
  <c r="J65" i="11"/>
  <c r="D12" i="28"/>
  <c r="AK281" i="29"/>
  <c r="I55" i="11"/>
  <c r="N7" i="9"/>
  <c r="F44" i="11"/>
  <c r="P26" i="13"/>
  <c r="AH127" i="29"/>
  <c r="F26" i="11"/>
  <c r="R26" i="11"/>
  <c r="F19" i="11"/>
  <c r="M10" i="11"/>
  <c r="L56" i="11"/>
  <c r="AC96" i="29"/>
  <c r="K14" i="11"/>
  <c r="AB70" i="29"/>
  <c r="K60" i="11"/>
  <c r="P14" i="11"/>
  <c r="AG70" i="29"/>
  <c r="O60" i="11"/>
  <c r="K13" i="11"/>
  <c r="I57" i="11"/>
  <c r="Z97" i="29"/>
  <c r="N56" i="11"/>
  <c r="AE96" i="29"/>
  <c r="Q7" i="11"/>
  <c r="Q9" i="11"/>
  <c r="L26" i="13"/>
  <c r="AD127" i="29"/>
  <c r="B24" i="28"/>
  <c r="AI293" i="29"/>
  <c r="M8" i="11"/>
  <c r="AD66" i="29"/>
  <c r="C21" i="28"/>
  <c r="AJ290" i="29"/>
  <c r="B7" i="28"/>
  <c r="AI276" i="29"/>
  <c r="C22" i="46"/>
  <c r="AM29" i="29"/>
  <c r="I46" i="11"/>
  <c r="Z90" i="29"/>
  <c r="Q16" i="11"/>
  <c r="J14" i="11"/>
  <c r="AA70" i="29"/>
  <c r="H65" i="11"/>
  <c r="D10" i="28"/>
  <c r="AK279" i="29"/>
  <c r="D15" i="28"/>
  <c r="AK284" i="29"/>
  <c r="F50" i="11"/>
  <c r="F53" i="11"/>
  <c r="P44" i="11"/>
  <c r="J47" i="11"/>
  <c r="AA91" i="29"/>
  <c r="O65" i="11"/>
  <c r="L21" i="15"/>
  <c r="P154" i="29"/>
  <c r="I27" i="13"/>
  <c r="AA128" i="29"/>
  <c r="J56" i="11"/>
  <c r="AA96" i="29"/>
  <c r="M23" i="15"/>
  <c r="S62" i="11"/>
  <c r="P100" i="29"/>
  <c r="M30" i="9"/>
  <c r="P57" i="29"/>
  <c r="H46" i="11"/>
  <c r="Y90" i="29"/>
  <c r="O28" i="11"/>
  <c r="E55" i="11"/>
  <c r="D20" i="15"/>
  <c r="M153" i="29"/>
  <c r="G14" i="9"/>
  <c r="R43" i="29"/>
  <c r="H8" i="9"/>
  <c r="S38" i="29"/>
  <c r="C27" i="13"/>
  <c r="L128" i="29"/>
  <c r="D23" i="15"/>
  <c r="M156" i="29"/>
  <c r="E12" i="15"/>
  <c r="N145" i="29"/>
  <c r="G20" i="9"/>
  <c r="R48" i="29"/>
  <c r="I11" i="9"/>
  <c r="T40" i="29"/>
  <c r="E30" i="19"/>
  <c r="L236" i="29"/>
  <c r="C13" i="15"/>
  <c r="L146" i="29"/>
  <c r="D23" i="11"/>
  <c r="E46" i="11"/>
  <c r="L90" i="29"/>
  <c r="E65" i="11"/>
  <c r="D21" i="15"/>
  <c r="M154" i="29"/>
  <c r="D44" i="11"/>
  <c r="D14" i="11"/>
  <c r="E35" i="11"/>
  <c r="L84" i="29"/>
  <c r="D27" i="9"/>
  <c r="M54" i="29"/>
  <c r="I32" i="9"/>
  <c r="T59" i="29"/>
  <c r="G7" i="9"/>
  <c r="R37" i="29"/>
  <c r="E16" i="15"/>
  <c r="N149" i="29"/>
  <c r="I12" i="9"/>
  <c r="T41" i="29"/>
  <c r="I21" i="15"/>
  <c r="T154" i="29"/>
  <c r="I16" i="9"/>
  <c r="T45" i="29"/>
  <c r="H14" i="9"/>
  <c r="S43" i="29"/>
  <c r="D32" i="11"/>
  <c r="I26" i="9"/>
  <c r="T53" i="29"/>
  <c r="E23" i="15"/>
  <c r="N156" i="29"/>
  <c r="D67" i="11"/>
  <c r="D17" i="11"/>
  <c r="E14" i="9"/>
  <c r="N43" i="29"/>
  <c r="I34" i="9"/>
  <c r="T61" i="29"/>
  <c r="F7" i="15"/>
  <c r="Q141" i="29"/>
  <c r="G18" i="15"/>
  <c r="R151" i="29"/>
  <c r="E31" i="19"/>
  <c r="L237" i="29"/>
  <c r="E17" i="11"/>
  <c r="L72" i="29"/>
  <c r="D61" i="11"/>
  <c r="D6" i="9"/>
  <c r="M36" i="29"/>
  <c r="H13" i="9"/>
  <c r="S42" i="29"/>
  <c r="D6" i="15"/>
  <c r="M140" i="29"/>
  <c r="H7" i="15"/>
  <c r="S141" i="29"/>
  <c r="D34" i="9"/>
  <c r="M61" i="29"/>
  <c r="G10" i="15"/>
  <c r="R143" i="29"/>
  <c r="E21" i="15"/>
  <c r="N154" i="29"/>
  <c r="D60" i="11"/>
  <c r="D64" i="11"/>
  <c r="G31" i="9"/>
  <c r="R58" i="29"/>
  <c r="D38" i="11"/>
  <c r="E57" i="11"/>
  <c r="L97" i="29"/>
  <c r="E50" i="11"/>
  <c r="L92" i="29"/>
  <c r="E7" i="11"/>
  <c r="C8" i="15"/>
  <c r="D71" i="11"/>
  <c r="H25" i="9"/>
  <c r="S52" i="29"/>
  <c r="E32" i="11"/>
  <c r="L82" i="29"/>
  <c r="E20" i="15"/>
  <c r="N153" i="29"/>
  <c r="G19" i="9"/>
  <c r="R47" i="29"/>
  <c r="D46" i="11"/>
  <c r="C25" i="13"/>
  <c r="L126" i="29"/>
  <c r="G8" i="15"/>
  <c r="R142" i="29"/>
  <c r="D10" i="11"/>
  <c r="C20" i="9"/>
  <c r="L48" i="29"/>
  <c r="D24" i="9"/>
  <c r="M51" i="29"/>
  <c r="H7" i="9"/>
  <c r="S37" i="29"/>
  <c r="D26" i="11"/>
  <c r="E28" i="11"/>
  <c r="H13" i="15"/>
  <c r="S146" i="29"/>
  <c r="D14" i="9"/>
  <c r="M43" i="29"/>
  <c r="D37" i="11"/>
  <c r="E24" i="9"/>
  <c r="N51" i="29"/>
  <c r="D15" i="9"/>
  <c r="M44" i="29"/>
  <c r="H6" i="15"/>
  <c r="S140" i="29"/>
  <c r="I10" i="15"/>
  <c r="T143" i="29"/>
  <c r="G6" i="15"/>
  <c r="R140" i="29"/>
  <c r="G11" i="15"/>
  <c r="R144" i="29"/>
  <c r="D62" i="11"/>
  <c r="K7" i="9"/>
  <c r="U37" i="29"/>
  <c r="E62" i="11"/>
  <c r="L100" i="29"/>
  <c r="I6" i="15"/>
  <c r="T140" i="29"/>
  <c r="E14" i="15"/>
  <c r="N147" i="29"/>
  <c r="D11" i="11"/>
  <c r="I11" i="15"/>
  <c r="T144" i="29"/>
  <c r="E52" i="11"/>
  <c r="L94" i="29"/>
  <c r="H11" i="9"/>
  <c r="S40" i="29"/>
  <c r="C14" i="15"/>
  <c r="I28" i="9"/>
  <c r="T55" i="29"/>
  <c r="D25" i="9"/>
  <c r="M52" i="29"/>
  <c r="E26" i="11"/>
  <c r="L78" i="29"/>
  <c r="D41" i="11"/>
  <c r="D22" i="11"/>
  <c r="D24" i="11"/>
  <c r="I8" i="9"/>
  <c r="T38" i="29"/>
  <c r="C14" i="9"/>
  <c r="L43" i="29"/>
  <c r="G12" i="9"/>
  <c r="R41" i="29"/>
  <c r="D65" i="11"/>
  <c r="E15" i="15"/>
  <c r="N148" i="29"/>
  <c r="H15" i="9"/>
  <c r="S44" i="29"/>
  <c r="C12" i="15"/>
  <c r="L145" i="29"/>
  <c r="C7" i="9"/>
  <c r="L37" i="29"/>
  <c r="I8" i="15"/>
  <c r="T142" i="29"/>
  <c r="G19" i="15"/>
  <c r="R152" i="29"/>
  <c r="G27" i="9"/>
  <c r="R54" i="29"/>
  <c r="G22" i="15"/>
  <c r="R155" i="29"/>
  <c r="E8" i="11"/>
  <c r="C26" i="9"/>
  <c r="L53" i="29"/>
  <c r="E20" i="11"/>
  <c r="L74" i="29"/>
  <c r="G24" i="9"/>
  <c r="R51" i="29"/>
  <c r="G17" i="15"/>
  <c r="R150" i="29"/>
  <c r="H14" i="15"/>
  <c r="S147" i="29"/>
  <c r="D11" i="9"/>
  <c r="M40" i="29"/>
  <c r="G12" i="15"/>
  <c r="R145" i="29"/>
  <c r="H10" i="9"/>
  <c r="S39" i="29"/>
  <c r="I10" i="9"/>
  <c r="T39" i="29"/>
  <c r="C25" i="9"/>
  <c r="L52" i="29"/>
  <c r="D35" i="11"/>
  <c r="H26" i="9"/>
  <c r="S53" i="29"/>
  <c r="D19" i="15"/>
  <c r="M152" i="29"/>
  <c r="H6" i="9"/>
  <c r="S36" i="29"/>
  <c r="D50" i="11"/>
  <c r="E51" i="11"/>
  <c r="L93" i="29"/>
  <c r="I27" i="9"/>
  <c r="T54" i="29"/>
  <c r="J7" i="15"/>
  <c r="U141" i="29"/>
  <c r="I33" i="9"/>
  <c r="T60" i="29"/>
  <c r="D7" i="11"/>
  <c r="E11" i="11"/>
  <c r="L68" i="29"/>
  <c r="D33" i="9"/>
  <c r="M60" i="29"/>
  <c r="D35" i="9"/>
  <c r="M62" i="29"/>
  <c r="D57" i="11"/>
  <c r="I19" i="15"/>
  <c r="T152" i="29"/>
  <c r="E18" i="15"/>
  <c r="N151" i="29"/>
  <c r="H17" i="15"/>
  <c r="S150" i="29"/>
  <c r="C23" i="15"/>
  <c r="L156" i="29"/>
  <c r="I12" i="15"/>
  <c r="T145" i="29"/>
  <c r="I17" i="9"/>
  <c r="T46" i="29"/>
  <c r="I31" i="9"/>
  <c r="T58" i="29"/>
  <c r="D45" i="11"/>
  <c r="D19" i="11"/>
  <c r="D14" i="15"/>
  <c r="M147" i="29"/>
  <c r="C13" i="9"/>
  <c r="L42" i="29"/>
  <c r="E26" i="9"/>
  <c r="N53" i="29"/>
  <c r="H24" i="9"/>
  <c r="S51" i="29"/>
  <c r="D13" i="11"/>
  <c r="D16" i="9"/>
  <c r="M45" i="29"/>
  <c r="E10" i="15"/>
  <c r="N143" i="29"/>
  <c r="H12" i="15"/>
  <c r="S145" i="29"/>
  <c r="G10" i="9"/>
  <c r="R39" i="29"/>
  <c r="G7" i="15"/>
  <c r="R141" i="29"/>
  <c r="H27" i="9"/>
  <c r="S54" i="29"/>
  <c r="D8" i="11"/>
  <c r="G35" i="9"/>
  <c r="R62" i="29"/>
  <c r="G20" i="15"/>
  <c r="R153" i="29"/>
  <c r="E67" i="11"/>
  <c r="L103" i="29"/>
  <c r="E45" i="11"/>
  <c r="L89" i="29"/>
  <c r="D56" i="11"/>
  <c r="F6" i="9"/>
  <c r="Q36" i="29"/>
  <c r="E11" i="15"/>
  <c r="N144" i="29"/>
  <c r="C10" i="9"/>
  <c r="L39" i="29"/>
  <c r="D18" i="15"/>
  <c r="M151" i="29"/>
  <c r="E47" i="11"/>
  <c r="L91" i="29"/>
  <c r="E7" i="9"/>
  <c r="N37" i="29"/>
  <c r="E16" i="11"/>
  <c r="L71" i="29"/>
  <c r="G17" i="9"/>
  <c r="R46" i="29"/>
  <c r="C21" i="15"/>
  <c r="L154" i="29"/>
  <c r="G13" i="15"/>
  <c r="R146" i="29"/>
  <c r="C11" i="9"/>
  <c r="L40" i="29"/>
  <c r="H12" i="9"/>
  <c r="S41" i="29"/>
  <c r="C17" i="15"/>
  <c r="L150" i="29"/>
  <c r="D16" i="15"/>
  <c r="M149" i="29"/>
  <c r="D15" i="15"/>
  <c r="M148" i="29"/>
  <c r="H20" i="15"/>
  <c r="S153" i="29"/>
  <c r="H31" i="9"/>
  <c r="S58" i="29"/>
  <c r="G30" i="9"/>
  <c r="R57" i="29"/>
  <c r="C22" i="15"/>
  <c r="L155" i="29"/>
  <c r="E56" i="11"/>
  <c r="L96" i="29"/>
  <c r="D12" i="9"/>
  <c r="M41" i="29"/>
  <c r="C20" i="13"/>
  <c r="L121" i="29"/>
  <c r="I18" i="15"/>
  <c r="T151" i="29"/>
  <c r="I20" i="15"/>
  <c r="T153" i="29"/>
  <c r="C26" i="13"/>
  <c r="L127" i="29"/>
  <c r="I7" i="9"/>
  <c r="T37" i="29"/>
  <c r="E30" i="9"/>
  <c r="N57" i="29"/>
  <c r="E60" i="11"/>
  <c r="G8" i="9"/>
  <c r="R38" i="29"/>
  <c r="D17" i="15"/>
  <c r="M150" i="29"/>
  <c r="C20" i="15"/>
  <c r="L153" i="29"/>
  <c r="H21" i="15"/>
  <c r="S154" i="29"/>
  <c r="D31" i="9"/>
  <c r="M58" i="29"/>
  <c r="E31" i="17"/>
  <c r="M36" i="17"/>
  <c r="AD188" i="29"/>
  <c r="F35" i="17"/>
  <c r="O22" i="17"/>
  <c r="AF174" i="29"/>
  <c r="N41" i="17"/>
  <c r="AE193" i="29"/>
  <c r="Q30" i="17"/>
  <c r="AH182" i="29"/>
  <c r="N37" i="17"/>
  <c r="AE189" i="29"/>
  <c r="N25" i="17"/>
  <c r="AE177" i="29"/>
  <c r="L27" i="17"/>
  <c r="AC179" i="29"/>
  <c r="J40" i="17"/>
  <c r="AA192" i="29"/>
  <c r="E37" i="17"/>
  <c r="N29" i="17"/>
  <c r="AE181" i="29"/>
  <c r="M27" i="17"/>
  <c r="AD179" i="29"/>
  <c r="E10" i="17"/>
  <c r="F15" i="17"/>
  <c r="L34" i="17"/>
  <c r="AC186" i="29"/>
  <c r="J28" i="17"/>
  <c r="AA180" i="29"/>
  <c r="K26" i="17"/>
  <c r="AB178" i="29"/>
  <c r="J29" i="17"/>
  <c r="AA181" i="29"/>
  <c r="I37" i="17"/>
  <c r="Z189" i="29"/>
  <c r="I7" i="15"/>
  <c r="T141" i="29"/>
  <c r="I20" i="9"/>
  <c r="T48" i="29"/>
  <c r="E13" i="15"/>
  <c r="N146" i="29"/>
  <c r="I23" i="15"/>
  <c r="T156" i="29"/>
  <c r="D25" i="11"/>
  <c r="J8" i="15"/>
  <c r="U142" i="29"/>
  <c r="G28" i="9"/>
  <c r="R55" i="29"/>
  <c r="D40" i="11"/>
  <c r="H16" i="9"/>
  <c r="S45" i="29"/>
  <c r="C24" i="9"/>
  <c r="I17" i="15"/>
  <c r="T150" i="29"/>
  <c r="H30" i="17"/>
  <c r="Y182" i="29"/>
  <c r="J14" i="17"/>
  <c r="AA166" i="29"/>
  <c r="Q22" i="17"/>
  <c r="AH174" i="29"/>
  <c r="D16" i="11"/>
  <c r="F6" i="15"/>
  <c r="Q140" i="29"/>
  <c r="E29" i="19"/>
  <c r="G33" i="9"/>
  <c r="R60" i="29"/>
  <c r="I19" i="9"/>
  <c r="T47" i="29"/>
  <c r="F34" i="9"/>
  <c r="Q61" i="29"/>
  <c r="C18" i="15"/>
  <c r="L151" i="29"/>
  <c r="H16" i="15"/>
  <c r="S149" i="29"/>
  <c r="D51" i="11"/>
  <c r="N11" i="17"/>
  <c r="AE163" i="29"/>
  <c r="D22" i="15"/>
  <c r="M155" i="29"/>
  <c r="G15" i="15"/>
  <c r="R148" i="29"/>
  <c r="C30" i="9"/>
  <c r="L57" i="29"/>
  <c r="H30" i="9"/>
  <c r="S57" i="29"/>
  <c r="D7" i="15"/>
  <c r="M141" i="29"/>
  <c r="C19" i="15"/>
  <c r="L152" i="29"/>
  <c r="E71" i="11"/>
  <c r="L105" i="29"/>
  <c r="I13" i="15"/>
  <c r="T146" i="29"/>
  <c r="D19" i="9"/>
  <c r="M47" i="29"/>
  <c r="D8" i="9"/>
  <c r="D9" i="9"/>
  <c r="D32" i="9"/>
  <c r="M59" i="29"/>
  <c r="O9" i="17"/>
  <c r="AF161" i="29"/>
  <c r="P26" i="17"/>
  <c r="AG178" i="29"/>
  <c r="D13" i="9"/>
  <c r="M42" i="29"/>
  <c r="D7" i="9"/>
  <c r="M37" i="29"/>
  <c r="E19" i="11"/>
  <c r="G25" i="9"/>
  <c r="R52" i="29"/>
  <c r="D10" i="15"/>
  <c r="M143" i="29"/>
  <c r="C27" i="9"/>
  <c r="L54" i="29"/>
  <c r="D13" i="15"/>
  <c r="M146" i="29"/>
  <c r="I14" i="15"/>
  <c r="T147" i="29"/>
  <c r="G23" i="15"/>
  <c r="R156" i="29"/>
  <c r="I22" i="15"/>
  <c r="T155" i="29"/>
  <c r="H35" i="9"/>
  <c r="S62" i="29"/>
  <c r="E23" i="11"/>
  <c r="L76" i="29"/>
  <c r="F7" i="9"/>
  <c r="Q37" i="29"/>
  <c r="C19" i="9"/>
  <c r="L47" i="29"/>
  <c r="E17" i="15"/>
  <c r="N150" i="29"/>
  <c r="F28" i="17"/>
  <c r="W180" i="29"/>
  <c r="G15" i="17"/>
  <c r="X167" i="29"/>
  <c r="K45" i="17"/>
  <c r="AB196" i="29"/>
  <c r="M31" i="17"/>
  <c r="AD183" i="29"/>
  <c r="D66" i="11"/>
  <c r="E22" i="15"/>
  <c r="N155" i="29"/>
  <c r="E61" i="11"/>
  <c r="L99" i="29"/>
  <c r="D20" i="9"/>
  <c r="M48" i="29"/>
  <c r="D55" i="11"/>
  <c r="D59" i="11"/>
  <c r="D12" i="15"/>
  <c r="M145" i="29"/>
  <c r="I15" i="9"/>
  <c r="T44" i="29"/>
  <c r="E27" i="9"/>
  <c r="N54" i="29"/>
  <c r="E19" i="15"/>
  <c r="N152" i="29"/>
  <c r="D20" i="11"/>
  <c r="E34" i="11"/>
  <c r="L83" i="29"/>
  <c r="D31" i="11"/>
  <c r="I24" i="9"/>
  <c r="T51" i="29"/>
  <c r="H18" i="15"/>
  <c r="S151" i="29"/>
  <c r="C15" i="15"/>
  <c r="L148" i="29"/>
  <c r="D70" i="11"/>
  <c r="D72" i="11"/>
  <c r="C16" i="15"/>
  <c r="L149" i="29"/>
  <c r="I15" i="15"/>
  <c r="T148" i="29"/>
  <c r="D34" i="11"/>
  <c r="D36" i="11"/>
  <c r="D47" i="11"/>
  <c r="G14" i="15"/>
  <c r="R147" i="29"/>
  <c r="G16" i="15"/>
  <c r="R149" i="29"/>
  <c r="G6" i="9"/>
  <c r="R36" i="29"/>
  <c r="G26" i="9"/>
  <c r="R53" i="29"/>
  <c r="H32" i="9"/>
  <c r="S59" i="29"/>
  <c r="I35" i="9"/>
  <c r="T62" i="29"/>
  <c r="D29" i="11"/>
  <c r="C15" i="9"/>
  <c r="L44" i="29"/>
  <c r="I6" i="9"/>
  <c r="T36" i="29"/>
  <c r="E22" i="11"/>
  <c r="L75" i="29"/>
  <c r="G34" i="9"/>
  <c r="R61" i="29"/>
  <c r="E44" i="11"/>
  <c r="E29" i="11"/>
  <c r="L80" i="29"/>
  <c r="C28" i="13"/>
  <c r="L129" i="29"/>
  <c r="D30" i="9"/>
  <c r="M57" i="29"/>
  <c r="H33" i="9"/>
  <c r="S60" i="29"/>
  <c r="D28" i="11"/>
  <c r="C28" i="9"/>
  <c r="L55" i="29"/>
  <c r="I16" i="15"/>
  <c r="T149" i="29"/>
  <c r="E25" i="11"/>
  <c r="E27" i="11"/>
  <c r="E13" i="11"/>
  <c r="I25" i="9"/>
  <c r="T52" i="29"/>
  <c r="E14" i="11"/>
  <c r="L70" i="29"/>
  <c r="C11" i="15"/>
  <c r="L144" i="29"/>
  <c r="E10" i="11"/>
  <c r="E25" i="9"/>
  <c r="N52" i="29"/>
  <c r="H15" i="15"/>
  <c r="S148" i="29"/>
  <c r="H23" i="15"/>
  <c r="S156" i="29"/>
  <c r="D52" i="11"/>
  <c r="G13" i="9"/>
  <c r="R42" i="29"/>
  <c r="G11" i="9"/>
  <c r="R40" i="29"/>
  <c r="C10" i="15"/>
  <c r="L143" i="29"/>
  <c r="E31" i="11"/>
  <c r="E33" i="11"/>
  <c r="E20" i="9"/>
  <c r="N48" i="29"/>
  <c r="I30" i="9"/>
  <c r="T57" i="29"/>
  <c r="G21" i="15"/>
  <c r="R154" i="29"/>
  <c r="F33" i="9"/>
  <c r="Q60" i="29"/>
  <c r="E10" i="9"/>
  <c r="N39" i="29"/>
  <c r="H22" i="15"/>
  <c r="S155" i="29"/>
  <c r="H34" i="9"/>
  <c r="S61" i="29"/>
  <c r="C7" i="15"/>
  <c r="L141" i="29"/>
  <c r="I13" i="9"/>
  <c r="T42" i="29"/>
  <c r="D26" i="9"/>
  <c r="M53" i="29"/>
  <c r="D10" i="9"/>
  <c r="M39" i="29"/>
  <c r="E13" i="9"/>
  <c r="N42" i="29"/>
  <c r="D11" i="15"/>
  <c r="M144" i="29"/>
  <c r="I14" i="9"/>
  <c r="T43" i="29"/>
  <c r="E15" i="9"/>
  <c r="N44" i="29"/>
  <c r="G32" i="9"/>
  <c r="R59" i="29"/>
  <c r="C17" i="9"/>
  <c r="L46" i="29"/>
  <c r="M16" i="17"/>
  <c r="AD168" i="29"/>
  <c r="J9" i="17"/>
  <c r="AA161" i="29"/>
  <c r="F31" i="17"/>
  <c r="W183" i="29"/>
  <c r="S16" i="21"/>
  <c r="O252" i="29"/>
  <c r="H45" i="17"/>
  <c r="Y196" i="29"/>
  <c r="G39" i="17"/>
  <c r="X191" i="29"/>
  <c r="I40" i="17"/>
  <c r="Z192" i="29"/>
  <c r="K19" i="17"/>
  <c r="AB171" i="29"/>
  <c r="K25" i="17"/>
  <c r="AB177" i="29"/>
  <c r="O21" i="17"/>
  <c r="AF173" i="29"/>
  <c r="G33" i="17"/>
  <c r="X185" i="29"/>
  <c r="P34" i="17"/>
  <c r="AG186" i="29"/>
  <c r="Q35" i="17"/>
  <c r="AH187" i="29"/>
  <c r="K11" i="17"/>
  <c r="AB163" i="29"/>
  <c r="O10" i="17"/>
  <c r="L38" i="17"/>
  <c r="AC190" i="29"/>
  <c r="I26" i="17"/>
  <c r="Z178" i="29"/>
  <c r="O25" i="17"/>
  <c r="H39" i="17"/>
  <c r="Y191" i="29"/>
  <c r="I43" i="17"/>
  <c r="Z195" i="29"/>
  <c r="J37" i="17"/>
  <c r="AA189" i="29"/>
  <c r="L9" i="17"/>
  <c r="AC161" i="29"/>
  <c r="Q27" i="17"/>
  <c r="O179" i="29"/>
  <c r="P31" i="17"/>
  <c r="AG183" i="29"/>
  <c r="M18" i="17"/>
  <c r="AD170" i="29"/>
  <c r="F22" i="17"/>
  <c r="W174" i="29"/>
  <c r="E14" i="17"/>
  <c r="J16" i="17"/>
  <c r="AA168" i="29"/>
  <c r="L10" i="17"/>
  <c r="AC162" i="29"/>
  <c r="H12" i="17"/>
  <c r="Y164" i="29"/>
  <c r="D24" i="17"/>
  <c r="L176" i="29"/>
  <c r="L41" i="17"/>
  <c r="AC193" i="29"/>
  <c r="P41" i="17"/>
  <c r="AG193" i="29"/>
  <c r="O43" i="17"/>
  <c r="AF195" i="29"/>
  <c r="I19" i="17"/>
  <c r="Z171" i="29"/>
  <c r="H43" i="17"/>
  <c r="Y195" i="29"/>
  <c r="G38" i="17"/>
  <c r="X190" i="29"/>
  <c r="Q17" i="17"/>
  <c r="O169" i="29"/>
  <c r="M33" i="17"/>
  <c r="I36" i="17"/>
  <c r="Z188" i="29"/>
  <c r="N18" i="17"/>
  <c r="AE170" i="29"/>
  <c r="G19" i="17"/>
  <c r="X171" i="29"/>
  <c r="H20" i="17"/>
  <c r="Y172" i="29"/>
  <c r="L43" i="17"/>
  <c r="AC195" i="29"/>
  <c r="F27" i="17"/>
  <c r="N10" i="17"/>
  <c r="AE162" i="29"/>
  <c r="Q16" i="17"/>
  <c r="AH168" i="29"/>
  <c r="G45" i="17"/>
  <c r="X196" i="29"/>
  <c r="J20" i="17"/>
  <c r="AA172" i="29"/>
  <c r="L36" i="17"/>
  <c r="AC188" i="29"/>
  <c r="N28" i="17"/>
  <c r="AE180" i="29"/>
  <c r="M29" i="17"/>
  <c r="AD181" i="29"/>
  <c r="E45" i="17"/>
  <c r="O34" i="17"/>
  <c r="AF186" i="29"/>
  <c r="P14" i="17"/>
  <c r="AG166" i="29"/>
  <c r="G43" i="17"/>
  <c r="X195" i="29"/>
  <c r="E33" i="17"/>
  <c r="N43" i="17"/>
  <c r="AE195" i="29"/>
  <c r="K31" i="17"/>
  <c r="AB183" i="29"/>
  <c r="G40" i="17"/>
  <c r="X192" i="29"/>
  <c r="F14" i="17"/>
  <c r="W166" i="29"/>
  <c r="L42" i="17"/>
  <c r="AC194" i="29"/>
  <c r="H23" i="17"/>
  <c r="Y175" i="29"/>
  <c r="P43" i="17"/>
  <c r="AG195" i="29"/>
  <c r="L28" i="17"/>
  <c r="AC180" i="29"/>
  <c r="I13" i="17"/>
  <c r="Z165" i="29"/>
  <c r="M25" i="17"/>
  <c r="AD177" i="29"/>
  <c r="O27" i="17"/>
  <c r="AF179" i="29"/>
  <c r="I34" i="17"/>
  <c r="Z186" i="29"/>
  <c r="O28" i="17"/>
  <c r="AF180" i="29"/>
  <c r="K13" i="17"/>
  <c r="AB165" i="29"/>
  <c r="P36" i="17"/>
  <c r="AG188" i="29"/>
  <c r="I30" i="17"/>
  <c r="Z182" i="29"/>
  <c r="K37" i="17"/>
  <c r="AB189" i="29"/>
  <c r="M17" i="17"/>
  <c r="AD169" i="29"/>
  <c r="M35" i="17"/>
  <c r="AD187" i="29"/>
  <c r="P12" i="17"/>
  <c r="AG164" i="29"/>
  <c r="F40" i="17"/>
  <c r="K10" i="17"/>
  <c r="AB162" i="29"/>
  <c r="N22" i="17"/>
  <c r="AE174" i="29"/>
  <c r="Q25" i="17"/>
  <c r="O177" i="29"/>
  <c r="N13" i="17"/>
  <c r="AE165" i="29"/>
  <c r="H41" i="17"/>
  <c r="Y193" i="29"/>
  <c r="M45" i="17"/>
  <c r="AD196" i="29"/>
  <c r="P20" i="17"/>
  <c r="AG172" i="29"/>
  <c r="F36" i="17"/>
  <c r="W188" i="29"/>
  <c r="P9" i="17"/>
  <c r="L35" i="17"/>
  <c r="AC187" i="29"/>
  <c r="L23" i="17"/>
  <c r="AC175" i="29"/>
  <c r="M23" i="17"/>
  <c r="AD175" i="29"/>
  <c r="Q38" i="17"/>
  <c r="O190" i="29"/>
  <c r="H27" i="17"/>
  <c r="Y179" i="29"/>
  <c r="I23" i="17"/>
  <c r="Z175" i="29"/>
  <c r="M38" i="17"/>
  <c r="AD190" i="29"/>
  <c r="H9" i="17"/>
  <c r="Y161" i="29"/>
  <c r="M13" i="17"/>
  <c r="AD165" i="29"/>
  <c r="F23" i="17"/>
  <c r="W175" i="29"/>
  <c r="O45" i="17"/>
  <c r="AF196" i="29"/>
  <c r="L14" i="17"/>
  <c r="AC166" i="29"/>
  <c r="O29" i="17"/>
  <c r="AF181" i="29"/>
  <c r="H38" i="17"/>
  <c r="Y190" i="29"/>
  <c r="K35" i="17"/>
  <c r="AB187" i="29"/>
  <c r="J13" i="17"/>
  <c r="AA165" i="29"/>
  <c r="G13" i="17"/>
  <c r="X165" i="29"/>
  <c r="O14" i="17"/>
  <c r="AF166" i="29"/>
  <c r="H36" i="17"/>
  <c r="Y188" i="29"/>
  <c r="P11" i="17"/>
  <c r="AG163" i="29"/>
  <c r="J31" i="17"/>
  <c r="AA183" i="29"/>
  <c r="Q45" i="17"/>
  <c r="O196" i="29"/>
  <c r="L12" i="17"/>
  <c r="AC164" i="29"/>
  <c r="M15" i="17"/>
  <c r="AD167" i="29"/>
  <c r="I20" i="17"/>
  <c r="Z172" i="29"/>
  <c r="F45" i="17"/>
  <c r="W196" i="29"/>
  <c r="F42" i="17"/>
  <c r="N45" i="17"/>
  <c r="AE196" i="29"/>
  <c r="K33" i="17"/>
  <c r="G28" i="17"/>
  <c r="H19" i="17"/>
  <c r="Y171" i="29"/>
  <c r="Q28" i="17"/>
  <c r="AH180" i="29"/>
  <c r="F44" i="17"/>
  <c r="J15" i="17"/>
  <c r="AA167" i="29"/>
  <c r="P37" i="17"/>
  <c r="AG189" i="29"/>
  <c r="M11" i="17"/>
  <c r="AD163" i="29"/>
  <c r="K28" i="17"/>
  <c r="AB180" i="29"/>
  <c r="H17" i="17"/>
  <c r="Y169" i="29"/>
  <c r="G30" i="17"/>
  <c r="X182" i="29"/>
  <c r="L21" i="17"/>
  <c r="AC173" i="29"/>
  <c r="F33" i="17"/>
  <c r="W185" i="29"/>
  <c r="E11" i="17"/>
  <c r="P17" i="17"/>
  <c r="AG169" i="29"/>
  <c r="Q21" i="17"/>
  <c r="AH173" i="29"/>
  <c r="Q11" i="17"/>
  <c r="O163" i="29"/>
  <c r="J18" i="17"/>
  <c r="AA170" i="29"/>
  <c r="Q33" i="17"/>
  <c r="O185" i="29"/>
  <c r="F41" i="17"/>
  <c r="W193" i="29"/>
  <c r="L11" i="17"/>
  <c r="AC163" i="29"/>
  <c r="G35" i="17"/>
  <c r="X187" i="29"/>
  <c r="E39" i="17"/>
  <c r="O12" i="17"/>
  <c r="AF164" i="29"/>
  <c r="E15" i="17"/>
  <c r="L17" i="17"/>
  <c r="AC169" i="29"/>
  <c r="H15" i="17"/>
  <c r="Y167" i="29"/>
  <c r="J11" i="17"/>
  <c r="AA163" i="29"/>
  <c r="Q18" i="17"/>
  <c r="O170" i="29"/>
  <c r="O35" i="17"/>
  <c r="AF187" i="29"/>
  <c r="K29" i="17"/>
  <c r="AB181" i="29"/>
  <c r="P27" i="17"/>
  <c r="AG179" i="29"/>
  <c r="O17" i="17"/>
  <c r="AF169" i="29"/>
  <c r="Q44" i="17"/>
  <c r="N31" i="17"/>
  <c r="AE183" i="29"/>
  <c r="O41" i="17"/>
  <c r="AF193" i="29"/>
  <c r="J42" i="17"/>
  <c r="AA194" i="29"/>
  <c r="G34" i="17"/>
  <c r="X186" i="29"/>
  <c r="N21" i="17"/>
  <c r="AE173" i="29"/>
  <c r="G11" i="17"/>
  <c r="X163" i="29"/>
  <c r="D40" i="17"/>
  <c r="L192" i="29"/>
  <c r="D28" i="17"/>
  <c r="L180" i="29"/>
  <c r="D34" i="17"/>
  <c r="L186" i="29"/>
  <c r="D41" i="17"/>
  <c r="L193" i="29"/>
  <c r="D25" i="17"/>
  <c r="L177" i="29"/>
  <c r="D15" i="17"/>
  <c r="L167" i="29"/>
  <c r="C12" i="21"/>
  <c r="I248" i="29"/>
  <c r="D18" i="17"/>
  <c r="L170" i="29"/>
  <c r="D17" i="17"/>
  <c r="L169" i="29"/>
  <c r="E10" i="21"/>
  <c r="E8" i="21"/>
  <c r="E14" i="21"/>
  <c r="L246" i="29"/>
  <c r="D42" i="11"/>
  <c r="D15" i="11"/>
  <c r="I58" i="11"/>
  <c r="Z95" i="29"/>
  <c r="O271" i="29"/>
  <c r="E11" i="26"/>
  <c r="F12" i="26"/>
  <c r="J272" i="29"/>
  <c r="Y83" i="29"/>
  <c r="H36" i="11"/>
  <c r="AC77" i="29"/>
  <c r="L27" i="11"/>
  <c r="AF79" i="29"/>
  <c r="W97" i="29"/>
  <c r="M59" i="11"/>
  <c r="M58" i="11"/>
  <c r="AD95" i="29"/>
  <c r="AA83" i="29"/>
  <c r="J36" i="11"/>
  <c r="L58" i="11"/>
  <c r="L59" i="11"/>
  <c r="AC95" i="29"/>
  <c r="X73" i="29"/>
  <c r="G21" i="11"/>
  <c r="Z79" i="29"/>
  <c r="I30" i="11"/>
  <c r="AK275" i="29"/>
  <c r="W91" i="29"/>
  <c r="H68" i="11"/>
  <c r="K15" i="11"/>
  <c r="AB69" i="29"/>
  <c r="AF92" i="29"/>
  <c r="O53" i="11"/>
  <c r="O54" i="11"/>
  <c r="J58" i="11"/>
  <c r="AA95" i="29"/>
  <c r="J59" i="11"/>
  <c r="I33" i="11"/>
  <c r="Z81" i="29"/>
  <c r="G30" i="11"/>
  <c r="X79" i="29"/>
  <c r="M63" i="11"/>
  <c r="M64" i="11"/>
  <c r="AD98" i="29"/>
  <c r="AB79" i="29"/>
  <c r="AG73" i="29"/>
  <c r="P21" i="11"/>
  <c r="U28" i="13"/>
  <c r="O129" i="29"/>
  <c r="V28" i="13"/>
  <c r="Y79" i="29"/>
  <c r="H30" i="11"/>
  <c r="AC65" i="29"/>
  <c r="L9" i="11"/>
  <c r="O272" i="29"/>
  <c r="E12" i="26"/>
  <c r="AE83" i="29"/>
  <c r="N36" i="11"/>
  <c r="O63" i="11"/>
  <c r="O64" i="11"/>
  <c r="AF98" i="29"/>
  <c r="AF69" i="29"/>
  <c r="O15" i="11"/>
  <c r="W82" i="29"/>
  <c r="Y92" i="29"/>
  <c r="Q53" i="11"/>
  <c r="AH92" i="29"/>
  <c r="Q54" i="11"/>
  <c r="W100" i="29"/>
  <c r="R62" i="11"/>
  <c r="T62" i="11"/>
  <c r="T71" i="11"/>
  <c r="O269" i="29"/>
  <c r="E9" i="26"/>
  <c r="Q33" i="11"/>
  <c r="AH81" i="29"/>
  <c r="AF73" i="29"/>
  <c r="O141" i="29"/>
  <c r="Y69" i="29"/>
  <c r="H15" i="11"/>
  <c r="N13" i="15"/>
  <c r="K13" i="15"/>
  <c r="V146" i="29"/>
  <c r="O146" i="29"/>
  <c r="AI285" i="29"/>
  <c r="X98" i="29"/>
  <c r="G64" i="11"/>
  <c r="G63" i="11"/>
  <c r="AF71" i="29"/>
  <c r="O18" i="11"/>
  <c r="AB67" i="29"/>
  <c r="K12" i="11"/>
  <c r="AE75" i="29"/>
  <c r="Y73" i="29"/>
  <c r="H21" i="11"/>
  <c r="O151" i="29"/>
  <c r="K18" i="15"/>
  <c r="V151" i="29"/>
  <c r="AC75" i="29"/>
  <c r="L24" i="11"/>
  <c r="D21" i="11"/>
  <c r="K63" i="11"/>
  <c r="K64" i="11"/>
  <c r="AB98" i="29"/>
  <c r="AB71" i="29"/>
  <c r="K18" i="11"/>
  <c r="M53" i="11"/>
  <c r="AD92" i="29"/>
  <c r="K11" i="15"/>
  <c r="V144" i="29"/>
  <c r="O144" i="29"/>
  <c r="X75" i="29"/>
  <c r="G24" i="11"/>
  <c r="O154" i="29"/>
  <c r="K21" i="15"/>
  <c r="V154" i="29"/>
  <c r="N21" i="15"/>
  <c r="Z77" i="29"/>
  <c r="F24" i="11"/>
  <c r="W75" i="29"/>
  <c r="R22" i="11"/>
  <c r="F18" i="11"/>
  <c r="R16" i="11"/>
  <c r="O71" i="29"/>
  <c r="W71" i="29"/>
  <c r="O13" i="9"/>
  <c r="O42" i="29"/>
  <c r="L13" i="9"/>
  <c r="V42" i="29"/>
  <c r="I21" i="11"/>
  <c r="Z73" i="29"/>
  <c r="O48" i="29"/>
  <c r="L20" i="9"/>
  <c r="V48" i="29"/>
  <c r="O20" i="9"/>
  <c r="K17" i="15"/>
  <c r="V150" i="29"/>
  <c r="N17" i="15"/>
  <c r="O150" i="29"/>
  <c r="Q27" i="11"/>
  <c r="AH77" i="29"/>
  <c r="P53" i="11"/>
  <c r="AG92" i="29"/>
  <c r="X77" i="29"/>
  <c r="G27" i="11"/>
  <c r="L65" i="29"/>
  <c r="E9" i="11"/>
  <c r="AH179" i="29"/>
  <c r="W187" i="29"/>
  <c r="O187" i="29"/>
  <c r="D27" i="11"/>
  <c r="O58" i="11"/>
  <c r="AF95" i="29"/>
  <c r="O59" i="11"/>
  <c r="W72" i="29"/>
  <c r="AG81" i="29"/>
  <c r="P33" i="11"/>
  <c r="AB101" i="29"/>
  <c r="K68" i="11"/>
  <c r="S72" i="11"/>
  <c r="P104" i="29"/>
  <c r="K19" i="15"/>
  <c r="V152" i="29"/>
  <c r="O152" i="29"/>
  <c r="N19" i="15"/>
  <c r="N63" i="11"/>
  <c r="N64" i="11"/>
  <c r="H64" i="11"/>
  <c r="Y98" i="29"/>
  <c r="H63" i="11"/>
  <c r="X65" i="29"/>
  <c r="G9" i="11"/>
  <c r="L79" i="29"/>
  <c r="N12" i="11"/>
  <c r="AE67" i="29"/>
  <c r="AA79" i="29"/>
  <c r="F10" i="26"/>
  <c r="J270" i="29"/>
  <c r="W66" i="29"/>
  <c r="R8" i="11"/>
  <c r="W70" i="29"/>
  <c r="R14" i="11"/>
  <c r="O70" i="29"/>
  <c r="L68" i="11"/>
  <c r="AC101" i="29"/>
  <c r="E54" i="11"/>
  <c r="O149" i="29"/>
  <c r="N16" i="15"/>
  <c r="K16" i="15"/>
  <c r="V149" i="29"/>
  <c r="P59" i="11"/>
  <c r="AG95" i="29"/>
  <c r="P58" i="11"/>
  <c r="K10" i="15"/>
  <c r="V143" i="29"/>
  <c r="O143" i="29"/>
  <c r="W95" i="29"/>
  <c r="F58" i="11"/>
  <c r="F59" i="11"/>
  <c r="R55" i="11"/>
  <c r="O95" i="29"/>
  <c r="AB65" i="29"/>
  <c r="P9" i="11"/>
  <c r="Z67" i="29"/>
  <c r="I12" i="11"/>
  <c r="J24" i="11"/>
  <c r="AA75" i="29"/>
  <c r="E21" i="11"/>
  <c r="L73" i="29"/>
  <c r="D18" i="11"/>
  <c r="D53" i="11"/>
  <c r="D12" i="11"/>
  <c r="K20" i="15"/>
  <c r="V153" i="29"/>
  <c r="N20" i="15"/>
  <c r="O153" i="29"/>
  <c r="O57" i="29"/>
  <c r="L30" i="9"/>
  <c r="V57" i="29"/>
  <c r="W96" i="29"/>
  <c r="AA67" i="29"/>
  <c r="AE92" i="29"/>
  <c r="R28" i="11"/>
  <c r="W79" i="29"/>
  <c r="F30" i="11"/>
  <c r="J15" i="11"/>
  <c r="AA69" i="29"/>
  <c r="AC69" i="29"/>
  <c r="L15" i="11"/>
  <c r="M36" i="11"/>
  <c r="AD83" i="29"/>
  <c r="Z75" i="29"/>
  <c r="I24" i="11"/>
  <c r="AF81" i="29"/>
  <c r="O33" i="11"/>
  <c r="Z101" i="29"/>
  <c r="I68" i="11"/>
  <c r="AD185" i="29"/>
  <c r="AH169" i="29"/>
  <c r="AH73" i="29"/>
  <c r="Q21" i="11"/>
  <c r="X92" i="29"/>
  <c r="G54" i="11"/>
  <c r="G53" i="11"/>
  <c r="F33" i="11"/>
  <c r="Z92" i="29"/>
  <c r="I53" i="11"/>
  <c r="I54" i="11"/>
  <c r="W103" i="29"/>
  <c r="R67" i="11"/>
  <c r="O273" i="29"/>
  <c r="E13" i="26"/>
  <c r="M21" i="11"/>
  <c r="AD73" i="29"/>
  <c r="N22" i="15"/>
  <c r="K22" i="15"/>
  <c r="V155" i="29"/>
  <c r="O155" i="29"/>
  <c r="D68" i="11"/>
  <c r="D69" i="11"/>
  <c r="D33" i="11"/>
  <c r="AD67" i="29"/>
  <c r="M12" i="11"/>
  <c r="AC81" i="29"/>
  <c r="L33" i="11"/>
  <c r="K36" i="11"/>
  <c r="AB83" i="29"/>
  <c r="AC79" i="29"/>
  <c r="L30" i="11"/>
  <c r="K14" i="15"/>
  <c r="V147" i="29"/>
  <c r="O147" i="29"/>
  <c r="AI275" i="29"/>
  <c r="J64" i="11"/>
  <c r="J63" i="11"/>
  <c r="AA98" i="29"/>
  <c r="W76" i="29"/>
  <c r="R23" i="11"/>
  <c r="V22" i="11"/>
  <c r="AK285" i="29"/>
  <c r="AD101" i="29"/>
  <c r="M68" i="11"/>
  <c r="AC98" i="29"/>
  <c r="L63" i="11"/>
  <c r="AE101" i="29"/>
  <c r="N68" i="11"/>
  <c r="E68" i="11"/>
  <c r="L101" i="29"/>
  <c r="L95" i="29"/>
  <c r="E58" i="11"/>
  <c r="E59" i="11"/>
  <c r="O237" i="29"/>
  <c r="T31" i="19"/>
  <c r="S31" i="19"/>
  <c r="J9" i="11"/>
  <c r="AA65" i="29"/>
  <c r="AB92" i="29"/>
  <c r="K53" i="11"/>
  <c r="K54" i="11"/>
  <c r="AC73" i="29"/>
  <c r="L21" i="11"/>
  <c r="AG77" i="29"/>
  <c r="P27" i="11"/>
  <c r="N9" i="11"/>
  <c r="AE65" i="29"/>
  <c r="W84" i="29"/>
  <c r="AA71" i="29"/>
  <c r="AE73" i="29"/>
  <c r="N21" i="11"/>
  <c r="K33" i="11"/>
  <c r="AB81" i="29"/>
  <c r="L24" i="9"/>
  <c r="V51" i="29"/>
  <c r="O51" i="29"/>
  <c r="K23" i="15"/>
  <c r="V156" i="29"/>
  <c r="O156" i="29"/>
  <c r="N23" i="15"/>
  <c r="F21" i="11"/>
  <c r="W73" i="29"/>
  <c r="R19" i="11"/>
  <c r="G59" i="11"/>
  <c r="X95" i="29"/>
  <c r="G58" i="11"/>
  <c r="AB73" i="29"/>
  <c r="K21" i="11"/>
  <c r="AE71" i="29"/>
  <c r="N18" i="11"/>
  <c r="K12" i="15"/>
  <c r="V145" i="29"/>
  <c r="N12" i="15"/>
  <c r="O145" i="29"/>
  <c r="P142" i="29"/>
  <c r="L9" i="15"/>
  <c r="I15" i="11"/>
  <c r="Z69" i="29"/>
  <c r="Y95" i="29"/>
  <c r="H59" i="11"/>
  <c r="I36" i="11"/>
  <c r="Z83" i="29"/>
  <c r="AH101" i="29"/>
  <c r="Q68" i="11"/>
  <c r="D63" i="11"/>
  <c r="AF101" i="29"/>
  <c r="AG71" i="29"/>
  <c r="P18" i="11"/>
  <c r="O52" i="29"/>
  <c r="L25" i="9"/>
  <c r="V52" i="29"/>
  <c r="O12" i="11"/>
  <c r="AF67" i="29"/>
  <c r="AD77" i="29"/>
  <c r="W98" i="29"/>
  <c r="F63" i="11"/>
  <c r="F64" i="11"/>
  <c r="G12" i="11"/>
  <c r="X67" i="29"/>
  <c r="AG98" i="29"/>
  <c r="P64" i="11"/>
  <c r="P63" i="11"/>
  <c r="W89" i="29"/>
  <c r="W74" i="29"/>
  <c r="T27" i="13"/>
  <c r="V27" i="13"/>
  <c r="U27" i="13"/>
  <c r="O128" i="29"/>
  <c r="O270" i="29"/>
  <c r="E10" i="26"/>
  <c r="H33" i="11"/>
  <c r="R61" i="11"/>
  <c r="T61" i="11"/>
  <c r="W99" i="29"/>
  <c r="O148" i="29"/>
  <c r="N15" i="15"/>
  <c r="K15" i="15"/>
  <c r="V148" i="29"/>
  <c r="AC83" i="29"/>
  <c r="P64" i="29"/>
  <c r="D58" i="11"/>
  <c r="E63" i="11"/>
  <c r="E64" i="11"/>
  <c r="L98" i="29"/>
  <c r="D9" i="11"/>
  <c r="L66" i="29"/>
  <c r="L142" i="29"/>
  <c r="W78" i="29"/>
  <c r="F9" i="11"/>
  <c r="W65" i="29"/>
  <c r="AC71" i="29"/>
  <c r="L18" i="11"/>
  <c r="Y71" i="29"/>
  <c r="H18" i="11"/>
  <c r="F36" i="11"/>
  <c r="W83" i="29"/>
  <c r="W94" i="29"/>
  <c r="AE79" i="29"/>
  <c r="N30" i="11"/>
  <c r="M18" i="11"/>
  <c r="AD71" i="29"/>
  <c r="X71" i="29"/>
  <c r="G18" i="11"/>
  <c r="I18" i="11"/>
  <c r="Z71" i="29"/>
  <c r="J54" i="11"/>
  <c r="J53" i="11"/>
  <c r="AA92" i="29"/>
  <c r="AF77" i="29"/>
  <c r="O27" i="11"/>
  <c r="N59" i="11"/>
  <c r="AE95" i="29"/>
  <c r="N58" i="11"/>
  <c r="L14" i="9"/>
  <c r="V43" i="29"/>
  <c r="O43" i="29"/>
  <c r="O14" i="9"/>
  <c r="X83" i="29"/>
  <c r="K101" i="29"/>
  <c r="L77" i="29"/>
  <c r="L26" i="9"/>
  <c r="V53" i="29"/>
  <c r="O26" i="9"/>
  <c r="O53" i="29"/>
  <c r="Y77" i="29"/>
  <c r="H27" i="11"/>
  <c r="L54" i="11"/>
  <c r="AC92" i="29"/>
  <c r="L53" i="11"/>
  <c r="P87" i="29"/>
  <c r="AB95" i="29"/>
  <c r="K58" i="11"/>
  <c r="K59" i="11"/>
  <c r="AH177" i="29"/>
  <c r="E15" i="11"/>
  <c r="L69" i="29"/>
  <c r="D30" i="11"/>
  <c r="W92" i="29"/>
  <c r="F54" i="11"/>
  <c r="R50" i="11"/>
  <c r="M9" i="11"/>
  <c r="AD65" i="29"/>
  <c r="L12" i="11"/>
  <c r="AC67" i="29"/>
  <c r="AD81" i="29"/>
  <c r="M33" i="11"/>
  <c r="AD69" i="29"/>
  <c r="M15" i="11"/>
  <c r="AH69" i="29"/>
  <c r="Q15" i="11"/>
  <c r="AH83" i="29"/>
  <c r="Q36" i="11"/>
  <c r="AH75" i="29"/>
  <c r="Q24" i="11"/>
  <c r="AG67" i="29"/>
  <c r="P12" i="11"/>
  <c r="P30" i="11"/>
  <c r="AG79" i="29"/>
  <c r="W80" i="29"/>
  <c r="AG69" i="29"/>
  <c r="P15" i="11"/>
  <c r="H24" i="11"/>
  <c r="Y75" i="29"/>
  <c r="AE77" i="29"/>
  <c r="N27" i="11"/>
  <c r="F13" i="26"/>
  <c r="J273" i="29"/>
  <c r="O37" i="29"/>
  <c r="L7" i="9"/>
  <c r="V37" i="29"/>
  <c r="O7" i="9"/>
  <c r="AJ285" i="29"/>
  <c r="K24" i="11"/>
  <c r="AB75" i="29"/>
  <c r="X81" i="29"/>
  <c r="G33" i="11"/>
  <c r="AA81" i="29"/>
  <c r="J33" i="11"/>
  <c r="W90" i="29"/>
  <c r="R46" i="11"/>
  <c r="AH95" i="29"/>
  <c r="Q58" i="11"/>
  <c r="Q59" i="11"/>
  <c r="J21" i="11"/>
  <c r="AA73" i="29"/>
  <c r="W101" i="29"/>
  <c r="F68" i="11"/>
  <c r="AF75" i="29"/>
  <c r="O24" i="11"/>
  <c r="N33" i="11"/>
  <c r="AE81" i="29"/>
  <c r="O54" i="29"/>
  <c r="L27" i="9"/>
  <c r="V54" i="29"/>
  <c r="O44" i="29"/>
  <c r="L15" i="9"/>
  <c r="V44" i="29"/>
  <c r="O19" i="9"/>
  <c r="O47" i="29"/>
  <c r="L19" i="9"/>
  <c r="V47" i="29"/>
  <c r="W93" i="29"/>
  <c r="R51" i="11"/>
  <c r="AD75" i="29"/>
  <c r="M24" i="11"/>
  <c r="L67" i="29"/>
  <c r="AG161" i="29"/>
  <c r="I63" i="11"/>
  <c r="I64" i="11"/>
  <c r="Z98" i="29"/>
  <c r="X101" i="29"/>
  <c r="G68" i="11"/>
  <c r="M30" i="11"/>
  <c r="AD79" i="29"/>
  <c r="G15" i="11"/>
  <c r="X69" i="29"/>
  <c r="P24" i="11"/>
  <c r="AG75" i="29"/>
  <c r="J269" i="29"/>
  <c r="F9" i="26"/>
  <c r="M38" i="29"/>
  <c r="O30" i="9"/>
  <c r="N7" i="15"/>
  <c r="T28" i="13"/>
  <c r="L81" i="29"/>
  <c r="N18" i="15"/>
  <c r="E24" i="11"/>
  <c r="E12" i="11"/>
  <c r="S28" i="13"/>
  <c r="O15" i="9"/>
  <c r="N10" i="15"/>
  <c r="E30" i="11"/>
  <c r="O168" i="29"/>
  <c r="AB185" i="29"/>
  <c r="AH196" i="29"/>
  <c r="T51" i="11"/>
  <c r="O93" i="29"/>
  <c r="T28" i="11"/>
  <c r="O79" i="29"/>
  <c r="T55" i="11"/>
  <c r="T14" i="11"/>
  <c r="V13" i="11"/>
  <c r="T67" i="11"/>
  <c r="O103" i="29"/>
  <c r="O66" i="29"/>
  <c r="T8" i="11"/>
  <c r="V7" i="11"/>
  <c r="T16" i="11"/>
  <c r="O90" i="29"/>
  <c r="U22" i="11"/>
  <c r="U23" i="11"/>
  <c r="O75" i="29"/>
  <c r="T22" i="11"/>
  <c r="O76" i="29"/>
  <c r="F206" i="29"/>
  <c r="F277" i="29"/>
  <c r="F238" i="29"/>
  <c r="F276" i="29"/>
  <c r="F213" i="29"/>
  <c r="F130" i="29"/>
  <c r="F262" i="29"/>
  <c r="F269" i="29"/>
  <c r="F194" i="29"/>
  <c r="F121" i="29"/>
  <c r="F268" i="29"/>
  <c r="F115" i="29"/>
  <c r="F251" i="29"/>
  <c r="F241" i="29"/>
  <c r="F37" i="29"/>
  <c r="F50" i="29"/>
  <c r="F186" i="29"/>
  <c r="F79" i="29"/>
  <c r="F10" i="29"/>
  <c r="F164" i="29"/>
  <c r="F81" i="29"/>
  <c r="F31" i="29"/>
  <c r="F64" i="29"/>
  <c r="F191" i="29"/>
  <c r="F135" i="29"/>
  <c r="F210" i="29"/>
  <c r="F159" i="29"/>
  <c r="F139" i="29"/>
  <c r="F67" i="29"/>
  <c r="F202" i="29"/>
  <c r="F20" i="29"/>
  <c r="F265" i="29"/>
  <c r="F18" i="29"/>
  <c r="F235" i="29"/>
  <c r="F54" i="29"/>
  <c r="F286" i="29"/>
  <c r="F168" i="29"/>
  <c r="F240" i="29"/>
  <c r="F118" i="29"/>
  <c r="F42" i="29"/>
  <c r="F93" i="29"/>
  <c r="F100" i="29"/>
  <c r="F234" i="29"/>
  <c r="F46" i="29"/>
  <c r="F29" i="29"/>
  <c r="F250" i="29"/>
  <c r="F267" i="29"/>
  <c r="F103" i="29"/>
  <c r="F117" i="29"/>
  <c r="F182" i="29"/>
  <c r="F151" i="29"/>
  <c r="F275" i="29"/>
  <c r="F113" i="29"/>
  <c r="F51" i="29"/>
  <c r="F175" i="29"/>
  <c r="F274" i="29"/>
  <c r="F211" i="29"/>
  <c r="F48" i="29"/>
  <c r="F52" i="29"/>
  <c r="F230" i="29"/>
  <c r="F224" i="29"/>
  <c r="F60" i="29"/>
  <c r="F254" i="29"/>
  <c r="F179" i="29"/>
  <c r="F110" i="29"/>
  <c r="F140" i="29"/>
  <c r="F62" i="29"/>
  <c r="F177" i="29"/>
  <c r="F108" i="29"/>
  <c r="F270" i="29"/>
  <c r="F126" i="29"/>
  <c r="F133" i="29"/>
  <c r="F167" i="29"/>
  <c r="F58" i="29"/>
  <c r="H2" i="4"/>
  <c r="F161" i="29"/>
  <c r="F144" i="29"/>
  <c r="F170" i="29"/>
  <c r="F128" i="29"/>
  <c r="F203" i="29"/>
  <c r="F57" i="29"/>
  <c r="F190" i="29"/>
  <c r="F40" i="29"/>
  <c r="F252" i="29"/>
  <c r="F149" i="29"/>
  <c r="F244" i="29"/>
  <c r="C294" i="29"/>
  <c r="F21" i="29"/>
  <c r="F169" i="29"/>
  <c r="F283" i="29"/>
  <c r="F258" i="29"/>
  <c r="F294" i="29"/>
  <c r="F248" i="29"/>
  <c r="F232" i="29"/>
  <c r="F3" i="29"/>
  <c r="F162" i="29"/>
  <c r="F14" i="29"/>
  <c r="F278" i="29"/>
  <c r="C33" i="29"/>
  <c r="F76" i="29"/>
  <c r="F146" i="29"/>
  <c r="F293" i="29"/>
  <c r="F220" i="29"/>
  <c r="F71" i="29"/>
  <c r="F264" i="29"/>
  <c r="F87" i="29"/>
  <c r="F291" i="29"/>
  <c r="F237" i="29"/>
  <c r="F229" i="29"/>
  <c r="C86" i="29"/>
  <c r="F180" i="29"/>
  <c r="F8" i="29"/>
  <c r="F198" i="29"/>
  <c r="F200" i="29"/>
  <c r="F6" i="29"/>
  <c r="F227" i="29"/>
  <c r="F184" i="29"/>
  <c r="F23" i="29"/>
  <c r="F98" i="29"/>
  <c r="F289" i="29"/>
  <c r="F24" i="29"/>
  <c r="G2" i="6"/>
  <c r="U2" i="21"/>
  <c r="G2" i="26"/>
  <c r="U2" i="19"/>
  <c r="C242" i="29"/>
  <c r="F49" i="29"/>
  <c r="U2" i="20"/>
  <c r="F2" i="22"/>
  <c r="O2" i="8"/>
  <c r="C256" i="29"/>
  <c r="D251" i="29"/>
  <c r="C120" i="29"/>
  <c r="F123" i="29"/>
  <c r="C44" i="29"/>
  <c r="D172" i="29"/>
  <c r="C178" i="29"/>
  <c r="D163" i="29"/>
  <c r="F255" i="29"/>
  <c r="D80" i="29"/>
  <c r="F266" i="29"/>
  <c r="C158" i="29"/>
  <c r="F33" i="29"/>
  <c r="C40" i="29"/>
  <c r="F279" i="29"/>
  <c r="C144" i="29"/>
  <c r="D104" i="29"/>
  <c r="F138" i="29"/>
  <c r="D33" i="29"/>
  <c r="F253" i="29"/>
  <c r="C24" i="29"/>
  <c r="F68" i="29"/>
  <c r="C200" i="29"/>
  <c r="F11" i="29"/>
  <c r="C231" i="29"/>
  <c r="D167" i="29"/>
  <c r="C58" i="29"/>
  <c r="C28" i="29"/>
  <c r="D234" i="29"/>
  <c r="F78" i="29"/>
  <c r="C136" i="29"/>
  <c r="C263" i="29"/>
  <c r="C295" i="29"/>
  <c r="C62" i="29"/>
  <c r="D126" i="29"/>
  <c r="D262" i="29"/>
  <c r="F114" i="29"/>
  <c r="D99" i="29"/>
  <c r="F260" i="29"/>
  <c r="F61" i="29"/>
  <c r="D237" i="29"/>
  <c r="D78" i="29"/>
  <c r="D102" i="29"/>
  <c r="D2" i="27"/>
  <c r="D242" i="29"/>
  <c r="D49" i="29"/>
  <c r="C49" i="29"/>
  <c r="W2" i="11"/>
  <c r="C137" i="29"/>
  <c r="D197" i="29"/>
  <c r="D187" i="29"/>
  <c r="F141" i="29"/>
  <c r="C225" i="29"/>
  <c r="F53" i="29"/>
  <c r="C273" i="29"/>
  <c r="D88" i="29"/>
  <c r="C176" i="29"/>
  <c r="D267" i="29"/>
  <c r="F134" i="29"/>
  <c r="D90" i="29"/>
  <c r="F256" i="29"/>
  <c r="C243" i="29"/>
  <c r="F173" i="29"/>
  <c r="C159" i="29"/>
  <c r="F26" i="29"/>
  <c r="C51" i="29"/>
  <c r="D135" i="29"/>
  <c r="F207" i="29"/>
  <c r="D198" i="29"/>
  <c r="F45" i="29"/>
  <c r="C61" i="29"/>
  <c r="F148" i="29"/>
  <c r="C141" i="29"/>
  <c r="D96" i="29"/>
  <c r="C14" i="29"/>
  <c r="D151" i="29"/>
  <c r="D189" i="29"/>
  <c r="C11" i="29"/>
  <c r="C38" i="29"/>
  <c r="C278" i="29"/>
  <c r="D157" i="29"/>
  <c r="D67" i="29"/>
  <c r="F287" i="29"/>
  <c r="F9" i="29"/>
  <c r="C186" i="29"/>
  <c r="F22" i="29"/>
  <c r="D200" i="29"/>
  <c r="F263" i="29"/>
  <c r="F228" i="29"/>
  <c r="D107" i="29"/>
  <c r="F35" i="29"/>
  <c r="R2" i="16"/>
  <c r="C286" i="29"/>
  <c r="F295" i="29"/>
  <c r="C255" i="29"/>
  <c r="C35" i="29"/>
  <c r="F73" i="29"/>
  <c r="C10" i="29"/>
  <c r="F217" i="29"/>
  <c r="C5" i="29"/>
  <c r="D248" i="29"/>
  <c r="C262" i="29"/>
  <c r="D273" i="29"/>
  <c r="F222" i="29"/>
  <c r="D131" i="29"/>
  <c r="F245" i="29"/>
  <c r="C165" i="29"/>
  <c r="F171" i="29"/>
  <c r="C168" i="29"/>
  <c r="F2" i="29"/>
  <c r="C2" i="29"/>
  <c r="D106" i="29"/>
  <c r="D244" i="29"/>
  <c r="C234" i="29"/>
  <c r="F185" i="29"/>
  <c r="C235" i="29"/>
  <c r="C289" i="29"/>
  <c r="D127" i="29"/>
  <c r="D295" i="29"/>
  <c r="D240" i="29"/>
  <c r="C131" i="29"/>
  <c r="C119" i="29"/>
  <c r="C65" i="29"/>
  <c r="D195" i="29"/>
  <c r="D263" i="29"/>
  <c r="F221" i="29"/>
  <c r="F4" i="29"/>
  <c r="C81" i="29"/>
  <c r="D217" i="29"/>
  <c r="F219" i="29"/>
  <c r="F257" i="29"/>
  <c r="C248" i="29"/>
  <c r="D290" i="29"/>
  <c r="F77" i="29"/>
  <c r="C22" i="29"/>
  <c r="F56" i="29"/>
  <c r="D53" i="29"/>
  <c r="D265" i="29"/>
  <c r="C101" i="29"/>
  <c r="F143" i="29"/>
  <c r="C41" i="29"/>
  <c r="F178" i="29"/>
  <c r="C217" i="29"/>
  <c r="D176" i="29"/>
  <c r="F55" i="29"/>
  <c r="D208" i="29"/>
  <c r="F273" i="29"/>
  <c r="C118" i="29"/>
  <c r="F104" i="29"/>
  <c r="C30" i="29"/>
  <c r="F7" i="29"/>
  <c r="D112" i="29"/>
  <c r="F92" i="29"/>
  <c r="C79" i="29"/>
  <c r="C281" i="29"/>
  <c r="C205" i="29"/>
  <c r="D72" i="29"/>
  <c r="D42" i="29"/>
  <c r="D210" i="29"/>
  <c r="F84" i="29"/>
  <c r="D179" i="29"/>
  <c r="C142" i="29"/>
  <c r="D54" i="29"/>
  <c r="F95" i="29"/>
  <c r="D156" i="29"/>
  <c r="D133" i="29"/>
  <c r="C264" i="29"/>
  <c r="C124" i="29"/>
  <c r="C192" i="29"/>
  <c r="D56" i="29"/>
  <c r="D2" i="28"/>
  <c r="C56" i="29"/>
  <c r="D2" i="45"/>
  <c r="D50" i="29"/>
  <c r="C48" i="29"/>
  <c r="D57" i="29"/>
  <c r="D288" i="29"/>
  <c r="C220" i="29"/>
  <c r="F116" i="29"/>
  <c r="C269" i="29"/>
  <c r="D140" i="29"/>
  <c r="C3" i="29"/>
  <c r="D292" i="29"/>
  <c r="F38" i="29"/>
  <c r="D34" i="29"/>
  <c r="C89" i="29"/>
  <c r="F176" i="29"/>
  <c r="F63" i="29"/>
  <c r="F223" i="29"/>
  <c r="C128" i="29"/>
  <c r="D121" i="29"/>
  <c r="C98" i="29"/>
  <c r="D285" i="29"/>
  <c r="F125" i="29"/>
  <c r="F83" i="29"/>
  <c r="C92" i="29"/>
  <c r="C117" i="29"/>
  <c r="D20" i="29"/>
  <c r="D51" i="29"/>
  <c r="D105" i="29"/>
  <c r="F192" i="29"/>
  <c r="D30" i="29"/>
  <c r="C272" i="29"/>
  <c r="F280" i="29"/>
  <c r="F193" i="29"/>
  <c r="W2" i="10"/>
  <c r="G2" i="7"/>
  <c r="D249" i="29"/>
  <c r="D191" i="29"/>
  <c r="D3" i="29"/>
  <c r="D14" i="29"/>
  <c r="F285" i="29"/>
  <c r="F218" i="29"/>
  <c r="D129" i="29"/>
  <c r="D111" i="29"/>
  <c r="D202" i="29"/>
  <c r="C85" i="29"/>
  <c r="F282" i="29"/>
  <c r="F65" i="29"/>
  <c r="F145" i="29"/>
  <c r="C265" i="29"/>
  <c r="D274" i="29"/>
  <c r="D70" i="29"/>
  <c r="F196" i="29"/>
  <c r="D243" i="29"/>
  <c r="D134" i="29"/>
  <c r="D7" i="29"/>
  <c r="C274" i="29"/>
  <c r="T2" i="12"/>
  <c r="D21" i="29"/>
  <c r="D38" i="29"/>
  <c r="C164" i="29"/>
  <c r="C151" i="29"/>
  <c r="F90" i="29"/>
  <c r="C177" i="29"/>
  <c r="D64" i="29"/>
  <c r="D159" i="29"/>
  <c r="D173" i="29"/>
  <c r="F131" i="29"/>
  <c r="D165" i="29"/>
  <c r="F32" i="29"/>
  <c r="C250" i="29"/>
  <c r="F150" i="29"/>
  <c r="C103" i="29"/>
  <c r="D257" i="29"/>
  <c r="C47" i="29"/>
  <c r="D169" i="29"/>
  <c r="F155" i="29"/>
  <c r="D236" i="29"/>
  <c r="F89" i="29"/>
  <c r="F261" i="29"/>
  <c r="C99" i="29"/>
  <c r="D166" i="29"/>
  <c r="D222" i="29"/>
  <c r="C201" i="29"/>
  <c r="F5" i="29"/>
  <c r="F59" i="29"/>
  <c r="D183" i="29"/>
  <c r="C139" i="29"/>
  <c r="D71" i="29"/>
  <c r="D68" i="29"/>
  <c r="F39" i="29"/>
  <c r="D246" i="29"/>
  <c r="F66" i="29"/>
  <c r="C59" i="29"/>
  <c r="D91" i="29"/>
  <c r="F226" i="29"/>
  <c r="P2" i="9"/>
  <c r="W2" i="13"/>
  <c r="D214" i="29"/>
  <c r="D279" i="29"/>
  <c r="F12" i="29"/>
  <c r="C18" i="29"/>
  <c r="D40" i="29"/>
  <c r="F36" i="29"/>
  <c r="D15" i="29"/>
  <c r="F172" i="29"/>
  <c r="D39" i="29"/>
  <c r="F105" i="29"/>
  <c r="C42" i="29"/>
  <c r="F247" i="29"/>
  <c r="C102" i="29"/>
  <c r="D180" i="29"/>
  <c r="D160" i="29"/>
  <c r="D124" i="29"/>
  <c r="F72" i="29"/>
  <c r="D87" i="29"/>
  <c r="C161" i="29"/>
  <c r="F86" i="29"/>
  <c r="C73" i="29"/>
  <c r="D22" i="29"/>
  <c r="C166" i="29"/>
  <c r="D17" i="29"/>
  <c r="F136" i="29"/>
  <c r="D76" i="29"/>
  <c r="F97" i="29"/>
  <c r="F157" i="29"/>
  <c r="C29" i="29"/>
  <c r="D164" i="29"/>
  <c r="D211" i="29"/>
  <c r="C68" i="29"/>
  <c r="F288" i="29"/>
  <c r="F216" i="29"/>
  <c r="C170" i="29"/>
  <c r="C6" i="29"/>
  <c r="D2" i="29"/>
  <c r="F34" i="29"/>
  <c r="F163" i="29"/>
  <c r="F19" i="29"/>
  <c r="F129" i="29"/>
  <c r="D271" i="29"/>
  <c r="C185" i="29"/>
  <c r="F111" i="29"/>
  <c r="D2" i="46"/>
  <c r="S2" i="17"/>
  <c r="D119" i="29"/>
  <c r="D225" i="29"/>
  <c r="C70" i="29"/>
  <c r="C230" i="29"/>
  <c r="D27" i="29"/>
  <c r="C140" i="29"/>
  <c r="D170" i="29"/>
  <c r="C232" i="29"/>
  <c r="D294" i="29"/>
  <c r="F112" i="29"/>
  <c r="C258" i="29"/>
  <c r="F233" i="29"/>
  <c r="C108" i="29"/>
  <c r="F74" i="29"/>
  <c r="C95" i="29"/>
  <c r="D114" i="29"/>
  <c r="D231" i="29"/>
  <c r="D158" i="29"/>
  <c r="C150" i="29"/>
  <c r="C194" i="29"/>
  <c r="C172" i="29"/>
  <c r="D261" i="29"/>
  <c r="F106" i="29"/>
  <c r="C187" i="29"/>
  <c r="F30" i="29"/>
  <c r="C257" i="29"/>
  <c r="C36" i="29"/>
  <c r="C219" i="29"/>
  <c r="D149" i="29"/>
  <c r="F272" i="29"/>
  <c r="D113" i="29"/>
  <c r="F25" i="29"/>
  <c r="D73" i="29"/>
  <c r="C171" i="29"/>
  <c r="C27" i="29"/>
  <c r="F102" i="29"/>
  <c r="N2" i="14"/>
  <c r="D108" i="29"/>
  <c r="C247" i="29"/>
  <c r="C53" i="29"/>
  <c r="D281" i="29"/>
  <c r="F165" i="29"/>
  <c r="D275" i="29"/>
  <c r="F259" i="29"/>
  <c r="C121" i="29"/>
  <c r="F201" i="29"/>
  <c r="C290" i="29"/>
  <c r="F70" i="29"/>
  <c r="C175" i="29"/>
  <c r="D207" i="29"/>
  <c r="F204" i="29"/>
  <c r="D235" i="29"/>
  <c r="F160" i="29"/>
  <c r="C221" i="29"/>
  <c r="C268" i="29"/>
  <c r="F80" i="29"/>
  <c r="F243" i="29"/>
  <c r="C9" i="29"/>
  <c r="F246" i="29"/>
  <c r="F231" i="29"/>
  <c r="D190" i="29"/>
  <c r="D256" i="29"/>
  <c r="F132" i="29"/>
  <c r="D128" i="29"/>
  <c r="F154" i="29"/>
  <c r="D41" i="29"/>
  <c r="F137" i="29"/>
  <c r="V25" i="11"/>
  <c r="O78" i="29"/>
  <c r="T26" i="11"/>
  <c r="X89" i="29"/>
  <c r="R45" i="11"/>
  <c r="R29" i="11"/>
  <c r="J30" i="11"/>
  <c r="P36" i="11"/>
  <c r="D75" i="11"/>
  <c r="D39" i="11"/>
  <c r="T50" i="11"/>
  <c r="AF74" i="29"/>
  <c r="O21" i="11"/>
  <c r="R11" i="11"/>
  <c r="N54" i="11"/>
  <c r="AF103" i="29"/>
  <c r="O68" i="11"/>
  <c r="P68" i="11"/>
  <c r="AG101" i="29"/>
  <c r="N53" i="11"/>
  <c r="E18" i="11"/>
  <c r="U16" i="11"/>
  <c r="U17" i="11"/>
  <c r="AA101" i="29"/>
  <c r="J68" i="11"/>
  <c r="X97" i="29"/>
  <c r="R57" i="11"/>
  <c r="R35" i="11"/>
  <c r="P88" i="29"/>
  <c r="S42" i="11"/>
  <c r="O100" i="29"/>
  <c r="E36" i="11"/>
  <c r="F27" i="11"/>
  <c r="T30" i="19"/>
  <c r="O236" i="29"/>
  <c r="R60" i="11"/>
  <c r="O36" i="11"/>
  <c r="K27" i="11"/>
  <c r="W77" i="29"/>
  <c r="Q63" i="11"/>
  <c r="AA77" i="29"/>
  <c r="J27" i="11"/>
  <c r="B21" i="15"/>
  <c r="K154" i="29"/>
  <c r="B19" i="9"/>
  <c r="K47" i="29"/>
  <c r="B26" i="9"/>
  <c r="K53" i="29"/>
  <c r="B15" i="15"/>
  <c r="K148" i="29"/>
  <c r="B10" i="9"/>
  <c r="K39" i="29"/>
  <c r="C19" i="11"/>
  <c r="B10" i="13"/>
  <c r="K111" i="29"/>
  <c r="B21" i="9"/>
  <c r="K49" i="29"/>
  <c r="B27" i="9"/>
  <c r="K54" i="29"/>
  <c r="C26" i="11"/>
  <c r="K78" i="29"/>
  <c r="C17" i="11"/>
  <c r="K72" i="29"/>
  <c r="B29" i="9"/>
  <c r="K56" i="29"/>
  <c r="B8" i="15"/>
  <c r="C25" i="11"/>
  <c r="C51" i="11"/>
  <c r="K93" i="29"/>
  <c r="C35" i="11"/>
  <c r="B20" i="9"/>
  <c r="K48" i="29"/>
  <c r="C22" i="11"/>
  <c r="B25" i="9"/>
  <c r="K52" i="29"/>
  <c r="B22" i="15"/>
  <c r="K155" i="29"/>
  <c r="C61" i="11"/>
  <c r="K99" i="29"/>
  <c r="B7" i="9"/>
  <c r="K37" i="29"/>
  <c r="C11" i="11"/>
  <c r="K68" i="29"/>
  <c r="B22" i="9"/>
  <c r="K50" i="29"/>
  <c r="B27" i="13"/>
  <c r="K128" i="29"/>
  <c r="C16" i="11"/>
  <c r="B13" i="15"/>
  <c r="K146" i="29"/>
  <c r="C7" i="11"/>
  <c r="K65" i="29"/>
  <c r="C31" i="11"/>
  <c r="B19" i="15"/>
  <c r="K152" i="29"/>
  <c r="B11" i="15"/>
  <c r="K144" i="29"/>
  <c r="C10" i="11"/>
  <c r="C60" i="11"/>
  <c r="B17" i="15"/>
  <c r="K150" i="29"/>
  <c r="B14" i="15"/>
  <c r="K147" i="29"/>
  <c r="B12" i="15"/>
  <c r="K145" i="29"/>
  <c r="B18" i="15"/>
  <c r="K151" i="29"/>
  <c r="B24" i="9"/>
  <c r="K51" i="29"/>
  <c r="B28" i="13"/>
  <c r="K129" i="29"/>
  <c r="C71" i="11"/>
  <c r="K105" i="29"/>
  <c r="B26" i="13"/>
  <c r="K127" i="29"/>
  <c r="C57" i="11"/>
  <c r="K97" i="29"/>
  <c r="C67" i="11"/>
  <c r="B7" i="15"/>
  <c r="K141" i="29"/>
  <c r="C55" i="11"/>
  <c r="B30" i="9"/>
  <c r="K57" i="29"/>
  <c r="B16" i="15"/>
  <c r="K149" i="29"/>
  <c r="C28" i="11"/>
  <c r="C50" i="11"/>
  <c r="C45" i="11"/>
  <c r="K89" i="29"/>
  <c r="B13" i="9"/>
  <c r="K42" i="29"/>
  <c r="C20" i="11"/>
  <c r="K74" i="29"/>
  <c r="C52" i="11"/>
  <c r="K94" i="29"/>
  <c r="C23" i="11"/>
  <c r="K76" i="29"/>
  <c r="C13" i="11"/>
  <c r="C8" i="11"/>
  <c r="K66" i="29"/>
  <c r="B14" i="9"/>
  <c r="K43" i="29"/>
  <c r="C56" i="11"/>
  <c r="K96" i="29"/>
  <c r="B10" i="15"/>
  <c r="K143" i="29"/>
  <c r="C29" i="11"/>
  <c r="K80" i="29"/>
  <c r="C32" i="11"/>
  <c r="K82" i="29"/>
  <c r="B23" i="15"/>
  <c r="K156" i="29"/>
  <c r="C62" i="11"/>
  <c r="K100" i="29"/>
  <c r="B20" i="15"/>
  <c r="K153" i="29"/>
  <c r="B25" i="13"/>
  <c r="K126" i="29"/>
  <c r="B28" i="9"/>
  <c r="K55" i="29"/>
  <c r="J12" i="11"/>
  <c r="AH98" i="29"/>
  <c r="H54" i="11"/>
  <c r="R65" i="11"/>
  <c r="Y74" i="29"/>
  <c r="R20" i="11"/>
  <c r="R56" i="11"/>
  <c r="R24" i="11"/>
  <c r="T24" i="11"/>
  <c r="R52" i="11"/>
  <c r="P36" i="29"/>
  <c r="M39" i="9"/>
  <c r="O73" i="29"/>
  <c r="T19" i="11"/>
  <c r="R34" i="11"/>
  <c r="N15" i="11"/>
  <c r="Y101" i="29"/>
  <c r="O235" i="29"/>
  <c r="S29" i="19"/>
  <c r="D76" i="11"/>
  <c r="AE69" i="29"/>
  <c r="I59" i="11"/>
  <c r="AF65" i="29"/>
  <c r="O9" i="11"/>
  <c r="AG82" i="29"/>
  <c r="R32" i="11"/>
  <c r="L147" i="29"/>
  <c r="N14" i="15"/>
  <c r="Q18" i="11"/>
  <c r="AH71" i="29"/>
  <c r="Z78" i="29"/>
  <c r="I27" i="11"/>
  <c r="AB91" i="29"/>
  <c r="R47" i="11"/>
  <c r="T23" i="11"/>
  <c r="T46" i="11"/>
  <c r="E53" i="11"/>
  <c r="W81" i="29"/>
  <c r="R31" i="11"/>
  <c r="O92" i="29"/>
  <c r="R17" i="11"/>
  <c r="P54" i="11"/>
  <c r="N24" i="11"/>
  <c r="H29" i="9"/>
  <c r="S56" i="29"/>
  <c r="O30" i="11"/>
  <c r="G29" i="9"/>
  <c r="R56" i="29"/>
  <c r="M9" i="9"/>
  <c r="M29" i="9"/>
  <c r="P56" i="29"/>
  <c r="J18" i="11"/>
  <c r="J271" i="29"/>
  <c r="H53" i="11"/>
  <c r="N29" i="9"/>
  <c r="L29" i="9"/>
  <c r="V56" i="29"/>
  <c r="C28" i="46"/>
  <c r="AM35" i="29"/>
  <c r="N21" i="9"/>
  <c r="L21" i="9"/>
  <c r="V49" i="29"/>
  <c r="M21" i="9"/>
  <c r="P49" i="29"/>
  <c r="I21" i="9"/>
  <c r="T49" i="29"/>
  <c r="AB80" i="29"/>
  <c r="H21" i="9"/>
  <c r="S49" i="29"/>
  <c r="G21" i="9"/>
  <c r="R49" i="29"/>
  <c r="E21" i="9"/>
  <c r="N49" i="29"/>
  <c r="AD94" i="29"/>
  <c r="D21" i="9"/>
  <c r="M49" i="29"/>
  <c r="C21" i="9"/>
  <c r="L49" i="29"/>
  <c r="C8" i="26"/>
  <c r="D20" i="13"/>
  <c r="C29" i="9"/>
  <c r="L56" i="29"/>
  <c r="D29" i="9"/>
  <c r="M56" i="29"/>
  <c r="X180" i="29"/>
  <c r="AF162" i="29"/>
  <c r="D37" i="17"/>
  <c r="L189" i="29"/>
  <c r="AH190" i="29"/>
  <c r="W194" i="29"/>
  <c r="D8" i="17"/>
  <c r="L160" i="29"/>
  <c r="L13" i="17"/>
  <c r="AC165" i="29"/>
  <c r="G23" i="17"/>
  <c r="X175" i="29"/>
  <c r="G41" i="17"/>
  <c r="H11" i="17"/>
  <c r="Y163" i="29"/>
  <c r="Q37" i="17"/>
  <c r="M34" i="17"/>
  <c r="AD186" i="29"/>
  <c r="E19" i="17"/>
  <c r="K30" i="17"/>
  <c r="AB182" i="29"/>
  <c r="K40" i="17"/>
  <c r="AB192" i="29"/>
  <c r="N30" i="17"/>
  <c r="AE182" i="29"/>
  <c r="O30" i="17"/>
  <c r="AF182" i="29"/>
  <c r="D29" i="17"/>
  <c r="L181" i="29"/>
  <c r="I41" i="17"/>
  <c r="Z193" i="29"/>
  <c r="F21" i="17"/>
  <c r="J10" i="17"/>
  <c r="Q40" i="17"/>
  <c r="M39" i="17"/>
  <c r="AD191" i="29"/>
  <c r="I21" i="17"/>
  <c r="Z173" i="29"/>
  <c r="F30" i="17"/>
  <c r="I45" i="17"/>
  <c r="Z196" i="29"/>
  <c r="J36" i="17"/>
  <c r="AA188" i="29"/>
  <c r="F34" i="17"/>
  <c r="C28" i="17"/>
  <c r="K180" i="29"/>
  <c r="C11" i="17"/>
  <c r="K163" i="29"/>
  <c r="C18" i="17"/>
  <c r="K170" i="29"/>
  <c r="O180" i="29"/>
  <c r="O182" i="29"/>
  <c r="D32" i="17"/>
  <c r="L184" i="29"/>
  <c r="N44" i="17"/>
  <c r="P16" i="17"/>
  <c r="AG168" i="29"/>
  <c r="E40" i="17"/>
  <c r="L37" i="17"/>
  <c r="AC189" i="29"/>
  <c r="N26" i="17"/>
  <c r="AE178" i="29"/>
  <c r="M19" i="17"/>
  <c r="AD171" i="29"/>
  <c r="O13" i="17"/>
  <c r="AF165" i="29"/>
  <c r="P19" i="17"/>
  <c r="AG171" i="29"/>
  <c r="O19" i="17"/>
  <c r="AF171" i="29"/>
  <c r="G29" i="17"/>
  <c r="X181" i="29"/>
  <c r="P22" i="17"/>
  <c r="AG174" i="29"/>
  <c r="J35" i="17"/>
  <c r="AA187" i="29"/>
  <c r="M41" i="17"/>
  <c r="AD193" i="29"/>
  <c r="E16" i="17"/>
  <c r="H33" i="17"/>
  <c r="R8" i="21"/>
  <c r="P244" i="29"/>
  <c r="G22" i="17"/>
  <c r="X174" i="29"/>
  <c r="M14" i="17"/>
  <c r="AD166" i="29"/>
  <c r="N42" i="17"/>
  <c r="AE194" i="29"/>
  <c r="E21" i="17"/>
  <c r="I38" i="17"/>
  <c r="Z190" i="29"/>
  <c r="O31" i="17"/>
  <c r="AF183" i="29"/>
  <c r="M44" i="17"/>
  <c r="F19" i="17"/>
  <c r="R19" i="17"/>
  <c r="I39" i="17"/>
  <c r="Z191" i="29"/>
  <c r="P39" i="17"/>
  <c r="AG191" i="29"/>
  <c r="C38" i="17"/>
  <c r="K190" i="29"/>
  <c r="W179" i="29"/>
  <c r="D44" i="17"/>
  <c r="D33" i="17"/>
  <c r="L185" i="29"/>
  <c r="E28" i="17"/>
  <c r="I16" i="17"/>
  <c r="Z168" i="29"/>
  <c r="E24" i="17"/>
  <c r="I33" i="17"/>
  <c r="E18" i="17"/>
  <c r="L45" i="17"/>
  <c r="AC196" i="29"/>
  <c r="J44" i="17"/>
  <c r="J25" i="17"/>
  <c r="E35" i="17"/>
  <c r="O36" i="17"/>
  <c r="AF188" i="29"/>
  <c r="I31" i="17"/>
  <c r="Z183" i="29"/>
  <c r="J39" i="17"/>
  <c r="AA191" i="29"/>
  <c r="D13" i="17"/>
  <c r="L165" i="29"/>
  <c r="N14" i="17"/>
  <c r="AE166" i="29"/>
  <c r="P45" i="17"/>
  <c r="AG196" i="29"/>
  <c r="AF177" i="29"/>
  <c r="H40" i="17"/>
  <c r="P13" i="17"/>
  <c r="AG165" i="29"/>
  <c r="F12" i="17"/>
  <c r="O18" i="17"/>
  <c r="AF170" i="29"/>
  <c r="E44" i="17"/>
  <c r="E32" i="17"/>
  <c r="Q12" i="17"/>
  <c r="O164" i="29"/>
  <c r="C26" i="17"/>
  <c r="K178" i="29"/>
  <c r="C32" i="17"/>
  <c r="K184" i="29"/>
  <c r="C8" i="17"/>
  <c r="K160" i="29"/>
  <c r="W192" i="29"/>
  <c r="D35" i="17"/>
  <c r="L187" i="29"/>
  <c r="D9" i="17"/>
  <c r="L161" i="29"/>
  <c r="N36" i="17"/>
  <c r="AE188" i="29"/>
  <c r="K12" i="17"/>
  <c r="AB164" i="29"/>
  <c r="E27" i="17"/>
  <c r="G26" i="17"/>
  <c r="X178" i="29"/>
  <c r="J30" i="17"/>
  <c r="AA182" i="29"/>
  <c r="E30" i="17"/>
  <c r="O40" i="17"/>
  <c r="AF192" i="29"/>
  <c r="P42" i="17"/>
  <c r="AG194" i="29"/>
  <c r="I42" i="17"/>
  <c r="Z194" i="29"/>
  <c r="Q9" i="17"/>
  <c r="O161" i="29"/>
  <c r="G25" i="17"/>
  <c r="M9" i="17"/>
  <c r="AD161" i="29"/>
  <c r="M12" i="17"/>
  <c r="AD164" i="29"/>
  <c r="Q20" i="17"/>
  <c r="O172" i="29"/>
  <c r="K39" i="17"/>
  <c r="AB191" i="29"/>
  <c r="D20" i="17"/>
  <c r="L172" i="29"/>
  <c r="M43" i="17"/>
  <c r="AD195" i="29"/>
  <c r="J33" i="17"/>
  <c r="K18" i="17"/>
  <c r="AB170" i="29"/>
  <c r="L33" i="17"/>
  <c r="L29" i="17"/>
  <c r="AC181" i="29"/>
  <c r="I14" i="17"/>
  <c r="Z166" i="29"/>
  <c r="O37" i="17"/>
  <c r="AF189" i="29"/>
  <c r="G37" i="17"/>
  <c r="X189" i="29"/>
  <c r="K41" i="17"/>
  <c r="AB193" i="29"/>
  <c r="C35" i="17"/>
  <c r="K187" i="29"/>
  <c r="C31" i="17"/>
  <c r="K183" i="29"/>
  <c r="C40" i="17"/>
  <c r="K192" i="29"/>
  <c r="W167" i="29"/>
  <c r="D16" i="17"/>
  <c r="L168" i="29"/>
  <c r="O26" i="17"/>
  <c r="AF178" i="29"/>
  <c r="E9" i="17"/>
  <c r="M20" i="17"/>
  <c r="AD172" i="29"/>
  <c r="M42" i="17"/>
  <c r="AD194" i="29"/>
  <c r="L20" i="17"/>
  <c r="AC172" i="29"/>
  <c r="J12" i="17"/>
  <c r="AA164" i="29"/>
  <c r="N20" i="17"/>
  <c r="AE172" i="29"/>
  <c r="H25" i="17"/>
  <c r="K34" i="17"/>
  <c r="AB186" i="29"/>
  <c r="F39" i="17"/>
  <c r="N27" i="17"/>
  <c r="AE179" i="29"/>
  <c r="G31" i="17"/>
  <c r="X183" i="29"/>
  <c r="F16" i="17"/>
  <c r="R16" i="17"/>
  <c r="H26" i="17"/>
  <c r="Y178" i="29"/>
  <c r="K9" i="17"/>
  <c r="H16" i="17"/>
  <c r="Y168" i="29"/>
  <c r="N34" i="17"/>
  <c r="AE186" i="29"/>
  <c r="H28" i="17"/>
  <c r="Y180" i="29"/>
  <c r="F26" i="17"/>
  <c r="D45" i="17"/>
  <c r="L196" i="29"/>
  <c r="K17" i="17"/>
  <c r="AB169" i="29"/>
  <c r="C15" i="17"/>
  <c r="K167" i="29"/>
  <c r="AH185" i="29"/>
  <c r="F17" i="17"/>
  <c r="W169" i="29"/>
  <c r="H14" i="17"/>
  <c r="Y166" i="29"/>
  <c r="H21" i="17"/>
  <c r="Y173" i="29"/>
  <c r="J45" i="17"/>
  <c r="AA196" i="29"/>
  <c r="I28" i="17"/>
  <c r="Z180" i="29"/>
  <c r="M40" i="17"/>
  <c r="AD192" i="29"/>
  <c r="O44" i="17"/>
  <c r="I29" i="17"/>
  <c r="Z181" i="29"/>
  <c r="E38" i="17"/>
  <c r="H44" i="17"/>
  <c r="N40" i="17"/>
  <c r="AE192" i="29"/>
  <c r="L16" i="17"/>
  <c r="AC168" i="29"/>
  <c r="F37" i="17"/>
  <c r="W189" i="29"/>
  <c r="J19" i="17"/>
  <c r="AA171" i="29"/>
  <c r="F9" i="17"/>
  <c r="G44" i="17"/>
  <c r="H22" i="17"/>
  <c r="Y174" i="29"/>
  <c r="H37" i="17"/>
  <c r="Y189" i="29"/>
  <c r="D31" i="17"/>
  <c r="L183" i="29"/>
  <c r="Q34" i="17"/>
  <c r="J41" i="17"/>
  <c r="AA193" i="29"/>
  <c r="P38" i="17"/>
  <c r="AG190" i="29"/>
  <c r="E25" i="17"/>
  <c r="O11" i="17"/>
  <c r="AF163" i="29"/>
  <c r="D42" i="17"/>
  <c r="L194" i="29"/>
  <c r="L15" i="17"/>
  <c r="AC167" i="29"/>
  <c r="P35" i="17"/>
  <c r="AG187" i="29"/>
  <c r="N17" i="17"/>
  <c r="AE169" i="29"/>
  <c r="C19" i="17"/>
  <c r="K171" i="29"/>
  <c r="C46" i="17"/>
  <c r="K197" i="29"/>
  <c r="C21" i="17"/>
  <c r="K173" i="29"/>
  <c r="AH163" i="29"/>
  <c r="D21" i="17"/>
  <c r="L173" i="29"/>
  <c r="D22" i="17"/>
  <c r="L174" i="29"/>
  <c r="F18" i="17"/>
  <c r="E41" i="17"/>
  <c r="E8" i="17"/>
  <c r="E29" i="17"/>
  <c r="F38" i="17"/>
  <c r="W190" i="29"/>
  <c r="M37" i="17"/>
  <c r="AD189" i="29"/>
  <c r="F11" i="17"/>
  <c r="R11" i="17"/>
  <c r="N35" i="17"/>
  <c r="AE187" i="29"/>
  <c r="J34" i="17"/>
  <c r="AA186" i="29"/>
  <c r="G16" i="17"/>
  <c r="X168" i="29"/>
  <c r="Q43" i="17"/>
  <c r="N19" i="17"/>
  <c r="AE171" i="29"/>
  <c r="L39" i="17"/>
  <c r="AC191" i="29"/>
  <c r="E17" i="17"/>
  <c r="K22" i="17"/>
  <c r="AB174" i="29"/>
  <c r="J26" i="17"/>
  <c r="AA178" i="29"/>
  <c r="E23" i="17"/>
  <c r="J43" i="17"/>
  <c r="AA195" i="29"/>
  <c r="D14" i="17"/>
  <c r="L166" i="29"/>
  <c r="G18" i="17"/>
  <c r="X170" i="29"/>
  <c r="C23" i="17"/>
  <c r="K175" i="29"/>
  <c r="P21" i="17"/>
  <c r="AG173" i="29"/>
  <c r="E22" i="17"/>
  <c r="M30" i="17"/>
  <c r="AD182" i="29"/>
  <c r="M22" i="17"/>
  <c r="AD174" i="29"/>
  <c r="J27" i="17"/>
  <c r="AA179" i="29"/>
  <c r="L31" i="17"/>
  <c r="AC183" i="29"/>
  <c r="E36" i="17"/>
  <c r="E26" i="17"/>
  <c r="O38" i="17"/>
  <c r="AF190" i="29"/>
  <c r="M28" i="17"/>
  <c r="AD180" i="29"/>
  <c r="I10" i="17"/>
  <c r="Z162" i="29"/>
  <c r="H34" i="17"/>
  <c r="N16" i="17"/>
  <c r="AE168" i="29"/>
  <c r="D27" i="17"/>
  <c r="L179" i="29"/>
  <c r="I12" i="17"/>
  <c r="Z164" i="29"/>
  <c r="D36" i="17"/>
  <c r="L188" i="29"/>
  <c r="G14" i="17"/>
  <c r="X166" i="29"/>
  <c r="K23" i="17"/>
  <c r="AB175" i="29"/>
  <c r="Q15" i="17"/>
  <c r="O167" i="29"/>
  <c r="F29" i="17"/>
  <c r="I17" i="17"/>
  <c r="Z169" i="29"/>
  <c r="H18" i="17"/>
  <c r="Y170" i="29"/>
  <c r="K42" i="17"/>
  <c r="AB194" i="29"/>
  <c r="H42" i="17"/>
  <c r="Y194" i="29"/>
  <c r="C44" i="17"/>
  <c r="C25" i="17"/>
  <c r="K177" i="29"/>
  <c r="C29" i="17"/>
  <c r="K181" i="29"/>
  <c r="C33" i="17"/>
  <c r="K185" i="29"/>
  <c r="D23" i="17"/>
  <c r="L175" i="29"/>
  <c r="E13" i="17"/>
  <c r="Q41" i="17"/>
  <c r="P33" i="17"/>
  <c r="AG185" i="29"/>
  <c r="D26" i="17"/>
  <c r="L178" i="29"/>
  <c r="O174" i="29"/>
  <c r="D19" i="17"/>
  <c r="L171" i="29"/>
  <c r="H35" i="17"/>
  <c r="K44" i="17"/>
  <c r="O42" i="17"/>
  <c r="AF194" i="29"/>
  <c r="P30" i="17"/>
  <c r="AG182" i="29"/>
  <c r="P29" i="17"/>
  <c r="AG181" i="29"/>
  <c r="L19" i="17"/>
  <c r="AC171" i="29"/>
  <c r="J17" i="17"/>
  <c r="AA169" i="29"/>
  <c r="M10" i="17"/>
  <c r="AD162" i="29"/>
  <c r="L44" i="17"/>
  <c r="M26" i="17"/>
  <c r="AD178" i="29"/>
  <c r="I18" i="17"/>
  <c r="Z170" i="29"/>
  <c r="I35" i="17"/>
  <c r="Z187" i="29"/>
  <c r="L30" i="17"/>
  <c r="AC182" i="29"/>
  <c r="G12" i="17"/>
  <c r="X164" i="29"/>
  <c r="G21" i="17"/>
  <c r="X173" i="29"/>
  <c r="G27" i="17"/>
  <c r="Q13" i="17"/>
  <c r="O165" i="29"/>
  <c r="I9" i="17"/>
  <c r="D38" i="17"/>
  <c r="L190" i="29"/>
  <c r="H10" i="17"/>
  <c r="Y162" i="29"/>
  <c r="I15" i="17"/>
  <c r="Z167" i="29"/>
  <c r="I44" i="17"/>
  <c r="R44" i="17"/>
  <c r="K43" i="17"/>
  <c r="AB195" i="29"/>
  <c r="P23" i="17"/>
  <c r="AG175" i="29"/>
  <c r="F20" i="17"/>
  <c r="F25" i="17"/>
  <c r="W177" i="29"/>
  <c r="AH170" i="29"/>
  <c r="D39" i="17"/>
  <c r="L191" i="29"/>
  <c r="L40" i="17"/>
  <c r="AC192" i="29"/>
  <c r="N12" i="17"/>
  <c r="AE164" i="29"/>
  <c r="Q23" i="17"/>
  <c r="AH175" i="29"/>
  <c r="E12" i="17"/>
  <c r="N9" i="17"/>
  <c r="N8" i="17"/>
  <c r="AE160" i="29"/>
  <c r="J38" i="17"/>
  <c r="AA190" i="29"/>
  <c r="K20" i="17"/>
  <c r="AB172" i="29"/>
  <c r="L18" i="17"/>
  <c r="AC170" i="29"/>
  <c r="K38" i="17"/>
  <c r="AB190" i="29"/>
  <c r="G17" i="17"/>
  <c r="X169" i="29"/>
  <c r="E20" i="17"/>
  <c r="F43" i="17"/>
  <c r="W195" i="29"/>
  <c r="K27" i="17"/>
  <c r="D30" i="17"/>
  <c r="L182" i="29"/>
  <c r="G20" i="17"/>
  <c r="X172" i="29"/>
  <c r="O33" i="17"/>
  <c r="AF185" i="29"/>
  <c r="G36" i="17"/>
  <c r="X188" i="29"/>
  <c r="E34" i="17"/>
  <c r="C30" i="17"/>
  <c r="K182" i="29"/>
  <c r="C34" i="17"/>
  <c r="K186" i="29"/>
  <c r="C43" i="17"/>
  <c r="K195" i="29"/>
  <c r="D11" i="17"/>
  <c r="L163" i="29"/>
  <c r="J22" i="17"/>
  <c r="AA174" i="29"/>
  <c r="H29" i="17"/>
  <c r="Y181" i="29"/>
  <c r="Q19" i="17"/>
  <c r="AH171" i="29"/>
  <c r="I25" i="17"/>
  <c r="G42" i="17"/>
  <c r="P18" i="17"/>
  <c r="AG170" i="29"/>
  <c r="P25" i="17"/>
  <c r="AG177" i="29"/>
  <c r="P44" i="17"/>
  <c r="I22" i="17"/>
  <c r="Z174" i="29"/>
  <c r="Q31" i="17"/>
  <c r="O183" i="29"/>
  <c r="N38" i="17"/>
  <c r="AE190" i="29"/>
  <c r="I27" i="17"/>
  <c r="Z179" i="29"/>
  <c r="G9" i="17"/>
  <c r="X161" i="29"/>
  <c r="O39" i="17"/>
  <c r="AF191" i="29"/>
  <c r="N33" i="17"/>
  <c r="Q26" i="17"/>
  <c r="H13" i="17"/>
  <c r="Y165" i="29"/>
  <c r="O16" i="17"/>
  <c r="AF168" i="29"/>
  <c r="O20" i="17"/>
  <c r="AF172" i="29"/>
  <c r="K14" i="17"/>
  <c r="AB166" i="29"/>
  <c r="D10" i="17"/>
  <c r="L162" i="29"/>
  <c r="E42" i="17"/>
  <c r="K36" i="17"/>
  <c r="AB188" i="29"/>
  <c r="P15" i="17"/>
  <c r="AG167" i="29"/>
  <c r="K15" i="17"/>
  <c r="AB167" i="29"/>
  <c r="Q36" i="17"/>
  <c r="P40" i="17"/>
  <c r="AG192" i="29"/>
  <c r="O15" i="17"/>
  <c r="AF167" i="29"/>
  <c r="J21" i="17"/>
  <c r="AA173" i="29"/>
  <c r="G10" i="17"/>
  <c r="X162" i="29"/>
  <c r="Q39" i="17"/>
  <c r="AH191" i="29"/>
  <c r="K21" i="17"/>
  <c r="AB173" i="29"/>
  <c r="J23" i="17"/>
  <c r="AA175" i="29"/>
  <c r="Q14" i="17"/>
  <c r="N23" i="17"/>
  <c r="AE175" i="29"/>
  <c r="N15" i="17"/>
  <c r="AE167" i="29"/>
  <c r="P10" i="17"/>
  <c r="AG162" i="29"/>
  <c r="N39" i="17"/>
  <c r="AE191" i="29"/>
  <c r="O23" i="17"/>
  <c r="AF175" i="29"/>
  <c r="Q29" i="17"/>
  <c r="AH181" i="29"/>
  <c r="E43" i="17"/>
  <c r="M21" i="17"/>
  <c r="AD173" i="29"/>
  <c r="K16" i="17"/>
  <c r="AB168" i="29"/>
  <c r="P28" i="17"/>
  <c r="AG180" i="29"/>
  <c r="L22" i="17"/>
  <c r="AC174" i="29"/>
  <c r="L26" i="17"/>
  <c r="AC178" i="29"/>
  <c r="H31" i="17"/>
  <c r="Y183" i="29"/>
  <c r="D12" i="17"/>
  <c r="L164" i="29"/>
  <c r="L25" i="17"/>
  <c r="R25" i="17"/>
  <c r="I11" i="17"/>
  <c r="Z163" i="29"/>
  <c r="Q42" i="17"/>
  <c r="F10" i="17"/>
  <c r="F13" i="17"/>
  <c r="S11" i="21"/>
  <c r="O109" i="29"/>
  <c r="C8" i="13"/>
  <c r="T8" i="13"/>
  <c r="B7" i="7"/>
  <c r="B8" i="7"/>
  <c r="B9" i="7"/>
  <c r="L33" i="12"/>
  <c r="M33" i="13"/>
  <c r="AE134" i="29"/>
  <c r="M32" i="12"/>
  <c r="N32" i="13"/>
  <c r="AF133" i="29"/>
  <c r="N32" i="12"/>
  <c r="O32" i="13"/>
  <c r="AG133" i="29"/>
  <c r="C14" i="26"/>
  <c r="J268" i="29"/>
  <c r="O2" i="15"/>
  <c r="G2" i="25"/>
  <c r="U2" i="18"/>
  <c r="R53" i="11"/>
  <c r="T53" i="11"/>
  <c r="T52" i="11"/>
  <c r="O94" i="29"/>
  <c r="C21" i="11"/>
  <c r="K73" i="29"/>
  <c r="D77" i="11"/>
  <c r="C53" i="11"/>
  <c r="K92" i="29"/>
  <c r="C54" i="11"/>
  <c r="R59" i="11"/>
  <c r="T59" i="11"/>
  <c r="O96" i="29"/>
  <c r="T56" i="11"/>
  <c r="K79" i="29"/>
  <c r="C30" i="11"/>
  <c r="T57" i="11"/>
  <c r="R58" i="11"/>
  <c r="T58" i="11"/>
  <c r="O97" i="29"/>
  <c r="V16" i="11"/>
  <c r="T17" i="11"/>
  <c r="O72" i="29"/>
  <c r="R18" i="11"/>
  <c r="T18" i="11"/>
  <c r="O84" i="29"/>
  <c r="T35" i="11"/>
  <c r="V34" i="11"/>
  <c r="O29" i="9"/>
  <c r="T20" i="11"/>
  <c r="R21" i="11"/>
  <c r="T21" i="11"/>
  <c r="O74" i="29"/>
  <c r="V19" i="11"/>
  <c r="K98" i="29"/>
  <c r="C63" i="11"/>
  <c r="C64" i="11"/>
  <c r="T29" i="11"/>
  <c r="O80" i="29"/>
  <c r="V28" i="11"/>
  <c r="R30" i="11"/>
  <c r="T30" i="11"/>
  <c r="O101" i="29"/>
  <c r="T65" i="11"/>
  <c r="R68" i="11"/>
  <c r="T68" i="11"/>
  <c r="C58" i="11"/>
  <c r="C59" i="11"/>
  <c r="K95" i="29"/>
  <c r="C12" i="11"/>
  <c r="K67" i="29"/>
  <c r="T45" i="11"/>
  <c r="T44" i="11"/>
  <c r="O89" i="29"/>
  <c r="T31" i="11"/>
  <c r="O81" i="29"/>
  <c r="R33" i="11"/>
  <c r="K75" i="29"/>
  <c r="C24" i="11"/>
  <c r="O83" i="29"/>
  <c r="T34" i="11"/>
  <c r="U34" i="11"/>
  <c r="R36" i="11"/>
  <c r="T36" i="11"/>
  <c r="K103" i="29"/>
  <c r="C68" i="11"/>
  <c r="K81" i="29"/>
  <c r="C33" i="11"/>
  <c r="R54" i="11"/>
  <c r="T54" i="11"/>
  <c r="U19" i="11"/>
  <c r="U20" i="11"/>
  <c r="C9" i="11"/>
  <c r="C27" i="11"/>
  <c r="K77" i="29"/>
  <c r="T60" i="11"/>
  <c r="O98" i="29"/>
  <c r="R63" i="11"/>
  <c r="T63" i="11"/>
  <c r="R64" i="11"/>
  <c r="T64" i="11"/>
  <c r="K84" i="29"/>
  <c r="V31" i="11"/>
  <c r="O82" i="29"/>
  <c r="T32" i="11"/>
  <c r="K69" i="29"/>
  <c r="K142" i="29"/>
  <c r="T11" i="11"/>
  <c r="V10" i="11"/>
  <c r="O68" i="29"/>
  <c r="U28" i="11"/>
  <c r="U29" i="11"/>
  <c r="O91" i="29"/>
  <c r="T47" i="11"/>
  <c r="K71" i="29"/>
  <c r="C18" i="11"/>
  <c r="R18" i="17"/>
  <c r="W170" i="29"/>
  <c r="AE185" i="29"/>
  <c r="N32" i="17"/>
  <c r="AE184" i="29"/>
  <c r="W168" i="29"/>
  <c r="W164" i="29"/>
  <c r="R31" i="17"/>
  <c r="P32" i="17"/>
  <c r="AG184" i="29"/>
  <c r="R38" i="17"/>
  <c r="W191" i="29"/>
  <c r="R39" i="17"/>
  <c r="O186" i="29"/>
  <c r="AH186" i="29"/>
  <c r="W171" i="29"/>
  <c r="W182" i="29"/>
  <c r="Q32" i="17"/>
  <c r="AH184" i="29"/>
  <c r="F24" i="17"/>
  <c r="O193" i="29"/>
  <c r="AH193" i="29"/>
  <c r="Y177" i="29"/>
  <c r="AH189" i="29"/>
  <c r="O189" i="29"/>
  <c r="K24" i="17"/>
  <c r="AB176" i="29"/>
  <c r="AB179" i="29"/>
  <c r="O171" i="29"/>
  <c r="R36" i="17"/>
  <c r="AH183" i="29"/>
  <c r="R20" i="17"/>
  <c r="W172" i="29"/>
  <c r="AA185" i="29"/>
  <c r="L8" i="17"/>
  <c r="AC160" i="29"/>
  <c r="O32" i="17"/>
  <c r="AF184" i="29"/>
  <c r="L32" i="17"/>
  <c r="AC184" i="29"/>
  <c r="AC185" i="29"/>
  <c r="W186" i="29"/>
  <c r="F32" i="17"/>
  <c r="W184" i="29"/>
  <c r="R41" i="17"/>
  <c r="X193" i="29"/>
  <c r="AH188" i="29"/>
  <c r="O188" i="29"/>
  <c r="R45" i="17"/>
  <c r="W161" i="29"/>
  <c r="F8" i="17"/>
  <c r="W160" i="29"/>
  <c r="AH172" i="29"/>
  <c r="AA177" i="29"/>
  <c r="AH192" i="29"/>
  <c r="O192" i="29"/>
  <c r="Q24" i="17"/>
  <c r="O176" i="29"/>
  <c r="Y187" i="29"/>
  <c r="N24" i="17"/>
  <c r="AE176" i="29"/>
  <c r="W178" i="29"/>
  <c r="R26" i="17"/>
  <c r="AA162" i="29"/>
  <c r="R23" i="17"/>
  <c r="Z161" i="29"/>
  <c r="AH165" i="29"/>
  <c r="O195" i="29"/>
  <c r="AH195" i="29"/>
  <c r="AH164" i="29"/>
  <c r="O194" i="29"/>
  <c r="AH194" i="29"/>
  <c r="AE161" i="29"/>
  <c r="W181" i="29"/>
  <c r="K8" i="17"/>
  <c r="AB160" i="29"/>
  <c r="AB161" i="29"/>
  <c r="K32" i="17"/>
  <c r="AB184" i="29"/>
  <c r="I24" i="17"/>
  <c r="Z176" i="29"/>
  <c r="Z177" i="29"/>
  <c r="AH166" i="29"/>
  <c r="O166" i="29"/>
  <c r="M8" i="17"/>
  <c r="AD160" i="29"/>
  <c r="R21" i="17"/>
  <c r="W173" i="29"/>
  <c r="W162" i="29"/>
  <c r="G24" i="17"/>
  <c r="X176" i="29"/>
  <c r="X177" i="29"/>
  <c r="O24" i="17"/>
  <c r="AF176" i="29"/>
  <c r="AH161" i="29"/>
  <c r="Z185" i="29"/>
  <c r="M24" i="17"/>
  <c r="AD176" i="29"/>
  <c r="AC177" i="29"/>
  <c r="L24" i="17"/>
  <c r="AC176" i="29"/>
  <c r="O191" i="29"/>
  <c r="AH178" i="29"/>
  <c r="O178" i="29"/>
  <c r="H32" i="17"/>
  <c r="Y184" i="29"/>
  <c r="Y185" i="29"/>
  <c r="R28" i="17"/>
  <c r="O247" i="29"/>
  <c r="U35" i="11"/>
  <c r="W176" i="29"/>
  <c r="O184" i="29"/>
  <c r="AH176" i="29"/>
  <c r="N515" i="40"/>
  <c r="N495" i="40"/>
  <c r="N475" i="40"/>
  <c r="N455" i="40"/>
  <c r="N435" i="40"/>
  <c r="N415" i="40"/>
  <c r="N395" i="40"/>
  <c r="N375" i="40"/>
  <c r="N531" i="40"/>
  <c r="N511" i="40"/>
  <c r="N491" i="40"/>
  <c r="N471" i="40"/>
  <c r="N451" i="40"/>
  <c r="N431" i="40"/>
  <c r="N411" i="40"/>
  <c r="N391" i="40"/>
  <c r="N569" i="40"/>
  <c r="N549" i="40"/>
  <c r="N529" i="40"/>
  <c r="N509" i="40"/>
  <c r="N489" i="40"/>
  <c r="N469" i="40"/>
  <c r="N449" i="40"/>
  <c r="N429" i="40"/>
  <c r="N409" i="40"/>
  <c r="N389" i="40"/>
  <c r="C33" i="9"/>
  <c r="B23" i="12"/>
  <c r="D19" i="6"/>
  <c r="D19" i="7"/>
  <c r="L11" i="29"/>
  <c r="D16" i="7"/>
  <c r="L8" i="29"/>
  <c r="D6" i="18"/>
  <c r="D6" i="19"/>
  <c r="L199" i="29"/>
  <c r="C16" i="6"/>
  <c r="C16" i="7"/>
  <c r="K8" i="29"/>
  <c r="D7" i="16"/>
  <c r="D7" i="17"/>
  <c r="C17" i="6"/>
  <c r="C17" i="7"/>
  <c r="K9" i="29"/>
  <c r="H31" i="12"/>
  <c r="I31" i="13"/>
  <c r="AA132" i="29"/>
  <c r="K33" i="12"/>
  <c r="L33" i="13"/>
  <c r="AD134" i="29"/>
  <c r="N32" i="8"/>
  <c r="G13" i="6"/>
  <c r="J33" i="13"/>
  <c r="AB134" i="29"/>
  <c r="J31" i="12"/>
  <c r="K31" i="13"/>
  <c r="AC132" i="29"/>
  <c r="C82" i="10"/>
  <c r="C38" i="10"/>
  <c r="C76" i="10"/>
  <c r="D31" i="12"/>
  <c r="E31" i="13"/>
  <c r="W132" i="29"/>
  <c r="C7" i="6"/>
  <c r="D7" i="6"/>
  <c r="G7" i="6"/>
  <c r="D7" i="7"/>
  <c r="T9" i="20"/>
  <c r="H33" i="12"/>
  <c r="I33" i="13"/>
  <c r="AA134" i="29"/>
  <c r="E33" i="12"/>
  <c r="F33" i="13"/>
  <c r="X134" i="29"/>
  <c r="E31" i="12"/>
  <c r="F31" i="13"/>
  <c r="X132" i="29"/>
  <c r="F13" i="7"/>
  <c r="O6" i="29"/>
  <c r="F31" i="12"/>
  <c r="G31" i="13"/>
  <c r="Y132" i="29"/>
  <c r="G33" i="12"/>
  <c r="H33" i="13"/>
  <c r="Z134" i="29"/>
  <c r="K31" i="12"/>
  <c r="L31" i="13"/>
  <c r="AD132" i="29"/>
  <c r="E76" i="10"/>
  <c r="E85" i="10"/>
  <c r="J33" i="8"/>
  <c r="J33" i="9"/>
  <c r="K33" i="8"/>
  <c r="K33" i="9"/>
  <c r="U60" i="29"/>
  <c r="E33" i="9"/>
  <c r="N60" i="29"/>
  <c r="B23" i="8"/>
  <c r="N12" i="9"/>
  <c r="F8" i="7"/>
  <c r="O3" i="29"/>
  <c r="G8" i="6"/>
  <c r="B16" i="6"/>
  <c r="B16" i="7"/>
  <c r="J8" i="29"/>
  <c r="G18" i="6"/>
  <c r="N33" i="8"/>
  <c r="B31" i="12"/>
  <c r="B31" i="13"/>
  <c r="K132" i="29"/>
  <c r="N11" i="8"/>
  <c r="A17" i="7"/>
  <c r="I9" i="29"/>
  <c r="E38" i="11"/>
  <c r="E76" i="11"/>
  <c r="R33" i="12"/>
  <c r="B21" i="6"/>
  <c r="M33" i="12"/>
  <c r="N33" i="13"/>
  <c r="AF134" i="29"/>
  <c r="B32" i="12"/>
  <c r="B32" i="13"/>
  <c r="K133" i="29"/>
  <c r="C6" i="14"/>
  <c r="E6" i="14"/>
  <c r="F22" i="14"/>
  <c r="C9" i="14"/>
  <c r="C23" i="12"/>
  <c r="F21" i="6"/>
  <c r="D21" i="6"/>
  <c r="G21" i="6"/>
  <c r="C7" i="16"/>
  <c r="C7" i="17"/>
  <c r="I31" i="12"/>
  <c r="J31" i="13"/>
  <c r="AB132" i="29"/>
  <c r="D14" i="7"/>
  <c r="L7" i="29"/>
  <c r="L31" i="12"/>
  <c r="M31" i="13"/>
  <c r="AE132" i="29"/>
  <c r="B9" i="6"/>
  <c r="D32" i="13"/>
  <c r="C32" i="13"/>
  <c r="L133" i="29"/>
  <c r="S33" i="12"/>
  <c r="C33" i="13"/>
  <c r="L134" i="29"/>
  <c r="B16" i="8"/>
  <c r="B16" i="9"/>
  <c r="K45" i="29"/>
  <c r="C12" i="6"/>
  <c r="C12" i="7"/>
  <c r="K5" i="29"/>
  <c r="B24" i="12"/>
  <c r="B24" i="13"/>
  <c r="K125" i="29"/>
  <c r="C31" i="9"/>
  <c r="L58" i="29"/>
  <c r="N31" i="8"/>
  <c r="E31" i="8"/>
  <c r="B23" i="13"/>
  <c r="K124" i="29"/>
  <c r="D24" i="13"/>
  <c r="N31" i="13"/>
  <c r="AF132" i="29"/>
  <c r="G31" i="12"/>
  <c r="H31" i="13"/>
  <c r="Z132" i="29"/>
  <c r="Q31" i="13"/>
  <c r="O132" i="29"/>
  <c r="B17" i="6"/>
  <c r="B17" i="7"/>
  <c r="J9" i="29"/>
  <c r="D32" i="12"/>
  <c r="E32" i="13"/>
  <c r="W133" i="29"/>
  <c r="S32" i="12"/>
  <c r="J32" i="12"/>
  <c r="K32" i="13"/>
  <c r="AC133" i="29"/>
  <c r="E32" i="12"/>
  <c r="F32" i="13"/>
  <c r="X133" i="29"/>
  <c r="L32" i="12"/>
  <c r="M32" i="13"/>
  <c r="AE133" i="29"/>
  <c r="C6" i="15"/>
  <c r="L140" i="29"/>
  <c r="F21" i="14"/>
  <c r="F21" i="15"/>
  <c r="Q154" i="29"/>
  <c r="N6" i="9"/>
  <c r="L6" i="9"/>
  <c r="V36" i="29"/>
  <c r="R6" i="18"/>
  <c r="I32" i="12"/>
  <c r="J32" i="13"/>
  <c r="AB133" i="29"/>
  <c r="K32" i="12"/>
  <c r="L32" i="13"/>
  <c r="AD133" i="29"/>
  <c r="F12" i="6"/>
  <c r="F12" i="7"/>
  <c r="O5" i="29"/>
  <c r="P24" i="12"/>
  <c r="H32" i="12"/>
  <c r="I32" i="13"/>
  <c r="AA133" i="29"/>
  <c r="Q33" i="13"/>
  <c r="O134" i="29"/>
  <c r="C80" i="10"/>
  <c r="C37" i="10"/>
  <c r="C37" i="11"/>
  <c r="F16" i="6"/>
  <c r="L6" i="14"/>
  <c r="O33" i="12"/>
  <c r="P33" i="13"/>
  <c r="AH134" i="29"/>
  <c r="R32" i="12"/>
  <c r="D33" i="12"/>
  <c r="E33" i="13"/>
  <c r="W134" i="29"/>
  <c r="G32" i="13"/>
  <c r="Y133" i="29"/>
  <c r="N33" i="12"/>
  <c r="O33" i="13"/>
  <c r="AG134" i="29"/>
  <c r="J33" i="12"/>
  <c r="K33" i="13"/>
  <c r="AC134" i="29"/>
  <c r="Q32" i="13"/>
  <c r="U32" i="13"/>
  <c r="B11" i="9"/>
  <c r="K40" i="29"/>
  <c r="O244" i="29"/>
  <c r="M16" i="8"/>
  <c r="O32" i="12"/>
  <c r="P32" i="13"/>
  <c r="AH133" i="29"/>
  <c r="L12" i="9"/>
  <c r="V41" i="29"/>
  <c r="O41" i="29"/>
  <c r="D15" i="7"/>
  <c r="D23" i="13"/>
  <c r="C23" i="13"/>
  <c r="L124" i="29"/>
  <c r="F20" i="14"/>
  <c r="J20" i="14"/>
  <c r="J20" i="15"/>
  <c r="U153" i="29"/>
  <c r="F17" i="14"/>
  <c r="J17" i="14"/>
  <c r="J17" i="15"/>
  <c r="U150" i="29"/>
  <c r="F11" i="14"/>
  <c r="F11" i="15"/>
  <c r="Q144" i="29"/>
  <c r="E14" i="20"/>
  <c r="T8" i="20"/>
  <c r="O36" i="29"/>
  <c r="J3" i="29"/>
  <c r="E8" i="8"/>
  <c r="E6" i="8"/>
  <c r="E9" i="8"/>
  <c r="S32" i="13"/>
  <c r="N16" i="9"/>
  <c r="F13" i="14"/>
  <c r="J13" i="14"/>
  <c r="J13" i="15"/>
  <c r="U146" i="29"/>
  <c r="A7" i="7"/>
  <c r="I2" i="29"/>
  <c r="A21" i="6"/>
  <c r="G19" i="6"/>
  <c r="F19" i="7"/>
  <c r="O11" i="29"/>
  <c r="E12" i="8"/>
  <c r="F19" i="8"/>
  <c r="F19" i="9"/>
  <c r="Q47" i="29"/>
  <c r="C16" i="8"/>
  <c r="C16" i="9"/>
  <c r="E32" i="8"/>
  <c r="C29" i="13"/>
  <c r="L16" i="9"/>
  <c r="V45" i="29"/>
  <c r="O45" i="29"/>
  <c r="N31" i="12"/>
  <c r="O31" i="13"/>
  <c r="AG132" i="29"/>
  <c r="R24" i="12"/>
  <c r="S24" i="12"/>
  <c r="Q24" i="13"/>
  <c r="L109" i="29"/>
  <c r="C16" i="13"/>
  <c r="L117" i="29"/>
  <c r="D16" i="13"/>
  <c r="Q13" i="13"/>
  <c r="O114" i="29"/>
  <c r="B18" i="6"/>
  <c r="B18" i="7"/>
  <c r="J10" i="29"/>
  <c r="B19" i="6"/>
  <c r="B19" i="7"/>
  <c r="J11" i="29"/>
  <c r="C8" i="9"/>
  <c r="C31" i="12"/>
  <c r="C12" i="9"/>
  <c r="N12" i="8"/>
  <c r="G14" i="6"/>
  <c r="D15" i="6"/>
  <c r="A15" i="6"/>
  <c r="A14" i="7"/>
  <c r="C32" i="9"/>
  <c r="L59" i="29"/>
  <c r="E31" i="9"/>
  <c r="N58" i="29"/>
  <c r="L60" i="29"/>
  <c r="C37" i="9"/>
  <c r="L63" i="29"/>
  <c r="B6" i="9"/>
  <c r="B7" i="12"/>
  <c r="B7" i="13"/>
  <c r="K108" i="29"/>
  <c r="C6" i="18"/>
  <c r="C6" i="19"/>
  <c r="K199" i="29"/>
  <c r="D8" i="7"/>
  <c r="D9" i="6"/>
  <c r="L2" i="29"/>
  <c r="B7" i="17"/>
  <c r="D8" i="21"/>
  <c r="P23" i="12"/>
  <c r="F10" i="6"/>
  <c r="F10" i="7"/>
  <c r="Q12" i="13"/>
  <c r="T10" i="20"/>
  <c r="S10" i="21"/>
  <c r="B14" i="7"/>
  <c r="J7" i="29"/>
  <c r="B15" i="6"/>
  <c r="A10" i="7"/>
  <c r="D47" i="16"/>
  <c r="D47" i="17"/>
  <c r="L198" i="29"/>
  <c r="B29" i="12"/>
  <c r="B29" i="13"/>
  <c r="K130" i="29"/>
  <c r="T80" i="10"/>
  <c r="S9" i="12"/>
  <c r="F14" i="7"/>
  <c r="O7" i="29"/>
  <c r="B6" i="14"/>
  <c r="R9" i="12"/>
  <c r="F9" i="6"/>
  <c r="G9" i="6"/>
  <c r="A16" i="6"/>
  <c r="A16" i="7"/>
  <c r="I8" i="29"/>
  <c r="D12" i="6"/>
  <c r="J244" i="29"/>
  <c r="L41" i="29"/>
  <c r="O12" i="9"/>
  <c r="E32" i="9"/>
  <c r="N59" i="29"/>
  <c r="U24" i="13"/>
  <c r="F11" i="6"/>
  <c r="D11" i="6"/>
  <c r="G11" i="6"/>
  <c r="O246" i="29"/>
  <c r="C31" i="13"/>
  <c r="R31" i="12"/>
  <c r="D31" i="13"/>
  <c r="C34" i="12"/>
  <c r="D34" i="13"/>
  <c r="S31" i="12"/>
  <c r="L38" i="29"/>
  <c r="Q23" i="13"/>
  <c r="U23" i="13"/>
  <c r="R23" i="12"/>
  <c r="S23" i="12"/>
  <c r="P34" i="12"/>
  <c r="F15" i="7"/>
  <c r="G15" i="7"/>
  <c r="G14" i="7"/>
  <c r="D12" i="7"/>
  <c r="G12" i="6"/>
  <c r="O113" i="29"/>
  <c r="K36" i="29"/>
  <c r="B23" i="9"/>
  <c r="O4" i="29"/>
  <c r="L5" i="29"/>
  <c r="G12" i="7"/>
  <c r="O16" i="9"/>
  <c r="L45" i="29"/>
  <c r="L244" i="29"/>
  <c r="A8" i="7"/>
  <c r="A9" i="6"/>
  <c r="C15" i="6"/>
  <c r="C14" i="7"/>
  <c r="C9" i="15"/>
  <c r="N6" i="8"/>
  <c r="E66" i="11"/>
  <c r="E70" i="10"/>
  <c r="E69" i="10"/>
  <c r="E46" i="17"/>
  <c r="E47" i="17"/>
  <c r="D49" i="16"/>
  <c r="D46" i="17"/>
  <c r="L197" i="29"/>
  <c r="B38" i="8"/>
  <c r="B37" i="9"/>
  <c r="K63" i="29"/>
  <c r="B31" i="9"/>
  <c r="K58" i="29"/>
  <c r="C34" i="13"/>
  <c r="L135" i="29"/>
  <c r="N16" i="8"/>
  <c r="A11" i="7"/>
  <c r="I4" i="29"/>
  <c r="R30" i="12"/>
  <c r="S30" i="12"/>
  <c r="D30" i="13"/>
  <c r="E39" i="10"/>
  <c r="E40" i="10"/>
  <c r="E37" i="11"/>
  <c r="E75" i="10"/>
  <c r="C11" i="6"/>
  <c r="C7" i="7"/>
  <c r="O2" i="29"/>
  <c r="G7" i="7"/>
  <c r="F9" i="7"/>
  <c r="D9" i="7"/>
  <c r="G9" i="7"/>
  <c r="F11" i="7"/>
  <c r="D10" i="7"/>
  <c r="D11" i="7"/>
  <c r="G11" i="7"/>
  <c r="S34" i="12"/>
  <c r="R34" i="12"/>
  <c r="Q34" i="13"/>
  <c r="M6" i="15"/>
  <c r="M6" i="14"/>
  <c r="C8" i="21"/>
  <c r="C14" i="20"/>
  <c r="C69" i="10"/>
  <c r="C70" i="10"/>
  <c r="C66" i="11"/>
  <c r="F13" i="15"/>
  <c r="Q146" i="29"/>
  <c r="F14" i="8"/>
  <c r="C6" i="9"/>
  <c r="C18" i="8"/>
  <c r="F32" i="8"/>
  <c r="F26" i="8"/>
  <c r="F26" i="9"/>
  <c r="Q53" i="29"/>
  <c r="F12" i="8"/>
  <c r="F12" i="9"/>
  <c r="Q41" i="29"/>
  <c r="F11" i="8"/>
  <c r="F11" i="9"/>
  <c r="Q40" i="29"/>
  <c r="F31" i="8"/>
  <c r="K31" i="8"/>
  <c r="F20" i="8"/>
  <c r="E6" i="18"/>
  <c r="S6" i="18"/>
  <c r="E16" i="8"/>
  <c r="F16" i="8"/>
  <c r="F16" i="9"/>
  <c r="Q45" i="29"/>
  <c r="C9" i="8"/>
  <c r="F15" i="8"/>
  <c r="F21" i="8"/>
  <c r="F21" i="9"/>
  <c r="Q49" i="29"/>
  <c r="F27" i="8"/>
  <c r="F27" i="9"/>
  <c r="Q54" i="29"/>
  <c r="F10" i="8"/>
  <c r="F24" i="8"/>
  <c r="J24" i="8"/>
  <c r="J24" i="9"/>
  <c r="F13" i="8"/>
  <c r="F30" i="8"/>
  <c r="F29" i="8"/>
  <c r="F29" i="9"/>
  <c r="Q56" i="29"/>
  <c r="G16" i="6"/>
  <c r="F16" i="7"/>
  <c r="B8" i="9"/>
  <c r="K38" i="29"/>
  <c r="B9" i="8"/>
  <c r="E11" i="9"/>
  <c r="N40" i="29"/>
  <c r="V23" i="13"/>
  <c r="T23" i="13"/>
  <c r="S23" i="13"/>
  <c r="C14" i="13"/>
  <c r="L115" i="29"/>
  <c r="D14" i="13"/>
  <c r="C30" i="13"/>
  <c r="B9" i="14"/>
  <c r="B6" i="15"/>
  <c r="S33" i="13"/>
  <c r="T33" i="13"/>
  <c r="C20" i="7"/>
  <c r="C21" i="6"/>
  <c r="B10" i="7"/>
  <c r="B11" i="6"/>
  <c r="C9" i="6"/>
  <c r="C8" i="7"/>
  <c r="K3" i="29"/>
  <c r="F25" i="8"/>
  <c r="J25" i="8"/>
  <c r="J25" i="9"/>
  <c r="G15" i="6"/>
  <c r="G10" i="7"/>
  <c r="G10" i="6"/>
  <c r="E12" i="9"/>
  <c r="N41" i="29"/>
  <c r="L131" i="29"/>
  <c r="L132" i="29"/>
  <c r="T31" i="13"/>
  <c r="S31" i="13"/>
  <c r="C38" i="8"/>
  <c r="L130" i="29"/>
  <c r="D29" i="13"/>
  <c r="V31" i="13"/>
  <c r="U31" i="13"/>
  <c r="A15" i="7"/>
  <c r="I7" i="29"/>
  <c r="L3" i="29"/>
  <c r="G8" i="7"/>
  <c r="O108" i="29"/>
  <c r="S11" i="12"/>
  <c r="B34" i="12"/>
  <c r="B34" i="13"/>
  <c r="K135" i="29"/>
  <c r="B30" i="13"/>
  <c r="K131" i="29"/>
  <c r="O125" i="29"/>
  <c r="R6" i="19"/>
  <c r="H40" i="32"/>
  <c r="H32" i="32"/>
  <c r="S18" i="21"/>
  <c r="T8" i="21"/>
  <c r="B15" i="7"/>
  <c r="O133" i="29"/>
  <c r="M37" i="8"/>
  <c r="T82" i="10"/>
  <c r="V32" i="13"/>
  <c r="F17" i="7"/>
  <c r="Q39" i="18"/>
  <c r="Q39" i="19"/>
  <c r="O243" i="29"/>
  <c r="P15" i="12"/>
  <c r="Q15" i="13"/>
  <c r="L86" i="29"/>
  <c r="V24" i="13"/>
  <c r="G19" i="7"/>
  <c r="Q11" i="13"/>
  <c r="O112" i="29"/>
  <c r="J29" i="8"/>
  <c r="J29" i="9"/>
  <c r="K29" i="8"/>
  <c r="K29" i="9"/>
  <c r="U56" i="29"/>
  <c r="F30" i="9"/>
  <c r="Q57" i="29"/>
  <c r="K30" i="8"/>
  <c r="K30" i="9"/>
  <c r="U57" i="29"/>
  <c r="J30" i="8"/>
  <c r="J30" i="9"/>
  <c r="K13" i="8"/>
  <c r="K13" i="9"/>
  <c r="U42" i="29"/>
  <c r="F13" i="9"/>
  <c r="Q42" i="29"/>
  <c r="K11" i="8"/>
  <c r="K11" i="9"/>
  <c r="U40" i="29"/>
  <c r="C9" i="7"/>
  <c r="F10" i="9"/>
  <c r="Q39" i="29"/>
  <c r="E84" i="10"/>
  <c r="E70" i="11"/>
  <c r="E72" i="11"/>
  <c r="E72" i="10"/>
  <c r="T72" i="10"/>
  <c r="Q20" i="13"/>
  <c r="V20" i="13"/>
  <c r="O121" i="29"/>
  <c r="R20" i="12"/>
  <c r="S7" i="12"/>
  <c r="C7" i="13"/>
  <c r="E69" i="11"/>
  <c r="L102" i="29"/>
  <c r="C18" i="9"/>
  <c r="L36" i="29"/>
  <c r="C9" i="9"/>
  <c r="K140" i="29"/>
  <c r="B9" i="15"/>
  <c r="K2" i="29"/>
  <c r="C11" i="7"/>
  <c r="O9" i="29"/>
  <c r="K6" i="8"/>
  <c r="K6" i="9"/>
  <c r="U36" i="29"/>
  <c r="E6" i="9"/>
  <c r="C69" i="11"/>
  <c r="K102" i="29"/>
  <c r="K12" i="29"/>
  <c r="C21" i="7"/>
  <c r="J4" i="29"/>
  <c r="B11" i="7"/>
  <c r="L4" i="29"/>
  <c r="C72" i="10"/>
  <c r="C70" i="11"/>
  <c r="K104" i="29"/>
  <c r="C84" i="10"/>
  <c r="G15" i="8"/>
  <c r="K15" i="8"/>
  <c r="K15" i="9"/>
  <c r="U44" i="29"/>
  <c r="F15" i="9"/>
  <c r="Q44" i="29"/>
  <c r="E16" i="9"/>
  <c r="N45" i="29"/>
  <c r="G16" i="8"/>
  <c r="K16" i="8"/>
  <c r="K16" i="9"/>
  <c r="U45" i="29"/>
  <c r="G16" i="9"/>
  <c r="R45" i="29"/>
  <c r="O6" i="9"/>
  <c r="E77" i="10"/>
  <c r="E83" i="10"/>
  <c r="K7" i="29"/>
  <c r="C15" i="7"/>
  <c r="F20" i="9"/>
  <c r="Q48" i="29"/>
  <c r="J20" i="8"/>
  <c r="J20" i="9"/>
  <c r="I244" i="29"/>
  <c r="E75" i="11"/>
  <c r="E39" i="11"/>
  <c r="L85" i="29"/>
  <c r="G16" i="7"/>
  <c r="O8" i="29"/>
  <c r="F35" i="8"/>
  <c r="F31" i="9"/>
  <c r="Q58" i="29"/>
  <c r="J31" i="8"/>
  <c r="J31" i="9"/>
  <c r="E40" i="11"/>
  <c r="T6" i="18"/>
  <c r="E6" i="19"/>
  <c r="L217" i="29"/>
  <c r="C39" i="8"/>
  <c r="C38" i="9"/>
  <c r="M38" i="8"/>
  <c r="N37" i="8"/>
  <c r="N37" i="9"/>
  <c r="O217" i="29"/>
  <c r="K25" i="8"/>
  <c r="K25" i="9"/>
  <c r="U52" i="29"/>
  <c r="F25" i="9"/>
  <c r="Q52" i="29"/>
  <c r="I3" i="29"/>
  <c r="A9" i="7"/>
  <c r="K26" i="8"/>
  <c r="K24" i="8"/>
  <c r="K27" i="8"/>
  <c r="F28" i="8"/>
  <c r="K28" i="8"/>
  <c r="K22" i="8"/>
  <c r="K22" i="9"/>
  <c r="U50" i="29"/>
  <c r="J26" i="8"/>
  <c r="J26" i="9"/>
  <c r="F32" i="9"/>
  <c r="Q59" i="29"/>
  <c r="J32" i="8"/>
  <c r="J32" i="9"/>
  <c r="K32" i="8"/>
  <c r="K32" i="9"/>
  <c r="U59" i="29"/>
  <c r="K6" i="15"/>
  <c r="V140" i="29"/>
  <c r="N6" i="15"/>
  <c r="O140" i="29"/>
  <c r="U34" i="13"/>
  <c r="S34" i="13"/>
  <c r="O135" i="29"/>
  <c r="T34" i="13"/>
  <c r="V34" i="13"/>
  <c r="B39" i="8"/>
  <c r="B38" i="9"/>
  <c r="B39" i="9"/>
  <c r="K14" i="8"/>
  <c r="K14" i="9"/>
  <c r="U43" i="29"/>
  <c r="F14" i="9"/>
  <c r="Q43" i="29"/>
  <c r="N36" i="29"/>
  <c r="L108" i="29"/>
  <c r="S7" i="13"/>
  <c r="T7" i="13"/>
  <c r="O63" i="29"/>
  <c r="L37" i="9"/>
  <c r="V63" i="29"/>
  <c r="O37" i="9"/>
  <c r="L87" i="29"/>
  <c r="V7" i="13"/>
  <c r="M39" i="8"/>
  <c r="N38" i="8"/>
  <c r="N38" i="9"/>
  <c r="O64" i="29"/>
  <c r="C72" i="11"/>
  <c r="K64" i="29"/>
  <c r="F35" i="9"/>
  <c r="Q62" i="29"/>
  <c r="L104" i="29"/>
  <c r="S6" i="19"/>
  <c r="L64" i="29"/>
  <c r="C39" i="9"/>
  <c r="L106" i="29"/>
  <c r="O38" i="9"/>
  <c r="N39" i="9"/>
  <c r="O39" i="9"/>
  <c r="L38" i="9"/>
  <c r="V64" i="29"/>
  <c r="P42" i="12"/>
  <c r="Q42" i="13"/>
  <c r="S8" i="13"/>
  <c r="AH232" i="29"/>
  <c r="O214" i="29"/>
  <c r="AH231" i="29"/>
  <c r="Q19" i="18"/>
  <c r="S11" i="18"/>
  <c r="T19" i="18"/>
  <c r="S19" i="18"/>
  <c r="T18" i="18"/>
  <c r="E26" i="18"/>
  <c r="S9" i="19"/>
  <c r="R35" i="17"/>
  <c r="M32" i="17"/>
  <c r="AD184" i="29"/>
  <c r="R42" i="17"/>
  <c r="R34" i="17"/>
  <c r="R33" i="17"/>
  <c r="X194" i="29"/>
  <c r="G32" i="17"/>
  <c r="Y186" i="29"/>
  <c r="R27" i="17"/>
  <c r="R40" i="17"/>
  <c r="R29" i="17"/>
  <c r="P24" i="17"/>
  <c r="AG176" i="29"/>
  <c r="R43" i="17"/>
  <c r="O181" i="29"/>
  <c r="R30" i="17"/>
  <c r="R14" i="17"/>
  <c r="G8" i="17"/>
  <c r="X160" i="29"/>
  <c r="W163" i="29"/>
  <c r="O175" i="29"/>
  <c r="R13" i="17"/>
  <c r="O173" i="29"/>
  <c r="AH167" i="29"/>
  <c r="W165" i="29"/>
  <c r="R15" i="17"/>
  <c r="R17" i="17"/>
  <c r="H8" i="17"/>
  <c r="R9" i="17"/>
  <c r="I8" i="17"/>
  <c r="Z160" i="29"/>
  <c r="L8" i="14"/>
  <c r="M8" i="14"/>
  <c r="Q38" i="18"/>
  <c r="Q38" i="19"/>
  <c r="O242" i="29"/>
  <c r="N17" i="9"/>
  <c r="N18" i="9"/>
  <c r="M18" i="8"/>
  <c r="L9" i="14"/>
  <c r="M28" i="8"/>
  <c r="N28" i="8"/>
  <c r="N17" i="8"/>
  <c r="I37" i="8"/>
  <c r="I37" i="9"/>
  <c r="T63" i="29"/>
  <c r="I22" i="9"/>
  <c r="T50" i="29"/>
  <c r="L157" i="29"/>
  <c r="N24" i="15"/>
  <c r="M24" i="14"/>
  <c r="D8" i="15"/>
  <c r="M142" i="29"/>
  <c r="E8" i="14"/>
  <c r="D28" i="8"/>
  <c r="B18" i="8"/>
  <c r="B17" i="9"/>
  <c r="B34" i="8"/>
  <c r="B34" i="9"/>
  <c r="K61" i="29"/>
  <c r="D17" i="9"/>
  <c r="D18" i="9"/>
  <c r="D18" i="8"/>
  <c r="C22" i="9"/>
  <c r="C23" i="8"/>
  <c r="C34" i="8"/>
  <c r="E34" i="8"/>
  <c r="N11" i="15"/>
  <c r="R36" i="13"/>
  <c r="Q37" i="12"/>
  <c r="G15" i="9"/>
  <c r="R44" i="29"/>
  <c r="F14" i="25"/>
  <c r="N10" i="8"/>
  <c r="K10" i="8"/>
  <c r="K10" i="9"/>
  <c r="U39" i="29"/>
  <c r="N10" i="9"/>
  <c r="M8" i="8"/>
  <c r="E17" i="8"/>
  <c r="K31" i="9"/>
  <c r="U58" i="29"/>
  <c r="J22" i="14"/>
  <c r="J22" i="15"/>
  <c r="U155" i="29"/>
  <c r="F22" i="15"/>
  <c r="Q155" i="29"/>
  <c r="K21" i="8"/>
  <c r="K21" i="9"/>
  <c r="U49" i="29"/>
  <c r="J21" i="8"/>
  <c r="J21" i="9"/>
  <c r="F8" i="8"/>
  <c r="J21" i="14"/>
  <c r="J21" i="15"/>
  <c r="U154" i="29"/>
  <c r="J6" i="14"/>
  <c r="J6" i="15"/>
  <c r="U140" i="29"/>
  <c r="F24" i="9"/>
  <c r="Q51" i="29"/>
  <c r="F8" i="14"/>
  <c r="F23" i="14"/>
  <c r="K12" i="8"/>
  <c r="K12" i="9"/>
  <c r="U41" i="29"/>
  <c r="F17" i="15"/>
  <c r="Q150" i="29"/>
  <c r="F20" i="15"/>
  <c r="Q153" i="29"/>
  <c r="F16" i="14"/>
  <c r="E6" i="15"/>
  <c r="F14" i="14"/>
  <c r="F12" i="14"/>
  <c r="F19" i="14"/>
  <c r="F15" i="14"/>
  <c r="F88" i="29"/>
  <c r="F43" i="29"/>
  <c r="F47" i="29"/>
  <c r="L39" i="9"/>
  <c r="T6" i="19"/>
  <c r="T33" i="11"/>
  <c r="U31" i="11"/>
  <c r="U32" i="11"/>
  <c r="X184" i="29"/>
  <c r="Y160" i="29"/>
  <c r="O124" i="29"/>
  <c r="N140" i="29"/>
  <c r="D13" i="7"/>
  <c r="G13" i="7"/>
  <c r="T32" i="13"/>
  <c r="I32" i="17"/>
  <c r="Z184" i="29"/>
  <c r="R22" i="17"/>
  <c r="R37" i="17"/>
  <c r="J8" i="17"/>
  <c r="AA160" i="29"/>
  <c r="J24" i="17"/>
  <c r="AA176" i="29"/>
  <c r="P8" i="17"/>
  <c r="AG160" i="29"/>
  <c r="J32" i="17"/>
  <c r="AA184" i="29"/>
  <c r="H24" i="17"/>
  <c r="R12" i="17"/>
  <c r="J274" i="29"/>
  <c r="X179" i="29"/>
  <c r="Y192" i="29"/>
  <c r="O8" i="17"/>
  <c r="AF160" i="29"/>
  <c r="O99" i="29"/>
  <c r="J2" i="29"/>
  <c r="T29" i="19"/>
  <c r="L235" i="29"/>
  <c r="D54" i="11"/>
  <c r="L51" i="29"/>
  <c r="O24" i="9"/>
  <c r="S27" i="13"/>
  <c r="R25" i="11"/>
  <c r="S30" i="19"/>
  <c r="C44" i="11"/>
  <c r="Q10" i="17"/>
  <c r="C14" i="11"/>
  <c r="D8" i="26"/>
  <c r="R39" i="19"/>
  <c r="AH243" i="29"/>
  <c r="B33" i="13"/>
  <c r="K134" i="29"/>
  <c r="B32" i="9"/>
  <c r="K59" i="29"/>
  <c r="B33" i="9"/>
  <c r="K60" i="29"/>
  <c r="B12" i="9"/>
  <c r="K41" i="29"/>
  <c r="C18" i="7"/>
  <c r="K10" i="29"/>
  <c r="C19" i="7"/>
  <c r="K11" i="29"/>
  <c r="C13" i="7"/>
  <c r="K6" i="29"/>
  <c r="Q30" i="13"/>
  <c r="G33" i="13"/>
  <c r="Y134" i="29"/>
  <c r="N32" i="9"/>
  <c r="D33" i="13"/>
  <c r="F18" i="7"/>
  <c r="H32" i="13"/>
  <c r="Z133" i="29"/>
  <c r="N33" i="9"/>
  <c r="S9" i="21"/>
  <c r="F20" i="7"/>
  <c r="F21" i="7"/>
  <c r="D20" i="7"/>
  <c r="D21" i="7"/>
  <c r="G21" i="7"/>
  <c r="N11" i="9"/>
  <c r="P31" i="13"/>
  <c r="AH132" i="29"/>
  <c r="Q9" i="13"/>
  <c r="D9" i="13"/>
  <c r="V9" i="13"/>
  <c r="C46" i="11"/>
  <c r="K90" i="29"/>
  <c r="C34" i="11"/>
  <c r="B20" i="7"/>
  <c r="B13" i="7"/>
  <c r="J6" i="29"/>
  <c r="B12" i="7"/>
  <c r="J5" i="29"/>
  <c r="D9" i="21"/>
  <c r="J245" i="29"/>
  <c r="A13" i="7"/>
  <c r="I6" i="29"/>
  <c r="A12" i="7"/>
  <c r="I5" i="29"/>
  <c r="A20" i="7"/>
  <c r="A18" i="7"/>
  <c r="I10" i="29"/>
  <c r="A19" i="7"/>
  <c r="I11" i="29"/>
  <c r="C9" i="21"/>
  <c r="I245" i="29"/>
  <c r="N31" i="9"/>
  <c r="H19" i="15"/>
  <c r="S152" i="29"/>
  <c r="B15" i="9"/>
  <c r="B16" i="13"/>
  <c r="K117" i="29"/>
  <c r="I29" i="9"/>
  <c r="T56" i="29"/>
  <c r="E9" i="21"/>
  <c r="L245" i="29"/>
  <c r="L6" i="29"/>
  <c r="C24" i="13"/>
  <c r="E29" i="9"/>
  <c r="N56" i="29"/>
  <c r="D18" i="7"/>
  <c r="L10" i="29"/>
  <c r="D17" i="7"/>
  <c r="R36" i="18"/>
  <c r="B143" i="29"/>
  <c r="B49" i="29"/>
  <c r="H11" i="14"/>
  <c r="H19" i="8"/>
  <c r="H19" i="9"/>
  <c r="S47" i="29"/>
  <c r="M8" i="15"/>
  <c r="N28" i="9"/>
  <c r="M22" i="8"/>
  <c r="M23" i="8"/>
  <c r="O142" i="29"/>
  <c r="K8" i="15"/>
  <c r="V142" i="29"/>
  <c r="M9" i="15"/>
  <c r="N8" i="15"/>
  <c r="D22" i="8"/>
  <c r="D28" i="9"/>
  <c r="M55" i="29"/>
  <c r="E8" i="15"/>
  <c r="N142" i="29"/>
  <c r="E28" i="8"/>
  <c r="E9" i="14"/>
  <c r="L50" i="29"/>
  <c r="C23" i="9"/>
  <c r="C34" i="9"/>
  <c r="L61" i="29"/>
  <c r="B18" i="9"/>
  <c r="K46" i="29"/>
  <c r="P136" i="29"/>
  <c r="R37" i="13"/>
  <c r="L10" i="9"/>
  <c r="V39" i="29"/>
  <c r="O10" i="9"/>
  <c r="O39" i="29"/>
  <c r="N8" i="9"/>
  <c r="M9" i="8"/>
  <c r="N8" i="8"/>
  <c r="J12" i="14"/>
  <c r="J12" i="15"/>
  <c r="U145" i="29"/>
  <c r="F12" i="15"/>
  <c r="Q145" i="29"/>
  <c r="F23" i="15"/>
  <c r="Q156" i="29"/>
  <c r="J23" i="14"/>
  <c r="J23" i="15"/>
  <c r="U156" i="29"/>
  <c r="J14" i="14"/>
  <c r="J14" i="15"/>
  <c r="U147" i="29"/>
  <c r="F14" i="15"/>
  <c r="Q147" i="29"/>
  <c r="F8" i="15"/>
  <c r="F9" i="14"/>
  <c r="J15" i="14"/>
  <c r="J15" i="15"/>
  <c r="U148" i="29"/>
  <c r="F15" i="15"/>
  <c r="Q148" i="29"/>
  <c r="F8" i="9"/>
  <c r="F9" i="8"/>
  <c r="K8" i="8"/>
  <c r="K8" i="9"/>
  <c r="J19" i="14"/>
  <c r="F19" i="15"/>
  <c r="Q152" i="29"/>
  <c r="F18" i="14"/>
  <c r="F18" i="15"/>
  <c r="Q151" i="29"/>
  <c r="J16" i="14"/>
  <c r="J16" i="15"/>
  <c r="U149" i="29"/>
  <c r="F16" i="15"/>
  <c r="Q149" i="29"/>
  <c r="F10" i="14"/>
  <c r="F10" i="15"/>
  <c r="Q143" i="29"/>
  <c r="V33" i="13"/>
  <c r="U33" i="13"/>
  <c r="S30" i="13"/>
  <c r="U30" i="13"/>
  <c r="O131" i="29"/>
  <c r="T30" i="13"/>
  <c r="V30" i="13"/>
  <c r="K70" i="29"/>
  <c r="C15" i="11"/>
  <c r="K19" i="8"/>
  <c r="K19" i="9"/>
  <c r="U47" i="29"/>
  <c r="K20" i="8"/>
  <c r="L125" i="29"/>
  <c r="S24" i="13"/>
  <c r="T24" i="13"/>
  <c r="I12" i="29"/>
  <c r="A21" i="7"/>
  <c r="O33" i="9"/>
  <c r="L33" i="9"/>
  <c r="V60" i="29"/>
  <c r="O60" i="29"/>
  <c r="L32" i="9"/>
  <c r="V59" i="29"/>
  <c r="O59" i="29"/>
  <c r="O32" i="9"/>
  <c r="AH162" i="29"/>
  <c r="O162" i="29"/>
  <c r="R10" i="17"/>
  <c r="Q8" i="17"/>
  <c r="L12" i="29"/>
  <c r="K44" i="29"/>
  <c r="B9" i="9"/>
  <c r="O31" i="9"/>
  <c r="L31" i="9"/>
  <c r="V58" i="29"/>
  <c r="O58" i="29"/>
  <c r="J12" i="29"/>
  <c r="B21" i="7"/>
  <c r="U9" i="13"/>
  <c r="O110" i="29"/>
  <c r="O11" i="9"/>
  <c r="L11" i="9"/>
  <c r="V40" i="29"/>
  <c r="O40" i="29"/>
  <c r="O10" i="29"/>
  <c r="G18" i="7"/>
  <c r="O268" i="29"/>
  <c r="E8" i="26"/>
  <c r="Y176" i="29"/>
  <c r="R24" i="17"/>
  <c r="L9" i="29"/>
  <c r="G17" i="7"/>
  <c r="K83" i="29"/>
  <c r="C36" i="11"/>
  <c r="O245" i="29"/>
  <c r="T9" i="21"/>
  <c r="R36" i="19"/>
  <c r="AH240" i="29"/>
  <c r="R38" i="18"/>
  <c r="R38" i="19"/>
  <c r="AH242" i="29"/>
  <c r="T25" i="11"/>
  <c r="O77" i="29"/>
  <c r="U25" i="11"/>
  <c r="R27" i="11"/>
  <c r="T27" i="11"/>
  <c r="R32" i="17"/>
  <c r="H20" i="8"/>
  <c r="H10" i="14"/>
  <c r="H11" i="15"/>
  <c r="S144" i="29"/>
  <c r="J11" i="14"/>
  <c r="L28" i="9"/>
  <c r="V55" i="29"/>
  <c r="O28" i="9"/>
  <c r="O55" i="29"/>
  <c r="E9" i="15"/>
  <c r="E28" i="9"/>
  <c r="N55" i="29"/>
  <c r="D22" i="9"/>
  <c r="D23" i="8"/>
  <c r="D37" i="8"/>
  <c r="D37" i="9"/>
  <c r="M63" i="29"/>
  <c r="E22" i="8"/>
  <c r="E23" i="8"/>
  <c r="E14" i="26"/>
  <c r="F14" i="26"/>
  <c r="F8" i="26"/>
  <c r="O38" i="29"/>
  <c r="N9" i="9"/>
  <c r="O8" i="9"/>
  <c r="L8" i="9"/>
  <c r="F9" i="15"/>
  <c r="Q142" i="29"/>
  <c r="J19" i="15"/>
  <c r="U152" i="29"/>
  <c r="J18" i="14"/>
  <c r="J18" i="15"/>
  <c r="U151" i="29"/>
  <c r="Q38" i="29"/>
  <c r="F9" i="9"/>
  <c r="H20" i="9"/>
  <c r="S48" i="29"/>
  <c r="K20" i="9"/>
  <c r="U48" i="29"/>
  <c r="J10" i="14"/>
  <c r="J10" i="15"/>
  <c r="U143" i="29"/>
  <c r="J11" i="15"/>
  <c r="U144" i="29"/>
  <c r="U26" i="11"/>
  <c r="H8" i="14"/>
  <c r="H10" i="15"/>
  <c r="S143" i="29"/>
  <c r="AH160" i="29"/>
  <c r="O160" i="29"/>
  <c r="R8" i="17"/>
  <c r="H17" i="8"/>
  <c r="H37" i="8"/>
  <c r="F28" i="9"/>
  <c r="Q55" i="29"/>
  <c r="F22" i="8"/>
  <c r="F22" i="9"/>
  <c r="M50" i="29"/>
  <c r="D23" i="9"/>
  <c r="J28" i="8"/>
  <c r="J28" i="9"/>
  <c r="L9" i="9"/>
  <c r="V38" i="29"/>
  <c r="H8" i="15"/>
  <c r="S142" i="29"/>
  <c r="H28" i="8"/>
  <c r="H28" i="9"/>
  <c r="S55" i="29"/>
  <c r="H22" i="8"/>
  <c r="H22" i="9"/>
  <c r="S50" i="29"/>
  <c r="K28" i="9"/>
  <c r="U55" i="29"/>
  <c r="R16" i="13"/>
  <c r="P117" i="29"/>
  <c r="Q21" i="12"/>
  <c r="Q38" i="12"/>
  <c r="O27" i="9"/>
  <c r="E22" i="9"/>
  <c r="E23" i="9"/>
  <c r="J27" i="8"/>
  <c r="J27" i="9"/>
  <c r="K27" i="9"/>
  <c r="U54" i="29"/>
  <c r="K9" i="11"/>
  <c r="C39" i="10"/>
  <c r="L107" i="29"/>
  <c r="E77" i="11"/>
  <c r="E41" i="11"/>
  <c r="E42" i="10"/>
  <c r="K85" i="29"/>
  <c r="C85" i="10"/>
  <c r="C76" i="11"/>
  <c r="K107" i="29"/>
  <c r="C40" i="10"/>
  <c r="C75" i="10"/>
  <c r="C38" i="11"/>
  <c r="K86" i="29"/>
  <c r="C41" i="10"/>
  <c r="C41" i="11"/>
  <c r="K88" i="29"/>
  <c r="N50" i="29"/>
  <c r="C39" i="11"/>
  <c r="E42" i="11"/>
  <c r="L88" i="29"/>
  <c r="C77" i="10"/>
  <c r="C75" i="11"/>
  <c r="C83" i="10"/>
  <c r="C40" i="11"/>
  <c r="C42" i="10"/>
  <c r="C42" i="11"/>
  <c r="K87" i="29"/>
  <c r="K106" i="29"/>
  <c r="C77" i="11"/>
  <c r="G22" i="9"/>
  <c r="R50" i="29"/>
  <c r="G37" i="8"/>
  <c r="G37" i="9"/>
  <c r="R63" i="29"/>
  <c r="J22" i="8"/>
  <c r="J22" i="9"/>
  <c r="J19" i="8"/>
  <c r="J19" i="9"/>
  <c r="M46" i="29"/>
  <c r="U38" i="29"/>
  <c r="K9" i="9"/>
  <c r="O56" i="29"/>
  <c r="C35" i="8"/>
  <c r="C42" i="8"/>
  <c r="E28" i="19"/>
  <c r="F17" i="8"/>
  <c r="F17" i="9"/>
  <c r="G38" i="8"/>
  <c r="G38" i="9"/>
  <c r="R64" i="29"/>
  <c r="D38" i="8"/>
  <c r="E37" i="8"/>
  <c r="D42" i="8"/>
  <c r="E18" i="8"/>
  <c r="F37" i="8"/>
  <c r="F37" i="9"/>
  <c r="Q63" i="29"/>
  <c r="E17" i="9"/>
  <c r="J17" i="8"/>
  <c r="J17" i="9"/>
  <c r="E38" i="8"/>
  <c r="E37" i="9"/>
  <c r="N63" i="29"/>
  <c r="D38" i="9"/>
  <c r="D39" i="8"/>
  <c r="E18" i="9"/>
  <c r="N46" i="29"/>
  <c r="M64" i="29"/>
  <c r="D39" i="9"/>
  <c r="E38" i="9"/>
  <c r="E39" i="8"/>
  <c r="E39" i="9"/>
  <c r="N64" i="29"/>
  <c r="Q39" i="12"/>
  <c r="Q40" i="12"/>
  <c r="R38" i="13"/>
  <c r="R21" i="13"/>
  <c r="P122" i="29"/>
  <c r="Q23" i="12"/>
  <c r="T14" i="10"/>
  <c r="T11" i="10"/>
  <c r="S76" i="10"/>
  <c r="S76" i="11"/>
  <c r="P107" i="29"/>
  <c r="S8" i="11"/>
  <c r="P66" i="29"/>
  <c r="V7" i="10"/>
  <c r="F42" i="8"/>
  <c r="F38" i="8"/>
  <c r="F38" i="9"/>
  <c r="F18" i="9"/>
  <c r="Q46" i="29"/>
  <c r="F18" i="8"/>
  <c r="Q64" i="29"/>
  <c r="F39" i="9"/>
  <c r="Q50" i="29"/>
  <c r="F23" i="9"/>
  <c r="F39" i="8"/>
  <c r="B35" i="8"/>
  <c r="F23" i="8"/>
  <c r="S11" i="19"/>
  <c r="E26" i="19"/>
  <c r="L222" i="29"/>
  <c r="T11" i="19"/>
  <c r="E19" i="19"/>
  <c r="G42" i="8"/>
  <c r="D19" i="19"/>
  <c r="L212" i="29"/>
  <c r="R23" i="13"/>
  <c r="P124" i="29"/>
  <c r="P137" i="29"/>
  <c r="R39" i="13"/>
  <c r="Q46" i="12"/>
  <c r="Q41" i="12"/>
  <c r="R40" i="13"/>
  <c r="V41" i="10"/>
  <c r="K24" i="9"/>
  <c r="U51" i="29"/>
  <c r="B42" i="8"/>
  <c r="B35" i="9"/>
  <c r="K62" i="29"/>
  <c r="T19" i="19"/>
  <c r="L230" i="29"/>
  <c r="S19" i="19"/>
  <c r="P138" i="29"/>
  <c r="R41" i="13"/>
  <c r="R46" i="13"/>
  <c r="S10" i="12"/>
  <c r="R10" i="12"/>
  <c r="D10" i="13"/>
  <c r="C10" i="13"/>
  <c r="L111" i="29"/>
  <c r="C18" i="13"/>
  <c r="L119" i="29"/>
  <c r="D18" i="13"/>
  <c r="R18" i="12"/>
  <c r="B15" i="12"/>
  <c r="E18" i="21"/>
  <c r="T18" i="21"/>
  <c r="E19" i="20"/>
  <c r="T19" i="20"/>
  <c r="T18" i="20"/>
  <c r="E32" i="32"/>
  <c r="L250" i="29"/>
  <c r="S16" i="12"/>
  <c r="Q16" i="13"/>
  <c r="P21" i="12"/>
  <c r="R16" i="12"/>
  <c r="D17" i="21"/>
  <c r="J252" i="29"/>
  <c r="S13" i="12"/>
  <c r="D13" i="13"/>
  <c r="R13" i="12"/>
  <c r="C13" i="13"/>
  <c r="C26" i="19"/>
  <c r="K216" i="29"/>
  <c r="C23" i="20"/>
  <c r="C22" i="21"/>
  <c r="D12" i="13"/>
  <c r="R12" i="12"/>
  <c r="C12" i="13"/>
  <c r="S12" i="12"/>
  <c r="D23" i="20"/>
  <c r="D22" i="21"/>
  <c r="T13" i="21"/>
  <c r="O249" i="29"/>
  <c r="D18" i="21"/>
  <c r="D19" i="20"/>
  <c r="V11" i="13"/>
  <c r="U11" i="13"/>
  <c r="T10" i="13"/>
  <c r="S10" i="13"/>
  <c r="O111" i="29"/>
  <c r="U10" i="13"/>
  <c r="V10" i="13"/>
  <c r="T11" i="20"/>
  <c r="E11" i="21"/>
  <c r="L247" i="29"/>
  <c r="C17" i="20"/>
  <c r="C16" i="21"/>
  <c r="E22" i="21"/>
  <c r="E23" i="20"/>
  <c r="S21" i="20"/>
  <c r="E20" i="20"/>
  <c r="E21" i="20"/>
  <c r="T21" i="20"/>
  <c r="T20" i="20"/>
  <c r="O116" i="29"/>
  <c r="S9" i="13"/>
  <c r="L110" i="29"/>
  <c r="T9" i="13"/>
  <c r="C15" i="12"/>
  <c r="S22" i="21"/>
  <c r="T22" i="20"/>
  <c r="S23" i="20"/>
  <c r="G32" i="32"/>
  <c r="C17" i="12"/>
  <c r="R17" i="12"/>
  <c r="E17" i="20"/>
  <c r="T17" i="20"/>
  <c r="E16" i="21"/>
  <c r="T16" i="21"/>
  <c r="R19" i="12"/>
  <c r="G21" i="32"/>
  <c r="G30" i="32"/>
  <c r="D24" i="19"/>
  <c r="S12" i="20"/>
  <c r="Q18" i="13"/>
  <c r="U20" i="13"/>
  <c r="R11" i="12"/>
  <c r="C19" i="13"/>
  <c r="L120" i="29"/>
  <c r="T13" i="20"/>
  <c r="P36" i="12"/>
  <c r="D17" i="20"/>
  <c r="Q17" i="13"/>
  <c r="C18" i="21"/>
  <c r="B42" i="12"/>
  <c r="B21" i="12"/>
  <c r="T20" i="13"/>
  <c r="S17" i="21"/>
  <c r="T16" i="20"/>
  <c r="C10" i="21"/>
  <c r="D19" i="32"/>
  <c r="S15" i="12"/>
  <c r="S20" i="13"/>
  <c r="T10" i="21"/>
  <c r="B8" i="13"/>
  <c r="K109" i="29"/>
  <c r="S20" i="21"/>
  <c r="C11" i="13"/>
  <c r="D10" i="20"/>
  <c r="C42" i="12"/>
  <c r="S19" i="21"/>
  <c r="S14" i="12"/>
  <c r="V8" i="13"/>
  <c r="D53" i="16"/>
  <c r="R15" i="12"/>
  <c r="R36" i="12"/>
  <c r="O253" i="29"/>
  <c r="Q14" i="13"/>
  <c r="Q19" i="13"/>
  <c r="L215" i="29"/>
  <c r="D26" i="19"/>
  <c r="C20" i="21"/>
  <c r="C14" i="21"/>
  <c r="I250" i="29"/>
  <c r="I246" i="29"/>
  <c r="C17" i="21"/>
  <c r="I252" i="29"/>
  <c r="V12" i="13"/>
  <c r="U12" i="13"/>
  <c r="T11" i="21"/>
  <c r="S14" i="13"/>
  <c r="T14" i="13"/>
  <c r="O115" i="29"/>
  <c r="U14" i="13"/>
  <c r="V14" i="13"/>
  <c r="L113" i="29"/>
  <c r="S12" i="13"/>
  <c r="T12" i="13"/>
  <c r="L253" i="29"/>
  <c r="E19" i="21"/>
  <c r="L112" i="29"/>
  <c r="T11" i="13"/>
  <c r="S11" i="13"/>
  <c r="I253" i="29"/>
  <c r="C19" i="21"/>
  <c r="O118" i="29"/>
  <c r="C21" i="12"/>
  <c r="D17" i="13"/>
  <c r="V17" i="13"/>
  <c r="C17" i="13"/>
  <c r="L118" i="29"/>
  <c r="D15" i="13"/>
  <c r="C36" i="12"/>
  <c r="C15" i="13"/>
  <c r="S16" i="13"/>
  <c r="U16" i="13"/>
  <c r="T16" i="13"/>
  <c r="V16" i="13"/>
  <c r="O117" i="29"/>
  <c r="D23" i="21"/>
  <c r="J255" i="29"/>
  <c r="B21" i="13"/>
  <c r="K122" i="29"/>
  <c r="B22" i="12"/>
  <c r="B22" i="13"/>
  <c r="K123" i="29"/>
  <c r="L252" i="29"/>
  <c r="E17" i="21"/>
  <c r="T17" i="21"/>
  <c r="E20" i="21"/>
  <c r="B15" i="13"/>
  <c r="K116" i="29"/>
  <c r="B36" i="12"/>
  <c r="T23" i="20"/>
  <c r="S23" i="21"/>
  <c r="T22" i="21"/>
  <c r="O255" i="29"/>
  <c r="O254" i="29"/>
  <c r="S21" i="21"/>
  <c r="T20" i="21"/>
  <c r="V13" i="13"/>
  <c r="U13" i="13"/>
  <c r="S12" i="21"/>
  <c r="T12" i="20"/>
  <c r="L255" i="29"/>
  <c r="E23" i="21"/>
  <c r="I255" i="29"/>
  <c r="C23" i="21"/>
  <c r="S13" i="13"/>
  <c r="L114" i="29"/>
  <c r="T13" i="13"/>
  <c r="S17" i="12"/>
  <c r="P22" i="12"/>
  <c r="Q22" i="13"/>
  <c r="P38" i="12"/>
  <c r="P40" i="12"/>
  <c r="Q21" i="13"/>
  <c r="S21" i="12"/>
  <c r="R21" i="12"/>
  <c r="R38" i="12"/>
  <c r="R39" i="12"/>
  <c r="R37" i="12"/>
  <c r="T19" i="21"/>
  <c r="D19" i="21"/>
  <c r="J253" i="29"/>
  <c r="B43" i="12"/>
  <c r="B42" i="13"/>
  <c r="P37" i="12"/>
  <c r="Q36" i="13"/>
  <c r="C43" i="12"/>
  <c r="C42" i="13"/>
  <c r="D42" i="13"/>
  <c r="D20" i="20"/>
  <c r="D21" i="20"/>
  <c r="D14" i="20"/>
  <c r="D10" i="21"/>
  <c r="O120" i="29"/>
  <c r="U19" i="13"/>
  <c r="V19" i="13"/>
  <c r="S19" i="13"/>
  <c r="T19" i="13"/>
  <c r="T18" i="13"/>
  <c r="S18" i="13"/>
  <c r="O119" i="29"/>
  <c r="U18" i="13"/>
  <c r="V18" i="13"/>
  <c r="T23" i="21"/>
  <c r="P41" i="12"/>
  <c r="Q40" i="13"/>
  <c r="P46" i="12"/>
  <c r="C37" i="12"/>
  <c r="D36" i="13"/>
  <c r="D37" i="13"/>
  <c r="C36" i="13"/>
  <c r="D43" i="13"/>
  <c r="E21" i="21"/>
  <c r="T21" i="21"/>
  <c r="L116" i="29"/>
  <c r="T15" i="13"/>
  <c r="S15" i="13"/>
  <c r="S36" i="13"/>
  <c r="C21" i="13"/>
  <c r="T21" i="13"/>
  <c r="D21" i="13"/>
  <c r="V21" i="13"/>
  <c r="S21" i="13"/>
  <c r="S38" i="13"/>
  <c r="S39" i="13"/>
  <c r="O122" i="29"/>
  <c r="U21" i="13"/>
  <c r="B37" i="12"/>
  <c r="B36" i="13"/>
  <c r="C43" i="13"/>
  <c r="L139" i="29"/>
  <c r="B38" i="12"/>
  <c r="C22" i="12"/>
  <c r="L122" i="29"/>
  <c r="C38" i="12"/>
  <c r="U17" i="13"/>
  <c r="V36" i="13"/>
  <c r="O136" i="29"/>
  <c r="Q37" i="13"/>
  <c r="T36" i="13"/>
  <c r="S36" i="12"/>
  <c r="Q38" i="13"/>
  <c r="S38" i="12"/>
  <c r="P39" i="12"/>
  <c r="L254" i="29"/>
  <c r="I254" i="29"/>
  <c r="C21" i="21"/>
  <c r="B43" i="13"/>
  <c r="K139" i="29"/>
  <c r="R40" i="12"/>
  <c r="R41" i="12"/>
  <c r="U15" i="13"/>
  <c r="U36" i="13"/>
  <c r="V15" i="13"/>
  <c r="T17" i="13"/>
  <c r="J246" i="29"/>
  <c r="D14" i="21"/>
  <c r="J250" i="29"/>
  <c r="D20" i="21"/>
  <c r="O123" i="29"/>
  <c r="S17" i="13"/>
  <c r="T12" i="21"/>
  <c r="O248" i="29"/>
  <c r="D38" i="13"/>
  <c r="D39" i="13"/>
  <c r="C39" i="12"/>
  <c r="C38" i="13"/>
  <c r="S37" i="13"/>
  <c r="S40" i="13"/>
  <c r="S41" i="13"/>
  <c r="L136" i="29"/>
  <c r="C37" i="13"/>
  <c r="U37" i="13"/>
  <c r="C22" i="13"/>
  <c r="L123" i="29"/>
  <c r="D22" i="13"/>
  <c r="B39" i="12"/>
  <c r="B38" i="13"/>
  <c r="T38" i="13"/>
  <c r="V38" i="13"/>
  <c r="O137" i="29"/>
  <c r="Q39" i="13"/>
  <c r="D21" i="21"/>
  <c r="J254" i="29"/>
  <c r="C40" i="12"/>
  <c r="B37" i="13"/>
  <c r="K136" i="29"/>
  <c r="Q46" i="13"/>
  <c r="O138" i="29"/>
  <c r="Q41" i="13"/>
  <c r="B40" i="12"/>
  <c r="U22" i="13"/>
  <c r="U38" i="13"/>
  <c r="V22" i="13"/>
  <c r="B41" i="12"/>
  <c r="B46" i="12"/>
  <c r="B40" i="13"/>
  <c r="B39" i="13"/>
  <c r="K137" i="29"/>
  <c r="C39" i="13"/>
  <c r="L137" i="29"/>
  <c r="C41" i="12"/>
  <c r="C40" i="13"/>
  <c r="D40" i="13"/>
  <c r="C46" i="12"/>
  <c r="S40" i="12"/>
  <c r="C46" i="13"/>
  <c r="C41" i="13"/>
  <c r="L138" i="29"/>
  <c r="T40" i="13"/>
  <c r="D46" i="13"/>
  <c r="D41" i="13"/>
  <c r="V40" i="13"/>
  <c r="B41" i="13"/>
  <c r="K138" i="29"/>
  <c r="B46" i="13"/>
  <c r="U39" i="13"/>
  <c r="U40" i="13"/>
  <c r="U41" i="13"/>
  <c r="C26" i="27"/>
  <c r="B15" i="28"/>
  <c r="AI284" i="29"/>
  <c r="C15" i="28"/>
  <c r="AJ284" i="29"/>
  <c r="B25" i="28"/>
  <c r="I42" i="8"/>
  <c r="I38" i="8"/>
  <c r="I38" i="9"/>
  <c r="T64" i="29"/>
  <c r="D25" i="28"/>
  <c r="AK294" i="29"/>
  <c r="S13" i="10"/>
  <c r="R15" i="10"/>
  <c r="T15" i="10"/>
  <c r="T13" i="10"/>
  <c r="U13" i="10"/>
  <c r="U14" i="10"/>
  <c r="F13" i="11"/>
  <c r="Y67" i="29"/>
  <c r="H12" i="11"/>
  <c r="H12" i="10"/>
  <c r="R10" i="10"/>
  <c r="F12" i="10"/>
  <c r="F10" i="11"/>
  <c r="AH67" i="29"/>
  <c r="H7" i="11"/>
  <c r="I7" i="11"/>
  <c r="R7" i="10"/>
  <c r="I9" i="10"/>
  <c r="H9" i="10"/>
  <c r="AH65" i="29"/>
  <c r="C25" i="28"/>
  <c r="AJ294" i="29"/>
  <c r="J34" i="8"/>
  <c r="J34" i="9"/>
  <c r="E35" i="8"/>
  <c r="E34" i="9"/>
  <c r="N61" i="29"/>
  <c r="E8" i="9"/>
  <c r="C35" i="9"/>
  <c r="O12" i="29"/>
  <c r="G20" i="7"/>
  <c r="B26" i="28"/>
  <c r="AI295" i="29"/>
  <c r="AI294" i="29"/>
  <c r="S15" i="10"/>
  <c r="S15" i="11"/>
  <c r="S13" i="11"/>
  <c r="P69" i="29"/>
  <c r="R13" i="11"/>
  <c r="F15" i="11"/>
  <c r="W69" i="29"/>
  <c r="W67" i="29"/>
  <c r="F12" i="11"/>
  <c r="R10" i="11"/>
  <c r="R12" i="10"/>
  <c r="T12" i="10"/>
  <c r="S10" i="10"/>
  <c r="T10" i="10"/>
  <c r="U10" i="10"/>
  <c r="U11" i="10"/>
  <c r="S7" i="10"/>
  <c r="R9" i="10"/>
  <c r="T9" i="10"/>
  <c r="U7" i="10"/>
  <c r="T7" i="10"/>
  <c r="Z65" i="29"/>
  <c r="I9" i="11"/>
  <c r="H9" i="11"/>
  <c r="Y65" i="29"/>
  <c r="R7" i="11"/>
  <c r="C26" i="28"/>
  <c r="AJ295" i="29"/>
  <c r="L62" i="29"/>
  <c r="N38" i="29"/>
  <c r="E9" i="9"/>
  <c r="E42" i="8"/>
  <c r="E35" i="9"/>
  <c r="N62" i="29"/>
  <c r="J35" i="8"/>
  <c r="J35" i="9"/>
  <c r="T13" i="11"/>
  <c r="R15" i="11"/>
  <c r="T15" i="11"/>
  <c r="U13" i="11"/>
  <c r="U14" i="11"/>
  <c r="O69" i="29"/>
  <c r="S12" i="10"/>
  <c r="S12" i="11"/>
  <c r="S10" i="11"/>
  <c r="P67" i="29"/>
  <c r="U10" i="11"/>
  <c r="U11" i="11"/>
  <c r="T10" i="11"/>
  <c r="O67" i="29"/>
  <c r="R12" i="11"/>
  <c r="T12" i="11"/>
  <c r="U7" i="11"/>
  <c r="R9" i="11"/>
  <c r="T9" i="11"/>
  <c r="T7" i="11"/>
  <c r="O65" i="29"/>
  <c r="U41" i="10"/>
  <c r="U42" i="10"/>
  <c r="U8" i="10"/>
  <c r="S7" i="11"/>
  <c r="P65" i="29"/>
  <c r="S75" i="10"/>
  <c r="S9" i="10"/>
  <c r="S9" i="11"/>
  <c r="U8" i="11"/>
  <c r="S75" i="11"/>
  <c r="S77" i="10"/>
  <c r="S77" i="11"/>
  <c r="P106" i="29"/>
  <c r="D26" i="28"/>
  <c r="AK295" i="29"/>
  <c r="K26" i="9"/>
  <c r="U53" i="29"/>
  <c r="K17" i="8"/>
  <c r="K17" i="9"/>
  <c r="U46" i="29"/>
  <c r="K37" i="8"/>
  <c r="H37" i="9"/>
  <c r="S63" i="29"/>
  <c r="H42" i="8"/>
  <c r="H38" i="8"/>
  <c r="H38" i="9"/>
  <c r="S64" i="29"/>
  <c r="H17" i="9"/>
  <c r="S46" i="29"/>
  <c r="S28" i="18"/>
  <c r="T28" i="18"/>
  <c r="R28" i="19"/>
  <c r="L17" i="9"/>
  <c r="V46" i="29"/>
  <c r="O17" i="9"/>
  <c r="O46" i="29"/>
  <c r="O49" i="29"/>
  <c r="O21" i="9"/>
  <c r="N22" i="8"/>
  <c r="M34" i="8"/>
  <c r="N22" i="9"/>
  <c r="K37" i="9"/>
  <c r="U63" i="29"/>
  <c r="K38" i="8"/>
  <c r="K38" i="9"/>
  <c r="U64" i="29"/>
  <c r="S28" i="19"/>
  <c r="T28" i="19"/>
  <c r="O50" i="29"/>
  <c r="O22" i="9"/>
  <c r="N23" i="9"/>
  <c r="L22" i="9"/>
  <c r="V50" i="29"/>
  <c r="K34" i="8"/>
  <c r="N34" i="9"/>
  <c r="N34" i="8"/>
  <c r="M35" i="8"/>
  <c r="N35" i="9"/>
  <c r="N35" i="8"/>
  <c r="M42" i="8"/>
  <c r="L34" i="9"/>
  <c r="V61" i="29"/>
  <c r="O61" i="29"/>
  <c r="O34" i="9"/>
  <c r="K34" i="9"/>
  <c r="U61" i="29"/>
  <c r="K35" i="8"/>
  <c r="K42" i="8"/>
  <c r="K35" i="9"/>
  <c r="U62" i="29"/>
  <c r="O62" i="29"/>
  <c r="L35" i="9"/>
  <c r="V62" i="29"/>
  <c r="O35" i="9"/>
  <c r="S25" i="12"/>
  <c r="R25" i="12"/>
  <c r="Q25" i="13"/>
  <c r="T26" i="13"/>
  <c r="S26" i="13"/>
  <c r="S42" i="13"/>
  <c r="S43" i="13"/>
  <c r="D29" i="12"/>
  <c r="E29" i="13"/>
  <c r="W130" i="29"/>
  <c r="J29" i="12"/>
  <c r="K29" i="13"/>
  <c r="AC130" i="29"/>
  <c r="Q34" i="12"/>
  <c r="R34" i="13"/>
  <c r="P135" i="29"/>
  <c r="I29" i="12"/>
  <c r="J29" i="13"/>
  <c r="AB130" i="29"/>
  <c r="P43" i="12"/>
  <c r="V26" i="13"/>
  <c r="O127" i="29"/>
  <c r="R43" i="13"/>
  <c r="S42" i="12"/>
  <c r="L29" i="12"/>
  <c r="S29" i="12"/>
  <c r="O29" i="12"/>
  <c r="O30" i="12"/>
  <c r="P30" i="13"/>
  <c r="AH131" i="29"/>
  <c r="K29" i="12"/>
  <c r="M29" i="12"/>
  <c r="M30" i="12"/>
  <c r="N30" i="13"/>
  <c r="AF131" i="29"/>
  <c r="Q43" i="13"/>
  <c r="O139" i="29"/>
  <c r="V42" i="13"/>
  <c r="T42" i="13"/>
  <c r="D30" i="12"/>
  <c r="F29" i="12"/>
  <c r="G29" i="12"/>
  <c r="H29" i="12"/>
  <c r="Q29" i="13"/>
  <c r="N29" i="12"/>
  <c r="E29" i="12"/>
  <c r="U25" i="13"/>
  <c r="V25" i="13"/>
  <c r="T25" i="13"/>
  <c r="S25" i="13"/>
  <c r="O126" i="29"/>
  <c r="P29" i="13"/>
  <c r="AH130" i="29"/>
  <c r="I30" i="12"/>
  <c r="J30" i="13"/>
  <c r="AB131" i="29"/>
  <c r="N29" i="13"/>
  <c r="AF130" i="29"/>
  <c r="M29" i="13"/>
  <c r="AE130" i="29"/>
  <c r="L30" i="12"/>
  <c r="L29" i="13"/>
  <c r="AD130" i="29"/>
  <c r="K30" i="12"/>
  <c r="J30" i="12"/>
  <c r="H30" i="12"/>
  <c r="I29" i="13"/>
  <c r="AA130" i="29"/>
  <c r="O130" i="29"/>
  <c r="T29" i="13"/>
  <c r="V29" i="13"/>
  <c r="S29" i="13"/>
  <c r="U29" i="13"/>
  <c r="E30" i="12"/>
  <c r="F29" i="13"/>
  <c r="X130" i="29"/>
  <c r="G30" i="12"/>
  <c r="H29" i="13"/>
  <c r="Z130" i="29"/>
  <c r="F30" i="12"/>
  <c r="G29" i="13"/>
  <c r="Y130" i="29"/>
  <c r="E30" i="13"/>
  <c r="W131" i="29"/>
  <c r="N30" i="12"/>
  <c r="O29" i="13"/>
  <c r="AG130" i="29"/>
  <c r="K30" i="13"/>
  <c r="AC131" i="29"/>
  <c r="L30" i="13"/>
  <c r="AD131" i="29"/>
  <c r="M30" i="13"/>
  <c r="AE131" i="29"/>
  <c r="O30" i="13"/>
  <c r="AG131" i="29"/>
  <c r="F30" i="13"/>
  <c r="X131" i="29"/>
  <c r="G30" i="13"/>
  <c r="Y131" i="29"/>
  <c r="I30" i="13"/>
  <c r="AA131" i="29"/>
  <c r="H30" i="13"/>
  <c r="Z131" i="29"/>
  <c r="G44" i="31" l="1"/>
  <c r="I80" i="10" s="1"/>
  <c r="I37" i="10" s="1"/>
  <c r="M44" i="31"/>
  <c r="O80" i="10" s="1"/>
  <c r="O37" i="10" s="1"/>
  <c r="I141" i="31"/>
  <c r="H142" i="31"/>
  <c r="B12" i="31"/>
  <c r="B24" i="31"/>
  <c r="I136" i="31"/>
  <c r="L57" i="33"/>
  <c r="G60" i="33"/>
  <c r="H59" i="33"/>
  <c r="I58" i="33"/>
  <c r="I56" i="33"/>
  <c r="J55" i="33"/>
  <c r="K54" i="33"/>
  <c r="K53" i="33"/>
  <c r="K52" i="33"/>
  <c r="L51" i="33"/>
  <c r="M50" i="33"/>
  <c r="D11" i="33"/>
  <c r="M23" i="33"/>
  <c r="J23" i="33"/>
  <c r="F23" i="33"/>
  <c r="L29" i="33"/>
  <c r="L28" i="33"/>
  <c r="L27" i="33"/>
  <c r="L26" i="33"/>
  <c r="M25" i="33"/>
  <c r="M24" i="33"/>
  <c r="O45" i="33"/>
  <c r="O20" i="12" s="1"/>
  <c r="P20" i="13" s="1"/>
  <c r="AH121" i="29" s="1"/>
  <c r="F45" i="33"/>
  <c r="F20" i="12" s="1"/>
  <c r="G20" i="13" s="1"/>
  <c r="Y121" i="29" s="1"/>
  <c r="H44" i="33"/>
  <c r="H19" i="12" s="1"/>
  <c r="I19" i="13" s="1"/>
  <c r="AA120" i="29" s="1"/>
  <c r="M43" i="33"/>
  <c r="M18" i="12" s="1"/>
  <c r="N18" i="13" s="1"/>
  <c r="AF119" i="29" s="1"/>
  <c r="E43" i="33"/>
  <c r="E18" i="12" s="1"/>
  <c r="F18" i="13" s="1"/>
  <c r="X119" i="29" s="1"/>
  <c r="I41" i="33"/>
  <c r="O39" i="33"/>
  <c r="O14" i="12" s="1"/>
  <c r="P14" i="13" s="1"/>
  <c r="AH115" i="29" s="1"/>
  <c r="E39" i="33"/>
  <c r="E14" i="12" s="1"/>
  <c r="F14" i="13" s="1"/>
  <c r="X115" i="29" s="1"/>
  <c r="H38" i="33"/>
  <c r="H13" i="12" s="1"/>
  <c r="I13" i="13" s="1"/>
  <c r="AA114" i="29" s="1"/>
  <c r="K37" i="33"/>
  <c r="K12" i="12" s="1"/>
  <c r="L12" i="13" s="1"/>
  <c r="AD113" i="29" s="1"/>
  <c r="N36" i="33"/>
  <c r="N11" i="12" s="1"/>
  <c r="O11" i="13" s="1"/>
  <c r="AG112" i="29" s="1"/>
  <c r="N35" i="33"/>
  <c r="N10" i="12" s="1"/>
  <c r="O10" i="13" s="1"/>
  <c r="AG111" i="29" s="1"/>
  <c r="D35" i="33"/>
  <c r="F34" i="33"/>
  <c r="F9" i="12" s="1"/>
  <c r="G9" i="13" s="1"/>
  <c r="Y110" i="29" s="1"/>
  <c r="J33" i="33"/>
  <c r="B28" i="31"/>
  <c r="B40" i="31"/>
  <c r="B52" i="31"/>
  <c r="B64" i="31"/>
  <c r="B76" i="31"/>
  <c r="B88" i="31"/>
  <c r="B100" i="31"/>
  <c r="B112" i="31"/>
  <c r="B124" i="31"/>
  <c r="B137" i="31"/>
  <c r="G22" i="31"/>
  <c r="M147" i="31"/>
  <c r="N146" i="31"/>
  <c r="N145" i="31"/>
  <c r="N144" i="31"/>
  <c r="O143" i="31"/>
  <c r="O140" i="31"/>
  <c r="I139" i="31"/>
  <c r="D138" i="31"/>
  <c r="D137" i="31"/>
  <c r="D135" i="31"/>
  <c r="I134" i="31"/>
  <c r="H133" i="31"/>
  <c r="J132" i="31"/>
  <c r="H131" i="31"/>
  <c r="J130" i="31"/>
  <c r="E129" i="31"/>
  <c r="K128" i="31"/>
  <c r="N127" i="31"/>
  <c r="D126" i="31"/>
  <c r="E125" i="31"/>
  <c r="D124" i="31"/>
  <c r="E8" i="31"/>
  <c r="I8" i="31"/>
  <c r="M8" i="31"/>
  <c r="J141" i="31"/>
  <c r="I142" i="31"/>
  <c r="B13" i="31"/>
  <c r="B25" i="31"/>
  <c r="J136" i="31"/>
  <c r="M57" i="33"/>
  <c r="F60" i="33"/>
  <c r="G59" i="33"/>
  <c r="H58" i="33"/>
  <c r="H56" i="33"/>
  <c r="I55" i="33"/>
  <c r="J54" i="33"/>
  <c r="J53" i="33"/>
  <c r="J52" i="33"/>
  <c r="K51" i="33"/>
  <c r="L50" i="33"/>
  <c r="L49" i="33" s="1"/>
  <c r="N22" i="20" s="1"/>
  <c r="N22" i="21" s="1"/>
  <c r="AE255" i="29" s="1"/>
  <c r="E11" i="33"/>
  <c r="F11" i="33" s="1"/>
  <c r="G11" i="33" s="1"/>
  <c r="H11" i="33" s="1"/>
  <c r="I11" i="33" s="1"/>
  <c r="J11" i="33" s="1"/>
  <c r="K11" i="33" s="1"/>
  <c r="L11" i="33" s="1"/>
  <c r="M11" i="33" s="1"/>
  <c r="N11" i="33" s="1"/>
  <c r="O11" i="33" s="1"/>
  <c r="Q11" i="33" s="1"/>
  <c r="S11" i="33" s="1"/>
  <c r="E22" i="33"/>
  <c r="E21" i="33" s="1"/>
  <c r="E30" i="33" s="1"/>
  <c r="K29" i="33"/>
  <c r="K28" i="33"/>
  <c r="K27" i="33"/>
  <c r="K26" i="33"/>
  <c r="L25" i="33"/>
  <c r="L24" i="33"/>
  <c r="N45" i="33"/>
  <c r="N20" i="12" s="1"/>
  <c r="O20" i="13" s="1"/>
  <c r="AG121" i="29" s="1"/>
  <c r="E45" i="33"/>
  <c r="E20" i="12" s="1"/>
  <c r="F20" i="13" s="1"/>
  <c r="X121" i="29" s="1"/>
  <c r="H41" i="33"/>
  <c r="D43" i="33"/>
  <c r="E42" i="33"/>
  <c r="E17" i="12" s="1"/>
  <c r="F17" i="13" s="1"/>
  <c r="X118" i="29" s="1"/>
  <c r="G41" i="33"/>
  <c r="N39" i="33"/>
  <c r="N14" i="12" s="1"/>
  <c r="O14" i="13" s="1"/>
  <c r="AG115" i="29" s="1"/>
  <c r="G38" i="33"/>
  <c r="G13" i="12" s="1"/>
  <c r="H13" i="13" s="1"/>
  <c r="Z114" i="29" s="1"/>
  <c r="E33" i="33"/>
  <c r="M36" i="33"/>
  <c r="M11" i="12" s="1"/>
  <c r="N11" i="13" s="1"/>
  <c r="AF112" i="29" s="1"/>
  <c r="O34" i="33"/>
  <c r="O9" i="12" s="1"/>
  <c r="P9" i="13" s="1"/>
  <c r="AH110" i="29" s="1"/>
  <c r="I33" i="33"/>
  <c r="B29" i="31"/>
  <c r="B41" i="31"/>
  <c r="B53" i="31"/>
  <c r="B65" i="31"/>
  <c r="B77" i="31"/>
  <c r="B89" i="31"/>
  <c r="B101" i="31"/>
  <c r="B113" i="31"/>
  <c r="K141" i="31"/>
  <c r="J142" i="31"/>
  <c r="B14" i="31"/>
  <c r="B26" i="31"/>
  <c r="K136" i="31"/>
  <c r="N57" i="33"/>
  <c r="E60" i="33"/>
  <c r="F59" i="33"/>
  <c r="G58" i="33"/>
  <c r="G56" i="33"/>
  <c r="H55" i="33"/>
  <c r="I54" i="33"/>
  <c r="I53" i="33"/>
  <c r="I52" i="33"/>
  <c r="J51" i="33"/>
  <c r="K50" i="33"/>
  <c r="E23" i="33"/>
  <c r="J29" i="33"/>
  <c r="J28" i="33"/>
  <c r="J27" i="33"/>
  <c r="J26" i="33"/>
  <c r="K25" i="33"/>
  <c r="K24" i="33"/>
  <c r="M45" i="33"/>
  <c r="M20" i="12" s="1"/>
  <c r="N20" i="13" s="1"/>
  <c r="AF121" i="29" s="1"/>
  <c r="D45" i="33"/>
  <c r="H42" i="33"/>
  <c r="H17" i="12" s="1"/>
  <c r="I17" i="13" s="1"/>
  <c r="AA118" i="29" s="1"/>
  <c r="L43" i="33"/>
  <c r="L18" i="12" s="1"/>
  <c r="M18" i="13" s="1"/>
  <c r="AE119" i="29" s="1"/>
  <c r="O42" i="33"/>
  <c r="O17" i="12" s="1"/>
  <c r="P17" i="13" s="1"/>
  <c r="AH118" i="29" s="1"/>
  <c r="M39" i="33"/>
  <c r="M14" i="12" s="1"/>
  <c r="N14" i="13" s="1"/>
  <c r="AF115" i="29" s="1"/>
  <c r="D39" i="33"/>
  <c r="F38" i="33"/>
  <c r="F13" i="12" s="1"/>
  <c r="G13" i="13" s="1"/>
  <c r="Y114" i="29" s="1"/>
  <c r="J37" i="33"/>
  <c r="J12" i="12" s="1"/>
  <c r="K12" i="13" s="1"/>
  <c r="AC113" i="29" s="1"/>
  <c r="M35" i="33"/>
  <c r="M10" i="12" s="1"/>
  <c r="N10" i="13" s="1"/>
  <c r="AF111" i="29" s="1"/>
  <c r="F33" i="33"/>
  <c r="B30" i="31"/>
  <c r="B42" i="31"/>
  <c r="B54" i="31"/>
  <c r="B66" i="31"/>
  <c r="B78" i="31"/>
  <c r="B90" i="31"/>
  <c r="B102" i="31"/>
  <c r="B114" i="31"/>
  <c r="B126" i="31"/>
  <c r="B139" i="31"/>
  <c r="I22" i="31"/>
  <c r="D147" i="31"/>
  <c r="L146" i="31"/>
  <c r="L145" i="31"/>
  <c r="E144" i="31"/>
  <c r="M143" i="31"/>
  <c r="M140" i="31"/>
  <c r="N139" i="31"/>
  <c r="N138" i="31"/>
  <c r="N137" i="31"/>
  <c r="N135" i="31"/>
  <c r="N134" i="31"/>
  <c r="O133" i="31"/>
  <c r="L132" i="31"/>
  <c r="J131" i="31"/>
  <c r="H130" i="31"/>
  <c r="G129" i="31"/>
  <c r="D128" i="31"/>
  <c r="L127" i="31"/>
  <c r="F126" i="31"/>
  <c r="L141" i="31"/>
  <c r="K142" i="31"/>
  <c r="B15" i="31"/>
  <c r="B8" i="31"/>
  <c r="L136" i="31"/>
  <c r="O57" i="33"/>
  <c r="D60" i="33"/>
  <c r="E59" i="33"/>
  <c r="F58" i="33"/>
  <c r="F56" i="33"/>
  <c r="G55" i="33"/>
  <c r="H54" i="33"/>
  <c r="H53" i="33"/>
  <c r="H52" i="33"/>
  <c r="I51" i="33"/>
  <c r="J50" i="33"/>
  <c r="J49" i="33" s="1"/>
  <c r="L22" i="20" s="1"/>
  <c r="L22" i="21" s="1"/>
  <c r="AC255" i="29" s="1"/>
  <c r="D10" i="33"/>
  <c r="L22" i="33"/>
  <c r="I22" i="33"/>
  <c r="I29" i="33"/>
  <c r="I28" i="33"/>
  <c r="I27" i="33"/>
  <c r="I26" i="33"/>
  <c r="J25" i="33"/>
  <c r="J24" i="33"/>
  <c r="L45" i="33"/>
  <c r="L20" i="12" s="1"/>
  <c r="M20" i="13" s="1"/>
  <c r="AE121" i="29" s="1"/>
  <c r="O44" i="33"/>
  <c r="O19" i="12" s="1"/>
  <c r="P19" i="13" s="1"/>
  <c r="AH120" i="29" s="1"/>
  <c r="K43" i="33"/>
  <c r="K18" i="12" s="1"/>
  <c r="L18" i="13" s="1"/>
  <c r="AD119" i="29" s="1"/>
  <c r="N42" i="33"/>
  <c r="N17" i="12" s="1"/>
  <c r="O17" i="13" s="1"/>
  <c r="AG118" i="29" s="1"/>
  <c r="D42" i="33"/>
  <c r="F41" i="33"/>
  <c r="L39" i="33"/>
  <c r="L14" i="12" s="1"/>
  <c r="M14" i="13" s="1"/>
  <c r="AE115" i="29" s="1"/>
  <c r="O38" i="33"/>
  <c r="O13" i="12" s="1"/>
  <c r="P13" i="13" s="1"/>
  <c r="AH114" i="29" s="1"/>
  <c r="E34" i="33"/>
  <c r="E9" i="12" s="1"/>
  <c r="F9" i="13" s="1"/>
  <c r="X110" i="29" s="1"/>
  <c r="L36" i="33"/>
  <c r="L11" i="12" s="1"/>
  <c r="M11" i="13" s="1"/>
  <c r="AE112" i="29" s="1"/>
  <c r="L35" i="33"/>
  <c r="L10" i="12" s="1"/>
  <c r="M10" i="13" s="1"/>
  <c r="AE111" i="29" s="1"/>
  <c r="N34" i="33"/>
  <c r="N9" i="12" s="1"/>
  <c r="O9" i="13" s="1"/>
  <c r="AG110" i="29" s="1"/>
  <c r="H33" i="33"/>
  <c r="B31" i="31"/>
  <c r="B43" i="31"/>
  <c r="B55" i="31"/>
  <c r="B67" i="31"/>
  <c r="B79" i="31"/>
  <c r="B91" i="31"/>
  <c r="B103" i="31"/>
  <c r="B115" i="31"/>
  <c r="B127" i="31"/>
  <c r="B140" i="31"/>
  <c r="F8" i="31"/>
  <c r="J8" i="31"/>
  <c r="N8" i="31"/>
  <c r="H44" i="31"/>
  <c r="J80" i="10" s="1"/>
  <c r="J37" i="10" s="1"/>
  <c r="N44" i="31"/>
  <c r="P80" i="10" s="1"/>
  <c r="P37" i="10" s="1"/>
  <c r="M141" i="31"/>
  <c r="L142" i="31"/>
  <c r="B16" i="31"/>
  <c r="B141" i="31"/>
  <c r="M136" i="31"/>
  <c r="D57" i="33"/>
  <c r="O60" i="33"/>
  <c r="D59" i="33"/>
  <c r="Q59" i="33" s="1"/>
  <c r="S59" i="33" s="1"/>
  <c r="E58" i="33"/>
  <c r="E56" i="33"/>
  <c r="F55" i="33"/>
  <c r="G54" i="33"/>
  <c r="G53" i="33"/>
  <c r="G52" i="33"/>
  <c r="H51" i="33"/>
  <c r="I50" i="33"/>
  <c r="L23" i="33"/>
  <c r="I23" i="33"/>
  <c r="H29" i="33"/>
  <c r="H28" i="33"/>
  <c r="H27" i="33"/>
  <c r="H26" i="33"/>
  <c r="I25" i="33"/>
  <c r="I24" i="33"/>
  <c r="N44" i="33"/>
  <c r="N19" i="12" s="1"/>
  <c r="O19" i="13" s="1"/>
  <c r="AG120" i="29" s="1"/>
  <c r="H43" i="33"/>
  <c r="H18" i="12" s="1"/>
  <c r="I18" i="13" s="1"/>
  <c r="AA119" i="29" s="1"/>
  <c r="J43" i="33"/>
  <c r="J18" i="12" s="1"/>
  <c r="K18" i="13" s="1"/>
  <c r="AC119" i="29" s="1"/>
  <c r="E41" i="33"/>
  <c r="K39" i="33"/>
  <c r="K14" i="12" s="1"/>
  <c r="L14" i="13" s="1"/>
  <c r="AD115" i="29" s="1"/>
  <c r="N38" i="33"/>
  <c r="N13" i="12" s="1"/>
  <c r="O13" i="13" s="1"/>
  <c r="AG114" i="29" s="1"/>
  <c r="E38" i="33"/>
  <c r="E13" i="12" s="1"/>
  <c r="F13" i="13" s="1"/>
  <c r="X114" i="29" s="1"/>
  <c r="I37" i="33"/>
  <c r="I12" i="12" s="1"/>
  <c r="J12" i="13" s="1"/>
  <c r="AB113" i="29" s="1"/>
  <c r="K36" i="33"/>
  <c r="K11" i="12" s="1"/>
  <c r="L11" i="13" s="1"/>
  <c r="AD112" i="29" s="1"/>
  <c r="K35" i="33"/>
  <c r="K10" i="12" s="1"/>
  <c r="L10" i="13" s="1"/>
  <c r="AD111" i="29" s="1"/>
  <c r="M34" i="33"/>
  <c r="M9" i="12" s="1"/>
  <c r="N9" i="13" s="1"/>
  <c r="AF110" i="29" s="1"/>
  <c r="G33" i="33"/>
  <c r="B32" i="31"/>
  <c r="B44" i="31"/>
  <c r="B56" i="31"/>
  <c r="B68" i="31"/>
  <c r="B80" i="31"/>
  <c r="B92" i="31"/>
  <c r="B104" i="31"/>
  <c r="B116" i="31"/>
  <c r="B128" i="31"/>
  <c r="B143" i="31"/>
  <c r="K22" i="31"/>
  <c r="F147" i="31"/>
  <c r="J146" i="31"/>
  <c r="J145" i="31"/>
  <c r="G144" i="31"/>
  <c r="K143" i="31"/>
  <c r="E140" i="31"/>
  <c r="L139" i="31"/>
  <c r="L138" i="31"/>
  <c r="L137" i="31"/>
  <c r="L135" i="31"/>
  <c r="L134" i="31"/>
  <c r="M133" i="31"/>
  <c r="N132" i="31"/>
  <c r="L131" i="31"/>
  <c r="F130" i="31"/>
  <c r="I129" i="31"/>
  <c r="F128" i="31"/>
  <c r="J127" i="31"/>
  <c r="H126" i="31"/>
  <c r="L125" i="31"/>
  <c r="N124" i="31"/>
  <c r="O123" i="31"/>
  <c r="K44" i="31"/>
  <c r="M80" i="10" s="1"/>
  <c r="M37" i="10" s="1"/>
  <c r="O141" i="31"/>
  <c r="N142" i="31"/>
  <c r="B18" i="31"/>
  <c r="O136" i="31"/>
  <c r="F57" i="33"/>
  <c r="M60" i="33"/>
  <c r="N59" i="33"/>
  <c r="O58" i="33"/>
  <c r="O56" i="33"/>
  <c r="D55" i="33"/>
  <c r="Q55" i="33" s="1"/>
  <c r="S55" i="33" s="1"/>
  <c r="E54" i="33"/>
  <c r="E53" i="33"/>
  <c r="E52" i="33"/>
  <c r="D51" i="33"/>
  <c r="G50" i="33"/>
  <c r="D17" i="33"/>
  <c r="F18" i="20" s="1"/>
  <c r="E9" i="33"/>
  <c r="F9" i="33" s="1"/>
  <c r="H23" i="33"/>
  <c r="O23" i="33"/>
  <c r="Q23" i="33" s="1"/>
  <c r="S23" i="33" s="1"/>
  <c r="F29" i="33"/>
  <c r="F28" i="33"/>
  <c r="F27" i="33"/>
  <c r="F26" i="33"/>
  <c r="G25" i="33"/>
  <c r="G24" i="33"/>
  <c r="J45" i="33"/>
  <c r="J20" i="12" s="1"/>
  <c r="K20" i="13" s="1"/>
  <c r="AC121" i="29" s="1"/>
  <c r="M44" i="33"/>
  <c r="M19" i="12" s="1"/>
  <c r="N19" i="13" s="1"/>
  <c r="AF120" i="29" s="1"/>
  <c r="F44" i="33"/>
  <c r="F19" i="12" s="1"/>
  <c r="G19" i="13" s="1"/>
  <c r="Y120" i="29" s="1"/>
  <c r="J41" i="33"/>
  <c r="L42" i="33"/>
  <c r="L17" i="12" s="1"/>
  <c r="M17" i="13" s="1"/>
  <c r="AE118" i="29" s="1"/>
  <c r="N41" i="33"/>
  <c r="D41" i="33"/>
  <c r="I39" i="33"/>
  <c r="I14" i="12" s="1"/>
  <c r="J14" i="13" s="1"/>
  <c r="AB115" i="29" s="1"/>
  <c r="D38" i="33"/>
  <c r="H37" i="33"/>
  <c r="H12" i="12" s="1"/>
  <c r="I12" i="13" s="1"/>
  <c r="AA113" i="29" s="1"/>
  <c r="I36" i="33"/>
  <c r="I11" i="12" s="1"/>
  <c r="J11" i="13" s="1"/>
  <c r="AB112" i="29" s="1"/>
  <c r="I35" i="33"/>
  <c r="I10" i="12" s="1"/>
  <c r="J10" i="13" s="1"/>
  <c r="AB111" i="29" s="1"/>
  <c r="K34" i="33"/>
  <c r="K9" i="12" s="1"/>
  <c r="L9" i="13" s="1"/>
  <c r="AD110" i="29" s="1"/>
  <c r="D34" i="33"/>
  <c r="B34" i="31"/>
  <c r="B46" i="31"/>
  <c r="B58" i="31"/>
  <c r="B70" i="31"/>
  <c r="B82" i="31"/>
  <c r="B94" i="31"/>
  <c r="B106" i="31"/>
  <c r="B118" i="31"/>
  <c r="B130" i="31"/>
  <c r="B145" i="31"/>
  <c r="M22" i="31"/>
  <c r="H147" i="31"/>
  <c r="E146" i="31"/>
  <c r="H145" i="31"/>
  <c r="I144" i="31"/>
  <c r="I143" i="31"/>
  <c r="G140" i="31"/>
  <c r="J139" i="31"/>
  <c r="J138" i="31"/>
  <c r="J137" i="31"/>
  <c r="J135" i="31"/>
  <c r="J134" i="31"/>
  <c r="K133" i="31"/>
  <c r="D132" i="31"/>
  <c r="O131" i="31"/>
  <c r="D130" i="31"/>
  <c r="K129" i="31"/>
  <c r="H128" i="31"/>
  <c r="H127" i="31"/>
  <c r="J126" i="31"/>
  <c r="J125" i="31"/>
  <c r="L124" i="31"/>
  <c r="O44" i="31"/>
  <c r="Q80" i="10" s="1"/>
  <c r="Q37" i="10" s="1"/>
  <c r="G8" i="31"/>
  <c r="K8" i="31"/>
  <c r="E44" i="31"/>
  <c r="G80" i="10" s="1"/>
  <c r="G37" i="10" s="1"/>
  <c r="D141" i="31"/>
  <c r="O142" i="31"/>
  <c r="B19" i="31"/>
  <c r="D136" i="31"/>
  <c r="B136" i="31"/>
  <c r="G57" i="33"/>
  <c r="L60" i="33"/>
  <c r="M59" i="33"/>
  <c r="N58" i="33"/>
  <c r="N56" i="33"/>
  <c r="O55" i="33"/>
  <c r="D54" i="33"/>
  <c r="D53" i="33"/>
  <c r="D52" i="33"/>
  <c r="E51" i="33"/>
  <c r="F50" i="33"/>
  <c r="E17" i="33"/>
  <c r="G18" i="20" s="1"/>
  <c r="D8" i="33"/>
  <c r="K22" i="33"/>
  <c r="G22" i="33"/>
  <c r="E29" i="33"/>
  <c r="E28" i="33"/>
  <c r="E27" i="33"/>
  <c r="E26" i="33"/>
  <c r="F25" i="33"/>
  <c r="F24" i="33"/>
  <c r="I45" i="33"/>
  <c r="I20" i="12" s="1"/>
  <c r="J20" i="13" s="1"/>
  <c r="AB121" i="29" s="1"/>
  <c r="L44" i="33"/>
  <c r="L19" i="12" s="1"/>
  <c r="M19" i="13" s="1"/>
  <c r="AE120" i="29" s="1"/>
  <c r="J42" i="33"/>
  <c r="J17" i="12" s="1"/>
  <c r="K17" i="13" s="1"/>
  <c r="AC118" i="29" s="1"/>
  <c r="K42" i="33"/>
  <c r="K17" i="12" s="1"/>
  <c r="L17" i="13" s="1"/>
  <c r="AD118" i="29" s="1"/>
  <c r="H39" i="33"/>
  <c r="H14" i="12" s="1"/>
  <c r="I14" i="13" s="1"/>
  <c r="AA115" i="29" s="1"/>
  <c r="L38" i="33"/>
  <c r="L13" i="12" s="1"/>
  <c r="M13" i="13" s="1"/>
  <c r="AE114" i="29" s="1"/>
  <c r="G37" i="33"/>
  <c r="G12" i="12" s="1"/>
  <c r="H12" i="13" s="1"/>
  <c r="Z113" i="29" s="1"/>
  <c r="E36" i="33"/>
  <c r="E11" i="12" s="1"/>
  <c r="F11" i="13" s="1"/>
  <c r="X112" i="29" s="1"/>
  <c r="H36" i="33"/>
  <c r="H11" i="12" s="1"/>
  <c r="I11" i="13" s="1"/>
  <c r="AA112" i="29" s="1"/>
  <c r="J34" i="33"/>
  <c r="J9" i="12" s="1"/>
  <c r="K9" i="13" s="1"/>
  <c r="AC110" i="29" s="1"/>
  <c r="O33" i="33"/>
  <c r="B35" i="31"/>
  <c r="B47" i="31"/>
  <c r="B59" i="31"/>
  <c r="B71" i="31"/>
  <c r="B83" i="31"/>
  <c r="B95" i="31"/>
  <c r="B107" i="31"/>
  <c r="B119" i="31"/>
  <c r="B131" i="31"/>
  <c r="B146" i="31"/>
  <c r="N22" i="31"/>
  <c r="I147" i="31"/>
  <c r="F146" i="31"/>
  <c r="G145" i="31"/>
  <c r="J144" i="31"/>
  <c r="H143" i="31"/>
  <c r="H140" i="31"/>
  <c r="D139" i="31"/>
  <c r="I138" i="31"/>
  <c r="I137" i="31"/>
  <c r="I135" i="31"/>
  <c r="D134" i="31"/>
  <c r="J133" i="31"/>
  <c r="E132" i="31"/>
  <c r="N131" i="31"/>
  <c r="O130" i="31"/>
  <c r="O129" i="31"/>
  <c r="I128" i="31"/>
  <c r="G127" i="31"/>
  <c r="K126" i="31"/>
  <c r="I125" i="31"/>
  <c r="K124" i="31"/>
  <c r="J44" i="31"/>
  <c r="L80" i="10" s="1"/>
  <c r="L37" i="10" s="1"/>
  <c r="D44" i="31"/>
  <c r="L44" i="31"/>
  <c r="N80" i="10" s="1"/>
  <c r="N37" i="10" s="1"/>
  <c r="E141" i="31"/>
  <c r="D142" i="31"/>
  <c r="B20" i="31"/>
  <c r="E136" i="31"/>
  <c r="H57" i="33"/>
  <c r="K60" i="33"/>
  <c r="L59" i="33"/>
  <c r="M58" i="33"/>
  <c r="M56" i="33"/>
  <c r="N55" i="33"/>
  <c r="O54" i="33"/>
  <c r="O53" i="33"/>
  <c r="O52" i="33"/>
  <c r="F51" i="33"/>
  <c r="E50" i="33"/>
  <c r="E49" i="33" s="1"/>
  <c r="G22" i="20" s="1"/>
  <c r="G22" i="21" s="1"/>
  <c r="X255" i="29" s="1"/>
  <c r="D14" i="33"/>
  <c r="F16" i="20" s="1"/>
  <c r="E8" i="33"/>
  <c r="K23" i="33"/>
  <c r="G23" i="33"/>
  <c r="D29" i="33"/>
  <c r="D28" i="33"/>
  <c r="D27" i="33"/>
  <c r="D26" i="33"/>
  <c r="E25" i="33"/>
  <c r="E24" i="33"/>
  <c r="K44" i="33"/>
  <c r="K19" i="12" s="1"/>
  <c r="L19" i="13" s="1"/>
  <c r="AD120" i="29" s="1"/>
  <c r="E44" i="33"/>
  <c r="E19" i="12" s="1"/>
  <c r="F19" i="13" s="1"/>
  <c r="X120" i="29" s="1"/>
  <c r="M41" i="33"/>
  <c r="K38" i="33"/>
  <c r="K13" i="12" s="1"/>
  <c r="L13" i="13" s="1"/>
  <c r="AD114" i="29" s="1"/>
  <c r="O37" i="33"/>
  <c r="O12" i="12" s="1"/>
  <c r="P12" i="13" s="1"/>
  <c r="AH113" i="29" s="1"/>
  <c r="G36" i="33"/>
  <c r="G11" i="12" s="1"/>
  <c r="H11" i="13" s="1"/>
  <c r="Z112" i="29" s="1"/>
  <c r="H35" i="33"/>
  <c r="H10" i="12" s="1"/>
  <c r="I10" i="13" s="1"/>
  <c r="AA111" i="29" s="1"/>
  <c r="I34" i="33"/>
  <c r="I9" i="12" s="1"/>
  <c r="J9" i="13" s="1"/>
  <c r="AB110" i="29" s="1"/>
  <c r="N33" i="33"/>
  <c r="B36" i="31"/>
  <c r="B48" i="31"/>
  <c r="B60" i="31"/>
  <c r="B72" i="31"/>
  <c r="B84" i="31"/>
  <c r="B96" i="31"/>
  <c r="B108" i="31"/>
  <c r="B120" i="31"/>
  <c r="B132" i="31"/>
  <c r="B147" i="31"/>
  <c r="O22" i="31"/>
  <c r="J147" i="31"/>
  <c r="G146" i="31"/>
  <c r="F145" i="31"/>
  <c r="K144" i="31"/>
  <c r="F142" i="31"/>
  <c r="F136" i="31"/>
  <c r="E57" i="33"/>
  <c r="E55" i="33"/>
  <c r="F52" i="33"/>
  <c r="D9" i="33"/>
  <c r="O22" i="33"/>
  <c r="G27" i="33"/>
  <c r="H24" i="33"/>
  <c r="G44" i="33"/>
  <c r="G19" i="12" s="1"/>
  <c r="H19" i="13" s="1"/>
  <c r="Z120" i="29" s="1"/>
  <c r="O41" i="33"/>
  <c r="M38" i="33"/>
  <c r="M13" i="12" s="1"/>
  <c r="N13" i="13" s="1"/>
  <c r="AF114" i="29" s="1"/>
  <c r="E35" i="33"/>
  <c r="E10" i="12" s="1"/>
  <c r="F10" i="13" s="1"/>
  <c r="X111" i="29" s="1"/>
  <c r="L34" i="33"/>
  <c r="L9" i="12" s="1"/>
  <c r="M9" i="13" s="1"/>
  <c r="AE110" i="29" s="1"/>
  <c r="B61" i="31"/>
  <c r="B97" i="31"/>
  <c r="B129" i="31"/>
  <c r="H146" i="31"/>
  <c r="L144" i="31"/>
  <c r="F140" i="31"/>
  <c r="O138" i="31"/>
  <c r="F137" i="31"/>
  <c r="E134" i="31"/>
  <c r="G131" i="31"/>
  <c r="N129" i="31"/>
  <c r="J128" i="31"/>
  <c r="D127" i="31"/>
  <c r="M125" i="31"/>
  <c r="H124" i="31"/>
  <c r="K123" i="31"/>
  <c r="D122" i="31"/>
  <c r="E121" i="31"/>
  <c r="M120" i="31"/>
  <c r="N119" i="31"/>
  <c r="I118" i="31"/>
  <c r="H117" i="31"/>
  <c r="G116" i="31"/>
  <c r="J115" i="31"/>
  <c r="K114" i="31"/>
  <c r="E113" i="31"/>
  <c r="D112" i="31"/>
  <c r="O111" i="31"/>
  <c r="F110" i="31"/>
  <c r="I109" i="31"/>
  <c r="I108" i="31"/>
  <c r="J107" i="31"/>
  <c r="K106" i="31"/>
  <c r="N105" i="31"/>
  <c r="O104" i="31"/>
  <c r="I103" i="31"/>
  <c r="I102" i="31"/>
  <c r="J101" i="31"/>
  <c r="J100" i="31"/>
  <c r="L99" i="31"/>
  <c r="M98" i="31"/>
  <c r="N97" i="31"/>
  <c r="O96" i="31"/>
  <c r="O95" i="31"/>
  <c r="J94" i="31"/>
  <c r="D93" i="31"/>
  <c r="G142" i="31"/>
  <c r="G136" i="31"/>
  <c r="I57" i="33"/>
  <c r="L58" i="33"/>
  <c r="N54" i="33"/>
  <c r="O51" i="33"/>
  <c r="N22" i="33"/>
  <c r="O29" i="33"/>
  <c r="Q29" i="33" s="1"/>
  <c r="S29" i="33" s="1"/>
  <c r="O26" i="33"/>
  <c r="Q26" i="33" s="1"/>
  <c r="S26" i="33" s="1"/>
  <c r="D24" i="33"/>
  <c r="D44" i="33"/>
  <c r="L41" i="33"/>
  <c r="D37" i="33"/>
  <c r="B62" i="31"/>
  <c r="B98" i="31"/>
  <c r="B133" i="31"/>
  <c r="O147" i="31"/>
  <c r="I146" i="31"/>
  <c r="M144" i="31"/>
  <c r="I140" i="31"/>
  <c r="M138" i="31"/>
  <c r="E137" i="31"/>
  <c r="F134" i="31"/>
  <c r="O132" i="31"/>
  <c r="I131" i="31"/>
  <c r="M129" i="31"/>
  <c r="E128" i="31"/>
  <c r="O126" i="31"/>
  <c r="K125" i="31"/>
  <c r="G124" i="31"/>
  <c r="L123" i="31"/>
  <c r="E122" i="31"/>
  <c r="F121" i="31"/>
  <c r="D120" i="31"/>
  <c r="M119" i="31"/>
  <c r="J118" i="31"/>
  <c r="I117" i="31"/>
  <c r="H116" i="31"/>
  <c r="K115" i="31"/>
  <c r="J114" i="31"/>
  <c r="F113" i="31"/>
  <c r="E112" i="31"/>
  <c r="N111" i="31"/>
  <c r="E110" i="31"/>
  <c r="J109" i="31"/>
  <c r="D108" i="31"/>
  <c r="I107" i="31"/>
  <c r="D106" i="31"/>
  <c r="M105" i="31"/>
  <c r="D104" i="31"/>
  <c r="O103" i="31"/>
  <c r="J102" i="31"/>
  <c r="K101" i="31"/>
  <c r="I100" i="31"/>
  <c r="K99" i="31"/>
  <c r="L98" i="31"/>
  <c r="M97" i="31"/>
  <c r="N96" i="31"/>
  <c r="N95" i="31"/>
  <c r="O94" i="31"/>
  <c r="E93" i="31"/>
  <c r="M142" i="31"/>
  <c r="H136" i="31"/>
  <c r="J57" i="33"/>
  <c r="K58" i="33"/>
  <c r="M54" i="33"/>
  <c r="N51" i="33"/>
  <c r="N23" i="33"/>
  <c r="N29" i="33"/>
  <c r="N26" i="33"/>
  <c r="D23" i="33"/>
  <c r="O43" i="33"/>
  <c r="O18" i="12" s="1"/>
  <c r="P18" i="13" s="1"/>
  <c r="AH119" i="29" s="1"/>
  <c r="K41" i="33"/>
  <c r="J38" i="33"/>
  <c r="J13" i="12" s="1"/>
  <c r="K13" i="13" s="1"/>
  <c r="AC114" i="29" s="1"/>
  <c r="H34" i="33"/>
  <c r="H9" i="12" s="1"/>
  <c r="I9" i="13" s="1"/>
  <c r="AA110" i="29" s="1"/>
  <c r="B27" i="31"/>
  <c r="B63" i="31"/>
  <c r="B99" i="31"/>
  <c r="B134" i="31"/>
  <c r="N147" i="31"/>
  <c r="O145" i="31"/>
  <c r="J140" i="31"/>
  <c r="K138" i="31"/>
  <c r="O135" i="31"/>
  <c r="G134" i="31"/>
  <c r="F132" i="31"/>
  <c r="K131" i="31"/>
  <c r="L129" i="31"/>
  <c r="G128" i="31"/>
  <c r="E126" i="31"/>
  <c r="H125" i="31"/>
  <c r="E124" i="31"/>
  <c r="M123" i="31"/>
  <c r="F122" i="31"/>
  <c r="G121" i="31"/>
  <c r="E120" i="31"/>
  <c r="L119" i="31"/>
  <c r="O118" i="31"/>
  <c r="O117" i="31"/>
  <c r="I116" i="31"/>
  <c r="L115" i="31"/>
  <c r="I114" i="31"/>
  <c r="G113" i="31"/>
  <c r="F112" i="31"/>
  <c r="M111" i="31"/>
  <c r="D110" i="31"/>
  <c r="K109" i="31"/>
  <c r="E108" i="31"/>
  <c r="D107" i="31"/>
  <c r="E106" i="31"/>
  <c r="L105" i="31"/>
  <c r="E104" i="31"/>
  <c r="N103" i="31"/>
  <c r="K102" i="31"/>
  <c r="L101" i="31"/>
  <c r="H100" i="31"/>
  <c r="J99" i="31"/>
  <c r="D98" i="31"/>
  <c r="L97" i="31"/>
  <c r="M96" i="31"/>
  <c r="M95" i="31"/>
  <c r="N94" i="31"/>
  <c r="O93" i="31"/>
  <c r="H92" i="31"/>
  <c r="I91" i="31"/>
  <c r="L90" i="31"/>
  <c r="H89" i="31"/>
  <c r="L88" i="31"/>
  <c r="O87" i="31"/>
  <c r="O86" i="31"/>
  <c r="F85" i="31"/>
  <c r="G84" i="31"/>
  <c r="I83" i="31"/>
  <c r="I44" i="31"/>
  <c r="K80" i="10" s="1"/>
  <c r="K37" i="10" s="1"/>
  <c r="H8" i="31"/>
  <c r="B9" i="31"/>
  <c r="N136" i="31"/>
  <c r="K57" i="33"/>
  <c r="J58" i="33"/>
  <c r="L54" i="33"/>
  <c r="M51" i="33"/>
  <c r="M22" i="33"/>
  <c r="M21" i="33" s="1"/>
  <c r="M30" i="33" s="1"/>
  <c r="M29" i="33"/>
  <c r="M26" i="33"/>
  <c r="D22" i="33"/>
  <c r="D21" i="33" s="1"/>
  <c r="D30" i="33" s="1"/>
  <c r="N43" i="33"/>
  <c r="N18" i="12" s="1"/>
  <c r="O18" i="13" s="1"/>
  <c r="AG119" i="29" s="1"/>
  <c r="I38" i="33"/>
  <c r="I13" i="12" s="1"/>
  <c r="J13" i="13" s="1"/>
  <c r="AB114" i="29" s="1"/>
  <c r="O36" i="33"/>
  <c r="O11" i="12" s="1"/>
  <c r="P11" i="13" s="1"/>
  <c r="AH112" i="29" s="1"/>
  <c r="G34" i="33"/>
  <c r="G9" i="12" s="1"/>
  <c r="H9" i="13" s="1"/>
  <c r="Z110" i="29" s="1"/>
  <c r="B33" i="31"/>
  <c r="B69" i="31"/>
  <c r="B105" i="31"/>
  <c r="B135" i="31"/>
  <c r="L147" i="31"/>
  <c r="M145" i="31"/>
  <c r="N143" i="31"/>
  <c r="K140" i="31"/>
  <c r="H138" i="31"/>
  <c r="M135" i="31"/>
  <c r="H134" i="31"/>
  <c r="G132" i="31"/>
  <c r="M131" i="31"/>
  <c r="D129" i="31"/>
  <c r="G126" i="31"/>
  <c r="G125" i="31"/>
  <c r="F124" i="31"/>
  <c r="N123" i="31"/>
  <c r="G122" i="31"/>
  <c r="H121" i="31"/>
  <c r="F120" i="31"/>
  <c r="D119" i="31"/>
  <c r="N118" i="31"/>
  <c r="N117" i="31"/>
  <c r="J116" i="31"/>
  <c r="M115" i="31"/>
  <c r="H114" i="31"/>
  <c r="H113" i="31"/>
  <c r="G112" i="31"/>
  <c r="L111" i="31"/>
  <c r="O110" i="31"/>
  <c r="L109" i="31"/>
  <c r="F108" i="31"/>
  <c r="E107" i="31"/>
  <c r="F106" i="31"/>
  <c r="K105" i="31"/>
  <c r="F104" i="31"/>
  <c r="M103" i="31"/>
  <c r="O102" i="31"/>
  <c r="M101" i="31"/>
  <c r="G100" i="31"/>
  <c r="I99" i="31"/>
  <c r="E98" i="31"/>
  <c r="K97" i="31"/>
  <c r="L96" i="31"/>
  <c r="L95" i="31"/>
  <c r="M94" i="31"/>
  <c r="N93" i="31"/>
  <c r="O92" i="31"/>
  <c r="J91" i="31"/>
  <c r="M90" i="31"/>
  <c r="I89" i="31"/>
  <c r="K88" i="31"/>
  <c r="N87" i="31"/>
  <c r="N86" i="31"/>
  <c r="E85" i="31"/>
  <c r="H84" i="31"/>
  <c r="D83" i="31"/>
  <c r="K82" i="31"/>
  <c r="N81" i="31"/>
  <c r="H80" i="31"/>
  <c r="M79" i="31"/>
  <c r="F78" i="31"/>
  <c r="H77" i="31"/>
  <c r="B10" i="31"/>
  <c r="N60" i="33"/>
  <c r="D58" i="33"/>
  <c r="Q58" i="33" s="1"/>
  <c r="S58" i="33" s="1"/>
  <c r="F54" i="33"/>
  <c r="G51" i="33"/>
  <c r="G29" i="33"/>
  <c r="G26" i="33"/>
  <c r="K45" i="33"/>
  <c r="K20" i="12" s="1"/>
  <c r="L20" i="13" s="1"/>
  <c r="AD121" i="29" s="1"/>
  <c r="J36" i="33"/>
  <c r="J11" i="12" s="1"/>
  <c r="K11" i="13" s="1"/>
  <c r="AC112" i="29" s="1"/>
  <c r="B37" i="31"/>
  <c r="B73" i="31"/>
  <c r="B109" i="31"/>
  <c r="B138" i="31"/>
  <c r="E147" i="31"/>
  <c r="K145" i="31"/>
  <c r="L143" i="31"/>
  <c r="L140" i="31"/>
  <c r="G138" i="31"/>
  <c r="K135" i="31"/>
  <c r="H132" i="31"/>
  <c r="F129" i="31"/>
  <c r="I126" i="31"/>
  <c r="F125" i="31"/>
  <c r="H122" i="31"/>
  <c r="I121" i="31"/>
  <c r="G120" i="31"/>
  <c r="E119" i="31"/>
  <c r="M118" i="31"/>
  <c r="M117" i="31"/>
  <c r="O116" i="31"/>
  <c r="N115" i="31"/>
  <c r="D114" i="31"/>
  <c r="I113" i="31"/>
  <c r="H112" i="31"/>
  <c r="K111" i="31"/>
  <c r="N110" i="31"/>
  <c r="O109" i="31"/>
  <c r="G108" i="31"/>
  <c r="F107" i="31"/>
  <c r="F141" i="31"/>
  <c r="B17" i="31"/>
  <c r="I60" i="33"/>
  <c r="K56" i="33"/>
  <c r="M53" i="33"/>
  <c r="O50" i="33"/>
  <c r="N28" i="33"/>
  <c r="G43" i="33"/>
  <c r="G18" i="12" s="1"/>
  <c r="H18" i="13" s="1"/>
  <c r="Z119" i="29" s="1"/>
  <c r="M37" i="33"/>
  <c r="M12" i="12" s="1"/>
  <c r="N12" i="13" s="1"/>
  <c r="AF113" i="29" s="1"/>
  <c r="D36" i="33"/>
  <c r="L33" i="33"/>
  <c r="B39" i="31"/>
  <c r="B75" i="31"/>
  <c r="B111" i="31"/>
  <c r="D22" i="31"/>
  <c r="K147" i="31"/>
  <c r="E145" i="31"/>
  <c r="G143" i="31"/>
  <c r="M139" i="31"/>
  <c r="E138" i="31"/>
  <c r="G135" i="31"/>
  <c r="L133" i="31"/>
  <c r="K132" i="31"/>
  <c r="M130" i="31"/>
  <c r="J129" i="31"/>
  <c r="O127" i="31"/>
  <c r="M126" i="31"/>
  <c r="E123" i="31"/>
  <c r="O122" i="31"/>
  <c r="K121" i="31"/>
  <c r="I120" i="31"/>
  <c r="G119" i="31"/>
  <c r="K118" i="31"/>
  <c r="K117" i="31"/>
  <c r="M116" i="31"/>
  <c r="D115" i="31"/>
  <c r="F114" i="31"/>
  <c r="K113" i="31"/>
  <c r="J112" i="31"/>
  <c r="I111" i="31"/>
  <c r="L110" i="31"/>
  <c r="M109" i="31"/>
  <c r="O108" i="31"/>
  <c r="H107" i="31"/>
  <c r="I106" i="31"/>
  <c r="H105" i="31"/>
  <c r="I104" i="31"/>
  <c r="J103" i="31"/>
  <c r="L102" i="31"/>
  <c r="D101" i="31"/>
  <c r="F100" i="31"/>
  <c r="F99" i="31"/>
  <c r="H98" i="31"/>
  <c r="H97" i="31"/>
  <c r="I96" i="31"/>
  <c r="D95" i="31"/>
  <c r="D94" i="31"/>
  <c r="K93" i="31"/>
  <c r="L92" i="31"/>
  <c r="M91" i="31"/>
  <c r="D90" i="31"/>
  <c r="L89" i="31"/>
  <c r="D88" i="31"/>
  <c r="K87" i="31"/>
  <c r="K86" i="31"/>
  <c r="N85" i="31"/>
  <c r="O84" i="31"/>
  <c r="G83" i="31"/>
  <c r="E82" i="31"/>
  <c r="K81" i="31"/>
  <c r="M80" i="31"/>
  <c r="D79" i="31"/>
  <c r="O78" i="31"/>
  <c r="B22" i="31"/>
  <c r="J60" i="33"/>
  <c r="N53" i="33"/>
  <c r="H22" i="33"/>
  <c r="H25" i="33"/>
  <c r="M42" i="33"/>
  <c r="M17" i="12" s="1"/>
  <c r="N17" i="13" s="1"/>
  <c r="AF118" i="29" s="1"/>
  <c r="D33" i="33"/>
  <c r="B74" i="31"/>
  <c r="B144" i="31"/>
  <c r="D146" i="31"/>
  <c r="N140" i="31"/>
  <c r="H137" i="31"/>
  <c r="F133" i="31"/>
  <c r="L130" i="31"/>
  <c r="D125" i="31"/>
  <c r="J123" i="31"/>
  <c r="D121" i="31"/>
  <c r="O119" i="31"/>
  <c r="G118" i="31"/>
  <c r="D116" i="31"/>
  <c r="L113" i="31"/>
  <c r="H111" i="31"/>
  <c r="J108" i="31"/>
  <c r="L106" i="31"/>
  <c r="E105" i="31"/>
  <c r="K103" i="31"/>
  <c r="G102" i="31"/>
  <c r="O100" i="31"/>
  <c r="D99" i="31"/>
  <c r="G96" i="31"/>
  <c r="L94" i="31"/>
  <c r="H93" i="31"/>
  <c r="G92" i="31"/>
  <c r="O90" i="31"/>
  <c r="O89" i="31"/>
  <c r="O88" i="31"/>
  <c r="M87" i="31"/>
  <c r="D86" i="31"/>
  <c r="J85" i="31"/>
  <c r="F84" i="31"/>
  <c r="H83" i="31"/>
  <c r="H82" i="31"/>
  <c r="H81" i="31"/>
  <c r="E80" i="31"/>
  <c r="L79" i="31"/>
  <c r="H78" i="31"/>
  <c r="F77" i="31"/>
  <c r="M76" i="31"/>
  <c r="I75" i="31"/>
  <c r="J74" i="31"/>
  <c r="G73" i="31"/>
  <c r="J72" i="31"/>
  <c r="L71" i="31"/>
  <c r="M70" i="31"/>
  <c r="O69" i="31"/>
  <c r="E68" i="31"/>
  <c r="G67" i="31"/>
  <c r="G66" i="31"/>
  <c r="I65" i="31"/>
  <c r="D64" i="31"/>
  <c r="M63" i="31"/>
  <c r="O62" i="31"/>
  <c r="B23" i="31"/>
  <c r="H60" i="33"/>
  <c r="L53" i="33"/>
  <c r="D25" i="33"/>
  <c r="I42" i="33"/>
  <c r="I17" i="12" s="1"/>
  <c r="J17" i="13" s="1"/>
  <c r="AB118" i="29" s="1"/>
  <c r="F37" i="33"/>
  <c r="F12" i="12" s="1"/>
  <c r="G12" i="13" s="1"/>
  <c r="Y113" i="29" s="1"/>
  <c r="B81" i="31"/>
  <c r="E22" i="31"/>
  <c r="I145" i="31"/>
  <c r="D140" i="31"/>
  <c r="G137" i="31"/>
  <c r="G133" i="31"/>
  <c r="K130" i="31"/>
  <c r="M127" i="31"/>
  <c r="J121" i="31"/>
  <c r="F119" i="31"/>
  <c r="H118" i="31"/>
  <c r="E116" i="31"/>
  <c r="O114" i="31"/>
  <c r="M113" i="31"/>
  <c r="G111" i="31"/>
  <c r="N109" i="31"/>
  <c r="H108" i="31"/>
  <c r="G106" i="31"/>
  <c r="D105" i="31"/>
  <c r="D103" i="31"/>
  <c r="H102" i="31"/>
  <c r="N100" i="31"/>
  <c r="E99" i="31"/>
  <c r="O97" i="31"/>
  <c r="F96" i="31"/>
  <c r="K94" i="31"/>
  <c r="G93" i="31"/>
  <c r="E90" i="31"/>
  <c r="N89" i="31"/>
  <c r="N88" i="31"/>
  <c r="L87" i="31"/>
  <c r="E86" i="31"/>
  <c r="I85" i="31"/>
  <c r="I84" i="31"/>
  <c r="I82" i="31"/>
  <c r="I81" i="31"/>
  <c r="F80" i="31"/>
  <c r="N79" i="31"/>
  <c r="G77" i="31"/>
  <c r="N76" i="31"/>
  <c r="B142" i="31"/>
  <c r="O59" i="33"/>
  <c r="F53" i="33"/>
  <c r="O24" i="33"/>
  <c r="Q24" i="33" s="1"/>
  <c r="S24" i="33" s="1"/>
  <c r="G42" i="33"/>
  <c r="G17" i="12" s="1"/>
  <c r="H17" i="13" s="1"/>
  <c r="Z118" i="29" s="1"/>
  <c r="B85" i="31"/>
  <c r="F22" i="31"/>
  <c r="D145" i="31"/>
  <c r="Q145" i="31" s="1"/>
  <c r="S145" i="31" s="1"/>
  <c r="O139" i="31"/>
  <c r="H135" i="31"/>
  <c r="I133" i="31"/>
  <c r="I130" i="31"/>
  <c r="K127" i="31"/>
  <c r="O124" i="31"/>
  <c r="N122" i="31"/>
  <c r="L121" i="31"/>
  <c r="H119" i="31"/>
  <c r="L117" i="31"/>
  <c r="F116" i="31"/>
  <c r="N114" i="31"/>
  <c r="D111" i="31"/>
  <c r="D109" i="31"/>
  <c r="O107" i="31"/>
  <c r="H106" i="31"/>
  <c r="E103" i="31"/>
  <c r="M100" i="31"/>
  <c r="G99" i="31"/>
  <c r="J97" i="31"/>
  <c r="E96" i="31"/>
  <c r="E94" i="31"/>
  <c r="F93" i="31"/>
  <c r="O91" i="31"/>
  <c r="F90" i="31"/>
  <c r="D89" i="31"/>
  <c r="M88" i="31"/>
  <c r="J87" i="31"/>
  <c r="F86" i="31"/>
  <c r="H85" i="31"/>
  <c r="J84" i="31"/>
  <c r="J81" i="31"/>
  <c r="G80" i="31"/>
  <c r="O76" i="31"/>
  <c r="K75" i="31"/>
  <c r="L74" i="31"/>
  <c r="I73" i="31"/>
  <c r="H72" i="31"/>
  <c r="D71" i="31"/>
  <c r="K70" i="31"/>
  <c r="E69" i="31"/>
  <c r="O68" i="31"/>
  <c r="O67" i="31"/>
  <c r="E66" i="31"/>
  <c r="K65" i="31"/>
  <c r="F64" i="31"/>
  <c r="K63" i="31"/>
  <c r="M62" i="31"/>
  <c r="J61" i="31"/>
  <c r="F44" i="31"/>
  <c r="H80" i="10" s="1"/>
  <c r="H37" i="10" s="1"/>
  <c r="K59" i="33"/>
  <c r="N52" i="33"/>
  <c r="F22" i="33"/>
  <c r="N24" i="33"/>
  <c r="F42" i="33"/>
  <c r="F17" i="12" s="1"/>
  <c r="G17" i="13" s="1"/>
  <c r="Y118" i="29" s="1"/>
  <c r="E37" i="33"/>
  <c r="E12" i="12" s="1"/>
  <c r="F12" i="13" s="1"/>
  <c r="X113" i="29" s="1"/>
  <c r="B86" i="31"/>
  <c r="H22" i="31"/>
  <c r="O144" i="31"/>
  <c r="K139" i="31"/>
  <c r="F135" i="31"/>
  <c r="G130" i="31"/>
  <c r="I127" i="31"/>
  <c r="M124" i="31"/>
  <c r="M122" i="31"/>
  <c r="M121" i="31"/>
  <c r="I119" i="31"/>
  <c r="J117" i="31"/>
  <c r="M114" i="31"/>
  <c r="O112" i="31"/>
  <c r="E111" i="31"/>
  <c r="E109" i="31"/>
  <c r="N107" i="31"/>
  <c r="J106" i="31"/>
  <c r="G104" i="31"/>
  <c r="F103" i="31"/>
  <c r="O101" i="31"/>
  <c r="L100" i="31"/>
  <c r="H99" i="31"/>
  <c r="I97" i="31"/>
  <c r="D96" i="31"/>
  <c r="F94" i="31"/>
  <c r="N91" i="31"/>
  <c r="G90" i="31"/>
  <c r="E89" i="31"/>
  <c r="J88" i="31"/>
  <c r="I87" i="31"/>
  <c r="G86" i="31"/>
  <c r="G85" i="31"/>
  <c r="N78" i="31"/>
  <c r="O77" i="31"/>
  <c r="D76" i="31"/>
  <c r="O75" i="31"/>
  <c r="M74" i="31"/>
  <c r="J73" i="31"/>
  <c r="G72" i="31"/>
  <c r="E71" i="31"/>
  <c r="D70" i="31"/>
  <c r="F69" i="31"/>
  <c r="N68" i="31"/>
  <c r="N67" i="31"/>
  <c r="F66" i="31"/>
  <c r="L65" i="31"/>
  <c r="G64" i="31"/>
  <c r="J63" i="31"/>
  <c r="L62" i="31"/>
  <c r="O61" i="31"/>
  <c r="D60" i="31"/>
  <c r="I59" i="31"/>
  <c r="I56" i="31"/>
  <c r="J57" i="31"/>
  <c r="L55" i="31"/>
  <c r="E55" i="31"/>
  <c r="L54" i="31"/>
  <c r="I53" i="31"/>
  <c r="K52" i="31"/>
  <c r="E51" i="31"/>
  <c r="M50" i="31"/>
  <c r="E49" i="31"/>
  <c r="J48" i="31"/>
  <c r="H47" i="31"/>
  <c r="E45" i="31"/>
  <c r="N43" i="31"/>
  <c r="O42" i="31"/>
  <c r="J59" i="33"/>
  <c r="M52" i="33"/>
  <c r="D12" i="33"/>
  <c r="O28" i="33"/>
  <c r="Q28" i="33" s="1"/>
  <c r="S28" i="33" s="1"/>
  <c r="H45" i="33"/>
  <c r="H20" i="12" s="1"/>
  <c r="I20" i="13" s="1"/>
  <c r="AA121" i="29" s="1"/>
  <c r="F36" i="33"/>
  <c r="F11" i="12" s="1"/>
  <c r="G11" i="13" s="1"/>
  <c r="Y112" i="29" s="1"/>
  <c r="B87" i="31"/>
  <c r="J22" i="31"/>
  <c r="D144" i="31"/>
  <c r="E139" i="31"/>
  <c r="E135" i="31"/>
  <c r="I132" i="31"/>
  <c r="E130" i="31"/>
  <c r="F127" i="31"/>
  <c r="J124" i="31"/>
  <c r="L122" i="31"/>
  <c r="J119" i="31"/>
  <c r="D117" i="31"/>
  <c r="O115" i="31"/>
  <c r="L114" i="31"/>
  <c r="N112" i="31"/>
  <c r="F111" i="31"/>
  <c r="F109" i="31"/>
  <c r="M107" i="31"/>
  <c r="H104" i="31"/>
  <c r="G103" i="31"/>
  <c r="N101" i="31"/>
  <c r="K100" i="31"/>
  <c r="G97" i="31"/>
  <c r="K95" i="31"/>
  <c r="G94" i="31"/>
  <c r="N92" i="31"/>
  <c r="L91" i="31"/>
  <c r="H90" i="31"/>
  <c r="F89" i="31"/>
  <c r="I88" i="31"/>
  <c r="H87" i="31"/>
  <c r="H86" i="31"/>
  <c r="D85" i="31"/>
  <c r="O83" i="31"/>
  <c r="O82" i="31"/>
  <c r="O79" i="31"/>
  <c r="M78" i="31"/>
  <c r="N77" i="31"/>
  <c r="E76" i="31"/>
  <c r="G141" i="31"/>
  <c r="I59" i="33"/>
  <c r="L52" i="33"/>
  <c r="M28" i="33"/>
  <c r="G45" i="33"/>
  <c r="G20" i="12" s="1"/>
  <c r="H20" i="13" s="1"/>
  <c r="Z121" i="29" s="1"/>
  <c r="O35" i="33"/>
  <c r="O10" i="12" s="1"/>
  <c r="P10" i="13" s="1"/>
  <c r="AH111" i="29" s="1"/>
  <c r="B93" i="31"/>
  <c r="L22" i="31"/>
  <c r="F144" i="31"/>
  <c r="F139" i="31"/>
  <c r="O134" i="31"/>
  <c r="M132" i="31"/>
  <c r="H129" i="31"/>
  <c r="E127" i="31"/>
  <c r="I124" i="31"/>
  <c r="K122" i="31"/>
  <c r="O120" i="31"/>
  <c r="K119" i="31"/>
  <c r="E117" i="31"/>
  <c r="E115" i="31"/>
  <c r="E114" i="31"/>
  <c r="I112" i="31"/>
  <c r="G109" i="31"/>
  <c r="L107" i="31"/>
  <c r="J104" i="31"/>
  <c r="H103" i="31"/>
  <c r="E101" i="31"/>
  <c r="D100" i="31"/>
  <c r="O98" i="31"/>
  <c r="F97" i="31"/>
  <c r="J95" i="31"/>
  <c r="H94" i="31"/>
  <c r="M92" i="31"/>
  <c r="K91" i="31"/>
  <c r="I90" i="31"/>
  <c r="O8" i="31"/>
  <c r="H141" i="31"/>
  <c r="L56" i="33"/>
  <c r="G28" i="33"/>
  <c r="J39" i="33"/>
  <c r="J14" i="12" s="1"/>
  <c r="K14" i="13" s="1"/>
  <c r="AC115" i="29" s="1"/>
  <c r="J35" i="33"/>
  <c r="J10" i="12" s="1"/>
  <c r="K10" i="13" s="1"/>
  <c r="AC111" i="29" s="1"/>
  <c r="B38" i="31"/>
  <c r="B110" i="31"/>
  <c r="H144" i="31"/>
  <c r="G139" i="31"/>
  <c r="M134" i="31"/>
  <c r="L126" i="31"/>
  <c r="J122" i="31"/>
  <c r="N120" i="31"/>
  <c r="F117" i="31"/>
  <c r="F115" i="31"/>
  <c r="G114" i="31"/>
  <c r="K112" i="31"/>
  <c r="M110" i="31"/>
  <c r="H109" i="31"/>
  <c r="K107" i="31"/>
  <c r="K104" i="31"/>
  <c r="F101" i="31"/>
  <c r="E100" i="31"/>
  <c r="N98" i="31"/>
  <c r="E97" i="31"/>
  <c r="E95" i="31"/>
  <c r="I94" i="31"/>
  <c r="K92" i="31"/>
  <c r="D91" i="31"/>
  <c r="J90" i="31"/>
  <c r="J89" i="31"/>
  <c r="F88" i="31"/>
  <c r="F87" i="31"/>
  <c r="N84" i="31"/>
  <c r="M83" i="31"/>
  <c r="M82" i="31"/>
  <c r="M81" i="31"/>
  <c r="N80" i="31"/>
  <c r="F79" i="31"/>
  <c r="K78" i="31"/>
  <c r="L77" i="31"/>
  <c r="G76" i="31"/>
  <c r="L75" i="31"/>
  <c r="D74" i="31"/>
  <c r="O73" i="31"/>
  <c r="E72" i="31"/>
  <c r="H71" i="31"/>
  <c r="G70" i="31"/>
  <c r="I69" i="31"/>
  <c r="K68" i="31"/>
  <c r="K67" i="31"/>
  <c r="M66" i="31"/>
  <c r="N141" i="31"/>
  <c r="J56" i="33"/>
  <c r="N50" i="33"/>
  <c r="N49" i="33" s="1"/>
  <c r="P22" i="20" s="1"/>
  <c r="P22" i="21" s="1"/>
  <c r="AG255" i="29" s="1"/>
  <c r="O27" i="33"/>
  <c r="Q27" i="33" s="1"/>
  <c r="S27" i="33" s="1"/>
  <c r="J44" i="33"/>
  <c r="J19" i="12" s="1"/>
  <c r="K19" i="13" s="1"/>
  <c r="AC120" i="29" s="1"/>
  <c r="G39" i="33"/>
  <c r="G14" i="12" s="1"/>
  <c r="H14" i="13" s="1"/>
  <c r="Z115" i="29" s="1"/>
  <c r="G35" i="33"/>
  <c r="G10" i="12" s="1"/>
  <c r="H10" i="13" s="1"/>
  <c r="Z111" i="29" s="1"/>
  <c r="B45" i="31"/>
  <c r="B117" i="31"/>
  <c r="G147" i="31"/>
  <c r="H139" i="31"/>
  <c r="K134" i="31"/>
  <c r="D131" i="31"/>
  <c r="O128" i="31"/>
  <c r="N126" i="31"/>
  <c r="D123" i="31"/>
  <c r="Q123" i="31" s="1"/>
  <c r="S123" i="31" s="1"/>
  <c r="I122" i="31"/>
  <c r="H120" i="31"/>
  <c r="G117" i="31"/>
  <c r="G115" i="31"/>
  <c r="L112" i="31"/>
  <c r="K110" i="31"/>
  <c r="G107" i="31"/>
  <c r="O105" i="31"/>
  <c r="L104" i="31"/>
  <c r="N102" i="31"/>
  <c r="G101" i="31"/>
  <c r="F98" i="31"/>
  <c r="D97" i="31"/>
  <c r="F95" i="31"/>
  <c r="J92" i="31"/>
  <c r="E91" i="31"/>
  <c r="K90" i="31"/>
  <c r="K89" i="31"/>
  <c r="G88" i="31"/>
  <c r="E87" i="31"/>
  <c r="M84" i="31"/>
  <c r="L83" i="31"/>
  <c r="L82" i="31"/>
  <c r="L81" i="31"/>
  <c r="L80" i="31"/>
  <c r="G79" i="31"/>
  <c r="J78" i="31"/>
  <c r="K77" i="31"/>
  <c r="H76" i="31"/>
  <c r="D75" i="31"/>
  <c r="E74" i="31"/>
  <c r="N73" i="31"/>
  <c r="O72" i="31"/>
  <c r="I71" i="31"/>
  <c r="H70" i="31"/>
  <c r="J69" i="31"/>
  <c r="J68" i="31"/>
  <c r="J67" i="31"/>
  <c r="L66" i="31"/>
  <c r="D65" i="31"/>
  <c r="K64" i="31"/>
  <c r="D63" i="31"/>
  <c r="G62" i="31"/>
  <c r="K61" i="31"/>
  <c r="L60" i="31"/>
  <c r="M59" i="31"/>
  <c r="N56" i="31"/>
  <c r="D58" i="31"/>
  <c r="F57" i="31"/>
  <c r="G55" i="31"/>
  <c r="D54" i="31"/>
  <c r="F53" i="31"/>
  <c r="G52" i="31"/>
  <c r="I51" i="31"/>
  <c r="I50" i="31"/>
  <c r="I49" i="31"/>
  <c r="M48" i="31"/>
  <c r="D47" i="31"/>
  <c r="L46" i="31"/>
  <c r="N81" i="10" s="1"/>
  <c r="N66" i="10" s="1"/>
  <c r="H46" i="31"/>
  <c r="J81" i="10" s="1"/>
  <c r="J66" i="10" s="1"/>
  <c r="B11" i="31"/>
  <c r="M55" i="33"/>
  <c r="B49" i="31"/>
  <c r="K146" i="31"/>
  <c r="D133" i="31"/>
  <c r="E118" i="31"/>
  <c r="O113" i="31"/>
  <c r="H110" i="31"/>
  <c r="D102" i="31"/>
  <c r="I95" i="31"/>
  <c r="I86" i="31"/>
  <c r="N83" i="31"/>
  <c r="O81" i="31"/>
  <c r="E79" i="31"/>
  <c r="M77" i="31"/>
  <c r="M75" i="31"/>
  <c r="K74" i="31"/>
  <c r="M72" i="31"/>
  <c r="G71" i="31"/>
  <c r="D69" i="31"/>
  <c r="G68" i="31"/>
  <c r="N66" i="31"/>
  <c r="H65" i="31"/>
  <c r="J64" i="31"/>
  <c r="M61" i="31"/>
  <c r="K60" i="31"/>
  <c r="D59" i="31"/>
  <c r="F56" i="31"/>
  <c r="N58" i="31"/>
  <c r="N24" i="12" s="1"/>
  <c r="O24" i="13" s="1"/>
  <c r="AG125" i="29" s="1"/>
  <c r="E57" i="31"/>
  <c r="I54" i="31"/>
  <c r="K53" i="31"/>
  <c r="J52" i="31"/>
  <c r="H51" i="31"/>
  <c r="G50" i="31"/>
  <c r="M49" i="31"/>
  <c r="H48" i="31"/>
  <c r="G47" i="31"/>
  <c r="O45" i="31"/>
  <c r="E43" i="31"/>
  <c r="L42" i="31"/>
  <c r="E41" i="31"/>
  <c r="F40" i="31"/>
  <c r="I39" i="31"/>
  <c r="J38" i="31"/>
  <c r="K37" i="31"/>
  <c r="M36" i="31"/>
  <c r="I35" i="31"/>
  <c r="L34" i="31"/>
  <c r="K33" i="31"/>
  <c r="I32" i="31"/>
  <c r="D31" i="31"/>
  <c r="L30" i="31"/>
  <c r="E29" i="31"/>
  <c r="N28" i="31"/>
  <c r="O27" i="31"/>
  <c r="E26" i="31"/>
  <c r="F25" i="31"/>
  <c r="I24" i="31"/>
  <c r="G23" i="31"/>
  <c r="E21" i="31"/>
  <c r="O20" i="31"/>
  <c r="O19" i="31"/>
  <c r="I18" i="31"/>
  <c r="H17" i="31"/>
  <c r="F16" i="31"/>
  <c r="L15" i="31"/>
  <c r="O14" i="31"/>
  <c r="I13" i="31"/>
  <c r="K9" i="20" s="1"/>
  <c r="K9" i="21" s="1"/>
  <c r="AB245" i="29" s="1"/>
  <c r="O12" i="31"/>
  <c r="K11" i="31"/>
  <c r="J10" i="31"/>
  <c r="H9" i="31"/>
  <c r="B21" i="31"/>
  <c r="L55" i="33"/>
  <c r="N37" i="33"/>
  <c r="N12" i="12" s="1"/>
  <c r="O12" i="13" s="1"/>
  <c r="AG113" i="29" s="1"/>
  <c r="B50" i="31"/>
  <c r="E133" i="31"/>
  <c r="F118" i="31"/>
  <c r="N113" i="31"/>
  <c r="G110" i="31"/>
  <c r="J105" i="31"/>
  <c r="E102" i="31"/>
  <c r="G98" i="31"/>
  <c r="F91" i="31"/>
  <c r="K83" i="31"/>
  <c r="D81" i="31"/>
  <c r="H79" i="31"/>
  <c r="J77" i="31"/>
  <c r="E75" i="31"/>
  <c r="N74" i="31"/>
  <c r="L72" i="31"/>
  <c r="J71" i="31"/>
  <c r="G69" i="31"/>
  <c r="F68" i="31"/>
  <c r="K66" i="31"/>
  <c r="J65" i="31"/>
  <c r="N62" i="31"/>
  <c r="L61" i="31"/>
  <c r="J60" i="31"/>
  <c r="E59" i="31"/>
  <c r="G56" i="31"/>
  <c r="M58" i="31"/>
  <c r="M24" i="12" s="1"/>
  <c r="N24" i="13" s="1"/>
  <c r="AF125" i="29" s="1"/>
  <c r="F58" i="31"/>
  <c r="F24" i="12" s="1"/>
  <c r="G24" i="13" s="1"/>
  <c r="Y125" i="29" s="1"/>
  <c r="D57" i="31"/>
  <c r="J54" i="31"/>
  <c r="J53" i="31"/>
  <c r="I52" i="31"/>
  <c r="J51" i="31"/>
  <c r="F50" i="31"/>
  <c r="N49" i="31"/>
  <c r="I48" i="31"/>
  <c r="F47" i="31"/>
  <c r="I46" i="31"/>
  <c r="K81" i="10" s="1"/>
  <c r="K66" i="10" s="1"/>
  <c r="N45" i="31"/>
  <c r="F43" i="31"/>
  <c r="M42" i="31"/>
  <c r="F41" i="31"/>
  <c r="D40" i="31"/>
  <c r="J39" i="31"/>
  <c r="I38" i="31"/>
  <c r="J37" i="31"/>
  <c r="L36" i="31"/>
  <c r="O35" i="31"/>
  <c r="K55" i="33"/>
  <c r="J22" i="33"/>
  <c r="J21" i="33" s="1"/>
  <c r="J30" i="33" s="1"/>
  <c r="L37" i="33"/>
  <c r="L12" i="12" s="1"/>
  <c r="M12" i="13" s="1"/>
  <c r="AE113" i="29" s="1"/>
  <c r="B51" i="31"/>
  <c r="J143" i="31"/>
  <c r="O121" i="31"/>
  <c r="D113" i="31"/>
  <c r="I105" i="31"/>
  <c r="F102" i="31"/>
  <c r="I98" i="31"/>
  <c r="G91" i="31"/>
  <c r="E88" i="31"/>
  <c r="O85" i="31"/>
  <c r="J83" i="31"/>
  <c r="E81" i="31"/>
  <c r="I79" i="31"/>
  <c r="I77" i="31"/>
  <c r="F75" i="31"/>
  <c r="K72" i="31"/>
  <c r="H69" i="31"/>
  <c r="D68" i="31"/>
  <c r="J66" i="31"/>
  <c r="M65" i="31"/>
  <c r="D62" i="31"/>
  <c r="D61" i="31"/>
  <c r="I60" i="31"/>
  <c r="F59" i="31"/>
  <c r="H56" i="31"/>
  <c r="O55" i="31"/>
  <c r="K54" i="31"/>
  <c r="H53" i="31"/>
  <c r="H52" i="31"/>
  <c r="K51" i="31"/>
  <c r="E50" i="31"/>
  <c r="K48" i="31"/>
  <c r="E47" i="31"/>
  <c r="M45" i="31"/>
  <c r="O41" i="31"/>
  <c r="E40" i="31"/>
  <c r="K39" i="31"/>
  <c r="H38" i="31"/>
  <c r="I37" i="31"/>
  <c r="K36" i="31"/>
  <c r="N35" i="31"/>
  <c r="N34" i="31"/>
  <c r="M33" i="31"/>
  <c r="G32" i="31"/>
  <c r="F31" i="31"/>
  <c r="J30" i="31"/>
  <c r="G29" i="31"/>
  <c r="L28" i="31"/>
  <c r="M27" i="31"/>
  <c r="O26" i="31"/>
  <c r="H25" i="31"/>
  <c r="K24" i="31"/>
  <c r="I23" i="31"/>
  <c r="G21" i="31"/>
  <c r="M20" i="31"/>
  <c r="M19" i="31"/>
  <c r="K18" i="31"/>
  <c r="F17" i="31"/>
  <c r="H16" i="31"/>
  <c r="J15" i="31"/>
  <c r="M14" i="31"/>
  <c r="H13" i="31"/>
  <c r="J9" i="20" s="1"/>
  <c r="J9" i="21" s="1"/>
  <c r="AA245" i="29" s="1"/>
  <c r="E12" i="31"/>
  <c r="N11" i="31"/>
  <c r="L10" i="31"/>
  <c r="J9" i="31"/>
  <c r="H50" i="33"/>
  <c r="N27" i="33"/>
  <c r="F35" i="33"/>
  <c r="F10" i="12" s="1"/>
  <c r="G10" i="13" s="1"/>
  <c r="Y111" i="29" s="1"/>
  <c r="B57" i="31"/>
  <c r="F143" i="31"/>
  <c r="O125" i="31"/>
  <c r="N121" i="31"/>
  <c r="N116" i="31"/>
  <c r="J113" i="31"/>
  <c r="G105" i="31"/>
  <c r="J98" i="31"/>
  <c r="M93" i="31"/>
  <c r="H91" i="31"/>
  <c r="H88" i="31"/>
  <c r="M85" i="31"/>
  <c r="E83" i="31"/>
  <c r="F81" i="31"/>
  <c r="J79" i="31"/>
  <c r="D77" i="31"/>
  <c r="G75" i="31"/>
  <c r="M73" i="31"/>
  <c r="I72" i="31"/>
  <c r="O70" i="31"/>
  <c r="K69" i="31"/>
  <c r="M67" i="31"/>
  <c r="I66" i="31"/>
  <c r="O63" i="31"/>
  <c r="E62" i="31"/>
  <c r="E61" i="31"/>
  <c r="H60" i="31"/>
  <c r="G59" i="31"/>
  <c r="J56" i="31"/>
  <c r="L58" i="31"/>
  <c r="L24" i="12" s="1"/>
  <c r="M24" i="13" s="1"/>
  <c r="AE125" i="29" s="1"/>
  <c r="E58" i="31"/>
  <c r="E24" i="12" s="1"/>
  <c r="F24" i="13" s="1"/>
  <c r="X125" i="29" s="1"/>
  <c r="M54" i="31"/>
  <c r="D53" i="31"/>
  <c r="F52" i="31"/>
  <c r="L51" i="31"/>
  <c r="D50" i="31"/>
  <c r="K46" i="31"/>
  <c r="M81" i="10" s="1"/>
  <c r="M66" i="10" s="1"/>
  <c r="L45" i="31"/>
  <c r="O43" i="31"/>
  <c r="N42" i="31"/>
  <c r="N41" i="31"/>
  <c r="O40" i="31"/>
  <c r="L39" i="31"/>
  <c r="D38" i="31"/>
  <c r="H37" i="31"/>
  <c r="D36" i="31"/>
  <c r="M35" i="31"/>
  <c r="O34" i="31"/>
  <c r="N33" i="31"/>
  <c r="F32" i="31"/>
  <c r="G31" i="31"/>
  <c r="I30" i="31"/>
  <c r="H29" i="31"/>
  <c r="K28" i="31"/>
  <c r="L27" i="31"/>
  <c r="N26" i="31"/>
  <c r="O25" i="31"/>
  <c r="L24" i="31"/>
  <c r="J23" i="31"/>
  <c r="H21" i="31"/>
  <c r="L20" i="31"/>
  <c r="D19" i="31"/>
  <c r="O18" i="31"/>
  <c r="E17" i="31"/>
  <c r="I16" i="31"/>
  <c r="D15" i="31"/>
  <c r="L14" i="31"/>
  <c r="N13" i="31"/>
  <c r="P9" i="20" s="1"/>
  <c r="P9" i="21" s="1"/>
  <c r="AG245" i="29" s="1"/>
  <c r="F12" i="31"/>
  <c r="M11" i="31"/>
  <c r="M10" i="31"/>
  <c r="D50" i="33"/>
  <c r="M27" i="33"/>
  <c r="B121" i="31"/>
  <c r="E143" i="31"/>
  <c r="E131" i="31"/>
  <c r="N125" i="31"/>
  <c r="L116" i="31"/>
  <c r="N108" i="31"/>
  <c r="F105" i="31"/>
  <c r="H101" i="31"/>
  <c r="K98" i="31"/>
  <c r="L93" i="31"/>
  <c r="L85" i="31"/>
  <c r="F83" i="31"/>
  <c r="G81" i="31"/>
  <c r="K79" i="31"/>
  <c r="E77" i="31"/>
  <c r="H75" i="31"/>
  <c r="D73" i="31"/>
  <c r="F72" i="31"/>
  <c r="N70" i="31"/>
  <c r="L69" i="31"/>
  <c r="L67" i="31"/>
  <c r="H66" i="31"/>
  <c r="N63" i="31"/>
  <c r="F62" i="31"/>
  <c r="F61" i="31"/>
  <c r="G60" i="31"/>
  <c r="H59" i="31"/>
  <c r="L56" i="31"/>
  <c r="K58" i="31"/>
  <c r="K24" i="12" s="1"/>
  <c r="L24" i="13" s="1"/>
  <c r="AD125" i="29" s="1"/>
  <c r="N55" i="31"/>
  <c r="N54" i="31"/>
  <c r="E53" i="31"/>
  <c r="E52" i="31"/>
  <c r="O49" i="31"/>
  <c r="O46" i="31"/>
  <c r="Q81" i="10" s="1"/>
  <c r="Q66" i="10" s="1"/>
  <c r="J46" i="31"/>
  <c r="L81" i="10" s="1"/>
  <c r="L66" i="10" s="1"/>
  <c r="D45" i="31"/>
  <c r="Q45" i="31" s="1"/>
  <c r="S45" i="31" s="1"/>
  <c r="M43" i="31"/>
  <c r="D42" i="31"/>
  <c r="M41" i="31"/>
  <c r="N40" i="31"/>
  <c r="M39" i="31"/>
  <c r="E38" i="31"/>
  <c r="G37" i="31"/>
  <c r="E36" i="31"/>
  <c r="N25" i="33"/>
  <c r="K33" i="33"/>
  <c r="B123" i="31"/>
  <c r="F138" i="31"/>
  <c r="K120" i="31"/>
  <c r="L108" i="31"/>
  <c r="M104" i="31"/>
  <c r="I93" i="31"/>
  <c r="N82" i="31"/>
  <c r="O80" i="31"/>
  <c r="L78" i="31"/>
  <c r="I76" i="31"/>
  <c r="F73" i="31"/>
  <c r="E70" i="31"/>
  <c r="N69" i="31"/>
  <c r="D67" i="31"/>
  <c r="Q67" i="31" s="1"/>
  <c r="S67" i="31" s="1"/>
  <c r="N64" i="31"/>
  <c r="I63" i="31"/>
  <c r="I62" i="31"/>
  <c r="H61" i="31"/>
  <c r="E60" i="31"/>
  <c r="O56" i="31"/>
  <c r="J58" i="31"/>
  <c r="J24" i="12" s="1"/>
  <c r="K24" i="13" s="1"/>
  <c r="AC125" i="29" s="1"/>
  <c r="N57" i="31"/>
  <c r="M55" i="31"/>
  <c r="O51" i="31"/>
  <c r="O50" i="31"/>
  <c r="F49" i="31"/>
  <c r="N48" i="31"/>
  <c r="N47" i="31"/>
  <c r="D46" i="31"/>
  <c r="G45" i="31"/>
  <c r="K43" i="31"/>
  <c r="F42" i="31"/>
  <c r="K41" i="31"/>
  <c r="L40" i="31"/>
  <c r="O39" i="31"/>
  <c r="G38" i="31"/>
  <c r="D37" i="31"/>
  <c r="G36" i="31"/>
  <c r="J35" i="31"/>
  <c r="F34" i="31"/>
  <c r="E33" i="31"/>
  <c r="O32" i="31"/>
  <c r="O31" i="31"/>
  <c r="F30" i="31"/>
  <c r="K29" i="31"/>
  <c r="D28" i="31"/>
  <c r="E27" i="31"/>
  <c r="K26" i="31"/>
  <c r="L25" i="31"/>
  <c r="O24" i="31"/>
  <c r="M23" i="31"/>
  <c r="K21" i="31"/>
  <c r="I20" i="31"/>
  <c r="G19" i="31"/>
  <c r="D8" i="31"/>
  <c r="B125" i="31"/>
  <c r="O137" i="31"/>
  <c r="N130" i="31"/>
  <c r="F123" i="31"/>
  <c r="L120" i="31"/>
  <c r="H115" i="31"/>
  <c r="K108" i="31"/>
  <c r="N104" i="31"/>
  <c r="K96" i="31"/>
  <c r="G87" i="31"/>
  <c r="L84" i="31"/>
  <c r="J82" i="31"/>
  <c r="K80" i="31"/>
  <c r="I78" i="31"/>
  <c r="J76" i="31"/>
  <c r="O74" i="31"/>
  <c r="H73" i="31"/>
  <c r="O71" i="31"/>
  <c r="F70" i="31"/>
  <c r="E67" i="31"/>
  <c r="O65" i="31"/>
  <c r="M64" i="31"/>
  <c r="H63" i="31"/>
  <c r="J62" i="31"/>
  <c r="I61" i="31"/>
  <c r="M57" i="31"/>
  <c r="J55" i="31"/>
  <c r="O54" i="31"/>
  <c r="N51" i="31"/>
  <c r="N50" i="31"/>
  <c r="G49" i="31"/>
  <c r="L48" i="31"/>
  <c r="M47" i="31"/>
  <c r="H45" i="31"/>
  <c r="J43" i="31"/>
  <c r="G42" i="31"/>
  <c r="J41" i="31"/>
  <c r="K40" i="31"/>
  <c r="D39" i="31"/>
  <c r="O38" i="31"/>
  <c r="E37" i="31"/>
  <c r="H36" i="31"/>
  <c r="D35" i="31"/>
  <c r="G34" i="31"/>
  <c r="F33" i="31"/>
  <c r="N32" i="31"/>
  <c r="N31" i="31"/>
  <c r="D30" i="31"/>
  <c r="L29" i="31"/>
  <c r="E28" i="31"/>
  <c r="F27" i="31"/>
  <c r="J26" i="31"/>
  <c r="K25" i="31"/>
  <c r="D24" i="31"/>
  <c r="O23" i="31"/>
  <c r="I44" i="33"/>
  <c r="I19" i="12" s="1"/>
  <c r="J19" i="13" s="1"/>
  <c r="AB120" i="29" s="1"/>
  <c r="M137" i="31"/>
  <c r="G123" i="31"/>
  <c r="I115" i="31"/>
  <c r="J111" i="31"/>
  <c r="J96" i="31"/>
  <c r="I92" i="31"/>
  <c r="D87" i="31"/>
  <c r="K84" i="31"/>
  <c r="D82" i="31"/>
  <c r="J80" i="31"/>
  <c r="D78" i="31"/>
  <c r="Q78" i="31" s="1"/>
  <c r="S78" i="31" s="1"/>
  <c r="K76" i="31"/>
  <c r="F74" i="31"/>
  <c r="K73" i="31"/>
  <c r="N71" i="31"/>
  <c r="I70" i="31"/>
  <c r="M68" i="31"/>
  <c r="F67" i="31"/>
  <c r="N65" i="31"/>
  <c r="L64" i="31"/>
  <c r="G63" i="31"/>
  <c r="K62" i="31"/>
  <c r="O59" i="31"/>
  <c r="K55" i="31"/>
  <c r="I58" i="31"/>
  <c r="I24" i="12" s="1"/>
  <c r="J24" i="13" s="1"/>
  <c r="AB125" i="29" s="1"/>
  <c r="L57" i="31"/>
  <c r="I55" i="31"/>
  <c r="E54" i="31"/>
  <c r="O53" i="31"/>
  <c r="O52" i="31"/>
  <c r="M51" i="31"/>
  <c r="L50" i="31"/>
  <c r="H49" i="31"/>
  <c r="D48" i="31"/>
  <c r="L47" i="31"/>
  <c r="N46" i="31"/>
  <c r="P81" i="10" s="1"/>
  <c r="P66" i="10" s="1"/>
  <c r="E46" i="31"/>
  <c r="G81" i="10" s="1"/>
  <c r="G66" i="10" s="1"/>
  <c r="I45" i="31"/>
  <c r="I43" i="31"/>
  <c r="H42" i="31"/>
  <c r="I41" i="31"/>
  <c r="J40" i="31"/>
  <c r="E39" i="31"/>
  <c r="N38" i="31"/>
  <c r="O37" i="31"/>
  <c r="I36" i="31"/>
  <c r="E35" i="31"/>
  <c r="H34" i="31"/>
  <c r="G33" i="31"/>
  <c r="M32" i="31"/>
  <c r="M31" i="31"/>
  <c r="E30" i="31"/>
  <c r="M29" i="31"/>
  <c r="F28" i="31"/>
  <c r="G27" i="31"/>
  <c r="I26" i="31"/>
  <c r="J25" i="31"/>
  <c r="E24" i="31"/>
  <c r="N23" i="31"/>
  <c r="M21" i="31"/>
  <c r="G20" i="31"/>
  <c r="I19" i="31"/>
  <c r="E18" i="31"/>
  <c r="L17" i="31"/>
  <c r="M16" i="31"/>
  <c r="I15" i="31"/>
  <c r="E14" i="31"/>
  <c r="K13" i="31"/>
  <c r="M9" i="20" s="1"/>
  <c r="M9" i="21" s="1"/>
  <c r="AD245" i="29" s="1"/>
  <c r="E13" i="31"/>
  <c r="G9" i="20" s="1"/>
  <c r="G9" i="21" s="1"/>
  <c r="X245" i="29" s="1"/>
  <c r="K12" i="31"/>
  <c r="G11" i="31"/>
  <c r="F10" i="31"/>
  <c r="D9" i="31"/>
  <c r="I43" i="33"/>
  <c r="I18" i="12" s="1"/>
  <c r="J18" i="13" s="1"/>
  <c r="AB119" i="29" s="1"/>
  <c r="O146" i="31"/>
  <c r="N128" i="31"/>
  <c r="J120" i="31"/>
  <c r="M112" i="31"/>
  <c r="M99" i="31"/>
  <c r="E92" i="31"/>
  <c r="L86" i="31"/>
  <c r="J75" i="31"/>
  <c r="M71" i="31"/>
  <c r="H68" i="31"/>
  <c r="E64" i="31"/>
  <c r="N61" i="31"/>
  <c r="G58" i="31"/>
  <c r="G24" i="12" s="1"/>
  <c r="H24" i="13" s="1"/>
  <c r="Z125" i="29" s="1"/>
  <c r="F54" i="31"/>
  <c r="M52" i="31"/>
  <c r="K49" i="31"/>
  <c r="I47" i="31"/>
  <c r="G43" i="31"/>
  <c r="M40" i="31"/>
  <c r="L38" i="31"/>
  <c r="J36" i="31"/>
  <c r="I34" i="31"/>
  <c r="L32" i="31"/>
  <c r="J29" i="31"/>
  <c r="D27" i="31"/>
  <c r="N25" i="31"/>
  <c r="M24" i="31"/>
  <c r="O21" i="31"/>
  <c r="H20" i="31"/>
  <c r="N18" i="31"/>
  <c r="K17" i="31"/>
  <c r="J16" i="31"/>
  <c r="O13" i="31"/>
  <c r="Q9" i="20" s="1"/>
  <c r="Q9" i="21" s="1"/>
  <c r="AH245" i="29" s="1"/>
  <c r="N10" i="31"/>
  <c r="F9" i="31"/>
  <c r="F43" i="33"/>
  <c r="F18" i="12" s="1"/>
  <c r="G18" i="13" s="1"/>
  <c r="Y119" i="29" s="1"/>
  <c r="M146" i="31"/>
  <c r="M128" i="31"/>
  <c r="F92" i="31"/>
  <c r="J86" i="31"/>
  <c r="I80" i="31"/>
  <c r="K71" i="31"/>
  <c r="I67" i="31"/>
  <c r="H64" i="31"/>
  <c r="G61" i="31"/>
  <c r="K56" i="31"/>
  <c r="G54" i="31"/>
  <c r="L52" i="31"/>
  <c r="L49" i="31"/>
  <c r="D43" i="31"/>
  <c r="I40" i="31"/>
  <c r="K38" i="31"/>
  <c r="J34" i="31"/>
  <c r="K32" i="31"/>
  <c r="O30" i="31"/>
  <c r="N29" i="31"/>
  <c r="H27" i="31"/>
  <c r="M25" i="31"/>
  <c r="N24" i="31"/>
  <c r="D21" i="31"/>
  <c r="F20" i="31"/>
  <c r="M18" i="31"/>
  <c r="J17" i="31"/>
  <c r="K16" i="31"/>
  <c r="O11" i="31"/>
  <c r="D10" i="31"/>
  <c r="G9" i="31"/>
  <c r="F39" i="33"/>
  <c r="F14" i="12" s="1"/>
  <c r="G14" i="13" s="1"/>
  <c r="Y115" i="29" s="1"/>
  <c r="L128" i="31"/>
  <c r="D80" i="31"/>
  <c r="G74" i="31"/>
  <c r="F71" i="31"/>
  <c r="H67" i="31"/>
  <c r="I64" i="31"/>
  <c r="D56" i="31"/>
  <c r="O57" i="31"/>
  <c r="H54" i="31"/>
  <c r="D52" i="31"/>
  <c r="H40" i="31"/>
  <c r="F38" i="31"/>
  <c r="K34" i="31"/>
  <c r="J32" i="31"/>
  <c r="N30" i="31"/>
  <c r="I27" i="31"/>
  <c r="I25" i="31"/>
  <c r="F21" i="31"/>
  <c r="E20" i="31"/>
  <c r="L18" i="31"/>
  <c r="I17" i="31"/>
  <c r="M13" i="31"/>
  <c r="O9" i="20" s="1"/>
  <c r="O9" i="21" s="1"/>
  <c r="AF245" i="29" s="1"/>
  <c r="D13" i="31"/>
  <c r="L11" i="31"/>
  <c r="E10" i="31"/>
  <c r="I9" i="31"/>
  <c r="M33" i="33"/>
  <c r="D143" i="31"/>
  <c r="L118" i="31"/>
  <c r="J110" i="31"/>
  <c r="L103" i="31"/>
  <c r="K85" i="31"/>
  <c r="H74" i="31"/>
  <c r="O60" i="31"/>
  <c r="E56" i="31"/>
  <c r="I57" i="31"/>
  <c r="D51" i="31"/>
  <c r="E42" i="31"/>
  <c r="G40" i="31"/>
  <c r="L35" i="31"/>
  <c r="M34" i="31"/>
  <c r="H32" i="31"/>
  <c r="M30" i="31"/>
  <c r="O28" i="31"/>
  <c r="J27" i="31"/>
  <c r="D25" i="31"/>
  <c r="D23" i="31"/>
  <c r="I21" i="31"/>
  <c r="D20" i="31"/>
  <c r="D18" i="31"/>
  <c r="Q18" i="31" s="1"/>
  <c r="S18" i="31" s="1"/>
  <c r="G17" i="31"/>
  <c r="N14" i="31"/>
  <c r="D11" i="31"/>
  <c r="G10" i="31"/>
  <c r="K9" i="31"/>
  <c r="L8" i="31"/>
  <c r="D56" i="33"/>
  <c r="K137" i="31"/>
  <c r="D118" i="31"/>
  <c r="Q118" i="31" s="1"/>
  <c r="S118" i="31" s="1"/>
  <c r="I110" i="31"/>
  <c r="H96" i="31"/>
  <c r="N90" i="31"/>
  <c r="I74" i="31"/>
  <c r="L70" i="31"/>
  <c r="O66" i="31"/>
  <c r="L63" i="31"/>
  <c r="N60" i="31"/>
  <c r="M56" i="31"/>
  <c r="H57" i="31"/>
  <c r="F51" i="31"/>
  <c r="O48" i="31"/>
  <c r="M46" i="31"/>
  <c r="O81" i="10" s="1"/>
  <c r="O66" i="10" s="1"/>
  <c r="F45" i="31"/>
  <c r="I42" i="31"/>
  <c r="N37" i="31"/>
  <c r="K35" i="31"/>
  <c r="O33" i="31"/>
  <c r="E32" i="31"/>
  <c r="K30" i="31"/>
  <c r="M28" i="31"/>
  <c r="E25" i="31"/>
  <c r="E23" i="31"/>
  <c r="J21" i="31"/>
  <c r="N19" i="31"/>
  <c r="F18" i="31"/>
  <c r="D17" i="31"/>
  <c r="O15" i="31"/>
  <c r="K14" i="31"/>
  <c r="L13" i="31"/>
  <c r="N9" i="20" s="1"/>
  <c r="N9" i="21" s="1"/>
  <c r="AE245" i="29" s="1"/>
  <c r="D12" i="31"/>
  <c r="E11" i="31"/>
  <c r="H10" i="31"/>
  <c r="L9" i="31"/>
  <c r="E10" i="33"/>
  <c r="F10" i="33" s="1"/>
  <c r="M102" i="31"/>
  <c r="G95" i="31"/>
  <c r="D84" i="31"/>
  <c r="E78" i="31"/>
  <c r="J70" i="31"/>
  <c r="D66" i="31"/>
  <c r="E63" i="31"/>
  <c r="M60" i="31"/>
  <c r="G57" i="31"/>
  <c r="N53" i="31"/>
  <c r="G51" i="31"/>
  <c r="E48" i="31"/>
  <c r="J45" i="31"/>
  <c r="J42" i="31"/>
  <c r="M37" i="31"/>
  <c r="F35" i="31"/>
  <c r="D33" i="31"/>
  <c r="D32" i="31"/>
  <c r="H30" i="31"/>
  <c r="J28" i="31"/>
  <c r="M26" i="31"/>
  <c r="G25" i="31"/>
  <c r="F23" i="31"/>
  <c r="L21" i="31"/>
  <c r="E19" i="31"/>
  <c r="G18" i="31"/>
  <c r="N15" i="31"/>
  <c r="J14" i="31"/>
  <c r="G12" i="31"/>
  <c r="F11" i="31"/>
  <c r="I10" i="31"/>
  <c r="M9" i="31"/>
  <c r="E142" i="31"/>
  <c r="N133" i="31"/>
  <c r="K116" i="31"/>
  <c r="H95" i="31"/>
  <c r="G89" i="31"/>
  <c r="E84" i="31"/>
  <c r="G78" i="31"/>
  <c r="E73" i="31"/>
  <c r="F63" i="31"/>
  <c r="F60" i="31"/>
  <c r="M53" i="31"/>
  <c r="F48" i="31"/>
  <c r="K45" i="31"/>
  <c r="K42" i="31"/>
  <c r="F39" i="31"/>
  <c r="L37" i="31"/>
  <c r="G35" i="31"/>
  <c r="H33" i="31"/>
  <c r="L31" i="31"/>
  <c r="G30" i="31"/>
  <c r="I28" i="31"/>
  <c r="L26" i="31"/>
  <c r="H23" i="31"/>
  <c r="N21" i="31"/>
  <c r="F19" i="31"/>
  <c r="H18" i="31"/>
  <c r="O16" i="31"/>
  <c r="M15" i="31"/>
  <c r="I14" i="31"/>
  <c r="J13" i="31"/>
  <c r="L9" i="20" s="1"/>
  <c r="L9" i="21" s="1"/>
  <c r="AC245" i="29" s="1"/>
  <c r="H12" i="31"/>
  <c r="H11" i="31"/>
  <c r="K10" i="31"/>
  <c r="N9" i="31"/>
  <c r="F8" i="33"/>
  <c r="H123" i="31"/>
  <c r="M108" i="31"/>
  <c r="I101" i="31"/>
  <c r="M89" i="31"/>
  <c r="L73" i="31"/>
  <c r="E65" i="31"/>
  <c r="K57" i="31"/>
  <c r="H55" i="31"/>
  <c r="L53" i="31"/>
  <c r="K50" i="31"/>
  <c r="G48" i="31"/>
  <c r="F46" i="31"/>
  <c r="H81" i="10" s="1"/>
  <c r="H66" i="10" s="1"/>
  <c r="L41" i="31"/>
  <c r="G39" i="31"/>
  <c r="F37" i="31"/>
  <c r="H35" i="31"/>
  <c r="I33" i="31"/>
  <c r="K31" i="31"/>
  <c r="G28" i="31"/>
  <c r="H26" i="31"/>
  <c r="K23" i="31"/>
  <c r="H19" i="31"/>
  <c r="J18" i="31"/>
  <c r="N16" i="31"/>
  <c r="K15" i="31"/>
  <c r="D14" i="31"/>
  <c r="I12" i="31"/>
  <c r="I11" i="31"/>
  <c r="G8" i="33"/>
  <c r="B122" i="31"/>
  <c r="J93" i="31"/>
  <c r="N75" i="31"/>
  <c r="I68" i="31"/>
  <c r="H50" i="31"/>
  <c r="G41" i="31"/>
  <c r="F36" i="31"/>
  <c r="H31" i="31"/>
  <c r="K27" i="31"/>
  <c r="L23" i="31"/>
  <c r="H15" i="31"/>
  <c r="M12" i="31"/>
  <c r="D49" i="31"/>
  <c r="D41" i="31"/>
  <c r="I31" i="31"/>
  <c r="O17" i="31"/>
  <c r="N12" i="31"/>
  <c r="F17" i="33"/>
  <c r="H18" i="20" s="1"/>
  <c r="I123" i="31"/>
  <c r="D92" i="31"/>
  <c r="F82" i="31"/>
  <c r="N59" i="31"/>
  <c r="F55" i="31"/>
  <c r="J49" i="31"/>
  <c r="G26" i="31"/>
  <c r="N17" i="31"/>
  <c r="F14" i="31"/>
  <c r="G82" i="31"/>
  <c r="F65" i="31"/>
  <c r="L59" i="31"/>
  <c r="D55" i="31"/>
  <c r="F26" i="31"/>
  <c r="M17" i="31"/>
  <c r="G14" i="31"/>
  <c r="J11" i="31"/>
  <c r="N72" i="31"/>
  <c r="G65" i="31"/>
  <c r="K59" i="31"/>
  <c r="H39" i="31"/>
  <c r="D34" i="31"/>
  <c r="O29" i="31"/>
  <c r="D26" i="31"/>
  <c r="L16" i="31"/>
  <c r="H14" i="31"/>
  <c r="O99" i="31"/>
  <c r="D72" i="31"/>
  <c r="J59" i="31"/>
  <c r="N39" i="31"/>
  <c r="E34" i="31"/>
  <c r="D29" i="31"/>
  <c r="Q29" i="31" s="1"/>
  <c r="S29" i="31" s="1"/>
  <c r="N20" i="31"/>
  <c r="D16" i="31"/>
  <c r="O25" i="33"/>
  <c r="Q25" i="33" s="1"/>
  <c r="S25" i="33" s="1"/>
  <c r="N99" i="31"/>
  <c r="O64" i="31"/>
  <c r="G53" i="31"/>
  <c r="O47" i="31"/>
  <c r="J33" i="31"/>
  <c r="F29" i="31"/>
  <c r="K20" i="31"/>
  <c r="E16" i="31"/>
  <c r="O10" i="31"/>
  <c r="F131" i="31"/>
  <c r="O106" i="31"/>
  <c r="K47" i="31"/>
  <c r="M38" i="31"/>
  <c r="L33" i="31"/>
  <c r="I29" i="31"/>
  <c r="F24" i="31"/>
  <c r="J20" i="31"/>
  <c r="G16" i="31"/>
  <c r="G13" i="31"/>
  <c r="I9" i="20" s="1"/>
  <c r="I9" i="21" s="1"/>
  <c r="Z245" i="29" s="1"/>
  <c r="H62" i="31"/>
  <c r="G46" i="31"/>
  <c r="I81" i="10" s="1"/>
  <c r="I66" i="10" s="1"/>
  <c r="H41" i="31"/>
  <c r="J31" i="31"/>
  <c r="H24" i="31"/>
  <c r="F15" i="31"/>
  <c r="O9" i="31"/>
  <c r="N106" i="31"/>
  <c r="E31" i="31"/>
  <c r="J24" i="31"/>
  <c r="G15" i="31"/>
  <c r="E9" i="31"/>
  <c r="M106" i="31"/>
  <c r="M69" i="31"/>
  <c r="N52" i="31"/>
  <c r="L68" i="31"/>
  <c r="J50" i="31"/>
  <c r="O36" i="31"/>
  <c r="K19" i="31"/>
  <c r="J12" i="31"/>
  <c r="F76" i="31"/>
  <c r="O58" i="31"/>
  <c r="O24" i="12" s="1"/>
  <c r="P24" i="13" s="1"/>
  <c r="AH125" i="29" s="1"/>
  <c r="N36" i="31"/>
  <c r="N27" i="31"/>
  <c r="L19" i="31"/>
  <c r="L12" i="31"/>
  <c r="L76" i="31"/>
  <c r="G24" i="31"/>
  <c r="J19" i="31"/>
  <c r="M86" i="31"/>
  <c r="L43" i="31"/>
  <c r="H43" i="31"/>
  <c r="E15" i="31"/>
  <c r="H28" i="31"/>
  <c r="J47" i="31"/>
  <c r="H58" i="31"/>
  <c r="H24" i="12" s="1"/>
  <c r="I24" i="13" s="1"/>
  <c r="AA125" i="29" s="1"/>
  <c r="F13" i="31"/>
  <c r="H9" i="20" s="1"/>
  <c r="H9" i="21" s="1"/>
  <c r="Y245" i="29" s="1"/>
  <c r="H12" i="20" l="1"/>
  <c r="H12" i="21" s="1"/>
  <c r="Y248" i="29" s="1"/>
  <c r="G52" i="16"/>
  <c r="G10" i="33"/>
  <c r="H11" i="20"/>
  <c r="H11" i="21" s="1"/>
  <c r="Y247" i="29" s="1"/>
  <c r="G51" i="16"/>
  <c r="G9" i="33"/>
  <c r="Q48" i="31"/>
  <c r="S48" i="31" s="1"/>
  <c r="N70" i="10"/>
  <c r="N66" i="11"/>
  <c r="N69" i="10"/>
  <c r="Q93" i="31"/>
  <c r="S93" i="31" s="1"/>
  <c r="F49" i="33"/>
  <c r="H22" i="20" s="1"/>
  <c r="H22" i="21" s="1"/>
  <c r="Y255" i="29" s="1"/>
  <c r="G46" i="33"/>
  <c r="G16" i="12"/>
  <c r="Q20" i="31"/>
  <c r="S20" i="31" s="1"/>
  <c r="K40" i="33"/>
  <c r="K8" i="12"/>
  <c r="Q110" i="31"/>
  <c r="S110" i="31" s="1"/>
  <c r="Q108" i="31"/>
  <c r="S108" i="31" s="1"/>
  <c r="O40" i="33"/>
  <c r="O32" i="33" s="1"/>
  <c r="O8" i="12"/>
  <c r="J46" i="33"/>
  <c r="J16" i="12"/>
  <c r="Q87" i="31"/>
  <c r="S87" i="31" s="1"/>
  <c r="J23" i="12"/>
  <c r="Q36" i="31"/>
  <c r="S36" i="31" s="1"/>
  <c r="H49" i="33"/>
  <c r="J22" i="20" s="1"/>
  <c r="J22" i="21" s="1"/>
  <c r="AA255" i="29" s="1"/>
  <c r="Q69" i="31"/>
  <c r="S69" i="31" s="1"/>
  <c r="Q53" i="33"/>
  <c r="S53" i="33" s="1"/>
  <c r="H69" i="10"/>
  <c r="H70" i="10"/>
  <c r="H66" i="11"/>
  <c r="Q33" i="31"/>
  <c r="S33" i="31" s="1"/>
  <c r="Q21" i="31"/>
  <c r="S21" i="31" s="1"/>
  <c r="Q61" i="31"/>
  <c r="S61" i="31" s="1"/>
  <c r="Q85" i="31"/>
  <c r="S85" i="31" s="1"/>
  <c r="E53" i="16"/>
  <c r="F13" i="20"/>
  <c r="F13" i="21" s="1"/>
  <c r="W249" i="29" s="1"/>
  <c r="Q103" i="31"/>
  <c r="S103" i="31" s="1"/>
  <c r="H21" i="33"/>
  <c r="H30" i="33" s="1"/>
  <c r="E12" i="33"/>
  <c r="F80" i="10"/>
  <c r="F37" i="10" s="1"/>
  <c r="Q44" i="31"/>
  <c r="S44" i="31" s="1"/>
  <c r="Q134" i="31"/>
  <c r="S134" i="31" s="1"/>
  <c r="Q54" i="33"/>
  <c r="S54" i="33" s="1"/>
  <c r="G40" i="10"/>
  <c r="G37" i="11"/>
  <c r="G75" i="10"/>
  <c r="Q132" i="31"/>
  <c r="S132" i="31" s="1"/>
  <c r="D9" i="12"/>
  <c r="E9" i="13" s="1"/>
  <c r="W110" i="29" s="1"/>
  <c r="Q34" i="33"/>
  <c r="S34" i="33" s="1"/>
  <c r="Q19" i="31"/>
  <c r="S19" i="31" s="1"/>
  <c r="Q36" i="33"/>
  <c r="S36" i="33" s="1"/>
  <c r="D11" i="12"/>
  <c r="E11" i="13" s="1"/>
  <c r="W112" i="29" s="1"/>
  <c r="Q37" i="31"/>
  <c r="S37" i="31" s="1"/>
  <c r="L46" i="33"/>
  <c r="L16" i="12"/>
  <c r="L82" i="10"/>
  <c r="L38" i="10" s="1"/>
  <c r="J7" i="12"/>
  <c r="L8" i="20"/>
  <c r="L8" i="21" s="1"/>
  <c r="AC244" i="29" s="1"/>
  <c r="Q51" i="31"/>
  <c r="S51" i="31" s="1"/>
  <c r="D49" i="33"/>
  <c r="Q50" i="33"/>
  <c r="S50" i="33" s="1"/>
  <c r="H82" i="10"/>
  <c r="H38" i="10" s="1"/>
  <c r="F7" i="12"/>
  <c r="H8" i="20"/>
  <c r="H8" i="21" s="1"/>
  <c r="Y244" i="29" s="1"/>
  <c r="Q56" i="33"/>
  <c r="S56" i="33" s="1"/>
  <c r="Q102" i="31"/>
  <c r="S102" i="31" s="1"/>
  <c r="Q130" i="31"/>
  <c r="S130" i="31" s="1"/>
  <c r="Q72" i="31"/>
  <c r="S72" i="31" s="1"/>
  <c r="Q32" i="31"/>
  <c r="S32" i="31" s="1"/>
  <c r="N82" i="10"/>
  <c r="N38" i="10" s="1"/>
  <c r="N8" i="20"/>
  <c r="N8" i="21" s="1"/>
  <c r="AE244" i="29" s="1"/>
  <c r="L7" i="12"/>
  <c r="K70" i="10"/>
  <c r="K66" i="11"/>
  <c r="K69" i="10"/>
  <c r="Q121" i="31"/>
  <c r="S121" i="31" s="1"/>
  <c r="N40" i="33"/>
  <c r="N8" i="12"/>
  <c r="E16" i="12"/>
  <c r="E46" i="33"/>
  <c r="Q57" i="33"/>
  <c r="S57" i="33" s="1"/>
  <c r="Q49" i="31"/>
  <c r="S49" i="31" s="1"/>
  <c r="Q25" i="31"/>
  <c r="S25" i="31" s="1"/>
  <c r="Q53" i="31"/>
  <c r="S53" i="31" s="1"/>
  <c r="Q12" i="31"/>
  <c r="S12" i="31" s="1"/>
  <c r="Q38" i="31"/>
  <c r="S38" i="31" s="1"/>
  <c r="Q62" i="31"/>
  <c r="S62" i="31" s="1"/>
  <c r="Q63" i="31"/>
  <c r="S63" i="31" s="1"/>
  <c r="Q75" i="31"/>
  <c r="S75" i="31" s="1"/>
  <c r="Q100" i="31"/>
  <c r="S100" i="31" s="1"/>
  <c r="Q105" i="31"/>
  <c r="S105" i="31" s="1"/>
  <c r="Q125" i="31"/>
  <c r="S125" i="31" s="1"/>
  <c r="O49" i="33"/>
  <c r="Q22" i="20" s="1"/>
  <c r="Q22" i="21" s="1"/>
  <c r="AH255" i="29" s="1"/>
  <c r="Q129" i="31"/>
  <c r="S129" i="31" s="1"/>
  <c r="N21" i="33"/>
  <c r="N30" i="33" s="1"/>
  <c r="Q122" i="31"/>
  <c r="S122" i="31" s="1"/>
  <c r="O21" i="33"/>
  <c r="Q22" i="33"/>
  <c r="S22" i="33" s="1"/>
  <c r="L37" i="11"/>
  <c r="L75" i="10"/>
  <c r="L39" i="10"/>
  <c r="L40" i="10"/>
  <c r="M82" i="10"/>
  <c r="M38" i="10" s="1"/>
  <c r="M8" i="20"/>
  <c r="M8" i="21" s="1"/>
  <c r="AD244" i="29" s="1"/>
  <c r="K7" i="12"/>
  <c r="F18" i="21"/>
  <c r="F19" i="20"/>
  <c r="I49" i="33"/>
  <c r="K22" i="20" s="1"/>
  <c r="K22" i="21" s="1"/>
  <c r="AB255" i="29" s="1"/>
  <c r="Q128" i="31"/>
  <c r="S128" i="31" s="1"/>
  <c r="J8" i="12"/>
  <c r="J40" i="33"/>
  <c r="Q60" i="31"/>
  <c r="S60" i="31" s="1"/>
  <c r="L69" i="10"/>
  <c r="L70" i="10"/>
  <c r="L66" i="11"/>
  <c r="Q94" i="31"/>
  <c r="S94" i="31" s="1"/>
  <c r="H8" i="12"/>
  <c r="H40" i="33"/>
  <c r="G17" i="33"/>
  <c r="Q82" i="31"/>
  <c r="S82" i="31" s="1"/>
  <c r="Q47" i="31"/>
  <c r="S47" i="31" s="1"/>
  <c r="D8" i="12"/>
  <c r="D40" i="33"/>
  <c r="Q33" i="33"/>
  <c r="S33" i="33" s="1"/>
  <c r="D19" i="12"/>
  <c r="E19" i="13" s="1"/>
  <c r="W120" i="29" s="1"/>
  <c r="Q44" i="33"/>
  <c r="S44" i="33" s="1"/>
  <c r="O16" i="12"/>
  <c r="O46" i="33"/>
  <c r="Q142" i="31"/>
  <c r="S142" i="31" s="1"/>
  <c r="Q43" i="31"/>
  <c r="S43" i="31" s="1"/>
  <c r="D18" i="12"/>
  <c r="E18" i="13" s="1"/>
  <c r="W119" i="29" s="1"/>
  <c r="Q43" i="33"/>
  <c r="S43" i="33" s="1"/>
  <c r="I16" i="12"/>
  <c r="I46" i="33"/>
  <c r="Q66" i="31"/>
  <c r="S66" i="31" s="1"/>
  <c r="Q39" i="31"/>
  <c r="S39" i="31" s="1"/>
  <c r="Q28" i="31"/>
  <c r="S28" i="31" s="1"/>
  <c r="N75" i="10"/>
  <c r="N40" i="10"/>
  <c r="N37" i="11"/>
  <c r="N39" i="10"/>
  <c r="Q141" i="31"/>
  <c r="S141" i="31" s="1"/>
  <c r="F51" i="16"/>
  <c r="G11" i="20"/>
  <c r="G11" i="21" s="1"/>
  <c r="X247" i="29" s="1"/>
  <c r="H46" i="33"/>
  <c r="H16" i="12"/>
  <c r="F23" i="12"/>
  <c r="Q84" i="31"/>
  <c r="S84" i="31" s="1"/>
  <c r="F9" i="20"/>
  <c r="F9" i="21" s="1"/>
  <c r="W245" i="29" s="1"/>
  <c r="Q13" i="31"/>
  <c r="S13" i="31" s="1"/>
  <c r="Q30" i="31"/>
  <c r="S30" i="31" s="1"/>
  <c r="F82" i="10"/>
  <c r="F38" i="10" s="1"/>
  <c r="Q8" i="31"/>
  <c r="S8" i="31" s="1"/>
  <c r="D7" i="12"/>
  <c r="F8" i="20"/>
  <c r="F8" i="21" s="1"/>
  <c r="W244" i="29" s="1"/>
  <c r="N23" i="12"/>
  <c r="Q81" i="31"/>
  <c r="S81" i="31" s="1"/>
  <c r="Q133" i="31"/>
  <c r="S133" i="31" s="1"/>
  <c r="E23" i="12"/>
  <c r="F21" i="33"/>
  <c r="F30" i="33" s="1"/>
  <c r="Q86" i="31"/>
  <c r="S86" i="31" s="1"/>
  <c r="Q88" i="31"/>
  <c r="S88" i="31" s="1"/>
  <c r="Q22" i="31"/>
  <c r="S22" i="31" s="1"/>
  <c r="Q114" i="31"/>
  <c r="S114" i="31" s="1"/>
  <c r="F11" i="20"/>
  <c r="F11" i="21" s="1"/>
  <c r="W247" i="29" s="1"/>
  <c r="E51" i="16"/>
  <c r="I82" i="10"/>
  <c r="I38" i="10" s="1"/>
  <c r="I8" i="20"/>
  <c r="I8" i="21" s="1"/>
  <c r="Z244" i="29" s="1"/>
  <c r="G7" i="12"/>
  <c r="G49" i="33"/>
  <c r="I22" i="20" s="1"/>
  <c r="I22" i="21" s="1"/>
  <c r="Z255" i="29" s="1"/>
  <c r="D20" i="12"/>
  <c r="E20" i="13" s="1"/>
  <c r="W121" i="29" s="1"/>
  <c r="Q45" i="33"/>
  <c r="S45" i="33" s="1"/>
  <c r="K49" i="33"/>
  <c r="M22" i="20" s="1"/>
  <c r="M22" i="21" s="1"/>
  <c r="AD255" i="29" s="1"/>
  <c r="I8" i="12"/>
  <c r="I40" i="33"/>
  <c r="I32" i="33" s="1"/>
  <c r="O82" i="10"/>
  <c r="O38" i="10" s="1"/>
  <c r="M7" i="12"/>
  <c r="O8" i="20"/>
  <c r="O8" i="21" s="1"/>
  <c r="AF244" i="29" s="1"/>
  <c r="M49" i="33"/>
  <c r="O22" i="20" s="1"/>
  <c r="O22" i="21" s="1"/>
  <c r="AF255" i="29" s="1"/>
  <c r="M8" i="12"/>
  <c r="M40" i="33"/>
  <c r="Q35" i="31"/>
  <c r="S35" i="31" s="1"/>
  <c r="Q24" i="31"/>
  <c r="S24" i="31" s="1"/>
  <c r="M70" i="10"/>
  <c r="M66" i="11"/>
  <c r="M69" i="10"/>
  <c r="O23" i="12"/>
  <c r="N16" i="12"/>
  <c r="N46" i="33"/>
  <c r="Q117" i="31"/>
  <c r="S117" i="31" s="1"/>
  <c r="Q95" i="31"/>
  <c r="S95" i="31" s="1"/>
  <c r="D14" i="12"/>
  <c r="E14" i="13" s="1"/>
  <c r="W115" i="29" s="1"/>
  <c r="Q39" i="33"/>
  <c r="S39" i="33" s="1"/>
  <c r="Q14" i="31"/>
  <c r="S14" i="31" s="1"/>
  <c r="M23" i="12"/>
  <c r="Q52" i="33"/>
  <c r="S52" i="33" s="1"/>
  <c r="Q41" i="31"/>
  <c r="S41" i="31" s="1"/>
  <c r="Q91" i="31"/>
  <c r="S91" i="31" s="1"/>
  <c r="Q76" i="31"/>
  <c r="S76" i="31" s="1"/>
  <c r="Q99" i="31"/>
  <c r="S99" i="31" s="1"/>
  <c r="I69" i="10"/>
  <c r="I70" i="10"/>
  <c r="I66" i="11"/>
  <c r="Q52" i="31"/>
  <c r="S52" i="31" s="1"/>
  <c r="Q27" i="31"/>
  <c r="S27" i="31" s="1"/>
  <c r="I23" i="12"/>
  <c r="Q73" i="31"/>
  <c r="S73" i="31" s="1"/>
  <c r="Q15" i="31"/>
  <c r="S15" i="31" s="1"/>
  <c r="Q31" i="31"/>
  <c r="S31" i="31" s="1"/>
  <c r="Q65" i="31"/>
  <c r="S65" i="31" s="1"/>
  <c r="L23" i="12"/>
  <c r="Q101" i="31"/>
  <c r="S101" i="31" s="1"/>
  <c r="Q112" i="31"/>
  <c r="S112" i="31" s="1"/>
  <c r="G21" i="33"/>
  <c r="G30" i="33" s="1"/>
  <c r="Q37" i="11"/>
  <c r="Q40" i="10"/>
  <c r="Q75" i="10"/>
  <c r="Q51" i="33"/>
  <c r="S51" i="33" s="1"/>
  <c r="G8" i="12"/>
  <c r="G40" i="33"/>
  <c r="G32" i="33" s="1"/>
  <c r="F16" i="12"/>
  <c r="F46" i="33"/>
  <c r="I21" i="33"/>
  <c r="I30" i="33" s="1"/>
  <c r="K82" i="10"/>
  <c r="K38" i="10" s="1"/>
  <c r="K39" i="10" s="1"/>
  <c r="I7" i="12"/>
  <c r="K8" i="20"/>
  <c r="K8" i="21" s="1"/>
  <c r="AB244" i="29" s="1"/>
  <c r="D10" i="12"/>
  <c r="E10" i="13" s="1"/>
  <c r="W111" i="29" s="1"/>
  <c r="Q35" i="33"/>
  <c r="S35" i="33" s="1"/>
  <c r="I10" i="20"/>
  <c r="D24" i="12"/>
  <c r="E24" i="13" s="1"/>
  <c r="W125" i="29" s="1"/>
  <c r="Q58" i="31"/>
  <c r="S58" i="31" s="1"/>
  <c r="Q57" i="31"/>
  <c r="S57" i="31" s="1"/>
  <c r="G82" i="10"/>
  <c r="G38" i="10" s="1"/>
  <c r="G39" i="10" s="1"/>
  <c r="G8" i="20"/>
  <c r="G8" i="21" s="1"/>
  <c r="X244" i="29" s="1"/>
  <c r="E7" i="12"/>
  <c r="Q135" i="31"/>
  <c r="S135" i="31" s="1"/>
  <c r="O70" i="10"/>
  <c r="O69" i="10"/>
  <c r="O66" i="11"/>
  <c r="Q136" i="31"/>
  <c r="S136" i="31" s="1"/>
  <c r="Q69" i="10"/>
  <c r="Q66" i="11"/>
  <c r="Q70" i="10"/>
  <c r="Q50" i="31"/>
  <c r="S50" i="31" s="1"/>
  <c r="Q23" i="31"/>
  <c r="S23" i="31" s="1"/>
  <c r="Q26" i="31"/>
  <c r="S26" i="31" s="1"/>
  <c r="H23" i="12"/>
  <c r="Q68" i="31"/>
  <c r="S68" i="31" s="1"/>
  <c r="Q59" i="31"/>
  <c r="S59" i="31" s="1"/>
  <c r="Q71" i="31"/>
  <c r="S71" i="31" s="1"/>
  <c r="Q140" i="31"/>
  <c r="S140" i="31" s="1"/>
  <c r="Q64" i="31"/>
  <c r="S64" i="31" s="1"/>
  <c r="Q90" i="31"/>
  <c r="S90" i="31" s="1"/>
  <c r="Q139" i="31"/>
  <c r="S139" i="31" s="1"/>
  <c r="K21" i="33"/>
  <c r="K30" i="33" s="1"/>
  <c r="D17" i="12"/>
  <c r="E17" i="13" s="1"/>
  <c r="W118" i="29" s="1"/>
  <c r="Q42" i="33"/>
  <c r="S42" i="33" s="1"/>
  <c r="L21" i="33"/>
  <c r="L30" i="33" s="1"/>
  <c r="Q60" i="33"/>
  <c r="S60" i="33" s="1"/>
  <c r="Q16" i="31"/>
  <c r="S16" i="31" s="1"/>
  <c r="Q92" i="31"/>
  <c r="S92" i="31" s="1"/>
  <c r="Q17" i="31"/>
  <c r="S17" i="31" s="1"/>
  <c r="Q11" i="31"/>
  <c r="S11" i="31" s="1"/>
  <c r="Q9" i="31"/>
  <c r="S9" i="31" s="1"/>
  <c r="G69" i="10"/>
  <c r="G66" i="11"/>
  <c r="G70" i="10"/>
  <c r="Q42" i="31"/>
  <c r="S42" i="31" s="1"/>
  <c r="Q77" i="31"/>
  <c r="S77" i="31" s="1"/>
  <c r="G23" i="12"/>
  <c r="Q82" i="10"/>
  <c r="Q38" i="10" s="1"/>
  <c r="O7" i="12"/>
  <c r="Q8" i="20"/>
  <c r="Q8" i="21" s="1"/>
  <c r="AH244" i="29" s="1"/>
  <c r="Q70" i="31"/>
  <c r="S70" i="31" s="1"/>
  <c r="H39" i="10"/>
  <c r="H75" i="10"/>
  <c r="H37" i="11"/>
  <c r="H40" i="10"/>
  <c r="Q89" i="31"/>
  <c r="S89" i="31" s="1"/>
  <c r="Q109" i="31"/>
  <c r="S109" i="31" s="1"/>
  <c r="Q79" i="31"/>
  <c r="S79" i="31" s="1"/>
  <c r="Q115" i="31"/>
  <c r="S115" i="31" s="1"/>
  <c r="E14" i="33"/>
  <c r="Q83" i="31"/>
  <c r="S83" i="31" s="1"/>
  <c r="Q119" i="31"/>
  <c r="S119" i="31" s="1"/>
  <c r="J82" i="10"/>
  <c r="J38" i="10" s="1"/>
  <c r="J8" i="20"/>
  <c r="J8" i="21" s="1"/>
  <c r="AA244" i="29" s="1"/>
  <c r="H7" i="12"/>
  <c r="Q127" i="31"/>
  <c r="S127" i="31" s="1"/>
  <c r="M46" i="33"/>
  <c r="M16" i="12"/>
  <c r="G10" i="20"/>
  <c r="F10" i="20"/>
  <c r="D19" i="33"/>
  <c r="F20" i="20" s="1"/>
  <c r="D13" i="12"/>
  <c r="E13" i="13" s="1"/>
  <c r="W114" i="29" s="1"/>
  <c r="Q38" i="33"/>
  <c r="S38" i="33" s="1"/>
  <c r="M40" i="10"/>
  <c r="M75" i="10"/>
  <c r="M37" i="11"/>
  <c r="P37" i="11"/>
  <c r="P75" i="10"/>
  <c r="P40" i="10"/>
  <c r="F12" i="20"/>
  <c r="F12" i="21" s="1"/>
  <c r="W248" i="29" s="1"/>
  <c r="E52" i="16"/>
  <c r="Q147" i="31"/>
  <c r="S147" i="31" s="1"/>
  <c r="F8" i="12"/>
  <c r="F40" i="33"/>
  <c r="E8" i="12"/>
  <c r="E40" i="33"/>
  <c r="E32" i="33" s="1"/>
  <c r="Q124" i="31"/>
  <c r="S124" i="31" s="1"/>
  <c r="Q137" i="31"/>
  <c r="S137" i="31" s="1"/>
  <c r="Q74" i="31"/>
  <c r="S74" i="31" s="1"/>
  <c r="Q116" i="31"/>
  <c r="S116" i="31" s="1"/>
  <c r="Q106" i="31"/>
  <c r="S106" i="31" s="1"/>
  <c r="Q131" i="31"/>
  <c r="S131" i="31" s="1"/>
  <c r="Q96" i="31"/>
  <c r="S96" i="31" s="1"/>
  <c r="Q98" i="31"/>
  <c r="S98" i="31" s="1"/>
  <c r="Q120" i="31"/>
  <c r="S120" i="31" s="1"/>
  <c r="Q80" i="31"/>
  <c r="S80" i="31" s="1"/>
  <c r="Q55" i="31"/>
  <c r="S55" i="31" s="1"/>
  <c r="D23" i="12"/>
  <c r="F81" i="10"/>
  <c r="F66" i="10" s="1"/>
  <c r="Q46" i="31"/>
  <c r="S46" i="31" s="1"/>
  <c r="Q54" i="31"/>
  <c r="S54" i="31" s="1"/>
  <c r="H8" i="33"/>
  <c r="Q34" i="31"/>
  <c r="S34" i="31" s="1"/>
  <c r="H10" i="20"/>
  <c r="F52" i="16"/>
  <c r="G12" i="20"/>
  <c r="G12" i="21" s="1"/>
  <c r="X248" i="29" s="1"/>
  <c r="Q143" i="31"/>
  <c r="S143" i="31" s="1"/>
  <c r="Q56" i="31"/>
  <c r="S56" i="31" s="1"/>
  <c r="Q10" i="31"/>
  <c r="S10" i="31" s="1"/>
  <c r="P69" i="10"/>
  <c r="P66" i="11"/>
  <c r="P70" i="10"/>
  <c r="K23" i="12"/>
  <c r="Q113" i="31"/>
  <c r="S113" i="31" s="1"/>
  <c r="Q40" i="31"/>
  <c r="S40" i="31" s="1"/>
  <c r="Q97" i="31"/>
  <c r="S97" i="31" s="1"/>
  <c r="Q144" i="31"/>
  <c r="S144" i="31" s="1"/>
  <c r="Q111" i="31"/>
  <c r="S111" i="31" s="1"/>
  <c r="Q146" i="31"/>
  <c r="S146" i="31" s="1"/>
  <c r="L40" i="33"/>
  <c r="L8" i="12"/>
  <c r="K40" i="10"/>
  <c r="K37" i="11"/>
  <c r="K75" i="10"/>
  <c r="Q104" i="31"/>
  <c r="S104" i="31" s="1"/>
  <c r="J37" i="11"/>
  <c r="J40" i="10"/>
  <c r="J75" i="10"/>
  <c r="J39" i="10"/>
  <c r="Q138" i="31"/>
  <c r="S138" i="31" s="1"/>
  <c r="O75" i="10"/>
  <c r="O39" i="10"/>
  <c r="O37" i="11"/>
  <c r="O40" i="10"/>
  <c r="H18" i="21"/>
  <c r="H19" i="20"/>
  <c r="J69" i="10"/>
  <c r="J66" i="11"/>
  <c r="J70" i="10"/>
  <c r="Q107" i="31"/>
  <c r="S107" i="31" s="1"/>
  <c r="K16" i="12"/>
  <c r="K46" i="33"/>
  <c r="Q37" i="33"/>
  <c r="S37" i="33" s="1"/>
  <c r="D12" i="12"/>
  <c r="E12" i="13" s="1"/>
  <c r="W113" i="29" s="1"/>
  <c r="F17" i="20"/>
  <c r="F16" i="21"/>
  <c r="G19" i="20"/>
  <c r="G18" i="21"/>
  <c r="D16" i="12"/>
  <c r="D46" i="33"/>
  <c r="Q41" i="33"/>
  <c r="S41" i="33" s="1"/>
  <c r="P82" i="10"/>
  <c r="P38" i="10" s="1"/>
  <c r="P39" i="10" s="1"/>
  <c r="P8" i="20"/>
  <c r="P8" i="21" s="1"/>
  <c r="AG244" i="29" s="1"/>
  <c r="N7" i="12"/>
  <c r="Q126" i="31"/>
  <c r="S126" i="31" s="1"/>
  <c r="I37" i="11"/>
  <c r="I75" i="10"/>
  <c r="I40" i="10"/>
  <c r="I39" i="10"/>
  <c r="F21" i="20" l="1"/>
  <c r="F20" i="21"/>
  <c r="Q46" i="33"/>
  <c r="S46" i="33" s="1"/>
  <c r="AA102" i="29"/>
  <c r="J69" i="11"/>
  <c r="AA85" i="29"/>
  <c r="F10" i="21"/>
  <c r="W246" i="29" s="1"/>
  <c r="E46" i="16"/>
  <c r="H23" i="13"/>
  <c r="Z124" i="29" s="1"/>
  <c r="G22" i="12"/>
  <c r="H22" i="13" s="1"/>
  <c r="Z123" i="29" s="1"/>
  <c r="G34" i="12"/>
  <c r="H34" i="13" s="1"/>
  <c r="Z135" i="29" s="1"/>
  <c r="N21" i="12"/>
  <c r="O16" i="13"/>
  <c r="AG117" i="29" s="1"/>
  <c r="O38" i="11"/>
  <c r="AF86" i="29" s="1"/>
  <c r="O76" i="10"/>
  <c r="O41" i="10"/>
  <c r="O41" i="11" s="1"/>
  <c r="AF88" i="29" s="1"/>
  <c r="F41" i="10"/>
  <c r="F41" i="11" s="1"/>
  <c r="W88" i="29" s="1"/>
  <c r="F76" i="10"/>
  <c r="F38" i="11"/>
  <c r="R38" i="10"/>
  <c r="N39" i="11"/>
  <c r="AE85" i="29"/>
  <c r="L76" i="10"/>
  <c r="L77" i="10" s="1"/>
  <c r="L41" i="10"/>
  <c r="L41" i="11" s="1"/>
  <c r="AC88" i="29" s="1"/>
  <c r="L38" i="11"/>
  <c r="AC86" i="29" s="1"/>
  <c r="J21" i="12"/>
  <c r="K16" i="13"/>
  <c r="AC117" i="29" s="1"/>
  <c r="I23" i="13"/>
  <c r="AA124" i="29" s="1"/>
  <c r="H34" i="12"/>
  <c r="I34" i="13" s="1"/>
  <c r="AA135" i="29" s="1"/>
  <c r="N7" i="13"/>
  <c r="AF108" i="29" s="1"/>
  <c r="O6" i="18"/>
  <c r="O6" i="19" s="1"/>
  <c r="AF199" i="29" s="1"/>
  <c r="H42" i="12"/>
  <c r="H15" i="12"/>
  <c r="I8" i="13"/>
  <c r="AA109" i="29" s="1"/>
  <c r="L6" i="18"/>
  <c r="L6" i="19" s="1"/>
  <c r="AC199" i="29" s="1"/>
  <c r="K7" i="13"/>
  <c r="AC108" i="29" s="1"/>
  <c r="N40" i="11"/>
  <c r="N72" i="10"/>
  <c r="N70" i="11"/>
  <c r="N84" i="10"/>
  <c r="I40" i="11"/>
  <c r="F17" i="21"/>
  <c r="W252" i="29"/>
  <c r="O42" i="10"/>
  <c r="O40" i="11"/>
  <c r="K40" i="11"/>
  <c r="P69" i="11"/>
  <c r="AG102" i="29"/>
  <c r="AG85" i="29"/>
  <c r="H40" i="11"/>
  <c r="G69" i="11"/>
  <c r="X102" i="29"/>
  <c r="AH102" i="29"/>
  <c r="Q69" i="11"/>
  <c r="G15" i="12"/>
  <c r="G42" i="12"/>
  <c r="H8" i="13"/>
  <c r="Z109" i="29" s="1"/>
  <c r="M70" i="11"/>
  <c r="M84" i="10"/>
  <c r="M72" i="10"/>
  <c r="L83" i="10"/>
  <c r="L75" i="11"/>
  <c r="H72" i="10"/>
  <c r="H70" i="11"/>
  <c r="H84" i="10"/>
  <c r="G16" i="20"/>
  <c r="F14" i="33"/>
  <c r="G6" i="18"/>
  <c r="G6" i="19" s="1"/>
  <c r="X199" i="29" s="1"/>
  <c r="F7" i="13"/>
  <c r="X108" i="29" s="1"/>
  <c r="X85" i="29"/>
  <c r="P23" i="13"/>
  <c r="AH124" i="29" s="1"/>
  <c r="O34" i="12"/>
  <c r="P34" i="13" s="1"/>
  <c r="AH135" i="29" s="1"/>
  <c r="J10" i="20"/>
  <c r="I8" i="33"/>
  <c r="F21" i="12"/>
  <c r="G16" i="13"/>
  <c r="Y117" i="29" s="1"/>
  <c r="O42" i="12"/>
  <c r="P8" i="13"/>
  <c r="AH109" i="29" s="1"/>
  <c r="O15" i="12"/>
  <c r="P84" i="10"/>
  <c r="P72" i="10"/>
  <c r="P70" i="11"/>
  <c r="N16" i="13"/>
  <c r="AF117" i="29" s="1"/>
  <c r="M21" i="12"/>
  <c r="M22" i="12" s="1"/>
  <c r="N22" i="13" s="1"/>
  <c r="AF123" i="29" s="1"/>
  <c r="N32" i="33"/>
  <c r="H69" i="11"/>
  <c r="Y102" i="29"/>
  <c r="I83" i="10"/>
  <c r="I75" i="11"/>
  <c r="O39" i="11"/>
  <c r="AF85" i="29"/>
  <c r="F70" i="10"/>
  <c r="F66" i="11"/>
  <c r="F69" i="10"/>
  <c r="R66" i="10"/>
  <c r="AD85" i="29"/>
  <c r="Y85" i="29"/>
  <c r="H46" i="16"/>
  <c r="I10" i="21"/>
  <c r="Z246" i="29" s="1"/>
  <c r="N23" i="13"/>
  <c r="AF124" i="29" s="1"/>
  <c r="M34" i="12"/>
  <c r="N34" i="13" s="1"/>
  <c r="AF135" i="29" s="1"/>
  <c r="F23" i="13"/>
  <c r="X124" i="29" s="1"/>
  <c r="E22" i="12"/>
  <c r="F22" i="13" s="1"/>
  <c r="X123" i="29" s="1"/>
  <c r="E34" i="12"/>
  <c r="F34" i="13" s="1"/>
  <c r="X135" i="29" s="1"/>
  <c r="F22" i="12"/>
  <c r="G22" i="13" s="1"/>
  <c r="Y123" i="29" s="1"/>
  <c r="F34" i="12"/>
  <c r="G34" i="13" s="1"/>
  <c r="Y135" i="29" s="1"/>
  <c r="G23" i="13"/>
  <c r="Y124" i="29" s="1"/>
  <c r="D32" i="33"/>
  <c r="Q40" i="33"/>
  <c r="S40" i="33" s="1"/>
  <c r="J32" i="33"/>
  <c r="AC85" i="29"/>
  <c r="L39" i="11"/>
  <c r="H6" i="18"/>
  <c r="H6" i="19" s="1"/>
  <c r="Y199" i="29" s="1"/>
  <c r="G7" i="13"/>
  <c r="Y108" i="29" s="1"/>
  <c r="F40" i="10"/>
  <c r="F37" i="11"/>
  <c r="F75" i="10"/>
  <c r="F39" i="10"/>
  <c r="R37" i="10"/>
  <c r="H51" i="16"/>
  <c r="I11" i="20"/>
  <c r="I11" i="21" s="1"/>
  <c r="Z247" i="29" s="1"/>
  <c r="H9" i="33"/>
  <c r="J83" i="10"/>
  <c r="J75" i="11"/>
  <c r="J40" i="11"/>
  <c r="G46" i="16"/>
  <c r="H10" i="21"/>
  <c r="Y246" i="29" s="1"/>
  <c r="O21" i="12"/>
  <c r="O22" i="12" s="1"/>
  <c r="P22" i="13" s="1"/>
  <c r="AH123" i="29" s="1"/>
  <c r="P16" i="13"/>
  <c r="AH117" i="29" s="1"/>
  <c r="I42" i="12"/>
  <c r="I15" i="12"/>
  <c r="J8" i="13"/>
  <c r="AB109" i="29" s="1"/>
  <c r="L42" i="10"/>
  <c r="L40" i="11"/>
  <c r="Y253" i="29"/>
  <c r="H19" i="21"/>
  <c r="L42" i="12"/>
  <c r="L15" i="12"/>
  <c r="M8" i="13"/>
  <c r="AE109" i="29" s="1"/>
  <c r="E23" i="13"/>
  <c r="W124" i="29" s="1"/>
  <c r="D34" i="12"/>
  <c r="E34" i="13" s="1"/>
  <c r="W135" i="29" s="1"/>
  <c r="M83" i="10"/>
  <c r="M75" i="11"/>
  <c r="I7" i="13"/>
  <c r="AA108" i="29" s="1"/>
  <c r="J6" i="18"/>
  <c r="J6" i="19" s="1"/>
  <c r="AA199" i="29" s="1"/>
  <c r="H83" i="10"/>
  <c r="H77" i="10"/>
  <c r="H75" i="11"/>
  <c r="Q83" i="10"/>
  <c r="Q75" i="11"/>
  <c r="J23" i="13"/>
  <c r="AB124" i="29" s="1"/>
  <c r="I34" i="12"/>
  <c r="J34" i="13" s="1"/>
  <c r="AB135" i="29" s="1"/>
  <c r="H21" i="12"/>
  <c r="I16" i="13"/>
  <c r="AA117" i="29" s="1"/>
  <c r="E8" i="13"/>
  <c r="W109" i="29" s="1"/>
  <c r="D42" i="12"/>
  <c r="D15" i="12"/>
  <c r="J42" i="12"/>
  <c r="K8" i="13"/>
  <c r="AC109" i="29" s="1"/>
  <c r="J15" i="12"/>
  <c r="K69" i="11"/>
  <c r="AB102" i="29"/>
  <c r="H38" i="11"/>
  <c r="Y86" i="29" s="1"/>
  <c r="H76" i="10"/>
  <c r="H41" i="10"/>
  <c r="H41" i="11" s="1"/>
  <c r="Y88" i="29" s="1"/>
  <c r="F53" i="16"/>
  <c r="G13" i="20"/>
  <c r="G13" i="21" s="1"/>
  <c r="X249" i="29" s="1"/>
  <c r="F12" i="33"/>
  <c r="K42" i="12"/>
  <c r="K15" i="12"/>
  <c r="L8" i="13"/>
  <c r="AD109" i="29" s="1"/>
  <c r="P41" i="10"/>
  <c r="P41" i="11" s="1"/>
  <c r="AG88" i="29" s="1"/>
  <c r="P76" i="10"/>
  <c r="P38" i="11"/>
  <c r="AG86" i="29" s="1"/>
  <c r="J70" i="11"/>
  <c r="J72" i="10"/>
  <c r="J84" i="10"/>
  <c r="K76" i="10"/>
  <c r="K38" i="11"/>
  <c r="AB86" i="29" s="1"/>
  <c r="K41" i="10"/>
  <c r="K41" i="11" s="1"/>
  <c r="AB88" i="29" s="1"/>
  <c r="G10" i="21"/>
  <c r="X246" i="29" s="1"/>
  <c r="F46" i="16"/>
  <c r="L34" i="12"/>
  <c r="M34" i="13" s="1"/>
  <c r="AE135" i="29" s="1"/>
  <c r="M23" i="13"/>
  <c r="AE124" i="29" s="1"/>
  <c r="AC102" i="29"/>
  <c r="L69" i="11"/>
  <c r="E21" i="12"/>
  <c r="F16" i="13"/>
  <c r="X117" i="29" s="1"/>
  <c r="M16" i="13"/>
  <c r="AE117" i="29" s="1"/>
  <c r="L21" i="12"/>
  <c r="K75" i="11"/>
  <c r="K77" i="10"/>
  <c r="K83" i="10"/>
  <c r="N42" i="12"/>
  <c r="N15" i="12"/>
  <c r="O8" i="13"/>
  <c r="AG109" i="29" s="1"/>
  <c r="N69" i="11"/>
  <c r="AE102" i="29"/>
  <c r="AB85" i="29"/>
  <c r="K39" i="11"/>
  <c r="AD102" i="29"/>
  <c r="M69" i="11"/>
  <c r="Z85" i="29"/>
  <c r="O75" i="11"/>
  <c r="O77" i="10"/>
  <c r="O83" i="10"/>
  <c r="L32" i="33"/>
  <c r="F8" i="13"/>
  <c r="X109" i="29" s="1"/>
  <c r="E15" i="12"/>
  <c r="E42" i="12"/>
  <c r="M40" i="11"/>
  <c r="AF102" i="29"/>
  <c r="O69" i="11"/>
  <c r="Q40" i="11"/>
  <c r="M32" i="33"/>
  <c r="I6" i="18"/>
  <c r="I6" i="19" s="1"/>
  <c r="Z199" i="29" s="1"/>
  <c r="H7" i="13"/>
  <c r="Z108" i="29" s="1"/>
  <c r="J16" i="13"/>
  <c r="AB117" i="29" s="1"/>
  <c r="I21" i="12"/>
  <c r="Q21" i="33"/>
  <c r="S21" i="33" s="1"/>
  <c r="O30" i="33"/>
  <c r="Q30" i="33" s="1"/>
  <c r="S30" i="33" s="1"/>
  <c r="K84" i="10"/>
  <c r="K72" i="10"/>
  <c r="K70" i="11"/>
  <c r="K32" i="33"/>
  <c r="Q76" i="10"/>
  <c r="Q41" i="10"/>
  <c r="Q41" i="11" s="1"/>
  <c r="AH88" i="29" s="1"/>
  <c r="Q38" i="11"/>
  <c r="AH86" i="29" s="1"/>
  <c r="D21" i="12"/>
  <c r="E16" i="13"/>
  <c r="W117" i="29" s="1"/>
  <c r="M41" i="10"/>
  <c r="M41" i="11" s="1"/>
  <c r="AD88" i="29" s="1"/>
  <c r="M76" i="10"/>
  <c r="M77" i="10" s="1"/>
  <c r="M38" i="11"/>
  <c r="AD86" i="29" s="1"/>
  <c r="G40" i="11"/>
  <c r="G19" i="21"/>
  <c r="X253" i="29"/>
  <c r="P42" i="10"/>
  <c r="P40" i="11"/>
  <c r="N83" i="10"/>
  <c r="N75" i="11"/>
  <c r="P83" i="10"/>
  <c r="P77" i="10"/>
  <c r="P75" i="11"/>
  <c r="Q72" i="10"/>
  <c r="Q70" i="11"/>
  <c r="Q84" i="10"/>
  <c r="F32" i="33"/>
  <c r="M39" i="10"/>
  <c r="J41" i="10"/>
  <c r="J41" i="11" s="1"/>
  <c r="AA88" i="29" s="1"/>
  <c r="J76" i="10"/>
  <c r="J77" i="10" s="1"/>
  <c r="J38" i="11"/>
  <c r="AA86" i="29" s="1"/>
  <c r="Q39" i="11"/>
  <c r="AH85" i="29"/>
  <c r="M42" i="12"/>
  <c r="M15" i="12"/>
  <c r="N8" i="13"/>
  <c r="AF109" i="29" s="1"/>
  <c r="N22" i="12"/>
  <c r="O22" i="13" s="1"/>
  <c r="AG123" i="29" s="1"/>
  <c r="N34" i="12"/>
  <c r="O34" i="13" s="1"/>
  <c r="AG135" i="29" s="1"/>
  <c r="O23" i="13"/>
  <c r="AG124" i="29" s="1"/>
  <c r="N6" i="18"/>
  <c r="N6" i="19" s="1"/>
  <c r="AE199" i="29" s="1"/>
  <c r="M7" i="13"/>
  <c r="AE108" i="29" s="1"/>
  <c r="F22" i="20"/>
  <c r="F22" i="21" s="1"/>
  <c r="W255" i="29" s="1"/>
  <c r="Q49" i="33"/>
  <c r="S49" i="33" s="1"/>
  <c r="H52" i="16"/>
  <c r="I12" i="20"/>
  <c r="I12" i="21" s="1"/>
  <c r="Z248" i="29" s="1"/>
  <c r="H10" i="33"/>
  <c r="M6" i="18"/>
  <c r="M6" i="19" s="1"/>
  <c r="AD199" i="29" s="1"/>
  <c r="L7" i="13"/>
  <c r="AD108" i="29" s="1"/>
  <c r="G76" i="10"/>
  <c r="G41" i="10"/>
  <c r="G41" i="11" s="1"/>
  <c r="X88" i="29" s="1"/>
  <c r="G38" i="11"/>
  <c r="X86" i="29" s="1"/>
  <c r="L23" i="13"/>
  <c r="AD124" i="29" s="1"/>
  <c r="K34" i="12"/>
  <c r="L34" i="13" s="1"/>
  <c r="AD135" i="29" s="1"/>
  <c r="E19" i="33"/>
  <c r="G20" i="20" s="1"/>
  <c r="L72" i="10"/>
  <c r="L84" i="10"/>
  <c r="L70" i="11"/>
  <c r="G70" i="11"/>
  <c r="G84" i="10"/>
  <c r="G72" i="10"/>
  <c r="O7" i="13"/>
  <c r="AG108" i="29" s="1"/>
  <c r="P6" i="18"/>
  <c r="P6" i="19" s="1"/>
  <c r="AG199" i="29" s="1"/>
  <c r="L16" i="13"/>
  <c r="AD117" i="29" s="1"/>
  <c r="K21" i="12"/>
  <c r="F15" i="12"/>
  <c r="F42" i="12"/>
  <c r="G8" i="13"/>
  <c r="Y109" i="29" s="1"/>
  <c r="O84" i="10"/>
  <c r="O70" i="11"/>
  <c r="O72" i="10"/>
  <c r="Q39" i="10"/>
  <c r="I69" i="11"/>
  <c r="Z102" i="29"/>
  <c r="I41" i="10"/>
  <c r="I41" i="11" s="1"/>
  <c r="Z88" i="29" s="1"/>
  <c r="I76" i="10"/>
  <c r="I77" i="10" s="1"/>
  <c r="I38" i="11"/>
  <c r="Z86" i="29" s="1"/>
  <c r="I18" i="20"/>
  <c r="H17" i="33"/>
  <c r="H16" i="13"/>
  <c r="Z117" i="29" s="1"/>
  <c r="G21" i="12"/>
  <c r="P7" i="13"/>
  <c r="AH108" i="29" s="1"/>
  <c r="Q6" i="18"/>
  <c r="Q6" i="19" s="1"/>
  <c r="K6" i="18"/>
  <c r="K6" i="19" s="1"/>
  <c r="AB199" i="29" s="1"/>
  <c r="J7" i="13"/>
  <c r="AB108" i="29" s="1"/>
  <c r="I70" i="11"/>
  <c r="I72" i="10"/>
  <c r="I84" i="10"/>
  <c r="E7" i="13"/>
  <c r="W108" i="29" s="1"/>
  <c r="F6" i="18"/>
  <c r="F6" i="19" s="1"/>
  <c r="W199" i="29" s="1"/>
  <c r="H32" i="33"/>
  <c r="F19" i="21"/>
  <c r="W253" i="29"/>
  <c r="N76" i="10"/>
  <c r="N38" i="11"/>
  <c r="AE86" i="29" s="1"/>
  <c r="N41" i="10"/>
  <c r="N41" i="11" s="1"/>
  <c r="AE88" i="29" s="1"/>
  <c r="G77" i="10"/>
  <c r="G75" i="11"/>
  <c r="G83" i="10"/>
  <c r="K23" i="13"/>
  <c r="AC124" i="29" s="1"/>
  <c r="J22" i="12"/>
  <c r="K22" i="13" s="1"/>
  <c r="AC123" i="29" s="1"/>
  <c r="J34" i="12"/>
  <c r="K34" i="13" s="1"/>
  <c r="AC135" i="29" s="1"/>
  <c r="Q42" i="10" l="1"/>
  <c r="M15" i="13"/>
  <c r="AE116" i="29" s="1"/>
  <c r="L36" i="12"/>
  <c r="AH87" i="29"/>
  <c r="Q42" i="11"/>
  <c r="F40" i="11"/>
  <c r="F42" i="10"/>
  <c r="I72" i="11"/>
  <c r="Z104" i="29"/>
  <c r="I39" i="11"/>
  <c r="H42" i="11"/>
  <c r="Y87" i="29"/>
  <c r="I42" i="10"/>
  <c r="T38" i="10"/>
  <c r="T76" i="10" s="1"/>
  <c r="T85" i="10" s="1"/>
  <c r="R41" i="10"/>
  <c r="S38" i="10"/>
  <c r="R76" i="10"/>
  <c r="V37" i="10"/>
  <c r="Q72" i="11"/>
  <c r="AH104" i="29"/>
  <c r="G42" i="10"/>
  <c r="L38" i="12"/>
  <c r="M21" i="13"/>
  <c r="AE122" i="29" s="1"/>
  <c r="AA106" i="29"/>
  <c r="F84" i="10"/>
  <c r="F72" i="10"/>
  <c r="F70" i="11"/>
  <c r="H42" i="10"/>
  <c r="I42" i="11"/>
  <c r="Z87" i="29"/>
  <c r="W86" i="29"/>
  <c r="R38" i="11"/>
  <c r="H46" i="17"/>
  <c r="Y197" i="29" s="1"/>
  <c r="G47" i="16"/>
  <c r="H47" i="17" s="1"/>
  <c r="Y198" i="29" s="1"/>
  <c r="G49" i="16"/>
  <c r="H13" i="20"/>
  <c r="H13" i="21" s="1"/>
  <c r="Y249" i="29" s="1"/>
  <c r="G53" i="16"/>
  <c r="G12" i="33"/>
  <c r="AG104" i="29"/>
  <c r="P72" i="11"/>
  <c r="F46" i="17"/>
  <c r="E47" i="16"/>
  <c r="F47" i="17" s="1"/>
  <c r="W198" i="29" s="1"/>
  <c r="E49" i="16"/>
  <c r="G85" i="10"/>
  <c r="G76" i="11"/>
  <c r="X107" i="29" s="1"/>
  <c r="X87" i="29"/>
  <c r="G42" i="11"/>
  <c r="M42" i="10"/>
  <c r="K85" i="10"/>
  <c r="K76" i="11"/>
  <c r="AB107" i="29" s="1"/>
  <c r="L42" i="11"/>
  <c r="AC87" i="29"/>
  <c r="G39" i="11"/>
  <c r="P39" i="11"/>
  <c r="F85" i="10"/>
  <c r="F76" i="11"/>
  <c r="W107" i="29" s="1"/>
  <c r="J39" i="11"/>
  <c r="L15" i="13"/>
  <c r="AD116" i="29" s="1"/>
  <c r="K36" i="12"/>
  <c r="R69" i="10"/>
  <c r="T69" i="10" s="1"/>
  <c r="R70" i="10"/>
  <c r="T66" i="10"/>
  <c r="T70" i="10" s="1"/>
  <c r="T84" i="10" s="1"/>
  <c r="D36" i="12"/>
  <c r="E15" i="13"/>
  <c r="W116" i="29" s="1"/>
  <c r="M42" i="11"/>
  <c r="AD87" i="29"/>
  <c r="I21" i="13"/>
  <c r="AA122" i="29" s="1"/>
  <c r="H38" i="12"/>
  <c r="AD106" i="29"/>
  <c r="M77" i="11"/>
  <c r="P15" i="13"/>
  <c r="AH116" i="29" s="1"/>
  <c r="O36" i="12"/>
  <c r="AE104" i="29"/>
  <c r="N72" i="11"/>
  <c r="H22" i="12"/>
  <c r="I22" i="13" s="1"/>
  <c r="AA123" i="29" s="1"/>
  <c r="Q85" i="10"/>
  <c r="Q76" i="11"/>
  <c r="AH107" i="29" s="1"/>
  <c r="K43" i="12"/>
  <c r="L42" i="13"/>
  <c r="AA87" i="29"/>
  <c r="J42" i="11"/>
  <c r="G77" i="11"/>
  <c r="X106" i="29"/>
  <c r="F69" i="11"/>
  <c r="R66" i="11"/>
  <c r="W102" i="29"/>
  <c r="J12" i="20"/>
  <c r="J12" i="21" s="1"/>
  <c r="AA248" i="29" s="1"/>
  <c r="I52" i="16"/>
  <c r="I10" i="33"/>
  <c r="E43" i="12"/>
  <c r="F42" i="13"/>
  <c r="F21" i="13"/>
  <c r="X122" i="29" s="1"/>
  <c r="E38" i="12"/>
  <c r="H85" i="10"/>
  <c r="H76" i="11"/>
  <c r="Y107" i="29" s="1"/>
  <c r="I51" i="16"/>
  <c r="J11" i="20"/>
  <c r="J11" i="21" s="1"/>
  <c r="AA247" i="29" s="1"/>
  <c r="I9" i="33"/>
  <c r="M72" i="11"/>
  <c r="AD104" i="29"/>
  <c r="AG87" i="29"/>
  <c r="P42" i="11"/>
  <c r="Y104" i="29"/>
  <c r="H72" i="11"/>
  <c r="H36" i="12"/>
  <c r="I15" i="13"/>
  <c r="AA116" i="29" s="1"/>
  <c r="O199" i="29"/>
  <c r="AH199" i="29"/>
  <c r="X104" i="29"/>
  <c r="G72" i="11"/>
  <c r="AG106" i="29"/>
  <c r="P77" i="11"/>
  <c r="M76" i="11"/>
  <c r="AD107" i="29" s="1"/>
  <c r="M85" i="10"/>
  <c r="G38" i="12"/>
  <c r="H21" i="13"/>
  <c r="Z122" i="29" s="1"/>
  <c r="J21" i="13"/>
  <c r="AB122" i="29" s="1"/>
  <c r="I38" i="12"/>
  <c r="E36" i="12"/>
  <c r="F15" i="13"/>
  <c r="X116" i="29" s="1"/>
  <c r="J72" i="11"/>
  <c r="AA104" i="29"/>
  <c r="I22" i="12"/>
  <c r="J22" i="13" s="1"/>
  <c r="AB123" i="29" s="1"/>
  <c r="I36" i="12"/>
  <c r="J15" i="13"/>
  <c r="AB116" i="29" s="1"/>
  <c r="H49" i="16"/>
  <c r="I46" i="17"/>
  <c r="Z197" i="29" s="1"/>
  <c r="H47" i="16"/>
  <c r="I47" i="17" s="1"/>
  <c r="Z198" i="29" s="1"/>
  <c r="Z106" i="29"/>
  <c r="I77" i="11"/>
  <c r="P42" i="13"/>
  <c r="O43" i="12"/>
  <c r="N42" i="10"/>
  <c r="O85" i="10"/>
  <c r="O76" i="11"/>
  <c r="AF107" i="29" s="1"/>
  <c r="L21" i="13"/>
  <c r="AD122" i="29" s="1"/>
  <c r="N43" i="12"/>
  <c r="O42" i="13"/>
  <c r="I85" i="10"/>
  <c r="I76" i="11"/>
  <c r="Z107" i="29" s="1"/>
  <c r="F47" i="16"/>
  <c r="G47" i="17" s="1"/>
  <c r="X198" i="29" s="1"/>
  <c r="F49" i="16"/>
  <c r="G46" i="17"/>
  <c r="X197" i="29" s="1"/>
  <c r="F39" i="11"/>
  <c r="R37" i="11"/>
  <c r="W85" i="29"/>
  <c r="H43" i="12"/>
  <c r="I42" i="13"/>
  <c r="E42" i="13"/>
  <c r="D43" i="12"/>
  <c r="N76" i="11"/>
  <c r="AE107" i="29" s="1"/>
  <c r="N85" i="10"/>
  <c r="AC104" i="29"/>
  <c r="L72" i="11"/>
  <c r="J42" i="13"/>
  <c r="I43" i="12"/>
  <c r="Q32" i="33"/>
  <c r="S32" i="33" s="1"/>
  <c r="H16" i="20"/>
  <c r="G14" i="33"/>
  <c r="F19" i="33"/>
  <c r="H20" i="20" s="1"/>
  <c r="H42" i="13"/>
  <c r="G43" i="12"/>
  <c r="K42" i="11"/>
  <c r="AB87" i="29"/>
  <c r="N42" i="11"/>
  <c r="AE87" i="29"/>
  <c r="K21" i="13"/>
  <c r="AC122" i="29" s="1"/>
  <c r="J38" i="12"/>
  <c r="F75" i="11"/>
  <c r="F83" i="10"/>
  <c r="F77" i="10"/>
  <c r="AF106" i="29"/>
  <c r="O77" i="11"/>
  <c r="Y106" i="29"/>
  <c r="H77" i="11"/>
  <c r="I46" i="16"/>
  <c r="J10" i="21"/>
  <c r="AA246" i="29" s="1"/>
  <c r="M42" i="13"/>
  <c r="L43" i="12"/>
  <c r="AC106" i="29"/>
  <c r="K77" i="11"/>
  <c r="AB106" i="29"/>
  <c r="J42" i="10"/>
  <c r="M36" i="12"/>
  <c r="N15" i="13"/>
  <c r="AF116" i="29" s="1"/>
  <c r="O72" i="11"/>
  <c r="AF104" i="29"/>
  <c r="M43" i="12"/>
  <c r="N42" i="13"/>
  <c r="AE106" i="29"/>
  <c r="J18" i="20"/>
  <c r="I17" i="33"/>
  <c r="F43" i="12"/>
  <c r="G42" i="13"/>
  <c r="G20" i="21"/>
  <c r="G21" i="20"/>
  <c r="E21" i="13"/>
  <c r="W122" i="29" s="1"/>
  <c r="D38" i="12"/>
  <c r="P85" i="10"/>
  <c r="P76" i="11"/>
  <c r="AG107" i="29" s="1"/>
  <c r="Q77" i="10"/>
  <c r="D22" i="12"/>
  <c r="E22" i="13" s="1"/>
  <c r="W123" i="29" s="1"/>
  <c r="R40" i="10"/>
  <c r="S37" i="10"/>
  <c r="S39" i="10" s="1"/>
  <c r="S39" i="11" s="1"/>
  <c r="R75" i="10"/>
  <c r="U37" i="10"/>
  <c r="U38" i="10" s="1"/>
  <c r="R39" i="10"/>
  <c r="T39" i="10" s="1"/>
  <c r="T37" i="10"/>
  <c r="T75" i="10" s="1"/>
  <c r="H39" i="11"/>
  <c r="F38" i="12"/>
  <c r="G21" i="13"/>
  <c r="Y122" i="29" s="1"/>
  <c r="G17" i="20"/>
  <c r="G16" i="21"/>
  <c r="G36" i="12"/>
  <c r="H15" i="13"/>
  <c r="Z116" i="29" s="1"/>
  <c r="K42" i="10"/>
  <c r="F21" i="21"/>
  <c r="W254" i="29"/>
  <c r="L85" i="10"/>
  <c r="L76" i="11"/>
  <c r="AC107" i="29" s="1"/>
  <c r="K22" i="12"/>
  <c r="L22" i="13" s="1"/>
  <c r="AD123" i="29" s="1"/>
  <c r="K42" i="13"/>
  <c r="J43" i="12"/>
  <c r="N21" i="13"/>
  <c r="AF122" i="29" s="1"/>
  <c r="M38" i="12"/>
  <c r="AB104" i="29"/>
  <c r="K72" i="11"/>
  <c r="I18" i="21"/>
  <c r="I19" i="20"/>
  <c r="F36" i="12"/>
  <c r="G15" i="13"/>
  <c r="Y116" i="29" s="1"/>
  <c r="J76" i="11"/>
  <c r="AA107" i="29" s="1"/>
  <c r="J85" i="10"/>
  <c r="N77" i="10"/>
  <c r="O15" i="13"/>
  <c r="AG116" i="29" s="1"/>
  <c r="N36" i="12"/>
  <c r="L22" i="12"/>
  <c r="M22" i="13" s="1"/>
  <c r="AE123" i="29" s="1"/>
  <c r="J36" i="12"/>
  <c r="K15" i="13"/>
  <c r="AC116" i="29" s="1"/>
  <c r="AH106" i="29"/>
  <c r="Q77" i="11"/>
  <c r="P21" i="13"/>
  <c r="AH122" i="29" s="1"/>
  <c r="O38" i="12"/>
  <c r="M39" i="11"/>
  <c r="K10" i="20"/>
  <c r="J8" i="33"/>
  <c r="O42" i="11"/>
  <c r="AF87" i="29"/>
  <c r="O21" i="13"/>
  <c r="AG122" i="29" s="1"/>
  <c r="N38" i="12"/>
  <c r="I49" i="16" l="1"/>
  <c r="J46" i="17"/>
  <c r="AA197" i="29" s="1"/>
  <c r="I47" i="16"/>
  <c r="J47" i="17" s="1"/>
  <c r="AA198" i="29" s="1"/>
  <c r="E39" i="12"/>
  <c r="F38" i="13"/>
  <c r="H39" i="12"/>
  <c r="I38" i="13"/>
  <c r="G43" i="13"/>
  <c r="Y139" i="29"/>
  <c r="H21" i="20"/>
  <c r="H20" i="21"/>
  <c r="AA139" i="29"/>
  <c r="I43" i="13"/>
  <c r="K38" i="12"/>
  <c r="J52" i="16"/>
  <c r="K12" i="20"/>
  <c r="K12" i="21" s="1"/>
  <c r="AB248" i="29" s="1"/>
  <c r="J10" i="33"/>
  <c r="J38" i="13"/>
  <c r="I39" i="12"/>
  <c r="D39" i="12"/>
  <c r="E38" i="13"/>
  <c r="K10" i="21"/>
  <c r="AB246" i="29" s="1"/>
  <c r="J46" i="16"/>
  <c r="W139" i="29"/>
  <c r="E43" i="13"/>
  <c r="I16" i="20"/>
  <c r="H14" i="33"/>
  <c r="G19" i="33"/>
  <c r="I20" i="20" s="1"/>
  <c r="J36" i="13"/>
  <c r="I40" i="12"/>
  <c r="I37" i="12"/>
  <c r="W197" i="29"/>
  <c r="F42" i="11"/>
  <c r="W87" i="29"/>
  <c r="M38" i="13"/>
  <c r="L39" i="12"/>
  <c r="G36" i="13"/>
  <c r="F37" i="12"/>
  <c r="F40" i="12"/>
  <c r="E36" i="13"/>
  <c r="D37" i="12"/>
  <c r="D40" i="12"/>
  <c r="R85" i="10"/>
  <c r="R76" i="11"/>
  <c r="O107" i="29" s="1"/>
  <c r="K43" i="13"/>
  <c r="AC139" i="29"/>
  <c r="H38" i="13"/>
  <c r="G39" i="12"/>
  <c r="O39" i="12"/>
  <c r="P38" i="13"/>
  <c r="Z139" i="29"/>
  <c r="H43" i="13"/>
  <c r="Z253" i="29"/>
  <c r="I19" i="21"/>
  <c r="U40" i="10"/>
  <c r="R40" i="11"/>
  <c r="R42" i="10"/>
  <c r="T42" i="10" s="1"/>
  <c r="T40" i="10"/>
  <c r="J18" i="21"/>
  <c r="J19" i="20"/>
  <c r="L77" i="11"/>
  <c r="F77" i="11"/>
  <c r="W106" i="29"/>
  <c r="U37" i="11"/>
  <c r="O85" i="29"/>
  <c r="T37" i="11"/>
  <c r="T75" i="11" s="1"/>
  <c r="R39" i="11"/>
  <c r="T39" i="11" s="1"/>
  <c r="K11" i="20"/>
  <c r="K11" i="21" s="1"/>
  <c r="AB247" i="29" s="1"/>
  <c r="J51" i="16"/>
  <c r="J9" i="33"/>
  <c r="W104" i="29"/>
  <c r="F72" i="11"/>
  <c r="V37" i="11"/>
  <c r="V41" i="11" s="1"/>
  <c r="T38" i="11"/>
  <c r="T76" i="11" s="1"/>
  <c r="O86" i="29"/>
  <c r="G21" i="21"/>
  <c r="X254" i="29"/>
  <c r="G37" i="12"/>
  <c r="H36" i="13"/>
  <c r="G40" i="12"/>
  <c r="N77" i="11"/>
  <c r="K38" i="13"/>
  <c r="J39" i="12"/>
  <c r="R69" i="11"/>
  <c r="T69" i="11" s="1"/>
  <c r="T66" i="11"/>
  <c r="T70" i="11" s="1"/>
  <c r="O102" i="29"/>
  <c r="R70" i="11"/>
  <c r="R72" i="10"/>
  <c r="R84" i="10"/>
  <c r="I13" i="20"/>
  <c r="I13" i="21" s="1"/>
  <c r="Z249" i="29" s="1"/>
  <c r="H53" i="16"/>
  <c r="H12" i="33"/>
  <c r="R41" i="11"/>
  <c r="T41" i="10"/>
  <c r="V40" i="10"/>
  <c r="L40" i="12"/>
  <c r="M36" i="13"/>
  <c r="L37" i="12"/>
  <c r="L10" i="20"/>
  <c r="K8" i="33"/>
  <c r="X139" i="29"/>
  <c r="F43" i="13"/>
  <c r="M37" i="12"/>
  <c r="N36" i="13"/>
  <c r="M40" i="12"/>
  <c r="K18" i="20"/>
  <c r="J17" i="33"/>
  <c r="H17" i="20"/>
  <c r="H16" i="21"/>
  <c r="N39" i="12"/>
  <c r="O38" i="13"/>
  <c r="M39" i="12"/>
  <c r="N38" i="13"/>
  <c r="X252" i="29"/>
  <c r="G17" i="21"/>
  <c r="AB139" i="29"/>
  <c r="J43" i="13"/>
  <c r="O37" i="12"/>
  <c r="O40" i="12"/>
  <c r="P36" i="13"/>
  <c r="F39" i="12"/>
  <c r="G38" i="13"/>
  <c r="I36" i="13"/>
  <c r="H40" i="12"/>
  <c r="H37" i="12"/>
  <c r="T83" i="10"/>
  <c r="T77" i="10"/>
  <c r="AG139" i="29"/>
  <c r="O43" i="13"/>
  <c r="AD139" i="29"/>
  <c r="L43" i="13"/>
  <c r="R77" i="10"/>
  <c r="R83" i="10"/>
  <c r="R75" i="11"/>
  <c r="J37" i="12"/>
  <c r="K36" i="13"/>
  <c r="J40" i="12"/>
  <c r="N40" i="12"/>
  <c r="N37" i="12"/>
  <c r="O36" i="13"/>
  <c r="N43" i="13"/>
  <c r="AF139" i="29"/>
  <c r="AE139" i="29"/>
  <c r="M43" i="13"/>
  <c r="AH139" i="29"/>
  <c r="P43" i="13"/>
  <c r="E37" i="12"/>
  <c r="F36" i="13"/>
  <c r="E40" i="12"/>
  <c r="K40" i="12"/>
  <c r="K37" i="12"/>
  <c r="L36" i="13"/>
  <c r="J77" i="11"/>
  <c r="N37" i="13" l="1"/>
  <c r="AF136" i="29"/>
  <c r="W137" i="29"/>
  <c r="E39" i="13"/>
  <c r="E40" i="13"/>
  <c r="D46" i="12"/>
  <c r="D41" i="12"/>
  <c r="L11" i="20"/>
  <c r="L11" i="21" s="1"/>
  <c r="AC247" i="29" s="1"/>
  <c r="K51" i="16"/>
  <c r="K9" i="33"/>
  <c r="G46" i="12"/>
  <c r="G41" i="12"/>
  <c r="H40" i="13"/>
  <c r="J41" i="12"/>
  <c r="K40" i="13"/>
  <c r="J46" i="12"/>
  <c r="M10" i="20"/>
  <c r="L8" i="33"/>
  <c r="I41" i="12"/>
  <c r="I46" i="12"/>
  <c r="J40" i="13"/>
  <c r="J39" i="13"/>
  <c r="AB137" i="29"/>
  <c r="AA137" i="29"/>
  <c r="I39" i="13"/>
  <c r="L40" i="13"/>
  <c r="K41" i="12"/>
  <c r="K46" i="12"/>
  <c r="E46" i="12"/>
  <c r="E41" i="12"/>
  <c r="F40" i="13"/>
  <c r="H41" i="12"/>
  <c r="H46" i="12"/>
  <c r="I40" i="13"/>
  <c r="K46" i="16"/>
  <c r="L10" i="21"/>
  <c r="AC246" i="29" s="1"/>
  <c r="U38" i="11"/>
  <c r="U41" i="11"/>
  <c r="U42" i="11" s="1"/>
  <c r="W136" i="29"/>
  <c r="E37" i="13"/>
  <c r="J37" i="13"/>
  <c r="AB136" i="29"/>
  <c r="K52" i="16"/>
  <c r="L12" i="20"/>
  <c r="L12" i="21" s="1"/>
  <c r="AC248" i="29" s="1"/>
  <c r="K10" i="33"/>
  <c r="AC137" i="29"/>
  <c r="K39" i="13"/>
  <c r="O37" i="13"/>
  <c r="AG136" i="29"/>
  <c r="H37" i="13"/>
  <c r="Z136" i="29"/>
  <c r="O39" i="13"/>
  <c r="AG137" i="29"/>
  <c r="R77" i="11"/>
  <c r="T77" i="11" s="1"/>
  <c r="O106" i="29"/>
  <c r="G39" i="13"/>
  <c r="Y137" i="29"/>
  <c r="O104" i="29"/>
  <c r="R72" i="11"/>
  <c r="T72" i="11" s="1"/>
  <c r="F41" i="12"/>
  <c r="G40" i="13"/>
  <c r="F46" i="12"/>
  <c r="I20" i="21"/>
  <c r="I21" i="20"/>
  <c r="X137" i="29"/>
  <c r="F39" i="13"/>
  <c r="L37" i="13"/>
  <c r="AD136" i="29"/>
  <c r="P39" i="13"/>
  <c r="AH137" i="29"/>
  <c r="J16" i="20"/>
  <c r="I14" i="33"/>
  <c r="H19" i="33"/>
  <c r="J20" i="20" s="1"/>
  <c r="I53" i="16"/>
  <c r="J13" i="20"/>
  <c r="J13" i="21" s="1"/>
  <c r="AA249" i="29" s="1"/>
  <c r="I12" i="33"/>
  <c r="AF137" i="29"/>
  <c r="N39" i="13"/>
  <c r="K37" i="13"/>
  <c r="AC136" i="29"/>
  <c r="P37" i="13"/>
  <c r="AH136" i="29"/>
  <c r="Y136" i="29"/>
  <c r="G37" i="13"/>
  <c r="I16" i="21"/>
  <c r="I17" i="20"/>
  <c r="K39" i="12"/>
  <c r="L38" i="13"/>
  <c r="H21" i="21"/>
  <c r="Y254" i="29"/>
  <c r="V40" i="11"/>
  <c r="O88" i="29"/>
  <c r="T41" i="11"/>
  <c r="O87" i="29"/>
  <c r="R42" i="11"/>
  <c r="T42" i="11" s="1"/>
  <c r="T40" i="11"/>
  <c r="U40" i="11"/>
  <c r="H17" i="21"/>
  <c r="Y252" i="29"/>
  <c r="L18" i="20"/>
  <c r="K17" i="33"/>
  <c r="M40" i="13"/>
  <c r="L46" i="12"/>
  <c r="L41" i="12"/>
  <c r="N40" i="13"/>
  <c r="M41" i="12"/>
  <c r="M46" i="12"/>
  <c r="K46" i="17"/>
  <c r="J47" i="16"/>
  <c r="K47" i="17" s="1"/>
  <c r="AB198" i="29" s="1"/>
  <c r="J49" i="16"/>
  <c r="N41" i="12"/>
  <c r="O40" i="13"/>
  <c r="N46" i="12"/>
  <c r="X136" i="29"/>
  <c r="F37" i="13"/>
  <c r="I37" i="13"/>
  <c r="AA136" i="29"/>
  <c r="AE136" i="29"/>
  <c r="M37" i="13"/>
  <c r="P40" i="13"/>
  <c r="O41" i="12"/>
  <c r="O46" i="12"/>
  <c r="K19" i="20"/>
  <c r="K18" i="21"/>
  <c r="AA253" i="29"/>
  <c r="J19" i="21"/>
  <c r="Z137" i="29"/>
  <c r="H39" i="13"/>
  <c r="M39" i="13"/>
  <c r="AE137" i="29"/>
  <c r="N10" i="20" l="1"/>
  <c r="M8" i="33"/>
  <c r="L52" i="16"/>
  <c r="M12" i="20"/>
  <c r="M12" i="21" s="1"/>
  <c r="AD248" i="29" s="1"/>
  <c r="L10" i="33"/>
  <c r="M18" i="20"/>
  <c r="L17" i="33"/>
  <c r="J53" i="16"/>
  <c r="K13" i="20"/>
  <c r="K13" i="21" s="1"/>
  <c r="AB249" i="29" s="1"/>
  <c r="J12" i="33"/>
  <c r="L46" i="16"/>
  <c r="M10" i="21"/>
  <c r="AD246" i="29" s="1"/>
  <c r="W138" i="29"/>
  <c r="E46" i="13"/>
  <c r="E41" i="13"/>
  <c r="AD137" i="29"/>
  <c r="L39" i="13"/>
  <c r="I21" i="21"/>
  <c r="Z254" i="29"/>
  <c r="L51" i="16"/>
  <c r="M11" i="20"/>
  <c r="M11" i="21" s="1"/>
  <c r="AD247" i="29" s="1"/>
  <c r="L9" i="33"/>
  <c r="X138" i="29"/>
  <c r="F46" i="13"/>
  <c r="F41" i="13"/>
  <c r="L46" i="13"/>
  <c r="L41" i="13"/>
  <c r="AD138" i="29"/>
  <c r="K46" i="13"/>
  <c r="K41" i="13"/>
  <c r="AC138" i="29"/>
  <c r="N46" i="13"/>
  <c r="N41" i="13"/>
  <c r="AF138" i="29"/>
  <c r="J46" i="13"/>
  <c r="J41" i="13"/>
  <c r="AB138" i="29"/>
  <c r="Z252" i="29"/>
  <c r="I17" i="21"/>
  <c r="J20" i="21"/>
  <c r="J21" i="20"/>
  <c r="Y138" i="29"/>
  <c r="G46" i="13"/>
  <c r="G41" i="13"/>
  <c r="M41" i="13"/>
  <c r="M46" i="13"/>
  <c r="AE138" i="29"/>
  <c r="K19" i="21"/>
  <c r="AB253" i="29"/>
  <c r="AB197" i="29"/>
  <c r="K16" i="20"/>
  <c r="J14" i="33"/>
  <c r="I19" i="33"/>
  <c r="K20" i="20" s="1"/>
  <c r="H46" i="13"/>
  <c r="H41" i="13"/>
  <c r="Z138" i="29"/>
  <c r="I41" i="13"/>
  <c r="AA138" i="29"/>
  <c r="I46" i="13"/>
  <c r="O46" i="13"/>
  <c r="AG138" i="29"/>
  <c r="O41" i="13"/>
  <c r="L18" i="21"/>
  <c r="L19" i="20"/>
  <c r="P41" i="13"/>
  <c r="AH138" i="29"/>
  <c r="P46" i="13"/>
  <c r="J16" i="21"/>
  <c r="J17" i="20"/>
  <c r="L46" i="17"/>
  <c r="AC197" i="29" s="1"/>
  <c r="K47" i="16"/>
  <c r="L47" i="17" s="1"/>
  <c r="AC198" i="29" s="1"/>
  <c r="K49" i="16"/>
  <c r="K53" i="16" l="1"/>
  <c r="L13" i="20"/>
  <c r="L13" i="21" s="1"/>
  <c r="AC249" i="29" s="1"/>
  <c r="K12" i="33"/>
  <c r="L47" i="16"/>
  <c r="M47" i="17" s="1"/>
  <c r="AD198" i="29" s="1"/>
  <c r="L49" i="16"/>
  <c r="M46" i="17"/>
  <c r="AD197" i="29" s="1"/>
  <c r="J17" i="21"/>
  <c r="AA252" i="29"/>
  <c r="K21" i="20"/>
  <c r="K20" i="21"/>
  <c r="M19" i="20"/>
  <c r="M18" i="21"/>
  <c r="M52" i="16"/>
  <c r="N12" i="20"/>
  <c r="N12" i="21" s="1"/>
  <c r="AE248" i="29" s="1"/>
  <c r="M10" i="33"/>
  <c r="K17" i="20"/>
  <c r="K16" i="21"/>
  <c r="AA254" i="29"/>
  <c r="J21" i="21"/>
  <c r="L16" i="20"/>
  <c r="K14" i="33"/>
  <c r="J19" i="33"/>
  <c r="L20" i="20" s="1"/>
  <c r="AC253" i="29"/>
  <c r="L19" i="21"/>
  <c r="N11" i="20"/>
  <c r="N11" i="21" s="1"/>
  <c r="AE247" i="29" s="1"/>
  <c r="M51" i="16"/>
  <c r="M9" i="33"/>
  <c r="N18" i="20"/>
  <c r="M17" i="33"/>
  <c r="O10" i="20"/>
  <c r="N8" i="33"/>
  <c r="N10" i="21"/>
  <c r="AE246" i="29" s="1"/>
  <c r="M46" i="16"/>
  <c r="P10" i="20" l="1"/>
  <c r="O8" i="33"/>
  <c r="L16" i="21"/>
  <c r="L17" i="20"/>
  <c r="O18" i="20"/>
  <c r="N17" i="33"/>
  <c r="K17" i="21"/>
  <c r="AB252" i="29"/>
  <c r="M47" i="16"/>
  <c r="N47" i="17" s="1"/>
  <c r="AE198" i="29" s="1"/>
  <c r="M49" i="16"/>
  <c r="N46" i="17"/>
  <c r="AE197" i="29" s="1"/>
  <c r="AB254" i="29"/>
  <c r="K21" i="21"/>
  <c r="N46" i="16"/>
  <c r="O10" i="21"/>
  <c r="AF246" i="29" s="1"/>
  <c r="N18" i="21"/>
  <c r="N19" i="20"/>
  <c r="M16" i="20"/>
  <c r="L14" i="33"/>
  <c r="K19" i="33"/>
  <c r="M20" i="20" s="1"/>
  <c r="M13" i="20"/>
  <c r="M13" i="21" s="1"/>
  <c r="AD249" i="29" s="1"/>
  <c r="L53" i="16"/>
  <c r="L12" i="33"/>
  <c r="O11" i="20"/>
  <c r="O11" i="21" s="1"/>
  <c r="AF247" i="29" s="1"/>
  <c r="N51" i="16"/>
  <c r="N9" i="33"/>
  <c r="AD253" i="29"/>
  <c r="M19" i="21"/>
  <c r="L21" i="20"/>
  <c r="L20" i="21"/>
  <c r="N52" i="16"/>
  <c r="O12" i="20"/>
  <c r="O12" i="21" s="1"/>
  <c r="AF248" i="29" s="1"/>
  <c r="N10" i="33"/>
  <c r="O52" i="16" l="1"/>
  <c r="P12" i="20"/>
  <c r="P12" i="21" s="1"/>
  <c r="AG248" i="29" s="1"/>
  <c r="O10" i="33"/>
  <c r="M20" i="21"/>
  <c r="M21" i="20"/>
  <c r="N16" i="20"/>
  <c r="M14" i="33"/>
  <c r="L19" i="33"/>
  <c r="N20" i="20" s="1"/>
  <c r="M16" i="21"/>
  <c r="M17" i="20"/>
  <c r="Q8" i="33"/>
  <c r="S8" i="33" s="1"/>
  <c r="Q10" i="20"/>
  <c r="P18" i="20"/>
  <c r="O17" i="33"/>
  <c r="O19" i="20"/>
  <c r="O18" i="21"/>
  <c r="N19" i="21"/>
  <c r="AE253" i="29"/>
  <c r="AC252" i="29"/>
  <c r="L17" i="21"/>
  <c r="P10" i="21"/>
  <c r="AG246" i="29" s="1"/>
  <c r="O46" i="16"/>
  <c r="M53" i="16"/>
  <c r="N13" i="20"/>
  <c r="N13" i="21" s="1"/>
  <c r="AE249" i="29" s="1"/>
  <c r="M12" i="33"/>
  <c r="L21" i="21"/>
  <c r="AC254" i="29"/>
  <c r="O51" i="16"/>
  <c r="P11" i="20"/>
  <c r="P11" i="21" s="1"/>
  <c r="AG247" i="29" s="1"/>
  <c r="O9" i="33"/>
  <c r="O46" i="17"/>
  <c r="AF197" i="29" s="1"/>
  <c r="N49" i="16"/>
  <c r="N47" i="16"/>
  <c r="O47" i="17" s="1"/>
  <c r="AF198" i="29" s="1"/>
  <c r="Q9" i="33" l="1"/>
  <c r="S9" i="33" s="1"/>
  <c r="P51" i="16"/>
  <c r="Q11" i="20"/>
  <c r="Q11" i="21" s="1"/>
  <c r="AH247" i="29" s="1"/>
  <c r="O16" i="20"/>
  <c r="N14" i="33"/>
  <c r="M19" i="33"/>
  <c r="O20" i="20" s="1"/>
  <c r="Q17" i="33"/>
  <c r="S17" i="33" s="1"/>
  <c r="Q18" i="20"/>
  <c r="M21" i="21"/>
  <c r="AD254" i="29"/>
  <c r="M17" i="21"/>
  <c r="AD252" i="29"/>
  <c r="Q10" i="33"/>
  <c r="S10" i="33" s="1"/>
  <c r="P52" i="16"/>
  <c r="Q12" i="20"/>
  <c r="Q12" i="21" s="1"/>
  <c r="AH248" i="29" s="1"/>
  <c r="N20" i="21"/>
  <c r="N21" i="20"/>
  <c r="AF253" i="29"/>
  <c r="O19" i="21"/>
  <c r="N17" i="20"/>
  <c r="N16" i="21"/>
  <c r="Q10" i="21"/>
  <c r="AH246" i="29" s="1"/>
  <c r="P46" i="16"/>
  <c r="P46" i="17"/>
  <c r="AG197" i="29" s="1"/>
  <c r="O49" i="16"/>
  <c r="O47" i="16"/>
  <c r="P47" i="17" s="1"/>
  <c r="AG198" i="29" s="1"/>
  <c r="O13" i="20"/>
  <c r="O13" i="21" s="1"/>
  <c r="AF249" i="29" s="1"/>
  <c r="N53" i="16"/>
  <c r="N12" i="33"/>
  <c r="P19" i="20"/>
  <c r="P18" i="21"/>
  <c r="Q46" i="17" l="1"/>
  <c r="P49" i="16"/>
  <c r="P47" i="16"/>
  <c r="Q46" i="16"/>
  <c r="Q47" i="16" s="1"/>
  <c r="P16" i="20"/>
  <c r="O14" i="33"/>
  <c r="N19" i="33"/>
  <c r="P20" i="20" s="1"/>
  <c r="N17" i="21"/>
  <c r="AE252" i="29"/>
  <c r="Q19" i="20"/>
  <c r="Q18" i="21"/>
  <c r="O20" i="21"/>
  <c r="O21" i="20"/>
  <c r="O16" i="21"/>
  <c r="O17" i="20"/>
  <c r="AG253" i="29"/>
  <c r="P19" i="21"/>
  <c r="O53" i="16"/>
  <c r="P13" i="20"/>
  <c r="P13" i="21" s="1"/>
  <c r="AG249" i="29" s="1"/>
  <c r="O12" i="33"/>
  <c r="N21" i="21"/>
  <c r="AE254" i="29"/>
  <c r="Q12" i="33" l="1"/>
  <c r="S12" i="33" s="1"/>
  <c r="P53" i="16"/>
  <c r="Q13" i="20"/>
  <c r="Q13" i="21" s="1"/>
  <c r="AH249" i="29" s="1"/>
  <c r="Q19" i="21"/>
  <c r="AH253" i="29"/>
  <c r="P20" i="21"/>
  <c r="P21" i="20"/>
  <c r="Q14" i="33"/>
  <c r="S14" i="33" s="1"/>
  <c r="Q16" i="20"/>
  <c r="O19" i="33"/>
  <c r="O21" i="21"/>
  <c r="AF254" i="29"/>
  <c r="P16" i="21"/>
  <c r="P17" i="20"/>
  <c r="R47" i="17"/>
  <c r="S15" i="20"/>
  <c r="Q14" i="20"/>
  <c r="Q14" i="21" s="1"/>
  <c r="AH250" i="29" s="1"/>
  <c r="Q47" i="17"/>
  <c r="S14" i="20"/>
  <c r="O17" i="21"/>
  <c r="AF252" i="29"/>
  <c r="AH197" i="29"/>
  <c r="O197" i="29"/>
  <c r="R46" i="17"/>
  <c r="T14" i="20" l="1"/>
  <c r="S14" i="21"/>
  <c r="Q19" i="33"/>
  <c r="S19" i="33" s="1"/>
  <c r="Q20" i="20"/>
  <c r="Q17" i="20"/>
  <c r="Q16" i="21"/>
  <c r="AH198" i="29"/>
  <c r="O198" i="29"/>
  <c r="AG254" i="29"/>
  <c r="P21" i="21"/>
  <c r="T15" i="20"/>
  <c r="S15" i="21"/>
  <c r="AG252" i="29"/>
  <c r="P17" i="21"/>
  <c r="AH252" i="29" l="1"/>
  <c r="Q17" i="21"/>
  <c r="Q21" i="20"/>
  <c r="Q20" i="21"/>
  <c r="T14" i="21"/>
  <c r="O250" i="29"/>
  <c r="O251" i="29"/>
  <c r="T15" i="21"/>
  <c r="AH254" i="29" l="1"/>
  <c r="Q21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tc={53185747-8E9E-4B2E-A41F-92CF0BC1CACF}</author>
    <author>tc={1B44DEBA-29AB-4153-8097-1DBAD2C34DA6}</author>
    <author>Rhee, SeokWoo</author>
  </authors>
  <commentList>
    <comment ref="I10" authorId="0" shapeId="0" xr:uid="{53185747-8E9E-4B2E-A41F-92CF0BC1CACF}">
      <text>
        <t>[Threaded comment]
Your version of Excel allows you to read this threaded comment; however, any edits to it will get removed if the file is opened in a newer version of Excel. Learn more: https://go.microsoft.com/fwlink/?linkid=870924
Comment:
    Re-DTC measures incl. in Budget BOM</t>
      </text>
    </comment>
    <comment ref="I12" authorId="1" shapeId="0" xr:uid="{1B44DEBA-29AB-4153-8097-1DBAD2C34DA6}">
      <text>
        <t>[Threaded comment]
Your version of Excel allows you to read this threaded comment; however, any edits to it will get removed if the file is opened in a newer version of Excel. Learn more: https://go.microsoft.com/fwlink/?linkid=870924
Comment:
    Re-DTC measures add on Budget BOM</t>
      </text>
    </comment>
    <comment ref="M19" authorId="2" shapeId="0" xr:uid="{37CFF14D-8F53-4818-B970-176CC62FEB3F}">
      <text>
        <r>
          <rPr>
            <b/>
            <sz val="9"/>
            <color indexed="81"/>
            <rFont val="Tahoma"/>
            <family val="2"/>
          </rPr>
          <t>Rhee, SeokWoo:</t>
        </r>
        <r>
          <rPr>
            <sz val="9"/>
            <color indexed="81"/>
            <rFont val="Tahoma"/>
            <family val="2"/>
          </rPr>
          <t xml:space="preserve">
36K EUR productivity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tc={A4062738-182B-4DB3-9C4F-2710F9370C30}</author>
  </authors>
  <commentList>
    <comment ref="B7" authorId="0" shapeId="0" xr:uid="{A4062738-182B-4DB3-9C4F-2710F9370C30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overwrite with your respective Product Group, Line, etc.</t>
      </text>
    </comment>
  </commentList>
</comments>
</file>

<file path=xl/sharedStrings.xml><?xml version="1.0" encoding="utf-8"?>
<sst xmlns="http://schemas.openxmlformats.org/spreadsheetml/2006/main" count="5728" uniqueCount="1547">
  <si>
    <t>Version History</t>
  </si>
  <si>
    <t>V2</t>
  </si>
  <si>
    <t>Plant Selections</t>
  </si>
  <si>
    <t>DIV, BU &amp; Outlet Codes</t>
  </si>
  <si>
    <t>Currency Rates BS (Cur FX)</t>
  </si>
  <si>
    <t>Currency Rates P&amp;L (Avg FX)</t>
  </si>
  <si>
    <t>Wage increase</t>
  </si>
  <si>
    <t>Plant Nr</t>
  </si>
  <si>
    <t>Plant Name</t>
  </si>
  <si>
    <t>Currency</t>
  </si>
  <si>
    <t>Outlet</t>
  </si>
  <si>
    <t>Outlet Name (Number)</t>
  </si>
  <si>
    <t>Division</t>
  </si>
  <si>
    <t>Division Name (Number)</t>
  </si>
  <si>
    <t>Current FX 
(BS)</t>
  </si>
  <si>
    <t>Budget</t>
  </si>
  <si>
    <t xml:space="preserve">Actual </t>
  </si>
  <si>
    <t xml:space="preserve">Budget </t>
  </si>
  <si>
    <t>FC 6+6</t>
  </si>
  <si>
    <t>FC 7+5</t>
  </si>
  <si>
    <t>Avgerage FX (P&amp;L)</t>
  </si>
  <si>
    <t>var</t>
  </si>
  <si>
    <t>fix</t>
  </si>
  <si>
    <t>Nürnberg (64)</t>
  </si>
  <si>
    <t>EUR</t>
  </si>
  <si>
    <t>7311 &amp; 7312</t>
  </si>
  <si>
    <t>7311 &amp; 7312 PL Engine Actuators (&amp; Electrification)</t>
  </si>
  <si>
    <t>721 Powertrain Solutions</t>
  </si>
  <si>
    <t>730</t>
  </si>
  <si>
    <t>730 BU Actuation</t>
  </si>
  <si>
    <t>Cuautla (70)</t>
  </si>
  <si>
    <t>MXN</t>
  </si>
  <si>
    <t>7321 &amp; 7322</t>
  </si>
  <si>
    <t>7321 &amp; 7322 PL Drivetrain Actuators (&amp; Electrification)</t>
  </si>
  <si>
    <t>BRL</t>
  </si>
  <si>
    <t>Seguin / USA (145)</t>
  </si>
  <si>
    <t>USD</t>
  </si>
  <si>
    <t>7331</t>
  </si>
  <si>
    <t>7331 PL Fluid Management Modules</t>
  </si>
  <si>
    <t>CAD</t>
  </si>
  <si>
    <t>Tianjin / PRC (156)</t>
  </si>
  <si>
    <t>CNY</t>
  </si>
  <si>
    <t>7341</t>
  </si>
  <si>
    <t>7341 PL Catalysts &amp; Filters</t>
  </si>
  <si>
    <t>CHF</t>
  </si>
  <si>
    <t>Bebra/Muehlhausen1 (208)</t>
  </si>
  <si>
    <t>7411</t>
  </si>
  <si>
    <t>7411 PL Hydraulics</t>
  </si>
  <si>
    <t>740 BU Hydraulics &amp; Turbo</t>
  </si>
  <si>
    <t>BOU Boussens (214)</t>
  </si>
  <si>
    <t>7421</t>
  </si>
  <si>
    <t>7421 PL Turbocharger</t>
  </si>
  <si>
    <t>CZK</t>
  </si>
  <si>
    <t>Changchun I (218)</t>
  </si>
  <si>
    <t>7431</t>
  </si>
  <si>
    <t>7431 PL CM Connected Car Networking</t>
  </si>
  <si>
    <t>DKK</t>
  </si>
  <si>
    <t>Juarez (220)</t>
  </si>
  <si>
    <t>7432</t>
  </si>
  <si>
    <t>7432 PL CM Commercial Vehicles &amp; Services</t>
  </si>
  <si>
    <t>GBP</t>
  </si>
  <si>
    <t>DTM Dortmund (225)</t>
  </si>
  <si>
    <t>7433</t>
  </si>
  <si>
    <t>7433 PL CM Electronic Brake Systems</t>
  </si>
  <si>
    <t>HUF</t>
  </si>
  <si>
    <t>ELP Santa Teresa (228)</t>
  </si>
  <si>
    <t>7434</t>
  </si>
  <si>
    <t>7434 PL CM Suspension</t>
  </si>
  <si>
    <t>INR</t>
  </si>
  <si>
    <t>FOX Foix (230)</t>
  </si>
  <si>
    <t>7435</t>
  </si>
  <si>
    <t>7435 PL CM ADAS</t>
  </si>
  <si>
    <t>JPY</t>
  </si>
  <si>
    <t>FST Frenstat (231)</t>
  </si>
  <si>
    <t>7436</t>
  </si>
  <si>
    <t>7436 PL CM PSS</t>
  </si>
  <si>
    <t>KRW</t>
  </si>
  <si>
    <t>ICH Icheon (242)</t>
  </si>
  <si>
    <t>7511</t>
  </si>
  <si>
    <t>7511 PL Emission &amp; Exhaust Sensors</t>
  </si>
  <si>
    <t>750 BU Sensorics &amp; Controls</t>
  </si>
  <si>
    <t>LBO Limbach (246)</t>
  </si>
  <si>
    <t>7521 &amp; 7522</t>
  </si>
  <si>
    <t>7521 &amp; 7522 PL Mechatronic Sensors (&amp; Electrification)</t>
  </si>
  <si>
    <t>RON</t>
  </si>
  <si>
    <t>ROG Roding (265)</t>
  </si>
  <si>
    <t>7531 &amp; 7532</t>
  </si>
  <si>
    <t>7531 &amp; 7532 PL Pressure &amp; Airflow Sensors (&amp; Electrification)</t>
  </si>
  <si>
    <t>RUB</t>
  </si>
  <si>
    <t>AmataCity (278)</t>
  </si>
  <si>
    <t>THB</t>
  </si>
  <si>
    <t>7541 &amp; 7542</t>
  </si>
  <si>
    <t>7541 &amp; 7542 PL Powertrain Controls (&amp; Electrification)</t>
  </si>
  <si>
    <t>SGD</t>
  </si>
  <si>
    <t>TRU Trutnov (282)</t>
  </si>
  <si>
    <t>7611</t>
  </si>
  <si>
    <t>7611 PL AMT Powertrain Solutions</t>
  </si>
  <si>
    <t>760 BU Aftermarket &amp; Non-Automotive</t>
  </si>
  <si>
    <t>WHU1 Wuhu Yinhu (290)</t>
  </si>
  <si>
    <t>7612</t>
  </si>
  <si>
    <t>7612 PL AMT Electrification Solutions</t>
  </si>
  <si>
    <t>Bebra/Muehlhausen2 (296)</t>
  </si>
  <si>
    <t>7613</t>
  </si>
  <si>
    <t>7613 PL AMT Independent Aftermarket</t>
  </si>
  <si>
    <t>Juarez 2 (517)</t>
  </si>
  <si>
    <t>7621 &amp; 7622</t>
  </si>
  <si>
    <t>7621 &amp; 7622  PL 2-Wheeler &amp; Powersports (&amp; Electrification)</t>
  </si>
  <si>
    <t>Pune (519)</t>
  </si>
  <si>
    <t>7711</t>
  </si>
  <si>
    <t>7711 PL Mild Hybrid Drives</t>
  </si>
  <si>
    <t>722 Electrification Solutions</t>
  </si>
  <si>
    <t>770 BU Electric Drive Systems</t>
  </si>
  <si>
    <t>Sta. Theresa 2 (526)</t>
  </si>
  <si>
    <t>7721</t>
  </si>
  <si>
    <t>7721 PL High Voltage Drives</t>
  </si>
  <si>
    <t>Brasov 2 (549)</t>
  </si>
  <si>
    <t>7731</t>
  </si>
  <si>
    <t>7731 PL Thermal Management</t>
  </si>
  <si>
    <t>PNE Pune (599)</t>
  </si>
  <si>
    <t>7811</t>
  </si>
  <si>
    <t>7811 PL Engine Controls</t>
  </si>
  <si>
    <t>780 BU Controls</t>
  </si>
  <si>
    <t>Debrecen (705)</t>
  </si>
  <si>
    <t>7821 &amp; 7822</t>
  </si>
  <si>
    <t>7821 PL Drivetrain Controls (&amp; Electrification)</t>
  </si>
  <si>
    <t>Pune 3 (729)</t>
  </si>
  <si>
    <t>7831</t>
  </si>
  <si>
    <t>7831 PL Vehicle &amp; Battery Controls</t>
  </si>
  <si>
    <t>Shanghai Vitesco (761)</t>
  </si>
  <si>
    <t>7841</t>
  </si>
  <si>
    <t>7841 PL Charging &amp; Energy Controls</t>
  </si>
  <si>
    <t>7851</t>
  </si>
  <si>
    <t>7851 PL eMotor Controls</t>
  </si>
  <si>
    <t>NPN Newport News (255)</t>
  </si>
  <si>
    <t>PSA Pisa (261)</t>
  </si>
  <si>
    <t>Salto (516)</t>
  </si>
  <si>
    <t>ESN Eisenach (593)</t>
  </si>
  <si>
    <t>LOH Lohmar (597)</t>
  </si>
  <si>
    <t>Budapest (71)</t>
  </si>
  <si>
    <t>Shanghai (72)</t>
  </si>
  <si>
    <t>Sibiu (114)</t>
  </si>
  <si>
    <t>Tucson / USA (143)</t>
  </si>
  <si>
    <t>BDY Brandys (210)</t>
  </si>
  <si>
    <t>BLR Bangalore (212)</t>
  </si>
  <si>
    <t>Sejong (219)</t>
  </si>
  <si>
    <t>Guadalaj. Tijera (233)</t>
  </si>
  <si>
    <t>KAL Kaluga (244)</t>
  </si>
  <si>
    <t>RBG Regensburg (262)</t>
  </si>
  <si>
    <t>TYO Tokyo (285)</t>
  </si>
  <si>
    <t>Toulouse Srv&amp;Trading (538)</t>
  </si>
  <si>
    <t>SLP HBS Plant (668)</t>
  </si>
  <si>
    <t>Delavan (706)</t>
  </si>
  <si>
    <t>none (9)</t>
  </si>
  <si>
    <t>Budget 2024</t>
  </si>
  <si>
    <t>Documentation</t>
  </si>
  <si>
    <t>1. Input / FX Rates</t>
  </si>
  <si>
    <t>Yellow fields are input fields</t>
  </si>
  <si>
    <t>manual Input
Plant &amp; Outlet
↓</t>
  </si>
  <si>
    <t>RACE codes</t>
  </si>
  <si>
    <t>Plant:</t>
  </si>
  <si>
    <t>Select RACE plant number</t>
  </si>
  <si>
    <t>Outlet:</t>
  </si>
  <si>
    <t>Select RACE outlet number</t>
  </si>
  <si>
    <t>Business Unit:</t>
  </si>
  <si>
    <t>BU -&gt; filled in automatically based on outlet selection</t>
  </si>
  <si>
    <t>Division:</t>
  </si>
  <si>
    <t>DIV -&gt; filled in automatically based on outlet selection</t>
  </si>
  <si>
    <t>Local Currency:</t>
  </si>
  <si>
    <t>Local currency -&gt; Filled in automatically based on plant selection</t>
  </si>
  <si>
    <t>All Euro sheets are calculated automatically.</t>
  </si>
  <si>
    <t>Currency:</t>
  </si>
  <si>
    <t>June</t>
  </si>
  <si>
    <t>Budget Booklets have to be filled on Plant-Outlet level</t>
  </si>
  <si>
    <t>Only 1 plant, 1 outlet per Booklet</t>
  </si>
  <si>
    <t>Current FX Rate</t>
  </si>
  <si>
    <t>Exception: new Electrification Outlets - to have useful bridges FC to BUD please fill for old &amp; new outlet numbers together</t>
  </si>
  <si>
    <t>(BS)</t>
  </si>
  <si>
    <t>Race Management Structure for Budget 2024</t>
  </si>
  <si>
    <t>Average FX Rate</t>
  </si>
  <si>
    <t>(P&amp;L)</t>
  </si>
  <si>
    <t>0. Instructions</t>
  </si>
  <si>
    <t xml:space="preserve">General: </t>
  </si>
  <si>
    <t>Each Worksheet contains a Documentation area, providing additional information and references for filling the Booklet</t>
  </si>
  <si>
    <r>
      <rPr>
        <b/>
        <sz val="12"/>
        <color rgb="FF4B4B46"/>
        <rFont val="Vitesco"/>
        <family val="2"/>
      </rPr>
      <t>1.</t>
    </r>
    <r>
      <rPr>
        <sz val="12"/>
        <color rgb="FF4B4B46"/>
        <rFont val="Vitesco"/>
        <family val="2"/>
      </rPr>
      <t xml:space="preserve"> Information about Analysis for Office &amp; SAC</t>
    </r>
  </si>
  <si>
    <t>https://vitesco.sharepoint.com/:f:/r/teams/team_10049672/Shared%20Documents/General/Internal%20Trainings?csf=1&amp;web=1&amp;e=V0rKTD</t>
  </si>
  <si>
    <r>
      <rPr>
        <b/>
        <sz val="12"/>
        <color rgb="FF4B4B46"/>
        <rFont val="Vitesco"/>
        <family val="2"/>
      </rPr>
      <t xml:space="preserve">2. </t>
    </r>
    <r>
      <rPr>
        <sz val="12"/>
        <color rgb="FF4B4B46"/>
        <rFont val="Vitesco"/>
        <family val="2"/>
      </rPr>
      <t xml:space="preserve"> Establish a connection to the RACE system via "Analysis for Office" and refresh the Queries within the workbook by filling in the relevant variants for your Plant - Outlet Combination</t>
    </r>
  </si>
  <si>
    <r>
      <rPr>
        <b/>
        <sz val="12"/>
        <color rgb="FF4B4B46"/>
        <rFont val="Vitesco"/>
        <family val="2"/>
      </rPr>
      <t xml:space="preserve"> 3. </t>
    </r>
    <r>
      <rPr>
        <sz val="12"/>
        <color rgb="FF4B4B46"/>
        <rFont val="Vitesco"/>
        <family val="2"/>
      </rPr>
      <t xml:space="preserve"> Worksheets "P&amp;L", "P&amp;L_seasonal", "KeyData" and "KeyData_seasonal" will be automatically populated with the RACE data for your selection. </t>
    </r>
  </si>
  <si>
    <r>
      <rPr>
        <b/>
        <sz val="12"/>
        <color rgb="FF4B4B46"/>
        <rFont val="Vitesco"/>
        <family val="2"/>
      </rPr>
      <t xml:space="preserve">4. </t>
    </r>
    <r>
      <rPr>
        <sz val="12"/>
        <color rgb="FF4B4B46"/>
        <rFont val="Vitesco"/>
        <family val="2"/>
      </rPr>
      <t xml:space="preserve"> Go to worksheet "Input-FX Rates" and make the selections for Plant and Outlet from the drop-down lists in the yellow fields.</t>
    </r>
  </si>
  <si>
    <r>
      <rPr>
        <b/>
        <sz val="12"/>
        <color rgb="FF4B4B46"/>
        <rFont val="Vitesco"/>
        <family val="2"/>
      </rPr>
      <t xml:space="preserve">5. </t>
    </r>
    <r>
      <rPr>
        <sz val="12"/>
        <color rgb="FF4B4B46"/>
        <rFont val="Vitesco"/>
        <family val="2"/>
      </rPr>
      <t xml:space="preserve"> Make the input in all relevant fields within the Booklet and distribute according to Planning Letter 2024.</t>
    </r>
  </si>
  <si>
    <t>1. Main Issues</t>
  </si>
  <si>
    <t xml:space="preserve">∆ </t>
  </si>
  <si>
    <t>Actual</t>
  </si>
  <si>
    <t>YTD June</t>
  </si>
  <si>
    <t>FC 2023</t>
  </si>
  <si>
    <t>All figures are taken automatically from the P&amp;L (RACE)</t>
  </si>
  <si>
    <t>Sales</t>
  </si>
  <si>
    <t xml:space="preserve">Sales = Total Sales unconsolidated </t>
  </si>
  <si>
    <t>Margin after Variations</t>
  </si>
  <si>
    <t>% of Sales</t>
  </si>
  <si>
    <t>PMME</t>
  </si>
  <si>
    <t>PE ICO</t>
  </si>
  <si>
    <t>Gross Margin Adjustments</t>
  </si>
  <si>
    <t>Gross Margin</t>
  </si>
  <si>
    <t>R,D&amp;E / Sales&amp;Distr. / FG&amp;A expenses</t>
  </si>
  <si>
    <t>Other Income &amp; Expenses /Subs.</t>
  </si>
  <si>
    <t>Restructuring</t>
  </si>
  <si>
    <t>Other Non-Oper. Income &amp; Expenses</t>
  </si>
  <si>
    <t>EBIT</t>
  </si>
  <si>
    <t>Comments</t>
  </si>
  <si>
    <t>General background : Inflation rate 2.3%</t>
  </si>
  <si>
    <t>Major projects, project ramp ups, investments, cost drivers</t>
  </si>
  <si>
    <t>Sales amount decrease 13% (volume decrease 0.1%) after taking opportunity of 1.5M EUR, sales goes up to 88.6M EUR or 5.6% of EBIT ratio</t>
  </si>
  <si>
    <t>Particularly, sales decrease in Gen2 products that leads to negative mix impact</t>
  </si>
  <si>
    <t>The following points should be mentioned in case of significant impact on Budget results:</t>
  </si>
  <si>
    <t>Material cost rate has increased about 2.1%p (-2.2M EUR), mainly due to volume increase in SIM2K-305/310 &amp; Wet DCT projects with higher material cost rate.</t>
  </si>
  <si>
    <t>- Volumes / Mix impacts</t>
  </si>
  <si>
    <t>Structural change for Technician cost by VT O guideline. Technician cost is now under MDC side meaning that MDC (vice versa LDC is less) is larger than previous structure.</t>
  </si>
  <si>
    <t>- APR / SPC</t>
  </si>
  <si>
    <t>CF cost assessment decrease due to sales drop although CM portion (espeicially CM PSS sales decrease) decrease and FM cost increase, global IT cost increase</t>
  </si>
  <si>
    <t>- Wage increase / Inflation rate</t>
  </si>
  <si>
    <t>R&amp;D allocation increase of 413K EUR</t>
  </si>
  <si>
    <t>EBIT is 3.9%(5.7% including opportunity) about 6% less than FC 7+5</t>
  </si>
  <si>
    <t>1.1 Structural changes</t>
  </si>
  <si>
    <t>HC effect</t>
  </si>
  <si>
    <t>Cost effect</t>
  </si>
  <si>
    <t>Please explain significant structural changes vs FC</t>
  </si>
  <si>
    <t>Variable</t>
  </si>
  <si>
    <t>Maintenance harmonization</t>
  </si>
  <si>
    <t>Technician cost moved from LDC to MDC_mainternance (512K EUR)</t>
  </si>
  <si>
    <t>Sign logic for Cost: Savings (+) Cost (-)</t>
  </si>
  <si>
    <t>SMD Pool centralization</t>
  </si>
  <si>
    <t>Sign logic for HC: Reduction (-) Increase (+)</t>
  </si>
  <si>
    <t>Structural change 3</t>
  </si>
  <si>
    <t>Structural change 4</t>
  </si>
  <si>
    <t>Please do not mentioned one-time effects here</t>
  </si>
  <si>
    <t>Structural change 5</t>
  </si>
  <si>
    <t>Only organizational movement with +/- effects in different profitcenter or between fix and variable should be listed</t>
  </si>
  <si>
    <t>Structural change 6</t>
  </si>
  <si>
    <t>Structural change 7</t>
  </si>
  <si>
    <t>Structural change 8</t>
  </si>
  <si>
    <t>Examples:</t>
  </si>
  <si>
    <t>Structural change 9</t>
  </si>
  <si>
    <t>Structural change 10</t>
  </si>
  <si>
    <t>Fix</t>
  </si>
  <si>
    <t>Structural change 2</t>
  </si>
  <si>
    <t>Total structural changes</t>
  </si>
  <si>
    <t>2. Variable Cost</t>
  </si>
  <si>
    <t>Variances Budget 2024 vs. FC 7+5 2023</t>
  </si>
  <si>
    <t xml:space="preserve">YTD June </t>
  </si>
  <si>
    <t xml:space="preserve">therein special
impacts </t>
  </si>
  <si>
    <t xml:space="preserve">FC 7+5
w/o
special impacts </t>
  </si>
  <si>
    <t xml:space="preserve">Sales
Volumes </t>
  </si>
  <si>
    <t>Product
Mix</t>
  </si>
  <si>
    <t xml:space="preserve"> Price
Effects </t>
  </si>
  <si>
    <t>Cost
Improvem.</t>
  </si>
  <si>
    <t>CIP (gross) in %</t>
  </si>
  <si>
    <t xml:space="preserve">All Others </t>
  </si>
  <si>
    <t>Target</t>
  </si>
  <si>
    <t xml:space="preserve"> Delta to FC
in %</t>
  </si>
  <si>
    <t xml:space="preserve">Production Sales </t>
  </si>
  <si>
    <t>Material 3rd. Parties</t>
  </si>
  <si>
    <t>Info: Subcontracting is part of Material 3rd. Parties (Row 10)</t>
  </si>
  <si>
    <t>Material 3rd Parties &amp; ICO Material/Cost Purchaser in % of Sales</t>
  </si>
  <si>
    <t xml:space="preserve">   thereof Standard material 
   incl. subcontracting / cash discount (w/o ICO)</t>
  </si>
  <si>
    <t>Based on PSP after removing customer directed part that is supposed to be Zero.
Negative mix impact on material cost due to volume increase in SIM2K-305 &amp; 310.</t>
  </si>
  <si>
    <t>STD Mat FC = FC 7+5 volume * Standard material cost w/o ICO material (Costing line 10 + 15 + 80 + 85 of YPC1 and costing line 50 cash discounts); CIP = RE-DTC measures incl. in new Standard (compare to old Standard); 
Price Effects (APR Material)=2024 Budget Prices (Bud Vol 2024*Prices from Modias 2024)-2023 Budget Prices (Bud Vol 2024*Baseline Prices from Modias 2023)</t>
  </si>
  <si>
    <t xml:space="preserve">   thereof Variances in Material</t>
  </si>
  <si>
    <t>Variations to raw material price FS 308000000</t>
  </si>
  <si>
    <t xml:space="preserve">   thereof Material Usage</t>
  </si>
  <si>
    <t>Material usage FS 309503600, CIP e.g. RE-DTC measures not included in new Standard BOM</t>
  </si>
  <si>
    <t xml:space="preserve">   thereof Standard Supplier tooling</t>
  </si>
  <si>
    <t>Existing -81K, New spending for SIM2K-310 -10K and 8s Wet DCT -13K EUR</t>
  </si>
  <si>
    <t>FC= Standard cost (costing line 20 of YPC1) * FC volumes ,  All Others: e.g. depreciation K432 and maintenance for tooling</t>
  </si>
  <si>
    <t xml:space="preserve">   thereof OVC licences for embedded software</t>
  </si>
  <si>
    <t>Embedded software licences build into a product (K-account K5922 on a outbound (VK) cost center)</t>
  </si>
  <si>
    <t>ICO cost (Purchases) incl. value add sender</t>
  </si>
  <si>
    <t>ICO purchasing Motor Ass'y from Wuhu plant for TAD701</t>
  </si>
  <si>
    <t>FC: FC volumes * Transfer-price 2023 ; Budget: BUD volumes * preliminary Transfer-Price 2024 received from ICO sending partner (= ICO Sales in RACE from sender)</t>
  </si>
  <si>
    <t xml:space="preserve">   thereof PE ICO</t>
  </si>
  <si>
    <t>PE ICO for Motor Ass'y</t>
  </si>
  <si>
    <t>PE ICO: FC and Budget Source = RACE FS 310503100</t>
  </si>
  <si>
    <t>Total Variable Labour cost</t>
  </si>
  <si>
    <t xml:space="preserve">   Variable Labour cost (Production)</t>
  </si>
  <si>
    <t>Structural change : Technician labor cost (512K EUR) goes to MDC from 2024</t>
  </si>
  <si>
    <t>O-node K-accounts E01-299  (FGK-P and FGK-S)</t>
  </si>
  <si>
    <t xml:space="preserve">   Variable Labour cost (MGK/VK)</t>
  </si>
  <si>
    <t>O-node K-accounts E01-299 Log Handling MGK /VK</t>
  </si>
  <si>
    <t xml:space="preserve">   Labour cost charge in/out from other PL</t>
  </si>
  <si>
    <t>Line share cost net impact from PL ENC (SMD, Packing &amp; Laser marking)</t>
  </si>
  <si>
    <t>TE debits/credits to/from other Outlets due to shared production lines / shared labor pool</t>
  </si>
  <si>
    <t>Variable Cost Center Cost w/o Labour cost</t>
  </si>
  <si>
    <t xml:space="preserve">   thereof consumable tools</t>
  </si>
  <si>
    <t>O-node K-accounts E01-300</t>
  </si>
  <si>
    <t xml:space="preserve">   thereof operating supplies</t>
  </si>
  <si>
    <t>SMD : N2 Gas monthly cost, replacement of stencil mask &amp; plastic rack -120K
BE : Stencil mask, PCB rack and dust cover -45K</t>
  </si>
  <si>
    <t>O-node K-accounts E01-310 and E01-305</t>
  </si>
  <si>
    <t xml:space="preserve">   thereof variable maintenance (w/o labour cost)</t>
  </si>
  <si>
    <t>in line with new Maintenenace concept budget 2024 - cost element group 320/480 (without labor cost &amp; internal activity)</t>
  </si>
  <si>
    <t xml:space="preserve">   thereof utility / energy</t>
  </si>
  <si>
    <t>Electricity cost increase of 5% has been considered comparing to FC</t>
  </si>
  <si>
    <t>O-node K-accounts E01-375</t>
  </si>
  <si>
    <t xml:space="preserve">   thereof Logistic cost variable w/o compensation</t>
  </si>
  <si>
    <t>Data linked to 5. Logisitc Cost sheet</t>
  </si>
  <si>
    <t xml:space="preserve">   thereof charges in/out from other PL</t>
  </si>
  <si>
    <t xml:space="preserve">(vs FC 7+5) SMD DT line #4 move back into PL ENC due to lower production than budget 2023+5 </t>
  </si>
  <si>
    <t>TGB debits/credits to/from other Outlets due to shared production lines</t>
  </si>
  <si>
    <t xml:space="preserve">   thereof others</t>
  </si>
  <si>
    <t>FGK-P cost center remaining variable cost (e.g. K4705, K5306, K5404)</t>
  </si>
  <si>
    <t>Variations rework/spoilage/scrap</t>
  </si>
  <si>
    <t>FC scrap ratio of -0.12% applied on opportunity</t>
  </si>
  <si>
    <t>RACE FS 309503100</t>
  </si>
  <si>
    <t>Replacement and adjustment of general warranty</t>
  </si>
  <si>
    <t>RACE FS 310003100</t>
  </si>
  <si>
    <t>Variations due to start up cost</t>
  </si>
  <si>
    <t xml:space="preserve">RACE FS 309504100 </t>
  </si>
  <si>
    <t>Others</t>
  </si>
  <si>
    <t>Residual number (e.g. rounding differences, delta to RACE) - In case of significant figures please comment</t>
  </si>
  <si>
    <t>Direct Debits / Credits to P&amp;L</t>
  </si>
  <si>
    <t>Total variable cost</t>
  </si>
  <si>
    <t>Marginal Contribution after Variations</t>
  </si>
  <si>
    <t>in % of Sales</t>
  </si>
  <si>
    <t>Check</t>
  </si>
  <si>
    <t>FX Translation</t>
  </si>
  <si>
    <t xml:space="preserve">FC 7+5 
w/o
special impacts </t>
  </si>
  <si>
    <t xml:space="preserve"> Delta to FC
in %
</t>
  </si>
  <si>
    <t>Production Sales</t>
  </si>
  <si>
    <t>3. Seasonal Scrap &amp; Start-up planning</t>
  </si>
  <si>
    <t>2023 vs. 2024</t>
  </si>
  <si>
    <t>Roadmap 
YE 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</si>
  <si>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</si>
  <si>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</si>
  <si>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</si>
  <si>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</si>
  <si>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</si>
  <si>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</si>
  <si>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</si>
  <si>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</si>
  <si>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</si>
  <si>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</si>
  <si>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</si>
  <si>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</si>
  <si>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∆ 
vs. FC 7+5</t>
  </si>
  <si>
    <t>∆
perform. abs
&amp; in %</t>
  </si>
  <si>
    <t>∆
Sales</t>
  </si>
  <si>
    <t>Rework/spoilage/scrap - Serial business</t>
  </si>
  <si>
    <t>Area 1 - Variations rework/spoilage/scrap</t>
  </si>
  <si>
    <t>GAD701 Gen2 GA</t>
  </si>
  <si>
    <t>Please show the top scrap focus areas concerning stable serial production (eg. lines, product groups, projects)</t>
  </si>
  <si>
    <t>Area 1 - Sales</t>
  </si>
  <si>
    <t>Write focus area name in column B</t>
  </si>
  <si>
    <t>Area 1 - Scrap in % of Sales</t>
  </si>
  <si>
    <t>Area 2 - Variations rework/spoilage/scrap</t>
  </si>
  <si>
    <t>TAD701 Gen2 TCU</t>
  </si>
  <si>
    <t>Area 2 - Sales</t>
  </si>
  <si>
    <t>Area 2- Scrap in % of Sales</t>
  </si>
  <si>
    <t>Area 3 - Variations rework/spoilage/scrap</t>
  </si>
  <si>
    <t>TAD801 WET TCU</t>
  </si>
  <si>
    <t>Area 3 - Sales</t>
  </si>
  <si>
    <t>Area 3- Scrap in % of Sales</t>
  </si>
  <si>
    <t>Area 4 - Variations rework/spoilage/scrap</t>
  </si>
  <si>
    <t>Area 4</t>
  </si>
  <si>
    <t>Area 4 - Sales</t>
  </si>
  <si>
    <t>Area 4- Scrap in % of Sales</t>
  </si>
  <si>
    <t>Area 5 - Variations rework/spoilage/scrap</t>
  </si>
  <si>
    <t>Area 5</t>
  </si>
  <si>
    <t>Area 5 - Sales</t>
  </si>
  <si>
    <t>Area 5- Scrap in % of Sales</t>
  </si>
  <si>
    <t>Area 6 - Variations rework/spoilage/scrap</t>
  </si>
  <si>
    <t>Area 6</t>
  </si>
  <si>
    <t>Area 6 - Sales</t>
  </si>
  <si>
    <t>Area 6- Scrap in % of Sales</t>
  </si>
  <si>
    <t>Area 7 - Variations rework/spoilage/scrap</t>
  </si>
  <si>
    <t>Area 7</t>
  </si>
  <si>
    <t>Area 7 - Sales</t>
  </si>
  <si>
    <t>Area 7 - Scrap in % of Sales</t>
  </si>
  <si>
    <t>Area 8 - Variations rework/spoilage/scrap</t>
  </si>
  <si>
    <t>Area 8</t>
  </si>
  <si>
    <t>Area 8 - Sales</t>
  </si>
  <si>
    <t>Area 8 - Scrap in % of Sales</t>
  </si>
  <si>
    <t>Area 9 - Variations rework/spoilage/scrap</t>
  </si>
  <si>
    <t>Area 9</t>
  </si>
  <si>
    <t>Area 9 - Sales</t>
  </si>
  <si>
    <t>Area 9 - Scrap in % of Sales</t>
  </si>
  <si>
    <t>Area 10 - Variations rework/spoilage/scrap</t>
  </si>
  <si>
    <t>Area 10</t>
  </si>
  <si>
    <t>Area 10 - Sales</t>
  </si>
  <si>
    <t>Area 10 - Scrap in % of Sales</t>
  </si>
  <si>
    <t>all other - Variations rework/spoilage/scrap</t>
  </si>
  <si>
    <t>All Other</t>
  </si>
  <si>
    <t>all other - Sales</t>
  </si>
  <si>
    <t>all other - Scrap in % of Sales</t>
  </si>
  <si>
    <t>Total - Variations rework/spoilage/scrap</t>
  </si>
  <si>
    <t>Total - Sales</t>
  </si>
  <si>
    <t>Total - Scrap in % of Sales</t>
  </si>
  <si>
    <t>Variations rework/spoilage/scrap - Special topics</t>
  </si>
  <si>
    <t>Reimbursement</t>
  </si>
  <si>
    <t>xxx</t>
  </si>
  <si>
    <t>Sales of Scrap</t>
  </si>
  <si>
    <t>Scrap &amp; start-up- Ramp-up / Launch</t>
  </si>
  <si>
    <t>Area 1</t>
  </si>
  <si>
    <t xml:space="preserve">Please show the top focus areas concerning ramp-up / new product launch (eg. lines, product groups, projects) </t>
  </si>
  <si>
    <t>Area 1 - Start-up</t>
  </si>
  <si>
    <t>Area 1 - Scrap&amp;Start-up in % of Sales</t>
  </si>
  <si>
    <t>Area 2</t>
  </si>
  <si>
    <t xml:space="preserve">Area 2 - Start-up </t>
  </si>
  <si>
    <t>Area 2 - Scrap in % of Sales</t>
  </si>
  <si>
    <t>Area 2 - Scrap&amp;Start-up in % of Sales</t>
  </si>
  <si>
    <t>Area 3</t>
  </si>
  <si>
    <t xml:space="preserve">Area 3 - Start-up </t>
  </si>
  <si>
    <t>Area 3 - Scrap in % of Sales</t>
  </si>
  <si>
    <t>Area 3 - Scrap&amp;Start-up in % of Sales</t>
  </si>
  <si>
    <t>Area 4 - Start-up</t>
  </si>
  <si>
    <t>Area 4 - Scrap in % of Sales</t>
  </si>
  <si>
    <t>Area 4 - Scrap&amp;Start-up in % of Sales</t>
  </si>
  <si>
    <t>Total - Start up</t>
  </si>
  <si>
    <t>Total - Start up in % of Sales</t>
  </si>
  <si>
    <t>CHECK vs RACE Download</t>
  </si>
  <si>
    <t>Race entry - Variations rework/spoilage/scrap</t>
  </si>
  <si>
    <t>Race entry - Start up</t>
  </si>
  <si>
    <t>Race entry - Sales</t>
  </si>
  <si>
    <t>check Scrap</t>
  </si>
  <si>
    <t>check Start-up</t>
  </si>
  <si>
    <t>check Sales</t>
  </si>
  <si>
    <t>Roadmap YE Dec</t>
  </si>
  <si>
    <t>Area 1 - Start-up (only scrap-related)</t>
  </si>
  <si>
    <t>Area 2 - Start-up (only scrap-related)</t>
  </si>
  <si>
    <t>Area 3 - Start-up (only scrap-related)</t>
  </si>
  <si>
    <t>Area 4 - Start-up (only scrap-related)</t>
  </si>
  <si>
    <t>4. BU Fix Cost</t>
  </si>
  <si>
    <t>∆</t>
  </si>
  <si>
    <t xml:space="preserve">Seasonalization is automatically updated from RACE Controllers Letter </t>
  </si>
  <si>
    <t>vs. FC 7+5</t>
  </si>
  <si>
    <t>Exception: PE distribution - manual input required</t>
  </si>
  <si>
    <t>in %</t>
  </si>
  <si>
    <t>Cost element groups according to GOA E01-XXX (based on Operations Costcenter node) per line:</t>
  </si>
  <si>
    <t>Assessment from Central Functions (520)</t>
  </si>
  <si>
    <t>Comparing to FC, Central assessment cost decrease as sales amount decrease</t>
  </si>
  <si>
    <t>Cost element group 520 - in general: S87x1x, S87490, S87491, S87294, S87295, S87296</t>
  </si>
  <si>
    <t>Assessment from FF (520)</t>
  </si>
  <si>
    <t>FFQ HC increase influences on allocation out +2 HC for new project (HVD, VPC, eCAI)</t>
  </si>
  <si>
    <t>Important: needs to be zero on plant level, please align with your partner outlet - Detailed information here: https://confluence.vitesco.io/pages/viewpage.action?pageId=167612785</t>
  </si>
  <si>
    <t>Compensation (E01-299)</t>
  </si>
  <si>
    <t>Average HC increase vs FC (1.8 -&gt; 2.0) -31K EUR
Other compensation increase -32K EUR
Target gap -71K EUR : FC5+7 figure is applied for FC7+5 (384K EUR)</t>
  </si>
  <si>
    <t>Cost element group 299 - in general: S87x3x, S87490, S87491, S87294, S87295, S87296, S87431</t>
  </si>
  <si>
    <t>Maintenance (E01-320)</t>
  </si>
  <si>
    <t>in line with new Maintenenace concept budget 2024 - cost element group 320/480</t>
  </si>
  <si>
    <t>Product Validation / Requalification after G60</t>
  </si>
  <si>
    <t>Target amount is applied rather than VT lab survey result</t>
  </si>
  <si>
    <t>In general: K5305 for external laboratory cost, K6626 for internal cost (or hourly recording S99116 from Q-Lab)</t>
  </si>
  <si>
    <t>Related project expenses (RPE)</t>
  </si>
  <si>
    <t>No PRE is expected due to no new project in 2024</t>
  </si>
  <si>
    <t>Related Project Expenses (RPE) have to be in a direct relationship to the investment (usually one time effects) which cannot be capitalized according to HBII. For further information please refer to Manual Capital Request VT 0207336</t>
  </si>
  <si>
    <t>Others (remaining)</t>
  </si>
  <si>
    <t>Calibration and Inspection fee -26K   cost reduction measure in Fees and purchased service +24K</t>
  </si>
  <si>
    <t>LVA, Travel/Training, no more hourly booking from variable Maintenance, no more FSC charges</t>
  </si>
  <si>
    <t>Plant Originated PMME</t>
  </si>
  <si>
    <t>NSHS Allocations in PE MGK &amp; PE FGK</t>
  </si>
  <si>
    <t>Account K66271 / K66270</t>
  </si>
  <si>
    <t>NSHS Services in PE MGK &amp; PE FGK</t>
  </si>
  <si>
    <t>Cost element group 535 incl. BU Production SERV K66280 w/o allocation account K66271,  w/o PV/Requalification, w/o IT Transfers IN (part of Central Function assessment)</t>
  </si>
  <si>
    <t>Shared equipment "K662x" accounts</t>
  </si>
  <si>
    <t>Line share cost increase</t>
  </si>
  <si>
    <t>https://confluence.vitesco.io/pages/viewpage.action?pageId=136846844</t>
  </si>
  <si>
    <t>PMME Depreciation intangible development assets</t>
  </si>
  <si>
    <t>Depreciation of intangible asset capitalization 'RDE HMC 7 STEP'</t>
  </si>
  <si>
    <t>RACE FS 122132000 only Movementtype 210 / in general part of K403</t>
  </si>
  <si>
    <t>PMME Depreciation w/o intangible</t>
  </si>
  <si>
    <t>No new project investment is expected</t>
  </si>
  <si>
    <t>Cost element group 345 w/o Depreciation of intangible development assets depreciation</t>
  </si>
  <si>
    <t>PMME Others</t>
  </si>
  <si>
    <t>Delta RACE vs. RACE CTL</t>
  </si>
  <si>
    <t>PMME Total</t>
  </si>
  <si>
    <t xml:space="preserve">RACE FS 310501100, FS 310501600, FS 31052100 </t>
  </si>
  <si>
    <t>Period expenses ICO</t>
  </si>
  <si>
    <t>RACE FS 310503100</t>
  </si>
  <si>
    <t>Compensation</t>
  </si>
  <si>
    <t>Cost element group  299 in general: S87x3x, S87490, S87491, S87294, S87295, S87296, S87431</t>
  </si>
  <si>
    <t>Assessment from Central Functions</t>
  </si>
  <si>
    <t>Cost element group  520</t>
  </si>
  <si>
    <t>NSHS Services in PE VK</t>
  </si>
  <si>
    <t>Cost element group  535 w/o allocation K66274  w/o IT Transfers IN  (is part of Central Function assessment)</t>
  </si>
  <si>
    <t>NSHS Allocations in PE VK</t>
  </si>
  <si>
    <t>Account K66274</t>
  </si>
  <si>
    <t>Remaining cost (calculated)</t>
  </si>
  <si>
    <t>PE distribution</t>
  </si>
  <si>
    <t>RACE FS 312002100</t>
  </si>
  <si>
    <t>Sales &amp; distribution expenses w/o PE distribution</t>
  </si>
  <si>
    <t>RACE FS 312001100 &amp; FS 312001600</t>
  </si>
  <si>
    <t>R, D &amp; E  expenses</t>
  </si>
  <si>
    <t>RACE FS 311500000</t>
  </si>
  <si>
    <t>Finance, general &amp; administration expenses</t>
  </si>
  <si>
    <t>RACE FS 312201100 - starting from Budget 2023 incl FSC charges</t>
  </si>
  <si>
    <t>Total Period Expenses</t>
  </si>
  <si>
    <t>RACE FS 310500000 + 311500000 + 312000000 + 312201100</t>
  </si>
  <si>
    <t>Plant Orignated PMME</t>
  </si>
  <si>
    <t>% of Total Sales</t>
  </si>
  <si>
    <t>PMME others (Depr, NPF, SHS)</t>
  </si>
  <si>
    <t>CF assessments</t>
  </si>
  <si>
    <t>Check vs Race entry</t>
  </si>
  <si>
    <t>∆ vs FC 7+5</t>
  </si>
  <si>
    <t>@ Avg FX</t>
  </si>
  <si>
    <t>@ Bud FX 24</t>
  </si>
  <si>
    <t>@Avg FX June</t>
  </si>
  <si>
    <t>@Avg FX July</t>
  </si>
  <si>
    <t>@Bud FX 24</t>
  </si>
  <si>
    <t>5. Logistic Cost</t>
  </si>
  <si>
    <t xml:space="preserve">therein
special impacts </t>
  </si>
  <si>
    <t xml:space="preserve">FC 7+5
w/o special impacts </t>
  </si>
  <si>
    <t xml:space="preserve">Product Sales </t>
  </si>
  <si>
    <t>Total Variable Logistic Cost</t>
  </si>
  <si>
    <t xml:space="preserve"> in % of Sales</t>
  </si>
  <si>
    <t xml:space="preserve">Variable Cost Inbound </t>
  </si>
  <si>
    <t xml:space="preserve">   thereof Var Labour Cost Inbound (MGK)</t>
  </si>
  <si>
    <t>1HC Transfer to VK</t>
  </si>
  <si>
    <t>Cost element group E01-299 for Inbound (MGK) | Calc price effect: wage increase = (Budget 2024 Labor Cost / (1+wage increase var in %) ) - Budget 2024 Labor Cost</t>
  </si>
  <si>
    <t xml:space="preserve">   thereof Var Logistic cost: inbound freight</t>
  </si>
  <si>
    <t>K-accounts K5601, K5603, K5610, K5611, K5612, K5613</t>
  </si>
  <si>
    <t xml:space="preserve">   thereof Var Logistic cost: inbound premium freight</t>
  </si>
  <si>
    <t>K-account K5602 + Reimbursements account N09067</t>
  </si>
  <si>
    <t xml:space="preserve">   thereof Var Logistic cost: inbound packaging</t>
  </si>
  <si>
    <t>K-accounts K5604 (incl. returnables), K05501 for MGK</t>
  </si>
  <si>
    <t xml:space="preserve">   thereof Var Logistic cost: inbound customs/duty external</t>
  </si>
  <si>
    <t>K-accounts Inbound K5605</t>
  </si>
  <si>
    <t xml:space="preserve">   thereof Var Logistic cost: inbound customs/duty ICO</t>
  </si>
  <si>
    <t>Gen2 Motor duty improvement</t>
    <phoneticPr fontId="0" type="noConversion"/>
  </si>
  <si>
    <t>K-accounts Inbound K56051</t>
  </si>
  <si>
    <t xml:space="preserve">   thereof Var Logistic cost: inbound service Cost</t>
  </si>
  <si>
    <t>K-accounts Inbound K5609, K56041 + O-node E01-435 (only variable)</t>
  </si>
  <si>
    <t xml:space="preserve">Variable Cost Outbound </t>
  </si>
  <si>
    <t xml:space="preserve">   thereof Var Labour Cost Outbound (VK)</t>
  </si>
  <si>
    <t xml:space="preserve">Cost element group E01-299 for Outbound (VK) </t>
  </si>
  <si>
    <t xml:space="preserve">   thereof Var Logistic cost: outbound freight </t>
  </si>
  <si>
    <t>K-accounts  K6115, K6119, K6131, K6133, K6140 | Calc price effect: wage increase = (Budget 2024 Labor Cost / (1+wage increase var in %) ) - Budget 2024 Labor Cost</t>
  </si>
  <si>
    <t xml:space="preserve">   thereof Var Logistic cost: outbound premium freight </t>
  </si>
  <si>
    <t>K-accounts K6106 + Reimbursements account N09068</t>
  </si>
  <si>
    <t xml:space="preserve">   thereof Var Logistic cost: outbound packaging</t>
  </si>
  <si>
    <t>K-accounts K6107  (incl. returnables) , K05501 for VK</t>
  </si>
  <si>
    <t xml:space="preserve">   thereof Var Logistic cost: outbound service Cost</t>
  </si>
  <si>
    <t>K-accounts Outbound K6120, K61071 + O-node E01-435 (only variable)</t>
  </si>
  <si>
    <t>Total Logistic HC</t>
  </si>
  <si>
    <t>Total SCM Headcount (Inbound and Outbound, variable and fix)</t>
  </si>
  <si>
    <t xml:space="preserve">   thereof Log Var HC</t>
  </si>
  <si>
    <t xml:space="preserve">   thereof Log Fix HC</t>
  </si>
  <si>
    <t>Own fix SCM HC &amp; CF fix SCM HC allocated to Product Line according Common Profit Center Key</t>
  </si>
  <si>
    <t xml:space="preserve">   thereof Var Labour cost Inbound (MGK)</t>
  </si>
  <si>
    <t>Cost element group E01-299 for Inbound (MGK)</t>
  </si>
  <si>
    <t xml:space="preserve">   thereof Var Logistic cost: inbound service cost</t>
  </si>
  <si>
    <t xml:space="preserve">   thereof Var Labour cost Outbound (VK)</t>
  </si>
  <si>
    <t xml:space="preserve">K-accounts  K6115, K6119, K6131, K6133, K6140 </t>
  </si>
  <si>
    <t xml:space="preserve">   thereof Var Logistic cost: outbound service cost</t>
  </si>
  <si>
    <t>5.1 Inventory Details</t>
  </si>
  <si>
    <t>2023
YTD June</t>
  </si>
  <si>
    <t>2023
FC 7+5</t>
  </si>
  <si>
    <t>2024
Jan</t>
  </si>
  <si>
    <t>2024
Feb</t>
  </si>
  <si>
    <t>2024
Mar</t>
  </si>
  <si>
    <t>2024
Apr</t>
  </si>
  <si>
    <t>2024
May</t>
  </si>
  <si>
    <t>2024
Jun</t>
  </si>
  <si>
    <t>2024
Jul</t>
  </si>
  <si>
    <t>2024
Aug</t>
  </si>
  <si>
    <t>2024
Sep</t>
  </si>
  <si>
    <t>2024
Oct</t>
  </si>
  <si>
    <t>2024
Nov</t>
  </si>
  <si>
    <t>2024
Dec</t>
  </si>
  <si>
    <t>2024
Average</t>
  </si>
  <si>
    <t>Budget Sales YE</t>
  </si>
  <si>
    <t>Please enter the inventory values seasonalized and split toregular and one timer</t>
  </si>
  <si>
    <t xml:space="preserve">RAW total  </t>
  </si>
  <si>
    <t>Please check that the detailled breakdown matches the total RACE number</t>
  </si>
  <si>
    <t>regular</t>
  </si>
  <si>
    <t>Raw (normal operation)</t>
  </si>
  <si>
    <t>Raw in transit ICO (normal operation)</t>
  </si>
  <si>
    <t>Raw in transit ext. Supplier</t>
  </si>
  <si>
    <t>Blocked Stock (Quality)</t>
  </si>
  <si>
    <t>OES</t>
  </si>
  <si>
    <t>one timer</t>
  </si>
  <si>
    <t>Agreed Security Stock OEM</t>
  </si>
  <si>
    <t>Allocation/Backlog</t>
  </si>
  <si>
    <t>ATB (All Time Buy)</t>
  </si>
  <si>
    <t>ATB stock will decrease according to demand</t>
  </si>
  <si>
    <t>Bank build</t>
  </si>
  <si>
    <t>MOU</t>
  </si>
  <si>
    <t>Phase out</t>
  </si>
  <si>
    <t>Ramp up</t>
  </si>
  <si>
    <t>Supplier Pulls In</t>
  </si>
  <si>
    <t xml:space="preserve">WIP total  </t>
  </si>
  <si>
    <t>WIP (normal operation)</t>
  </si>
  <si>
    <t>1.5 Days of ROC</t>
  </si>
  <si>
    <t xml:space="preserve">FIN total </t>
  </si>
  <si>
    <t>Fin Non-Consignment (normal operation)</t>
  </si>
  <si>
    <t>2.2 Days of ROC</t>
  </si>
  <si>
    <t>FIN in transit and/or in consignment</t>
  </si>
  <si>
    <t>LTB (Last Time Build)</t>
  </si>
  <si>
    <t xml:space="preserve">thereof Merchandise / Trading </t>
  </si>
  <si>
    <t>Additional Target BU and/or Division</t>
  </si>
  <si>
    <t xml:space="preserve">INVENTORIES total  </t>
  </si>
  <si>
    <t>Turnrate (TR)</t>
  </si>
  <si>
    <t>Check TOTAL</t>
  </si>
  <si>
    <t>Check RAW</t>
  </si>
  <si>
    <t>Check WIP</t>
  </si>
  <si>
    <t>Check FIN</t>
  </si>
  <si>
    <t>@Current FX</t>
  </si>
  <si>
    <t>@Plan FX 24</t>
  </si>
  <si>
    <t>2023
INV FC 7+5</t>
  </si>
  <si>
    <t>6. Headcount</t>
  </si>
  <si>
    <t>Headcount 2023</t>
  </si>
  <si>
    <t>Headcount 2024</t>
  </si>
  <si>
    <t>2023
June</t>
  </si>
  <si>
    <t>2023
FC 7+5 (YE Dec)</t>
  </si>
  <si>
    <t>2023
FC 7+5 (Avg)</t>
  </si>
  <si>
    <t>2024
Dec YE</t>
  </si>
  <si>
    <t>2024
Avg. Budget</t>
  </si>
  <si>
    <t>Avg ∆
vs. FC 7+5</t>
  </si>
  <si>
    <t>Avg ∆ 
vs. FC 7+5 (in %)</t>
  </si>
  <si>
    <t>Employees (own and leasing):</t>
  </si>
  <si>
    <t>Manufacturing operators</t>
  </si>
  <si>
    <t>HC -1 due to cc31004 transfers to ENC.</t>
  </si>
  <si>
    <t>FGK-P/FGK-S costcenter node (DEF and leasing operators heads in Production)</t>
  </si>
  <si>
    <t>Manufacturing auxiliary heads</t>
  </si>
  <si>
    <t>SMD Technician +1</t>
  </si>
  <si>
    <t>FGK-P/FGK-S costcenter node (HEF and leasing auxiliary heads in Production)</t>
  </si>
  <si>
    <t>Material Management</t>
  </si>
  <si>
    <t xml:space="preserve">MGK costcenter node (HEF Material handler for Logistic Inbound) </t>
  </si>
  <si>
    <t>Sales &amp; Distribution</t>
  </si>
  <si>
    <t xml:space="preserve">VK costcenter node (HEF Material handler for Logistic Outbound) </t>
  </si>
  <si>
    <t>Total variable</t>
  </si>
  <si>
    <t>Production</t>
  </si>
  <si>
    <t>FGK costcenter node (NEF + FEF in Production), only HC assigned to own profitcenter / BU</t>
  </si>
  <si>
    <t>MGK costcenter node (NEF)</t>
  </si>
  <si>
    <t>Plant Administration</t>
  </si>
  <si>
    <t>WVK costcenter node (NEF)</t>
  </si>
  <si>
    <t>VK costcenter node (NEF)</t>
  </si>
  <si>
    <t>R, D &amp; E</t>
  </si>
  <si>
    <t>Central Management R&amp;D ostcenter</t>
  </si>
  <si>
    <t>Central Management MGK/FGK/VK/FG&amp;A</t>
  </si>
  <si>
    <t>Total fix</t>
  </si>
  <si>
    <t>Total employees (own and leasing)</t>
  </si>
  <si>
    <t>Central Functions (assessed)</t>
  </si>
  <si>
    <t>HC from common / shared profitcenter, If applicable</t>
  </si>
  <si>
    <t>Details in Central Function planning  -&gt; HC originally assigned in Central Function and assessed in RACE to O-node according common profitcenter key</t>
  </si>
  <si>
    <t>RACE variable</t>
  </si>
  <si>
    <t>RACE FS CO-010101000</t>
  </si>
  <si>
    <t>RACE fix</t>
  </si>
  <si>
    <t>RACE FS CO-010106000</t>
  </si>
  <si>
    <t>Compensation average variable per Employee (calc)</t>
  </si>
  <si>
    <t>(Total variable Labor Cost E01-299 from FGK-P, FGK-S,MGK, VK) / (average variable Heads)</t>
  </si>
  <si>
    <t>Compensation average variable per DEF Employee (manual)</t>
  </si>
  <si>
    <t>Plant total figure, E01-297(around 4.6K EUR) posted under fix cost area not variable(employee benefit program, present for employee, medical exam, sick and health care, shuttle bus)</t>
  </si>
  <si>
    <t>Variable compensation cost E01-299 from O-node related to DEF and leasing operators heads</t>
  </si>
  <si>
    <t>Compensation average variable per HEF Employee (manual)</t>
  </si>
  <si>
    <t>Variable compensation cost E01-299 from O-node related to HEF and leasing auxiliary heads</t>
  </si>
  <si>
    <t>Compensation average fix per Employee (manual)</t>
  </si>
  <si>
    <t>Plant total figure</t>
  </si>
  <si>
    <t>(Fix compensation cost E01-299 from Operations and Central Function node) / (average fix heads from Operations and Central Function node)</t>
  </si>
  <si>
    <t>Effective attendance time/year (minutes)</t>
  </si>
  <si>
    <t>Include overtime</t>
  </si>
  <si>
    <t>According definition Plant Cost Structure</t>
  </si>
  <si>
    <t>TE minutes based on Budget Volume</t>
  </si>
  <si>
    <t>TE minutes based on Budget Volume from FGK-P costcenter node</t>
  </si>
  <si>
    <t>External Factors</t>
  </si>
  <si>
    <t>distributed</t>
  </si>
  <si>
    <t>applied in budget</t>
  </si>
  <si>
    <t>Wage increase in % as distributed with external factors for Budget 2024 vs applied wage increase in % for cost budget</t>
  </si>
  <si>
    <t>Wage increase (var)</t>
  </si>
  <si>
    <t xml:space="preserve"> in %</t>
  </si>
  <si>
    <t>Please comment in case you considered a different wage increase in the cost budget</t>
  </si>
  <si>
    <t>Wage increase (fix)</t>
  </si>
  <si>
    <t>Wage increase (calc var own HC)</t>
  </si>
  <si>
    <t>Calculated wage increase = (Budget 2024 Total Variable Labor Cost / (1+wage increase var in %) ) - Budget 2024 Total Variable Labor Cost</t>
  </si>
  <si>
    <t>Wage increase (calc fix own HC)</t>
  </si>
  <si>
    <t>Calculated wage increase = (Budget 2024 PMME Compensation / (1+wage increase fix in %) ) - Budget 2024 PMME Compensation | without CF wage increase</t>
  </si>
  <si>
    <t>7. Balance Sheet - Key Figures</t>
  </si>
  <si>
    <t>In General: figures are taken automatically from RACE except Working Capital (avg.) &amp; Average Turnrate</t>
  </si>
  <si>
    <t>Total Sales</t>
  </si>
  <si>
    <t>therein external sales</t>
  </si>
  <si>
    <t>External Sales</t>
  </si>
  <si>
    <t>Working Capital</t>
  </si>
  <si>
    <t>Inventories</t>
  </si>
  <si>
    <t>RACE FS 131111000</t>
  </si>
  <si>
    <t>therein Raw materials</t>
  </si>
  <si>
    <t>RACE FS 131116000 &amp; 131118000 (WiP appl. eng.)</t>
  </si>
  <si>
    <t>therein Work in progress</t>
  </si>
  <si>
    <t>RACE FS 131121000</t>
  </si>
  <si>
    <t>therein Finished goods and merchandise</t>
  </si>
  <si>
    <t>YE Turnrate (Sales / Inventory)</t>
  </si>
  <si>
    <t>Average Turnrate</t>
  </si>
  <si>
    <t>Average Turnrate - manual input required for 2022 annd 2023, Budget linked to Inventory sheet</t>
  </si>
  <si>
    <t>Accounts receivable operating</t>
  </si>
  <si>
    <t>Calculation Inventory sheet: Budget 2024 = Sales Budget 2024 / (Jan - Dec) Budget Inventories /12 months</t>
  </si>
  <si>
    <t>% of external sales</t>
  </si>
  <si>
    <t>Calculation FC 7+5 =  Sales FC 7+5 / (Jan - Dec) FC 7+5 Inventories /12 months</t>
  </si>
  <si>
    <t>Accounts payable operating</t>
  </si>
  <si>
    <t>% of sales</t>
  </si>
  <si>
    <t>Working capital average - manual input required:</t>
  </si>
  <si>
    <t>Spending w/o RoU</t>
  </si>
  <si>
    <t>8. Volumes (TOP Projects)</t>
  </si>
  <si>
    <t>∆
vs. FC 7+5</t>
  </si>
  <si>
    <t>∆
vs. FC 7+5 2023
in %</t>
  </si>
  <si>
    <t>YPC1
Contribution Margin</t>
  </si>
  <si>
    <t>FC 7+5 
Volume
(in '000 Units)</t>
  </si>
  <si>
    <t>Product Group</t>
  </si>
  <si>
    <t>Budget
Volume
(in '000 Units)</t>
  </si>
  <si>
    <t>Overview should show only the top projects</t>
  </si>
  <si>
    <t>GAD701 GEN2 GA</t>
  </si>
  <si>
    <t>TAD701 GEN2 TCU</t>
  </si>
  <si>
    <t>TCU SIM2K-305</t>
  </si>
  <si>
    <t>TCU SIM2K-310</t>
  </si>
  <si>
    <t>TCU SIM2K-91</t>
  </si>
  <si>
    <t>TCU SIM2K-303</t>
  </si>
  <si>
    <t>TCU SIM2K-301</t>
  </si>
  <si>
    <t>External / ICO Volumes (TOP Projects)</t>
  </si>
  <si>
    <t>EXT Own production = volumes produced in shop floor and sold to EXT customer -&gt; EXT Volume
ICO Own production = volumes produced in shop floor and sold to ICO customer -&gt; ICO Volume</t>
  </si>
  <si>
    <t>10. Purchasing</t>
  </si>
  <si>
    <t>Material Budget Value</t>
  </si>
  <si>
    <t>Annual Price Reduction</t>
  </si>
  <si>
    <t>Comment</t>
  </si>
  <si>
    <t>2023 Baseline Price</t>
  </si>
  <si>
    <t>2024 Budget Price</t>
  </si>
  <si>
    <t>absolute</t>
  </si>
  <si>
    <t>Annual Price Reduction (Purchasing), positive = favourable / negative = unfavourable</t>
  </si>
  <si>
    <t>2023 Baseline Price = Budget volume 2024 * Baseline prices 2023 from MODIAS</t>
  </si>
  <si>
    <t>Official Modias status as of (date: dd/mm):</t>
  </si>
  <si>
    <t>2024 Budget Price = Budget volume 2024 * Baseline prices 2024 from MODIAS</t>
  </si>
  <si>
    <t>BOM price update_A2C76249204 (Customer directed part)</t>
  </si>
  <si>
    <t>If major deviations to MODIAS PVO, please calculate effect and explain (e.g. volume or price for Material or product group)</t>
  </si>
  <si>
    <t>Specifiy deviation to Modias 2</t>
  </si>
  <si>
    <t>Specifiy deviation to Modias 3</t>
  </si>
  <si>
    <t>Specifiy deviation to Modias 4</t>
  </si>
  <si>
    <t>Specifiy deviation to Modias 5</t>
  </si>
  <si>
    <t>Outside material and subcontracting w/o discount, tooling, customs</t>
  </si>
  <si>
    <t>Info: Subcontracting is part of official Modias value.</t>
  </si>
  <si>
    <t>11. Risks and Opportunities</t>
  </si>
  <si>
    <t>Please explain significant risks and opportunities, which are not considered in Budget 2024</t>
  </si>
  <si>
    <t>Working capital EOP</t>
  </si>
  <si>
    <t>Risk 1</t>
  </si>
  <si>
    <t>In case that impact is not yet defined, please keep Sales/EBIT/WCAP effect empty instead of typing any text</t>
  </si>
  <si>
    <t>Risk 2</t>
  </si>
  <si>
    <t>Risk 3</t>
  </si>
  <si>
    <t>Risk 4</t>
  </si>
  <si>
    <t>Risk 5</t>
  </si>
  <si>
    <t>Risk 6</t>
  </si>
  <si>
    <t>Risk 7</t>
  </si>
  <si>
    <t>Risk 8</t>
  </si>
  <si>
    <t>Risk 9</t>
  </si>
  <si>
    <t>Total Risks</t>
  </si>
  <si>
    <t>Opportunity 5</t>
  </si>
  <si>
    <t>Opportunity 6</t>
  </si>
  <si>
    <t>Opportunity 7</t>
  </si>
  <si>
    <t>Opportunity 8</t>
  </si>
  <si>
    <t>Opportunity 9</t>
  </si>
  <si>
    <t>Total Opportunities</t>
  </si>
  <si>
    <t>Total Risks &amp; Opportunities</t>
  </si>
  <si>
    <t>Yes</t>
  </si>
  <si>
    <t>Extract from RACE FS Item Report</t>
  </si>
  <si>
    <t>No</t>
  </si>
  <si>
    <t>YE 2022
↓</t>
  </si>
  <si>
    <t>Plan 2023
↓</t>
  </si>
  <si>
    <t>YTD June 2023
↓</t>
  </si>
  <si>
    <t>FC 6+6 2023
↓</t>
  </si>
  <si>
    <t>FC 7+5 2023
↓</t>
  </si>
  <si>
    <t>Plan 2024
↓</t>
  </si>
  <si>
    <t/>
  </si>
  <si>
    <t>YTD PY</t>
  </si>
  <si>
    <t>FC PY</t>
  </si>
  <si>
    <t>304500000_Result</t>
  </si>
  <si>
    <t>305000000_Result</t>
  </si>
  <si>
    <t>Net sales</t>
  </si>
  <si>
    <t>305001100_Result</t>
  </si>
  <si>
    <t>Net sales internal</t>
  </si>
  <si>
    <t>305001600_Result</t>
  </si>
  <si>
    <t>Net sales ICO</t>
  </si>
  <si>
    <t>305001700_Result</t>
  </si>
  <si>
    <t>Net sales related parties</t>
  </si>
  <si>
    <t>305002100_Result</t>
  </si>
  <si>
    <t>Net sales external</t>
  </si>
  <si>
    <t>305500000_Result</t>
  </si>
  <si>
    <t>Sales variations</t>
  </si>
  <si>
    <t>305501700_Result</t>
  </si>
  <si>
    <t>Variations to net sales related parties</t>
  </si>
  <si>
    <t>305502200_Result</t>
  </si>
  <si>
    <t>Equalization</t>
  </si>
  <si>
    <t>306000000_Result</t>
  </si>
  <si>
    <t>Variable costs</t>
  </si>
  <si>
    <t>306500000_Result</t>
  </si>
  <si>
    <t>Variable costs over standard</t>
  </si>
  <si>
    <t>306501100_Result</t>
  </si>
  <si>
    <t>Variable costs ICO</t>
  </si>
  <si>
    <t>306501600_Result</t>
  </si>
  <si>
    <t>Variable manufacturing costs</t>
  </si>
  <si>
    <t>307000000_Result</t>
  </si>
  <si>
    <t>Other variable costs</t>
  </si>
  <si>
    <t>307001600_Result</t>
  </si>
  <si>
    <t>OVC handling</t>
  </si>
  <si>
    <t>307002100_Result</t>
  </si>
  <si>
    <t>OVC freight</t>
  </si>
  <si>
    <t>307003100_Result</t>
  </si>
  <si>
    <t>OVC duty</t>
  </si>
  <si>
    <t>307500000_Result</t>
  </si>
  <si>
    <t>Cost variations</t>
  </si>
  <si>
    <t>308000000_Result</t>
  </si>
  <si>
    <t>Var. to raw material total</t>
  </si>
  <si>
    <t>308001200_Result</t>
  </si>
  <si>
    <t>Var. to raw material price</t>
  </si>
  <si>
    <t>308001100_Result</t>
  </si>
  <si>
    <t>Var. to raw material price - until 2021</t>
  </si>
  <si>
    <t>308001600_Result</t>
  </si>
  <si>
    <t>Inventory valuation allowance (raw material &amp; supply)</t>
  </si>
  <si>
    <t>308002100_Result</t>
  </si>
  <si>
    <t>Inventory variations (raw material &amp; supply)</t>
  </si>
  <si>
    <t>308002600_Result</t>
  </si>
  <si>
    <t>Variations to material price - PPV other</t>
  </si>
  <si>
    <t>308003100_Result</t>
  </si>
  <si>
    <t>Variations to material price - FX</t>
  </si>
  <si>
    <t>308500000_Result</t>
  </si>
  <si>
    <t>Variations in manufacturing total</t>
  </si>
  <si>
    <t>309501100_Result</t>
  </si>
  <si>
    <t>Variations to manufacturing other (input)</t>
  </si>
  <si>
    <t>309501110_Result</t>
  </si>
  <si>
    <t>Variations to manufacturing other input - LDC</t>
  </si>
  <si>
    <t>309501120_Result</t>
  </si>
  <si>
    <t>Variations to manufacturing other input - MDC</t>
  </si>
  <si>
    <t>309501600_Result</t>
  </si>
  <si>
    <t>Variations in cost centers</t>
  </si>
  <si>
    <t>309501610_Result</t>
  </si>
  <si>
    <t>Variation in Production CC - Labor depending</t>
  </si>
  <si>
    <t>309501620_Result</t>
  </si>
  <si>
    <t>Variation in Production CC - Machine depending</t>
  </si>
  <si>
    <t>309501630_Result</t>
  </si>
  <si>
    <t>Variation actual to standard production order</t>
  </si>
  <si>
    <t>309501640_Result</t>
  </si>
  <si>
    <t>Variation Inbound freight / var. Material Mgmt</t>
  </si>
  <si>
    <t>309501650_Result</t>
  </si>
  <si>
    <t>Variation to ICO customs &amp; Duty</t>
  </si>
  <si>
    <t>309502100_Result</t>
  </si>
  <si>
    <t>Variations to labor cost (tariff increase)</t>
  </si>
  <si>
    <t>309503100_Result</t>
  </si>
  <si>
    <t>309503600_Result</t>
  </si>
  <si>
    <t>Variations material usage</t>
  </si>
  <si>
    <t>309504100_Result</t>
  </si>
  <si>
    <t>Variations due to start up costs</t>
  </si>
  <si>
    <t>310000000_Result</t>
  </si>
  <si>
    <t>Other cost variations total</t>
  </si>
  <si>
    <t>310001100_Result</t>
  </si>
  <si>
    <t>Var. to social cost</t>
  </si>
  <si>
    <t>310003100_Result</t>
  </si>
  <si>
    <t>Replacement and adjustment and general warranty</t>
  </si>
  <si>
    <t>310003600_Result</t>
  </si>
  <si>
    <t>Variations to handling</t>
  </si>
  <si>
    <t>310004100_Result</t>
  </si>
  <si>
    <t>Variations to freight</t>
  </si>
  <si>
    <t>310006600_Result</t>
  </si>
  <si>
    <t>Other cost variations</t>
  </si>
  <si>
    <t>304000000_Result</t>
  </si>
  <si>
    <t>Marginal contribution after variations</t>
  </si>
  <si>
    <t>310500000_Result</t>
  </si>
  <si>
    <t>Production &amp; materials management expenses</t>
  </si>
  <si>
    <t>310501100_Result</t>
  </si>
  <si>
    <t>PE production</t>
  </si>
  <si>
    <t>310501600_Result</t>
  </si>
  <si>
    <t>PE materials management</t>
  </si>
  <si>
    <t>310502100_Result</t>
  </si>
  <si>
    <t>PE plant administration</t>
  </si>
  <si>
    <t>310503100_Result</t>
  </si>
  <si>
    <t>310504100_Result</t>
  </si>
  <si>
    <t>Production &amp; materials management expenses allocation out</t>
  </si>
  <si>
    <t>311000000_Result</t>
  </si>
  <si>
    <t>Gross margin adjustments</t>
  </si>
  <si>
    <t>311001100_Result</t>
  </si>
  <si>
    <t>Inventory variations (finished goods)</t>
  </si>
  <si>
    <t>311001600_Result</t>
  </si>
  <si>
    <t>Inventory valuation allowance (finished goods &amp; wip)</t>
  </si>
  <si>
    <t>311001700_Result</t>
  </si>
  <si>
    <t>303500000_Result</t>
  </si>
  <si>
    <t>Gross margin</t>
  </si>
  <si>
    <t>311500000_Result</t>
  </si>
  <si>
    <t>R, D &amp; E expenses</t>
  </si>
  <si>
    <t>311500600_Result</t>
  </si>
  <si>
    <t>Primary R, D &amp; E costs Total</t>
  </si>
  <si>
    <t>311500610_Result</t>
  </si>
  <si>
    <t>R &amp; D</t>
  </si>
  <si>
    <t>311500620_Result</t>
  </si>
  <si>
    <t>Application engineering</t>
  </si>
  <si>
    <t>311501900_Result</t>
  </si>
  <si>
    <t>Governmental grants for R, D &amp; E</t>
  </si>
  <si>
    <t>311501910_Result</t>
  </si>
  <si>
    <t>Governmental grants for generic R &amp; D</t>
  </si>
  <si>
    <t>311501920_Result</t>
  </si>
  <si>
    <t>Governmental grants for application engineering</t>
  </si>
  <si>
    <t>311502000_Result</t>
  </si>
  <si>
    <t>R, D &amp; E licences income Total</t>
  </si>
  <si>
    <t>311502200_Result</t>
  </si>
  <si>
    <t>R &amp; D licenses income</t>
  </si>
  <si>
    <t>311502300_Result</t>
  </si>
  <si>
    <t>Application engineering licenses income</t>
  </si>
  <si>
    <t>311502500_Result</t>
  </si>
  <si>
    <t>R, D &amp; E licences expenses Total</t>
  </si>
  <si>
    <t>311502700_Result</t>
  </si>
  <si>
    <t>R &amp; D licenses expenses</t>
  </si>
  <si>
    <t>311503100_Result</t>
  </si>
  <si>
    <t>R, D &amp; E allocation in</t>
  </si>
  <si>
    <t>311503600_Result</t>
  </si>
  <si>
    <t>R, D &amp; E allocation out</t>
  </si>
  <si>
    <t>311504100_Result</t>
  </si>
  <si>
    <t>R, D &amp; E prior year</t>
  </si>
  <si>
    <t>312000000_Result</t>
  </si>
  <si>
    <t>Sales &amp; distribution expenses</t>
  </si>
  <si>
    <t>312001100_Result</t>
  </si>
  <si>
    <t>PE selling</t>
  </si>
  <si>
    <t>312001600_Result</t>
  </si>
  <si>
    <t>PE communication</t>
  </si>
  <si>
    <t>312002100_Result</t>
  </si>
  <si>
    <t>312003600_Result</t>
  </si>
  <si>
    <t>Sales &amp; distribution expenses allocation out</t>
  </si>
  <si>
    <t>312200000_Result</t>
  </si>
  <si>
    <t>312201100_Result</t>
  </si>
  <si>
    <t>312202100_Result</t>
  </si>
  <si>
    <t>Finance, general &amp; administration exp. allocation out</t>
  </si>
  <si>
    <t>312500000_Result</t>
  </si>
  <si>
    <t>Other operational income/expenses total</t>
  </si>
  <si>
    <t>312501100_Result</t>
  </si>
  <si>
    <t>Termination payments</t>
  </si>
  <si>
    <t>312501600_Result</t>
  </si>
  <si>
    <t>Provisions for doubtful accounts</t>
  </si>
  <si>
    <t>312502100_Result</t>
  </si>
  <si>
    <t>Governmental grants</t>
  </si>
  <si>
    <t>312502610_Result</t>
  </si>
  <si>
    <t>Tooling costs</t>
  </si>
  <si>
    <t>312502620_Result</t>
  </si>
  <si>
    <t>Reimbursements of tooling costs</t>
  </si>
  <si>
    <t>312502700_Result</t>
  </si>
  <si>
    <t>R, D &amp; E reimbursements</t>
  </si>
  <si>
    <t>312502710_Result</t>
  </si>
  <si>
    <t>Generic R &amp; D reimbursements</t>
  </si>
  <si>
    <t>312502711_Result</t>
  </si>
  <si>
    <t>Generic R &amp; D reimbursements ICO</t>
  </si>
  <si>
    <t>312502712_Result</t>
  </si>
  <si>
    <t>Generic R &amp; D reimbursements related parties</t>
  </si>
  <si>
    <t>312502720_Result</t>
  </si>
  <si>
    <t>Application engineering reimbursements</t>
  </si>
  <si>
    <t>312502722_Result</t>
  </si>
  <si>
    <t>Application engineering reimbursements related parties</t>
  </si>
  <si>
    <t>312503200_Result</t>
  </si>
  <si>
    <t>ICO licenses/trademarks</t>
  </si>
  <si>
    <t>312503300_Result</t>
  </si>
  <si>
    <t>FX operational total</t>
  </si>
  <si>
    <t>312503311_Result</t>
  </si>
  <si>
    <t>FX - trading</t>
  </si>
  <si>
    <t>312503316_Result</t>
  </si>
  <si>
    <t>FX operational hedging internal</t>
  </si>
  <si>
    <t>312503321_Result</t>
  </si>
  <si>
    <t>FX operational hedging external</t>
  </si>
  <si>
    <t>312503400_Result</t>
  </si>
  <si>
    <t>PPE disposal</t>
  </si>
  <si>
    <t>312503421_Result</t>
  </si>
  <si>
    <t>PPE scrap expenses</t>
  </si>
  <si>
    <t>312503425_Result</t>
  </si>
  <si>
    <t>PPE disposal int.</t>
  </si>
  <si>
    <t>312503426_Result</t>
  </si>
  <si>
    <t>PPE RoU disp. int.</t>
  </si>
  <si>
    <t>312503427_Result</t>
  </si>
  <si>
    <t>PPE disp. re.pa.loss</t>
  </si>
  <si>
    <t>312503429_Result</t>
  </si>
  <si>
    <t>PPE disp. re.pa.gain</t>
  </si>
  <si>
    <t>312503430_Result</t>
  </si>
  <si>
    <t>PPE RoU disp.rp.gain</t>
  </si>
  <si>
    <t>312503431_Result</t>
  </si>
  <si>
    <t>PPE disp.ext. losses</t>
  </si>
  <si>
    <t>312503432_Result</t>
  </si>
  <si>
    <t>PPE RoU dis.ext.loss</t>
  </si>
  <si>
    <t>312503433_Result</t>
  </si>
  <si>
    <t>PPE disp. ext. gains</t>
  </si>
  <si>
    <t>312503434_Result</t>
  </si>
  <si>
    <t>PPE RoU dis.ext.gain</t>
  </si>
  <si>
    <t>312504000_Result</t>
  </si>
  <si>
    <t>Equalization prior year total</t>
  </si>
  <si>
    <t>312504500_Result</t>
  </si>
  <si>
    <t>Equalization prior year ICO</t>
  </si>
  <si>
    <t>312504310_Result</t>
  </si>
  <si>
    <t>Equalization prior year related parties - expense</t>
  </si>
  <si>
    <t>312504320_Result</t>
  </si>
  <si>
    <t>Equalization prior year related parties - income</t>
  </si>
  <si>
    <t>312505100_Result</t>
  </si>
  <si>
    <t>Recalls &amp; other specific warranty</t>
  </si>
  <si>
    <t>312505600_Result</t>
  </si>
  <si>
    <t>Litigations: product liability, patents &amp; other</t>
  </si>
  <si>
    <t>312506100_Result</t>
  </si>
  <si>
    <t>Environmental reserves</t>
  </si>
  <si>
    <t>312506600_Result</t>
  </si>
  <si>
    <t>Impairment</t>
  </si>
  <si>
    <t>312506800_Result</t>
  </si>
  <si>
    <t>Other non income taxes and charges</t>
  </si>
  <si>
    <t>312507000_Result</t>
  </si>
  <si>
    <t>Other operational income and expenses</t>
  </si>
  <si>
    <t>312507600_Result</t>
  </si>
  <si>
    <t>Other operational expenses - external</t>
  </si>
  <si>
    <t>312507700_Result</t>
  </si>
  <si>
    <t>Other operational expenses - internal</t>
  </si>
  <si>
    <t>312507800_Result</t>
  </si>
  <si>
    <t>Other operational expenses - related parties</t>
  </si>
  <si>
    <t>312508100_Result</t>
  </si>
  <si>
    <t>Other operational income - external</t>
  </si>
  <si>
    <t>312508200_Result</t>
  </si>
  <si>
    <t>Other operational income - internal</t>
  </si>
  <si>
    <t>312508300_Result</t>
  </si>
  <si>
    <t>Other operational income - related parties</t>
  </si>
  <si>
    <t>314000000_Result</t>
  </si>
  <si>
    <t>External income from subsidiaries &amp; affiliated companies</t>
  </si>
  <si>
    <t>314001600_Result</t>
  </si>
  <si>
    <t>Proportion. share in earn. in/imp. on equity acc. investees</t>
  </si>
  <si>
    <t>303000000_Result</t>
  </si>
  <si>
    <t>Net operating profit</t>
  </si>
  <si>
    <t>315000000_Result</t>
  </si>
  <si>
    <t>Non-operating income/expenses</t>
  </si>
  <si>
    <t>315001100_Result</t>
  </si>
  <si>
    <t>Goodwill impairment</t>
  </si>
  <si>
    <t>315001600_Result</t>
  </si>
  <si>
    <t>315002100_Result</t>
  </si>
  <si>
    <t>Disinvestment internal</t>
  </si>
  <si>
    <t>315002500_Result</t>
  </si>
  <si>
    <t>Disinvestment to related party</t>
  </si>
  <si>
    <t>315002600_Result</t>
  </si>
  <si>
    <t>Disinvestment external</t>
  </si>
  <si>
    <t>315002610_Result</t>
  </si>
  <si>
    <t>Cost of disp. (HFS)</t>
  </si>
  <si>
    <t>315002620_Result</t>
  </si>
  <si>
    <t>Impair disp group</t>
  </si>
  <si>
    <t>315003600_Result</t>
  </si>
  <si>
    <t>Other non-operating income/expenses</t>
  </si>
  <si>
    <t>315004100_Result</t>
  </si>
  <si>
    <t>Service mark-up ICO</t>
  </si>
  <si>
    <t>315004200_Result</t>
  </si>
  <si>
    <t>Service mark-up related parties - expenses</t>
  </si>
  <si>
    <t>315004300_Result</t>
  </si>
  <si>
    <t>Service mark-up related parties - income</t>
  </si>
  <si>
    <t>302500000_Result</t>
  </si>
  <si>
    <t>Earnings before interest and tax (EBIT)</t>
  </si>
  <si>
    <t>Year-2</t>
  </si>
  <si>
    <t>Plan-1</t>
  </si>
  <si>
    <t>Plan</t>
  </si>
  <si>
    <t>131100000_Result</t>
  </si>
  <si>
    <t>131111000_Result</t>
  </si>
  <si>
    <t>Raw Materials</t>
  </si>
  <si>
    <t>131116000_Result</t>
  </si>
  <si>
    <t>Work in Progress</t>
  </si>
  <si>
    <t>131118000_Result</t>
  </si>
  <si>
    <t>WiP - appl. eng.</t>
  </si>
  <si>
    <t>131121000_Result</t>
  </si>
  <si>
    <t>Fin goods &amp; merch</t>
  </si>
  <si>
    <t>131600000_Result</t>
  </si>
  <si>
    <t>Trade A/R</t>
  </si>
  <si>
    <t>231100000_Result</t>
  </si>
  <si>
    <t>Trade acc. Payable</t>
  </si>
  <si>
    <t>Number of Employees Total</t>
  </si>
  <si>
    <t>CO-010101000_Result</t>
  </si>
  <si>
    <t>Employees var.</t>
  </si>
  <si>
    <t>CO-010106000_Result</t>
  </si>
  <si>
    <t>Employees fix</t>
  </si>
  <si>
    <t>CO-010101600_Result</t>
  </si>
  <si>
    <t>Leas. employees var.</t>
  </si>
  <si>
    <t>CO-010106600_Result</t>
  </si>
  <si>
    <t>Leas. employees fix</t>
  </si>
  <si>
    <t>CO-010101100_Result</t>
  </si>
  <si>
    <t>Own employees var.</t>
  </si>
  <si>
    <t>CO-010106100_Result</t>
  </si>
  <si>
    <t>Own employees fix</t>
  </si>
  <si>
    <t>CO-010604000_Result</t>
  </si>
  <si>
    <t>Working students</t>
  </si>
  <si>
    <t>CO-010601000_Result</t>
  </si>
  <si>
    <t>Apprentices</t>
  </si>
  <si>
    <t>CO-010100000_Result</t>
  </si>
  <si>
    <t>Employees total</t>
  </si>
  <si>
    <t>CO-210000312_Result</t>
  </si>
  <si>
    <t>CO-210000313_Result</t>
  </si>
  <si>
    <t>CO-210000320_Result</t>
  </si>
  <si>
    <t>CO-210000321_Result</t>
  </si>
  <si>
    <t>CO-210000325_Result</t>
  </si>
  <si>
    <t>CO-210000326_Result</t>
  </si>
  <si>
    <t>CO-210000329_Result</t>
  </si>
  <si>
    <t>CO-210000310_Result</t>
  </si>
  <si>
    <t>CO-210000311_Result</t>
  </si>
  <si>
    <t>CO-210000314_Result</t>
  </si>
  <si>
    <t>CO-210000322_Result</t>
  </si>
  <si>
    <t>CO-210000323_Result</t>
  </si>
  <si>
    <t>Approvals</t>
  </si>
  <si>
    <t>Spending</t>
  </si>
  <si>
    <t>122137000_110</t>
  </si>
  <si>
    <t>Adv.to suppl.intang. (Capitalization)</t>
  </si>
  <si>
    <t>122612000_110</t>
  </si>
  <si>
    <t>Land (Capitalization)</t>
  </si>
  <si>
    <t>122142000_110</t>
  </si>
  <si>
    <t>Softw f int purp (Capitalization)</t>
  </si>
  <si>
    <t>122142000_115</t>
  </si>
  <si>
    <t>Softw f int purp (Invest.grants)</t>
  </si>
  <si>
    <t>122617100_110</t>
  </si>
  <si>
    <t>Buildings&amp;land right (Capitalization)</t>
  </si>
  <si>
    <t>122622000_110</t>
  </si>
  <si>
    <t>Techn.equip.&amp;machin. (Capitalization)</t>
  </si>
  <si>
    <t>122622000_115</t>
  </si>
  <si>
    <t>Techn.equip.&amp;machin. (Invest.grants)</t>
  </si>
  <si>
    <t>122622000_117</t>
  </si>
  <si>
    <t>Techn.equip.&amp;machin. (Cap. spare parts)</t>
  </si>
  <si>
    <t>122627000_110</t>
  </si>
  <si>
    <t>Other equipment (Capitalization)</t>
  </si>
  <si>
    <t>122627000_115</t>
  </si>
  <si>
    <t>Other equipment (Invest.grants)</t>
  </si>
  <si>
    <t>122632000_110</t>
  </si>
  <si>
    <t>AuC/Advances (Capitalization)</t>
  </si>
  <si>
    <t>122637000_110</t>
  </si>
  <si>
    <t>Molds/cont./tooling (Capitalization)</t>
  </si>
  <si>
    <t>RACE
↓</t>
  </si>
  <si>
    <t>Plan 1</t>
  </si>
  <si>
    <t>Plan 2</t>
  </si>
  <si>
    <t>Plan 3</t>
  </si>
  <si>
    <t>Plan 4</t>
  </si>
  <si>
    <t>Plan 5</t>
  </si>
  <si>
    <t>Plan 6</t>
  </si>
  <si>
    <t>Plan 7</t>
  </si>
  <si>
    <t>Plan 8</t>
  </si>
  <si>
    <t>Plan 9</t>
  </si>
  <si>
    <t>Plan 10</t>
  </si>
  <si>
    <t>Plan 11</t>
  </si>
  <si>
    <t>Plan 12</t>
  </si>
  <si>
    <t>Total</t>
  </si>
  <si>
    <t>check</t>
  </si>
  <si>
    <t>Financial Statement Item</t>
  </si>
  <si>
    <t>MoveType</t>
  </si>
  <si>
    <t>Actual 2021</t>
  </si>
  <si>
    <t>Actual 2022</t>
  </si>
  <si>
    <t>YTD Act Jun 2023</t>
  </si>
  <si>
    <t>Plan 2023</t>
  </si>
  <si>
    <t>FC 2023 6+6</t>
  </si>
  <si>
    <t>FC 2023 7+5</t>
  </si>
  <si>
    <t>Plan 2024</t>
  </si>
  <si>
    <t>Expected Layout:</t>
  </si>
  <si>
    <t>122100000</t>
  </si>
  <si>
    <t>Other intang. assets</t>
  </si>
  <si>
    <t>100</t>
  </si>
  <si>
    <t>OB</t>
  </si>
  <si>
    <t>110</t>
  </si>
  <si>
    <t>Capitalization</t>
  </si>
  <si>
    <t>120</t>
  </si>
  <si>
    <t>Disposals</t>
  </si>
  <si>
    <t>135</t>
  </si>
  <si>
    <t>Transf. btw. outlets</t>
  </si>
  <si>
    <t>148</t>
  </si>
  <si>
    <t>Transf betw FS items</t>
  </si>
  <si>
    <t>160</t>
  </si>
  <si>
    <t>CTA</t>
  </si>
  <si>
    <t>200</t>
  </si>
  <si>
    <t>210</t>
  </si>
  <si>
    <t>Depr./amortiz.</t>
  </si>
  <si>
    <t>220</t>
  </si>
  <si>
    <t>Disposals depr.</t>
  </si>
  <si>
    <t>248</t>
  </si>
  <si>
    <t>260</t>
  </si>
  <si>
    <t>Result</t>
  </si>
  <si>
    <t>122133000</t>
  </si>
  <si>
    <t>Intang devel. assets</t>
  </si>
  <si>
    <t>122133100</t>
  </si>
  <si>
    <t>R&amp;D devel. assets</t>
  </si>
  <si>
    <t>122137000</t>
  </si>
  <si>
    <t>Adv.to suppl.intang.</t>
  </si>
  <si>
    <t>122142000</t>
  </si>
  <si>
    <t>Softw f int purp</t>
  </si>
  <si>
    <t>122600000</t>
  </si>
  <si>
    <t>PP&amp;E</t>
  </si>
  <si>
    <t>122</t>
  </si>
  <si>
    <t>Scrap</t>
  </si>
  <si>
    <t>130</t>
  </si>
  <si>
    <t>Transf. btw. items</t>
  </si>
  <si>
    <t>211</t>
  </si>
  <si>
    <t>Depr. of tools</t>
  </si>
  <si>
    <t>222</t>
  </si>
  <si>
    <t>Scrap depr.</t>
  </si>
  <si>
    <t>235</t>
  </si>
  <si>
    <t>Transf.btw.outl depr</t>
  </si>
  <si>
    <t>122612000</t>
  </si>
  <si>
    <t>Land</t>
  </si>
  <si>
    <t>122613000</t>
  </si>
  <si>
    <t>Land RoU</t>
  </si>
  <si>
    <t>122617100</t>
  </si>
  <si>
    <t>Buildings&amp;land right</t>
  </si>
  <si>
    <t>122617200</t>
  </si>
  <si>
    <t>Buildings RoU</t>
  </si>
  <si>
    <t>122622000</t>
  </si>
  <si>
    <t>Techn.equip.&amp;machin.</t>
  </si>
  <si>
    <t>122627000</t>
  </si>
  <si>
    <t>Other equipment</t>
  </si>
  <si>
    <t>122628000</t>
  </si>
  <si>
    <t>Other equipment RoU</t>
  </si>
  <si>
    <t>122632000</t>
  </si>
  <si>
    <t>AuC/Advances</t>
  </si>
  <si>
    <t>122637000</t>
  </si>
  <si>
    <t>Molds/cont./tooling</t>
  </si>
  <si>
    <t>131100000</t>
  </si>
  <si>
    <t>300</t>
  </si>
  <si>
    <t>310</t>
  </si>
  <si>
    <t>Movements</t>
  </si>
  <si>
    <t>348</t>
  </si>
  <si>
    <t>360</t>
  </si>
  <si>
    <t>400</t>
  </si>
  <si>
    <t>410</t>
  </si>
  <si>
    <t>Allowance movements</t>
  </si>
  <si>
    <t>440</t>
  </si>
  <si>
    <t>Transf.btw.outl all.</t>
  </si>
  <si>
    <t>460</t>
  </si>
  <si>
    <t>131111000</t>
  </si>
  <si>
    <t>Raw materials</t>
  </si>
  <si>
    <t>131111100</t>
  </si>
  <si>
    <t>Raw mat.-3rd parties</t>
  </si>
  <si>
    <t>131111300</t>
  </si>
  <si>
    <t>Supplies</t>
  </si>
  <si>
    <t>131111320</t>
  </si>
  <si>
    <t>Other supplies</t>
  </si>
  <si>
    <t>131116000</t>
  </si>
  <si>
    <t>Work in progress</t>
  </si>
  <si>
    <t>131121000</t>
  </si>
  <si>
    <t>131121100</t>
  </si>
  <si>
    <t>Manufactured goods</t>
  </si>
  <si>
    <t>131121300</t>
  </si>
  <si>
    <t>Merchand. - 3rd part</t>
  </si>
  <si>
    <t>131600000</t>
  </si>
  <si>
    <t>430</t>
  </si>
  <si>
    <t>Add. to allowance</t>
  </si>
  <si>
    <t>435</t>
  </si>
  <si>
    <t>Rev. of allowance</t>
  </si>
  <si>
    <t>131611000</t>
  </si>
  <si>
    <t>Tr A/R 3rd inc doubt</t>
  </si>
  <si>
    <t>131611110</t>
  </si>
  <si>
    <t>131611500</t>
  </si>
  <si>
    <t>Other amounts rec.</t>
  </si>
  <si>
    <t>131611900</t>
  </si>
  <si>
    <t>A/R rel. part. op.</t>
  </si>
  <si>
    <t>231100000</t>
  </si>
  <si>
    <t>Trade acc. payable</t>
  </si>
  <si>
    <t>700</t>
  </si>
  <si>
    <t>710</t>
  </si>
  <si>
    <t>740</t>
  </si>
  <si>
    <t>748</t>
  </si>
  <si>
    <t>760</t>
  </si>
  <si>
    <t>231111000</t>
  </si>
  <si>
    <t>Tr A/P 3rd-prod. mat</t>
  </si>
  <si>
    <t>231116000</t>
  </si>
  <si>
    <t>Tr A/P 3rd-nonprod.</t>
  </si>
  <si>
    <t>231117000</t>
  </si>
  <si>
    <t>A/P rel. part. op.</t>
  </si>
  <si>
    <t>231121000</t>
  </si>
  <si>
    <t>Goods/Invoice receiv</t>
  </si>
  <si>
    <t>302500000</t>
  </si>
  <si>
    <t>#</t>
  </si>
  <si>
    <t>Not assigned</t>
  </si>
  <si>
    <t>303000000</t>
  </si>
  <si>
    <t>NOP</t>
  </si>
  <si>
    <t>303500000</t>
  </si>
  <si>
    <t>304000000</t>
  </si>
  <si>
    <t>MC after variations</t>
  </si>
  <si>
    <t>304500000</t>
  </si>
  <si>
    <t>305000000</t>
  </si>
  <si>
    <t>305001600</t>
  </si>
  <si>
    <t>305001700</t>
  </si>
  <si>
    <t>Net sales rel. par.</t>
  </si>
  <si>
    <t>305002100</t>
  </si>
  <si>
    <t>305500000</t>
  </si>
  <si>
    <t>305502200</t>
  </si>
  <si>
    <t>Equalization ICO</t>
  </si>
  <si>
    <t>306000000</t>
  </si>
  <si>
    <t>306500000</t>
  </si>
  <si>
    <t>Var costs over stand</t>
  </si>
  <si>
    <t>306501100</t>
  </si>
  <si>
    <t>306501600</t>
  </si>
  <si>
    <t>Var. manuf. costs</t>
  </si>
  <si>
    <t>307000000</t>
  </si>
  <si>
    <t>Other var. costs</t>
  </si>
  <si>
    <t>307001600</t>
  </si>
  <si>
    <t>307002100</t>
  </si>
  <si>
    <t>307500000</t>
  </si>
  <si>
    <t>308000000</t>
  </si>
  <si>
    <t>Var.to raw mat total</t>
  </si>
  <si>
    <t>308001200</t>
  </si>
  <si>
    <t>Var.to raw mat price</t>
  </si>
  <si>
    <t>308001210</t>
  </si>
  <si>
    <t>Material Price Var</t>
  </si>
  <si>
    <t>308001250</t>
  </si>
  <si>
    <t>FX Material</t>
  </si>
  <si>
    <t>308001600</t>
  </si>
  <si>
    <t>Inv.val.allo RM&amp;supp</t>
  </si>
  <si>
    <t>308002100</t>
  </si>
  <si>
    <t>Inv.var.(RM&amp;supp)</t>
  </si>
  <si>
    <t>308500000</t>
  </si>
  <si>
    <t>Var. in manuf. tot</t>
  </si>
  <si>
    <t>309500000</t>
  </si>
  <si>
    <t>Var.to mfg oth. tot</t>
  </si>
  <si>
    <t>309501110</t>
  </si>
  <si>
    <t>Var.to mfg oth.inp.</t>
  </si>
  <si>
    <t>309501120</t>
  </si>
  <si>
    <t>309501610</t>
  </si>
  <si>
    <t>Var.in Pr.Labor dep.</t>
  </si>
  <si>
    <t>309501620</t>
  </si>
  <si>
    <t>Var.in Pro.Machine d</t>
  </si>
  <si>
    <t>309501630</t>
  </si>
  <si>
    <t>Var.act to std.prod.</t>
  </si>
  <si>
    <t>309501640</t>
  </si>
  <si>
    <t>Var.Inbound freight</t>
  </si>
  <si>
    <t>309501650</t>
  </si>
  <si>
    <t>Var. ICO Cus. &amp; Duty</t>
  </si>
  <si>
    <t>309502100</t>
  </si>
  <si>
    <t>Var.to lab.C.T.incr.</t>
  </si>
  <si>
    <t>309503100</t>
  </si>
  <si>
    <t>Var.rew/spoil/scrap</t>
  </si>
  <si>
    <t>309503600</t>
  </si>
  <si>
    <t>Var. material usage</t>
  </si>
  <si>
    <t>309504100</t>
  </si>
  <si>
    <t>Var.due t.startUp C</t>
  </si>
  <si>
    <t>310000000</t>
  </si>
  <si>
    <t>Other cost var. tot</t>
  </si>
  <si>
    <t>310003100</t>
  </si>
  <si>
    <t>R&amp;A and gen.warr.</t>
  </si>
  <si>
    <t>310003600</t>
  </si>
  <si>
    <t>Var. to handling</t>
  </si>
  <si>
    <t>310004100</t>
  </si>
  <si>
    <t>Var. to freight</t>
  </si>
  <si>
    <t>310006600</t>
  </si>
  <si>
    <t>Other cost var.</t>
  </si>
  <si>
    <t>310500000</t>
  </si>
  <si>
    <t>Prod.&amp;mat.mgmt.exp.</t>
  </si>
  <si>
    <t>310501100</t>
  </si>
  <si>
    <t>310501600</t>
  </si>
  <si>
    <t>PE mat. management</t>
  </si>
  <si>
    <t>310502100</t>
  </si>
  <si>
    <t>PE plant admin.</t>
  </si>
  <si>
    <t>310503100</t>
  </si>
  <si>
    <t>311000000</t>
  </si>
  <si>
    <t>Gross margin adj.</t>
  </si>
  <si>
    <t>311001100</t>
  </si>
  <si>
    <t>Inv.var.fin.goods</t>
  </si>
  <si>
    <t>311001600</t>
  </si>
  <si>
    <t>Inv.val.allow.fin.g.</t>
  </si>
  <si>
    <t>311001700</t>
  </si>
  <si>
    <t>311500000</t>
  </si>
  <si>
    <t>311503100</t>
  </si>
  <si>
    <t>R,D&amp;E alloc. in</t>
  </si>
  <si>
    <t>311504100</t>
  </si>
  <si>
    <t>312000000</t>
  </si>
  <si>
    <t>Sales&amp;distrib.exp.</t>
  </si>
  <si>
    <t>312001100</t>
  </si>
  <si>
    <t>312001600</t>
  </si>
  <si>
    <t>312002100</t>
  </si>
  <si>
    <t>312200000</t>
  </si>
  <si>
    <t>F,G and A expenses</t>
  </si>
  <si>
    <t>312201100</t>
  </si>
  <si>
    <t>F,G&amp;A expenses</t>
  </si>
  <si>
    <t>312500000</t>
  </si>
  <si>
    <t>Oth.op. inc./exp.tot</t>
  </si>
  <si>
    <t>312501600</t>
  </si>
  <si>
    <t>Prov.f.dbtful acc.</t>
  </si>
  <si>
    <t>312503300</t>
  </si>
  <si>
    <t>FX op. total</t>
  </si>
  <si>
    <t>312503311</t>
  </si>
  <si>
    <t>312503400</t>
  </si>
  <si>
    <t>312503421</t>
  </si>
  <si>
    <t>312503433</t>
  </si>
  <si>
    <t>312503434</t>
  </si>
  <si>
    <t>312504000</t>
  </si>
  <si>
    <t>Equal. PY total</t>
  </si>
  <si>
    <t>312504500</t>
  </si>
  <si>
    <t>Equalization PY ICO</t>
  </si>
  <si>
    <t>312507000</t>
  </si>
  <si>
    <t>Other op. inc./ exp.</t>
  </si>
  <si>
    <t>312507600</t>
  </si>
  <si>
    <t>Other op. exp. ext.</t>
  </si>
  <si>
    <t>312508100</t>
  </si>
  <si>
    <t>Other op. inc. ext.</t>
  </si>
  <si>
    <t>312508300</t>
  </si>
  <si>
    <t>Oth. op. inc. re.pa.</t>
  </si>
  <si>
    <t>CO-010000000</t>
  </si>
  <si>
    <t>HR-reporting items</t>
  </si>
  <si>
    <t>CO-010100000</t>
  </si>
  <si>
    <t>CO-010101000</t>
  </si>
  <si>
    <t>CO-010101100</t>
  </si>
  <si>
    <t>CO-010106000</t>
  </si>
  <si>
    <t>CO-010106100</t>
  </si>
  <si>
    <t>CO-010106600</t>
  </si>
  <si>
    <t>CO-210000000</t>
  </si>
  <si>
    <t>CTL Upload</t>
  </si>
  <si>
    <t>CO-210000329</t>
  </si>
  <si>
    <t>CO-210000326</t>
  </si>
  <si>
    <t>Rel. proj. expe. RPE</t>
  </si>
  <si>
    <t>CO-210000325</t>
  </si>
  <si>
    <t>Prod.Val./Req af.G60</t>
  </si>
  <si>
    <t>CO-210000323</t>
  </si>
  <si>
    <t>PMME Dep.w/o intang</t>
  </si>
  <si>
    <t>CO-210000322</t>
  </si>
  <si>
    <t>PMME Dep. int. asset</t>
  </si>
  <si>
    <t>CO-210000321</t>
  </si>
  <si>
    <t>Maintenance E01-320</t>
  </si>
  <si>
    <t>CO-210000320</t>
  </si>
  <si>
    <t>Comp. (E01-299)</t>
  </si>
  <si>
    <t>CO-210000314</t>
  </si>
  <si>
    <t>Shared equip. K662x</t>
  </si>
  <si>
    <t>CO-210000313</t>
  </si>
  <si>
    <t>Assessment from FF</t>
  </si>
  <si>
    <t>CO-210000312</t>
  </si>
  <si>
    <t>Ass. f. Central Func</t>
  </si>
  <si>
    <t>CO-210000311</t>
  </si>
  <si>
    <t>NSHS Services</t>
  </si>
  <si>
    <t>CO-210000310</t>
  </si>
  <si>
    <t>NSHS Allocations</t>
  </si>
  <si>
    <t>CO-210000210</t>
  </si>
  <si>
    <t>EBIT volume</t>
  </si>
  <si>
    <t>CO-210000211</t>
  </si>
  <si>
    <t>EBIT mix</t>
  </si>
  <si>
    <t>CO-210000114</t>
  </si>
  <si>
    <t>Sales Price FX Trans</t>
  </si>
  <si>
    <t>CO-210000113</t>
  </si>
  <si>
    <t>Sales Price - Other</t>
  </si>
  <si>
    <t>CO-210000112</t>
  </si>
  <si>
    <t>Sales Price incr./de</t>
  </si>
  <si>
    <t>CO-210000110</t>
  </si>
  <si>
    <t>Sales Volume</t>
  </si>
  <si>
    <t>Posting period</t>
  </si>
  <si>
    <t>000</t>
  </si>
  <si>
    <t>January</t>
  </si>
  <si>
    <t>February</t>
  </si>
  <si>
    <t>March</t>
  </si>
  <si>
    <t>April</t>
  </si>
  <si>
    <t>July</t>
  </si>
  <si>
    <t>August</t>
  </si>
  <si>
    <t>September</t>
  </si>
  <si>
    <t>October</t>
  </si>
  <si>
    <t>November</t>
  </si>
  <si>
    <t>December</t>
  </si>
  <si>
    <t>Plant Number</t>
  </si>
  <si>
    <t>BU Number</t>
  </si>
  <si>
    <t>BU Name</t>
  </si>
  <si>
    <t>Outlet Number</t>
  </si>
  <si>
    <t>Outlet Name</t>
  </si>
  <si>
    <t>Sheet</t>
  </si>
  <si>
    <t>Key Figure</t>
  </si>
  <si>
    <t>Budget 2023</t>
  </si>
  <si>
    <t>FC 7+5 Special Effects</t>
  </si>
  <si>
    <t>FC 7+5 w/o Special Effects</t>
  </si>
  <si>
    <t>Target 2024</t>
  </si>
  <si>
    <t>Product Mix</t>
  </si>
  <si>
    <t>Price Effects</t>
  </si>
  <si>
    <t>Costimprovement</t>
  </si>
  <si>
    <t>All Others</t>
  </si>
  <si>
    <t xml:space="preserve">January </t>
  </si>
  <si>
    <t>R&amp;O Sales</t>
  </si>
  <si>
    <t>R&amp;O EBIT</t>
  </si>
  <si>
    <t>R&amp;O WC EOP</t>
  </si>
  <si>
    <t>Structual Change HC</t>
  </si>
  <si>
    <t>Structual Change Cost</t>
  </si>
  <si>
    <t>Area</t>
  </si>
  <si>
    <t>Key</t>
  </si>
  <si>
    <t>Version</t>
  </si>
  <si>
    <t>1.1 Structual Changes</t>
  </si>
  <si>
    <t>2. Variable</t>
  </si>
  <si>
    <t xml:space="preserve">   thereof Standard material incl. Subcontr./Cash discount (w/o ICO)</t>
  </si>
  <si>
    <t>ICO cost (Purchases) incl. Value add sender</t>
  </si>
  <si>
    <t>Variable Labour cost (Production)</t>
  </si>
  <si>
    <t>Variable Labour cost (MGK/VK)</t>
  </si>
  <si>
    <t>Labour cost charge in/out from other PL</t>
  </si>
  <si>
    <t>V1</t>
  </si>
  <si>
    <t xml:space="preserve">   thereof variable maintenance  (w/o labour cost)</t>
  </si>
  <si>
    <t xml:space="preserve">   thereof utility</t>
  </si>
  <si>
    <t>3. Scrap</t>
  </si>
  <si>
    <t>Total - Variations rework/spoilage/scrap (Scrap)</t>
  </si>
  <si>
    <t>Total - Sales (Scrap)</t>
  </si>
  <si>
    <t>Start-up - Area 1 - Variations rework/spoilage/scrap</t>
  </si>
  <si>
    <t>Start-up - Area 1 - Start-up (only scrap-related)</t>
  </si>
  <si>
    <t>Start-up - Area 1 - Sales</t>
  </si>
  <si>
    <t>Start-up - Area 2 - Variations rework/spoilage/scrap</t>
  </si>
  <si>
    <t>Start-up - Area 2 - Start-up (only scrap-related)</t>
  </si>
  <si>
    <t>Start-up - Area 2 - Sales</t>
  </si>
  <si>
    <t>Start-up - Area 3 - Variations rework/spoilage/scrap</t>
  </si>
  <si>
    <t>Start-up - Area 3 - Start-up (only scrap-related)</t>
  </si>
  <si>
    <t>Start-up - Area 3 - Sales</t>
  </si>
  <si>
    <t>Start-up - All Other - Variations rework/spoilage/scrap</t>
  </si>
  <si>
    <t>Start-up - All Other - Start-up (only scrap-related)</t>
  </si>
  <si>
    <t>Start-up - All Other - Sales</t>
  </si>
  <si>
    <t>Total - Start-up</t>
  </si>
  <si>
    <t>Total - Sales (Start-up)</t>
  </si>
  <si>
    <t>4. Fix Cost</t>
  </si>
  <si>
    <t>5. Logistics Cost</t>
  </si>
  <si>
    <t>5.1 Inventory</t>
  </si>
  <si>
    <t>6. HC</t>
  </si>
  <si>
    <t>YE Sales</t>
  </si>
  <si>
    <t>HC YE var - Manufacturing operators</t>
  </si>
  <si>
    <t>HC YE var - Manufacturing auxiliary heads</t>
  </si>
  <si>
    <t>HC YE var - Material Management</t>
  </si>
  <si>
    <t>HC YE var - Sales &amp; Distribution</t>
  </si>
  <si>
    <t>HC YE var - Total variable</t>
  </si>
  <si>
    <t>HC YE fix - Production</t>
  </si>
  <si>
    <t>HC YE fix - Material Management</t>
  </si>
  <si>
    <t>HC YE fix - Plant Administration</t>
  </si>
  <si>
    <t>HC YE fix - Sales &amp; Distribution</t>
  </si>
  <si>
    <t>HC YE - R, D &amp; E Expenses</t>
  </si>
  <si>
    <t>HC YE fix - Central Management MGK/FGK/VK/FG&amp;A</t>
  </si>
  <si>
    <t>HC YE fix - Total fix</t>
  </si>
  <si>
    <t>HC YE - Total employees (own and leasing)</t>
  </si>
  <si>
    <t>HC YE - Total Central Functions (assessed) Variable</t>
  </si>
  <si>
    <t>HC YE - Total Central Functions (assessed) Fix</t>
  </si>
  <si>
    <t>HC YE - RACE variable</t>
  </si>
  <si>
    <t>HC YE - RACE fix</t>
  </si>
  <si>
    <t>Avg Sales</t>
  </si>
  <si>
    <t>HC Avg var - Manufacturing operators</t>
  </si>
  <si>
    <t>HC Avg var - Manufacturing auxiliary heads</t>
  </si>
  <si>
    <t>HC Avg var - Material Management</t>
  </si>
  <si>
    <t>HC Avg var - Sales &amp; Distribution</t>
  </si>
  <si>
    <t>HC Avg var - Total variable</t>
  </si>
  <si>
    <t>HC Avg fix - Production</t>
  </si>
  <si>
    <t>HC Avg fix - Material Management</t>
  </si>
  <si>
    <t>HC Avg fix - Plant Administration</t>
  </si>
  <si>
    <t>HC Avg fix - Sales &amp; Distribution</t>
  </si>
  <si>
    <t>HC Avg - R, D &amp; E Expenses</t>
  </si>
  <si>
    <t>HC Avg fix - Central Management MGK/FGK/VK/FG&amp;A</t>
  </si>
  <si>
    <t>HC Avg fix - Total fix</t>
  </si>
  <si>
    <t>HC Avg - Total emploAvges (own and leasing)</t>
  </si>
  <si>
    <t>HC Avg - Total Central Functions (assessed) Variable</t>
  </si>
  <si>
    <t>HC Avg - Total Central Functions (assessed) Fix</t>
  </si>
  <si>
    <t>HC Avg - RACE variable</t>
  </si>
  <si>
    <t>HC Avg - RACE fix</t>
  </si>
  <si>
    <t>Compensation average Fix per Employee (Manual)</t>
  </si>
  <si>
    <t>7. BS Key Figures</t>
  </si>
  <si>
    <t>8. Volumes</t>
  </si>
  <si>
    <t>Product Group 1</t>
  </si>
  <si>
    <t>Product Group 2</t>
  </si>
  <si>
    <t>Product Group 3</t>
  </si>
  <si>
    <t>Product Group 4</t>
  </si>
  <si>
    <t>Product Group 5</t>
  </si>
  <si>
    <t>Product Group 6</t>
  </si>
  <si>
    <t>Product Group 7</t>
  </si>
  <si>
    <t>Product Group 8</t>
  </si>
  <si>
    <t>Product Group 9</t>
  </si>
  <si>
    <t>Product Group 10</t>
  </si>
  <si>
    <t>Product Group 11</t>
  </si>
  <si>
    <t>Deviation to Modias 1</t>
  </si>
  <si>
    <t>Deviation to Modias 2</t>
  </si>
  <si>
    <t>Deviation to Modias 3</t>
  </si>
  <si>
    <t>Deviation to Modias 4</t>
  </si>
  <si>
    <t>Deviation to Modias 5</t>
  </si>
  <si>
    <t>11. R&amp;O</t>
  </si>
  <si>
    <t>Opportunity 1</t>
  </si>
  <si>
    <t>Opportunity 2</t>
  </si>
  <si>
    <t>Opportunity 3</t>
  </si>
  <si>
    <t>Opportunity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</si>
</sst>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164" formatCode="_(* #,##0.00_);_(* \(#,##0.00\);_(* &quot;-&quot;??_);_(@_)"/>
    <numFmt numFmtId="165" formatCode="#,##0.0000"/>
    <numFmt numFmtId="166" formatCode="#,##0;\(#,##0\)"/>
    <numFmt numFmtId="167" formatCode="0.0%"/>
    <numFmt numFmtId="168" formatCode="#,##0.0"/>
    <numFmt numFmtId="169" formatCode="##0.0"/>
    <numFmt numFmtId="170" formatCode="#,##0_);\(#,##0\);0_)"/>
    <numFmt numFmtId="171" formatCode="###,000"/>
    <numFmt numFmtId="172" formatCode="&quot;         &quot;@"/>
    <numFmt numFmtId="173" formatCode="&quot;  [-] &quot;@"/>
    <numFmt numFmtId="174" formatCode="&quot;             &quot;@"/>
    <numFmt numFmtId="175" formatCode="&quot;      [-] &quot;@"/>
    <numFmt numFmtId="176" formatCode="&quot;           &quot;@"/>
    <numFmt numFmtId="177" formatCode="&quot;    [-] &quot;@"/>
    <numFmt numFmtId="178" formatCode="&quot;                   &quot;@"/>
    <numFmt numFmtId="179" formatCode="&quot;            [-] &quot;@"/>
    <numFmt numFmtId="180" formatCode="&quot;                     &quot;@"/>
    <numFmt numFmtId="181" formatCode="&quot;              [-] &quot;@"/>
    <numFmt numFmtId="182" formatCode="&quot;                 &quot;@"/>
    <numFmt numFmtId="183" formatCode="&quot;        [-] &quot;@"/>
    <numFmt numFmtId="184" formatCode="&quot;[-] &quot;@"/>
    <numFmt numFmtId="185" formatCode="&quot;       &quot;@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itesco"/>
      <family val="2"/>
    </font>
    <font>
      <sz val="10"/>
      <color rgb="FF4B4B46"/>
      <name val="Vitesco"/>
      <family val="2"/>
    </font>
    <font>
      <b/>
      <sz val="10"/>
      <color rgb="FF4B4B46"/>
      <name val="Vitesco"/>
      <family val="2"/>
    </font>
    <font>
      <i/>
      <sz val="10"/>
      <color rgb="FF4B4B46"/>
      <name val="Vitesco"/>
      <family val="2"/>
    </font>
    <font>
      <sz val="11"/>
      <color rgb="FFFF0000"/>
      <name val="Vitesco"/>
      <family val="2"/>
    </font>
    <font>
      <sz val="10"/>
      <color rgb="FFFF0000"/>
      <name val="Vitesco"/>
      <family val="2"/>
    </font>
    <font>
      <sz val="8"/>
      <name val="Arial"/>
      <family val="2"/>
    </font>
    <font>
      <sz val="11"/>
      <color rgb="FF4B4B46"/>
      <name val="Vitesco"/>
      <family val="2"/>
    </font>
    <font>
      <b/>
      <sz val="11"/>
      <color rgb="FF4B4B46"/>
      <name val="Vitesco"/>
      <family val="2"/>
    </font>
    <font>
      <b/>
      <sz val="12"/>
      <color rgb="FF4B4B46"/>
      <name val="Vitesco"/>
      <family val="2"/>
    </font>
    <font>
      <b/>
      <sz val="9"/>
      <color rgb="FF4B4B46"/>
      <name val="Vitesco"/>
      <family val="2"/>
    </font>
    <font>
      <b/>
      <u/>
      <sz val="10"/>
      <color rgb="FF4B4B46"/>
      <name val="Vitesco"/>
      <family val="2"/>
    </font>
    <font>
      <b/>
      <sz val="14"/>
      <color rgb="FF4B4B46"/>
      <name val="Vitesco"/>
      <family val="2"/>
    </font>
    <font>
      <sz val="12"/>
      <name val="Vitesco"/>
      <family val="2"/>
    </font>
    <font>
      <sz val="12"/>
      <color rgb="FF4B4B46"/>
      <name val="Vitesco"/>
      <family val="2"/>
    </font>
    <font>
      <u/>
      <sz val="10"/>
      <color theme="10"/>
      <name val="Arial"/>
      <family val="2"/>
    </font>
    <font>
      <u/>
      <sz val="12"/>
      <color rgb="FF4B4B46"/>
      <name val="Vitesco"/>
      <family val="2"/>
    </font>
    <font>
      <sz val="14"/>
      <name val="Vitesco"/>
      <family val="2"/>
    </font>
    <font>
      <sz val="14"/>
      <color rgb="FF4B4B46"/>
      <name val="Vitesco"/>
      <family val="2"/>
    </font>
    <font>
      <b/>
      <u/>
      <sz val="14"/>
      <color rgb="FF4B4B46"/>
      <name val="Vitesco"/>
      <family val="2"/>
    </font>
    <font>
      <i/>
      <sz val="11"/>
      <color rgb="FF4B4B46"/>
      <name val="Vitesco"/>
      <family val="2"/>
    </font>
    <font>
      <b/>
      <i/>
      <sz val="12"/>
      <color rgb="FF4B4B46"/>
      <name val="Vitesco"/>
      <family val="2"/>
    </font>
    <font>
      <b/>
      <sz val="14"/>
      <name val="Vitesco"/>
      <family val="2"/>
    </font>
    <font>
      <u/>
      <sz val="10"/>
      <color rgb="FF4B4B46"/>
      <name val="Vitesco"/>
      <family val="2"/>
    </font>
    <font>
      <sz val="9"/>
      <color rgb="FF4B4B46"/>
      <name val="Vitesco"/>
      <family val="2"/>
    </font>
    <font>
      <sz val="11"/>
      <name val="Vitesco"/>
      <family val="2"/>
    </font>
    <font>
      <b/>
      <sz val="11"/>
      <name val="Vitesco"/>
      <family val="2"/>
    </font>
    <font>
      <sz val="12"/>
      <name val="Arial"/>
      <family val="2"/>
    </font>
    <font>
      <b/>
      <sz val="14"/>
      <color rgb="FFFF0000"/>
      <name val="Vitesco"/>
      <family val="2"/>
    </font>
    <font>
      <sz val="16"/>
      <color rgb="FF4B4B46"/>
      <name val="Vitesco"/>
      <family val="2"/>
    </font>
    <font>
      <sz val="11"/>
      <color theme="1"/>
      <name val="Vitesco"/>
      <family val="2"/>
    </font>
    <font>
      <b/>
      <sz val="10"/>
      <name val="Vitesco"/>
      <family val="2"/>
    </font>
    <font>
      <sz val="11"/>
      <color theme="0" tint="-0.499984740745262"/>
      <name val="Vitesco"/>
      <family val="2"/>
    </font>
    <font>
      <b/>
      <sz val="12"/>
      <name val="Vitesco"/>
      <family val="2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b/>
      <sz val="8"/>
      <color rgb="FF00CC00"/>
      <name val="Verdana"/>
      <family val="2"/>
    </font>
    <font>
      <b/>
      <sz val="8"/>
      <color rgb="FF33CC33"/>
      <name val="Verdana"/>
      <family val="2"/>
    </font>
    <font>
      <b/>
      <sz val="8"/>
      <color rgb="FFFF9900"/>
      <name val="Verdana"/>
      <family val="2"/>
    </font>
    <font>
      <b/>
      <sz val="8"/>
      <color rgb="FFFF0000"/>
      <name val="Verdana"/>
      <family val="2"/>
    </font>
    <font>
      <sz val="8"/>
      <color rgb="FF000000"/>
      <name val="Arial"/>
      <family val="2"/>
    </font>
    <font>
      <sz val="8"/>
      <color rgb="FFDBE5F1"/>
      <name val="Verdana"/>
      <family val="2"/>
    </font>
    <font>
      <i/>
      <sz val="8"/>
      <color rgb="FF000000"/>
      <name val="Verdana"/>
      <family val="2"/>
    </font>
    <font>
      <b/>
      <i/>
      <sz val="8"/>
      <color rgb="FF000000"/>
      <name val="Verdana"/>
      <family val="2"/>
    </font>
    <font>
      <b/>
      <i/>
      <sz val="8"/>
      <color rgb="FF1F497D"/>
      <name val="Verdana"/>
      <family val="2"/>
    </font>
    <font>
      <i/>
      <sz val="8"/>
      <color rgb="FF1F497D"/>
      <name val="Verdana"/>
      <family val="2"/>
    </font>
    <font>
      <sz val="11"/>
      <name val="Calibri"/>
      <family val="2"/>
      <scheme val="minor"/>
    </font>
    <font>
      <sz val="11"/>
      <color rgb="FF808080"/>
      <name val="Vitesco"/>
      <family val="2"/>
    </font>
    <font>
      <sz val="14"/>
      <color rgb="FFFF0000"/>
      <name val="Vitesco"/>
      <family val="2"/>
    </font>
    <font>
      <sz val="8"/>
      <name val="Calibri"/>
      <family val="2"/>
      <scheme val="minor"/>
    </font>
    <font>
      <sz val="10"/>
      <color theme="0"/>
      <name val="Vitesco"/>
      <family val="2"/>
    </font>
    <font>
      <u/>
      <sz val="10"/>
      <color rgb="FF4B4B46"/>
      <name val="Arial"/>
      <family val="2"/>
    </font>
    <font>
      <sz val="10"/>
      <color theme="9"/>
      <name val="Vitesco"/>
      <family val="2"/>
    </font>
    <font>
      <sz val="12"/>
      <name val="Calibri"/>
      <family val="2"/>
      <scheme val="minor"/>
    </font>
    <font>
      <b/>
      <sz val="10"/>
      <color rgb="FFFF0000"/>
      <name val="Vitesco"/>
      <family val="2"/>
    </font>
    <font>
      <i/>
      <sz val="12"/>
      <color rgb="FF4B4B46"/>
      <name val="Vitesco"/>
      <family val="2"/>
    </font>
    <font>
      <sz val="10"/>
      <color rgb="FF4B4B46"/>
      <name val="Arial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3"/>
      <charset val="129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0E6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2D2D2"/>
        <bgColor indexed="64"/>
      </patternFill>
    </fill>
    <fill>
      <patternFill patternType="solid">
        <fgColor rgb="FFCDCDCD"/>
        <bgColor indexed="64"/>
      </patternFill>
    </fill>
    <fill>
      <patternFill patternType="solid">
        <fgColor indexed="26"/>
        <bgColor indexed="26"/>
      </patternFill>
    </fill>
    <fill>
      <patternFill patternType="lightUp"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CC"/>
        <bgColor indexed="26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D9D9D9"/>
        <bgColor indexed="64"/>
      </patternFill>
    </fill>
    <fill>
      <patternFill patternType="lightUp">
        <bgColor rgb="FFD2D2D2"/>
      </patternFill>
    </fill>
    <fill>
      <patternFill patternType="solid">
        <fgColor indexed="9"/>
      </patternFill>
    </fill>
    <fill>
      <patternFill patternType="lightUp">
        <fgColor auto="1"/>
        <bgColor theme="0"/>
      </patternFill>
    </fill>
    <fill>
      <patternFill patternType="solid">
        <fgColor indexed="9"/>
        <bgColor indexed="64"/>
      </patternFill>
    </fill>
    <fill>
      <patternFill patternType="lightUp"/>
    </fill>
    <fill>
      <patternFill patternType="solid">
        <fgColor indexed="54"/>
      </patternFill>
    </fill>
    <fill>
      <patternFill patternType="solid">
        <fgColor indexed="4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31"/>
        <bgColor indexed="64"/>
      </patternFill>
    </fill>
    <fill>
      <patternFill patternType="solid">
        <fgColor rgb="FFDBE5F2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BEBEBE"/>
        <bgColor rgb="FF000000"/>
      </patternFill>
    </fill>
    <fill>
      <patternFill patternType="solid">
        <fgColor rgb="FFB7CFE8"/>
        <bgColor rgb="FF000000"/>
      </patternFill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D2D2D2"/>
        <bgColor indexed="26"/>
      </patternFill>
    </fill>
  </fills>
  <borders count="9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4B4B46"/>
      </left>
      <right style="medium">
        <color rgb="FF4B4B46"/>
      </right>
      <top/>
      <bottom/>
      <diagonal/>
    </border>
    <border>
      <left/>
      <right style="medium">
        <color rgb="FF4B4B46"/>
      </right>
      <top/>
      <bottom/>
      <diagonal/>
    </border>
    <border>
      <left style="medium">
        <color rgb="FF4B4B46"/>
      </left>
      <right/>
      <top/>
      <bottom/>
      <diagonal/>
    </border>
    <border>
      <left/>
      <right/>
      <top/>
      <bottom style="thick">
        <color theme="0" tint="-0.499984740745262"/>
      </bottom>
      <diagonal/>
    </border>
    <border>
      <left/>
      <right/>
      <top/>
      <bottom style="medium">
        <color rgb="FFF0E614"/>
      </bottom>
      <diagonal/>
    </border>
    <border>
      <left/>
      <right/>
      <top style="thin">
        <color theme="0"/>
      </top>
      <bottom/>
      <diagonal/>
    </border>
    <border>
      <left/>
      <right style="medium">
        <color rgb="FF4B4B46"/>
      </right>
      <top style="thin">
        <color theme="0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medium">
        <color rgb="FF4B4B46"/>
      </left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 style="medium">
        <color rgb="FF4B4B46"/>
      </right>
      <top/>
      <bottom style="thin">
        <color theme="0"/>
      </bottom>
      <diagonal/>
    </border>
    <border>
      <left style="medium">
        <color rgb="FF4B4B46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medium">
        <color rgb="FF4B4B46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rgb="FF4B4B46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medium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rgb="FF4B4B46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medium">
        <color rgb="FF4B4B46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0"/>
      </left>
      <right/>
      <top style="thin">
        <color theme="0" tint="-4.9989318521683403E-2"/>
      </top>
      <bottom/>
      <diagonal/>
    </border>
    <border>
      <left/>
      <right style="medium">
        <color theme="0"/>
      </right>
      <top style="thin">
        <color theme="0" tint="-4.9989318521683403E-2"/>
      </top>
      <bottom/>
      <diagonal/>
    </border>
    <border>
      <left style="medium">
        <color rgb="FF4B4B46"/>
      </left>
      <right style="medium">
        <color rgb="FF4B4B46"/>
      </right>
      <top style="thin">
        <color theme="0" tint="-4.9989318521683403E-2"/>
      </top>
      <bottom/>
      <diagonal/>
    </border>
    <border>
      <left/>
      <right style="medium">
        <color rgb="FF4B4B46"/>
      </right>
      <top style="thin">
        <color theme="0" tint="-4.9989318521683403E-2"/>
      </top>
      <bottom/>
      <diagonal/>
    </border>
    <border>
      <left style="medium">
        <color theme="0"/>
      </left>
      <right style="medium">
        <color rgb="FF4B4B46"/>
      </right>
      <top style="thin">
        <color theme="0" tint="-4.9989318521683403E-2"/>
      </top>
      <bottom/>
      <diagonal/>
    </border>
    <border>
      <left style="medium">
        <color theme="0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medium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4B4B46"/>
      </left>
      <right style="medium">
        <color rgb="FF4B4B46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0"/>
      </left>
      <right style="medium">
        <color rgb="FF4B4B46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3" tint="-0.2499465926084170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/>
      <right style="medium">
        <color rgb="FF4B4B46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medium">
        <color rgb="FF4B4B46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theme="3" tint="-0.24994659260841701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theme="3" tint="-0.24994659260841701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4B4B46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80">
    <xf numFmtId="0" fontId="0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9" fillId="3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9" fillId="9" borderId="9" applyNumberFormat="0" applyFont="0" applyAlignment="0" applyProtection="0"/>
    <xf numFmtId="0" fontId="9" fillId="9" borderId="9" applyNumberFormat="0" applyFont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0" fontId="30" fillId="18" borderId="0"/>
    <xf numFmtId="0" fontId="2" fillId="0" borderId="29"/>
    <xf numFmtId="168" fontId="2" fillId="20" borderId="30" applyFill="0" applyBorder="0" applyAlignment="0" applyProtection="0">
      <alignment vertical="center"/>
    </xf>
    <xf numFmtId="0" fontId="2" fillId="0" borderId="0"/>
    <xf numFmtId="9" fontId="9" fillId="0" borderId="0" applyFont="0" applyFill="0" applyBorder="0" applyAlignment="0" applyProtection="0"/>
    <xf numFmtId="0" fontId="9" fillId="0" borderId="0"/>
    <xf numFmtId="9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2" fillId="22" borderId="46" applyNumberFormat="0" applyProtection="0">
      <alignment horizontal="left" vertical="center" indent="1"/>
    </xf>
    <xf numFmtId="0" fontId="2" fillId="23" borderId="46" applyNumberFormat="0" applyProtection="0">
      <alignment horizontal="left" vertical="center" indent="1"/>
    </xf>
    <xf numFmtId="0" fontId="2" fillId="24" borderId="46" applyNumberFormat="0" applyProtection="0">
      <alignment horizontal="left" vertical="center" indent="1"/>
    </xf>
    <xf numFmtId="0" fontId="2" fillId="25" borderId="46" applyNumberFormat="0" applyProtection="0">
      <alignment horizontal="left" vertical="center" indent="1"/>
    </xf>
    <xf numFmtId="0" fontId="2" fillId="26" borderId="55" applyNumberFormat="0" applyProtection="0">
      <alignment horizontal="left" vertical="center" indent="1"/>
    </xf>
    <xf numFmtId="0" fontId="2" fillId="0" borderId="0"/>
    <xf numFmtId="0" fontId="1" fillId="0" borderId="0"/>
    <xf numFmtId="171" fontId="37" fillId="0" borderId="68" applyNumberFormat="0" applyProtection="0">
      <alignment horizontal="right" vertical="center"/>
    </xf>
    <xf numFmtId="171" fontId="38" fillId="0" borderId="69" applyNumberFormat="0" applyProtection="0">
      <alignment horizontal="right" vertical="center"/>
    </xf>
    <xf numFmtId="0" fontId="39" fillId="27" borderId="70" applyNumberFormat="0" applyAlignment="0" applyProtection="0">
      <alignment horizontal="left" vertical="center" indent="1"/>
    </xf>
    <xf numFmtId="0" fontId="39" fillId="28" borderId="70" applyNumberFormat="0" applyAlignment="0" applyProtection="0">
      <alignment horizontal="left" vertical="center" indent="1"/>
    </xf>
    <xf numFmtId="0" fontId="39" fillId="29" borderId="68" applyNumberFormat="0" applyAlignment="0" applyProtection="0">
      <alignment horizontal="left" vertical="center" indent="1"/>
    </xf>
    <xf numFmtId="0" fontId="39" fillId="30" borderId="70" applyNumberFormat="0" applyAlignment="0" applyProtection="0">
      <alignment horizontal="left" vertical="center" indent="1"/>
    </xf>
    <xf numFmtId="0" fontId="40" fillId="31" borderId="70" applyNumberFormat="0" applyProtection="0">
      <alignment vertical="center"/>
    </xf>
    <xf numFmtId="0" fontId="40" fillId="31" borderId="70" applyAlignment="0" applyProtection="0">
      <alignment horizontal="left" vertical="center" indent="1"/>
    </xf>
    <xf numFmtId="0" fontId="39" fillId="32" borderId="70" applyNumberFormat="0" applyAlignment="0" applyProtection="0">
      <alignment horizontal="left" vertical="center" indent="1"/>
    </xf>
    <xf numFmtId="0" fontId="37" fillId="33" borderId="68" applyNumberFormat="0" applyAlignment="0" applyProtection="0">
      <alignment horizontal="left" vertical="center" indent="1"/>
    </xf>
    <xf numFmtId="171" fontId="38" fillId="34" borderId="70" applyNumberFormat="0" applyAlignment="0" applyProtection="0">
      <alignment horizontal="left" vertical="center" indent="1"/>
    </xf>
    <xf numFmtId="0" fontId="37" fillId="33" borderId="70" applyNumberFormat="0" applyAlignment="0" applyProtection="0">
      <alignment horizontal="left" vertical="center" indent="1"/>
    </xf>
    <xf numFmtId="171" fontId="38" fillId="34" borderId="70" applyNumberFormat="0" applyAlignment="0" applyProtection="0">
      <alignment horizontal="left" vertical="center" indent="1"/>
    </xf>
    <xf numFmtId="0" fontId="39" fillId="35" borderId="68" applyNumberFormat="0" applyAlignment="0">
      <alignment horizontal="left" vertical="center" indent="1"/>
      <protection locked="0"/>
    </xf>
    <xf numFmtId="0" fontId="39" fillId="29" borderId="68" applyNumberFormat="0" applyAlignment="0" applyProtection="0">
      <alignment horizontal="left" vertical="center" indent="1"/>
    </xf>
    <xf numFmtId="171" fontId="38" fillId="30" borderId="69" applyNumberFormat="0" applyBorder="0">
      <alignment horizontal="right" vertical="center"/>
      <protection locked="0"/>
    </xf>
    <xf numFmtId="0" fontId="39" fillId="35" borderId="68" applyNumberFormat="0" applyAlignment="0">
      <alignment horizontal="left" vertical="center" indent="1"/>
      <protection locked="0"/>
    </xf>
    <xf numFmtId="171" fontId="37" fillId="29" borderId="68" applyNumberFormat="0" applyProtection="0">
      <alignment horizontal="right" vertical="center"/>
    </xf>
    <xf numFmtId="171" fontId="37" fillId="30" borderId="68" applyNumberFormat="0" applyBorder="0">
      <alignment horizontal="right" vertical="center"/>
      <protection locked="0"/>
    </xf>
    <xf numFmtId="171" fontId="41" fillId="36" borderId="74" applyNumberFormat="0" applyBorder="0" applyAlignment="0" applyProtection="0">
      <alignment horizontal="right" vertical="center" indent="1"/>
    </xf>
    <xf numFmtId="171" fontId="42" fillId="37" borderId="74" applyNumberFormat="0" applyBorder="0" applyAlignment="0" applyProtection="0">
      <alignment horizontal="right" vertical="center" indent="1"/>
    </xf>
    <xf numFmtId="171" fontId="42" fillId="38" borderId="74" applyNumberFormat="0" applyBorder="0" applyAlignment="0" applyProtection="0">
      <alignment horizontal="right" vertical="center" indent="1"/>
    </xf>
    <xf numFmtId="171" fontId="43" fillId="39" borderId="74" applyNumberFormat="0" applyBorder="0" applyAlignment="0" applyProtection="0">
      <alignment horizontal="right" vertical="center" indent="1"/>
    </xf>
    <xf numFmtId="171" fontId="43" fillId="40" borderId="74" applyNumberFormat="0" applyBorder="0" applyAlignment="0" applyProtection="0">
      <alignment horizontal="right" vertical="center" indent="1"/>
    </xf>
    <xf numFmtId="171" fontId="43" fillId="41" borderId="74" applyNumberFormat="0" applyBorder="0" applyAlignment="0" applyProtection="0">
      <alignment horizontal="right" vertical="center" indent="1"/>
    </xf>
    <xf numFmtId="171" fontId="44" fillId="42" borderId="74" applyNumberFormat="0" applyBorder="0" applyAlignment="0" applyProtection="0">
      <alignment horizontal="right" vertical="center" indent="1"/>
    </xf>
    <xf numFmtId="171" fontId="44" fillId="43" borderId="74" applyNumberFormat="0" applyBorder="0" applyAlignment="0" applyProtection="0">
      <alignment horizontal="right" vertical="center" indent="1"/>
    </xf>
    <xf numFmtId="171" fontId="44" fillId="44" borderId="74" applyNumberFormat="0" applyBorder="0" applyAlignment="0" applyProtection="0">
      <alignment horizontal="right" vertical="center" indent="1"/>
    </xf>
    <xf numFmtId="0" fontId="45" fillId="0" borderId="70" applyNumberFormat="0" applyFont="0" applyFill="0" applyAlignment="0" applyProtection="0"/>
    <xf numFmtId="171" fontId="46" fillId="34" borderId="0" applyNumberFormat="0" applyAlignment="0" applyProtection="0">
      <alignment horizontal="left" vertical="center" indent="1"/>
    </xf>
    <xf numFmtId="0" fontId="45" fillId="0" borderId="75" applyNumberFormat="0" applyFont="0" applyFill="0" applyAlignment="0" applyProtection="0"/>
    <xf numFmtId="171" fontId="38" fillId="0" borderId="69" applyNumberFormat="0" applyFill="0" applyBorder="0" applyAlignment="0" applyProtection="0">
      <alignment horizontal="right" vertical="center"/>
    </xf>
    <xf numFmtId="0" fontId="47" fillId="0" borderId="76" applyNumberFormat="0" applyFill="0" applyBorder="0" applyAlignment="0" applyProtection="0"/>
    <xf numFmtId="0" fontId="48" fillId="0" borderId="76" applyNumberFormat="0" applyBorder="0" applyAlignment="0" applyProtection="0"/>
    <xf numFmtId="0" fontId="47" fillId="35" borderId="68" applyNumberFormat="0" applyAlignment="0">
      <alignment horizontal="left" vertical="center" indent="1"/>
      <protection locked="0"/>
    </xf>
    <xf numFmtId="0" fontId="47" fillId="35" borderId="68" applyNumberFormat="0" applyAlignment="0">
      <alignment horizontal="left" vertical="center" indent="1"/>
      <protection locked="0"/>
    </xf>
    <xf numFmtId="0" fontId="47" fillId="29" borderId="68" applyNumberFormat="0" applyAlignment="0" applyProtection="0">
      <alignment horizontal="left" vertical="center" indent="1"/>
    </xf>
    <xf numFmtId="171" fontId="49" fillId="29" borderId="68" applyNumberFormat="0" applyProtection="0">
      <alignment horizontal="right" vertical="center"/>
    </xf>
    <xf numFmtId="171" fontId="50" fillId="30" borderId="69" applyNumberFormat="0" applyBorder="0">
      <alignment horizontal="right" vertical="center"/>
      <protection locked="0"/>
    </xf>
    <xf numFmtId="171" fontId="49" fillId="30" borderId="68" applyNumberFormat="0" applyBorder="0">
      <alignment horizontal="right" vertical="center"/>
      <protection locked="0"/>
    </xf>
    <xf numFmtId="171" fontId="38" fillId="0" borderId="69" applyNumberFormat="0" applyFill="0" applyBorder="0" applyAlignment="0" applyProtection="0">
      <alignment horizontal="right" vertical="center"/>
    </xf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047">
    <xf numFmtId="0" fontId="0" fillId="0" borderId="0" xfId="0"/>
    <xf numFmtId="0" fontId="3" fillId="3" borderId="0" xfId="1" applyFont="1" applyFill="1"/>
    <xf numFmtId="0" fontId="4" fillId="3" borderId="0" xfId="1" applyFont="1" applyFill="1"/>
    <xf numFmtId="0" fontId="3" fillId="0" borderId="0" xfId="1" applyFont="1"/>
    <xf numFmtId="0" fontId="5" fillId="3" borderId="0" xfId="1" applyFont="1" applyFill="1"/>
    <xf numFmtId="0" fontId="4" fillId="0" borderId="0" xfId="1" applyFont="1"/>
    <xf numFmtId="0" fontId="4" fillId="0" borderId="0" xfId="1" applyFont="1" applyAlignment="1">
      <alignment horizontal="left"/>
    </xf>
    <xf numFmtId="0" fontId="4" fillId="0" borderId="0" xfId="2" applyFont="1" applyAlignment="1">
      <alignment horizontal="left"/>
    </xf>
    <xf numFmtId="165" fontId="4" fillId="0" borderId="0" xfId="2" applyNumberFormat="1" applyFont="1" applyAlignment="1">
      <alignment horizontal="left"/>
    </xf>
    <xf numFmtId="0" fontId="4" fillId="0" borderId="0" xfId="2" applyFont="1" applyAlignment="1">
      <alignment horizontal="left" wrapText="1"/>
    </xf>
    <xf numFmtId="0" fontId="4" fillId="0" borderId="0" xfId="3" applyFont="1"/>
    <xf numFmtId="165" fontId="4" fillId="0" borderId="0" xfId="2" applyNumberFormat="1" applyFont="1" applyAlignment="1">
      <alignment horizontal="left" wrapText="1"/>
    </xf>
    <xf numFmtId="165" fontId="4" fillId="0" borderId="0" xfId="2" applyNumberFormat="1" applyFont="1" applyAlignment="1">
      <alignment horizontal="center"/>
    </xf>
    <xf numFmtId="0" fontId="6" fillId="0" borderId="0" xfId="2" applyFont="1" applyAlignment="1">
      <alignment horizontal="center"/>
    </xf>
    <xf numFmtId="0" fontId="4" fillId="0" borderId="0" xfId="4" applyFont="1"/>
    <xf numFmtId="4" fontId="4" fillId="0" borderId="0" xfId="2" applyNumberFormat="1" applyFont="1" applyAlignment="1">
      <alignment horizontal="center"/>
    </xf>
    <xf numFmtId="4" fontId="6" fillId="0" borderId="0" xfId="2" applyNumberFormat="1" applyFont="1" applyAlignment="1">
      <alignment horizontal="center"/>
    </xf>
    <xf numFmtId="4" fontId="4" fillId="0" borderId="0" xfId="4" applyNumberFormat="1" applyFont="1"/>
    <xf numFmtId="0" fontId="5" fillId="4" borderId="0" xfId="5" applyFont="1" applyFill="1" applyAlignment="1">
      <alignment horizontal="center" vertical="center"/>
    </xf>
    <xf numFmtId="0" fontId="5" fillId="0" borderId="0" xfId="2" applyFont="1"/>
    <xf numFmtId="0" fontId="4" fillId="0" borderId="0" xfId="6" applyFont="1"/>
    <xf numFmtId="0" fontId="10" fillId="0" borderId="0" xfId="6" applyFont="1"/>
    <xf numFmtId="166" fontId="10" fillId="0" borderId="2" xfId="2" applyNumberFormat="1" applyFont="1" applyBorder="1" applyAlignment="1">
      <alignment horizontal="right"/>
    </xf>
    <xf numFmtId="166" fontId="10" fillId="0" borderId="3" xfId="2" applyNumberFormat="1" applyFont="1" applyBorder="1" applyAlignment="1">
      <alignment horizontal="right"/>
    </xf>
    <xf numFmtId="166" fontId="10" fillId="0" borderId="0" xfId="2" applyNumberFormat="1" applyFont="1" applyAlignment="1">
      <alignment horizontal="right"/>
    </xf>
    <xf numFmtId="166" fontId="10" fillId="0" borderId="4" xfId="2" applyNumberFormat="1" applyFont="1" applyBorder="1" applyAlignment="1">
      <alignment horizontal="right"/>
    </xf>
    <xf numFmtId="0" fontId="11" fillId="0" borderId="4" xfId="2" applyFont="1" applyBorder="1" applyAlignment="1">
      <alignment horizontal="center"/>
    </xf>
    <xf numFmtId="0" fontId="11" fillId="0" borderId="3" xfId="2" applyFont="1" applyBorder="1" applyAlignment="1">
      <alignment horizontal="center"/>
    </xf>
    <xf numFmtId="165" fontId="5" fillId="0" borderId="2" xfId="2" applyNumberFormat="1" applyFont="1" applyBorder="1" applyAlignment="1">
      <alignment horizontal="center"/>
    </xf>
    <xf numFmtId="165" fontId="5" fillId="0" borderId="3" xfId="2" applyNumberFormat="1" applyFont="1" applyBorder="1" applyAlignment="1">
      <alignment horizontal="center"/>
    </xf>
    <xf numFmtId="165" fontId="5" fillId="0" borderId="0" xfId="2" applyNumberFormat="1" applyFont="1" applyAlignment="1">
      <alignment horizontal="center"/>
    </xf>
    <xf numFmtId="165" fontId="5" fillId="0" borderId="4" xfId="2" applyNumberFormat="1" applyFont="1" applyBorder="1" applyAlignment="1">
      <alignment horizontal="center"/>
    </xf>
    <xf numFmtId="0" fontId="5" fillId="0" borderId="3" xfId="2" applyFont="1" applyBorder="1" applyAlignment="1">
      <alignment horizontal="center"/>
    </xf>
    <xf numFmtId="166" fontId="4" fillId="0" borderId="2" xfId="2" applyNumberFormat="1" applyFont="1" applyBorder="1" applyAlignment="1">
      <alignment horizontal="right"/>
    </xf>
    <xf numFmtId="166" fontId="4" fillId="0" borderId="3" xfId="2" applyNumberFormat="1" applyFont="1" applyBorder="1" applyAlignment="1">
      <alignment horizontal="right"/>
    </xf>
    <xf numFmtId="166" fontId="4" fillId="0" borderId="0" xfId="2" applyNumberFormat="1" applyFont="1" applyAlignment="1">
      <alignment horizontal="right"/>
    </xf>
    <xf numFmtId="166" fontId="4" fillId="0" borderId="4" xfId="2" applyNumberFormat="1" applyFont="1" applyBorder="1" applyAlignment="1">
      <alignment horizontal="right"/>
    </xf>
    <xf numFmtId="0" fontId="4" fillId="0" borderId="4" xfId="2" applyFont="1" applyBorder="1"/>
    <xf numFmtId="0" fontId="4" fillId="0" borderId="3" xfId="2" applyFont="1" applyBorder="1"/>
    <xf numFmtId="0" fontId="12" fillId="4" borderId="2" xfId="5" applyFont="1" applyFill="1" applyBorder="1" applyAlignment="1">
      <alignment horizontal="center" vertical="center"/>
    </xf>
    <xf numFmtId="0" fontId="12" fillId="4" borderId="3" xfId="5" applyFont="1" applyFill="1" applyBorder="1" applyAlignment="1">
      <alignment horizontal="center" vertical="center"/>
    </xf>
    <xf numFmtId="0" fontId="12" fillId="4" borderId="0" xfId="5" applyFont="1" applyFill="1" applyAlignment="1">
      <alignment horizontal="center" vertical="center"/>
    </xf>
    <xf numFmtId="0" fontId="12" fillId="4" borderId="4" xfId="5" applyFont="1" applyFill="1" applyBorder="1" applyAlignment="1">
      <alignment horizontal="center" vertical="center"/>
    </xf>
    <xf numFmtId="0" fontId="10" fillId="0" borderId="0" xfId="6" applyFont="1" applyAlignment="1">
      <alignment horizontal="center"/>
    </xf>
    <xf numFmtId="0" fontId="5" fillId="0" borderId="0" xfId="6" applyFont="1" applyAlignment="1">
      <alignment horizontal="center"/>
    </xf>
    <xf numFmtId="0" fontId="5" fillId="0" borderId="1" xfId="7" applyFont="1" applyFill="1" applyAlignment="1">
      <alignment horizontal="center"/>
    </xf>
    <xf numFmtId="0" fontId="12" fillId="0" borderId="0" xfId="2" applyFont="1" applyAlignment="1">
      <alignment horizontal="left"/>
    </xf>
    <xf numFmtId="0" fontId="13" fillId="0" borderId="0" xfId="6" applyFont="1" applyAlignment="1">
      <alignment horizontal="center" vertical="center" wrapText="1"/>
    </xf>
    <xf numFmtId="0" fontId="5" fillId="2" borderId="1" xfId="7" applyFont="1" applyAlignment="1">
      <alignment horizontal="center"/>
    </xf>
    <xf numFmtId="0" fontId="14" fillId="0" borderId="0" xfId="6" applyFont="1" applyAlignment="1">
      <alignment horizontal="left" vertical="center"/>
    </xf>
    <xf numFmtId="0" fontId="5" fillId="0" borderId="0" xfId="6" applyFont="1" applyAlignment="1">
      <alignment horizontal="center" vertical="center" wrapText="1"/>
    </xf>
    <xf numFmtId="0" fontId="15" fillId="0" borderId="0" xfId="1" applyFont="1"/>
    <xf numFmtId="0" fontId="5" fillId="5" borderId="5" xfId="2" applyFont="1" applyFill="1" applyBorder="1"/>
    <xf numFmtId="0" fontId="15" fillId="0" borderId="0" xfId="6" applyFont="1"/>
    <xf numFmtId="0" fontId="15" fillId="3" borderId="6" xfId="2" applyFont="1" applyFill="1" applyBorder="1" applyAlignment="1">
      <alignment horizontal="right"/>
    </xf>
    <xf numFmtId="0" fontId="15" fillId="3" borderId="6" xfId="2" applyFont="1" applyFill="1" applyBorder="1"/>
    <xf numFmtId="0" fontId="15" fillId="0" borderId="0" xfId="6" applyFont="1" applyAlignment="1">
      <alignment horizontal="left"/>
    </xf>
    <xf numFmtId="0" fontId="15" fillId="0" borderId="0" xfId="2" applyFont="1" applyAlignment="1">
      <alignment horizontal="right"/>
    </xf>
    <xf numFmtId="0" fontId="15" fillId="0" borderId="0" xfId="6" applyFont="1" applyAlignment="1">
      <alignment horizontal="right"/>
    </xf>
    <xf numFmtId="0" fontId="15" fillId="0" borderId="0" xfId="8" applyFont="1"/>
    <xf numFmtId="0" fontId="15" fillId="0" borderId="0" xfId="2" applyFont="1"/>
    <xf numFmtId="0" fontId="16" fillId="0" borderId="0" xfId="1" applyFont="1"/>
    <xf numFmtId="0" fontId="17" fillId="0" borderId="0" xfId="1" applyFont="1"/>
    <xf numFmtId="0" fontId="17" fillId="0" borderId="0" xfId="1" applyFont="1" applyAlignment="1">
      <alignment vertical="center"/>
    </xf>
    <xf numFmtId="0" fontId="12" fillId="0" borderId="0" xfId="1" applyFont="1" applyAlignment="1">
      <alignment vertical="center"/>
    </xf>
    <xf numFmtId="0" fontId="19" fillId="0" borderId="0" xfId="9" applyFont="1" applyAlignment="1">
      <alignment vertical="center"/>
    </xf>
    <xf numFmtId="0" fontId="12" fillId="0" borderId="0" xfId="2" applyFont="1" applyAlignment="1">
      <alignment horizontal="right"/>
    </xf>
    <xf numFmtId="0" fontId="12" fillId="0" borderId="0" xfId="2" applyFont="1"/>
    <xf numFmtId="0" fontId="12" fillId="5" borderId="0" xfId="2" applyFont="1" applyFill="1"/>
    <xf numFmtId="0" fontId="17" fillId="5" borderId="0" xfId="1" applyFont="1" applyFill="1" applyAlignment="1">
      <alignment vertical="center"/>
    </xf>
    <xf numFmtId="0" fontId="20" fillId="0" borderId="0" xfId="1" applyFont="1"/>
    <xf numFmtId="0" fontId="21" fillId="0" borderId="0" xfId="1" applyFont="1"/>
    <xf numFmtId="0" fontId="21" fillId="0" borderId="0" xfId="8" applyFont="1"/>
    <xf numFmtId="0" fontId="6" fillId="0" borderId="0" xfId="1" applyFont="1"/>
    <xf numFmtId="0" fontId="6" fillId="0" borderId="0" xfId="1" quotePrefix="1" applyFont="1"/>
    <xf numFmtId="167" fontId="4" fillId="7" borderId="0" xfId="11" applyNumberFormat="1" applyFont="1" applyFill="1" applyBorder="1" applyAlignment="1">
      <alignment horizontal="center" vertical="center"/>
    </xf>
    <xf numFmtId="167" fontId="4" fillId="7" borderId="2" xfId="5" applyNumberFormat="1" applyFont="1" applyFill="1" applyBorder="1" applyAlignment="1">
      <alignment horizontal="left" vertical="center"/>
    </xf>
    <xf numFmtId="167" fontId="4" fillId="7" borderId="3" xfId="11" applyNumberFormat="1" applyFont="1" applyFill="1" applyBorder="1" applyAlignment="1">
      <alignment horizontal="center" vertical="center"/>
    </xf>
    <xf numFmtId="3" fontId="12" fillId="7" borderId="0" xfId="5" applyNumberFormat="1" applyFont="1" applyFill="1" applyAlignment="1">
      <alignment horizontal="center" vertical="center"/>
    </xf>
    <xf numFmtId="168" fontId="12" fillId="7" borderId="2" xfId="5" applyNumberFormat="1" applyFont="1" applyFill="1" applyBorder="1" applyAlignment="1">
      <alignment horizontal="left" vertical="center"/>
    </xf>
    <xf numFmtId="3" fontId="12" fillId="7" borderId="3" xfId="5" applyNumberFormat="1" applyFont="1" applyFill="1" applyBorder="1" applyAlignment="1">
      <alignment horizontal="center" vertical="center"/>
    </xf>
    <xf numFmtId="3" fontId="17" fillId="3" borderId="0" xfId="5" applyNumberFormat="1" applyFont="1" applyAlignment="1">
      <alignment horizontal="center" vertical="center"/>
    </xf>
    <xf numFmtId="168" fontId="17" fillId="3" borderId="2" xfId="5" applyNumberFormat="1" applyFont="1" applyBorder="1" applyAlignment="1">
      <alignment horizontal="left" vertical="center"/>
    </xf>
    <xf numFmtId="3" fontId="17" fillId="3" borderId="3" xfId="5" applyNumberFormat="1" applyFont="1" applyBorder="1" applyAlignment="1">
      <alignment horizontal="center" vertical="center"/>
    </xf>
    <xf numFmtId="168" fontId="4" fillId="7" borderId="2" xfId="5" applyNumberFormat="1" applyFont="1" applyFill="1" applyBorder="1" applyAlignment="1">
      <alignment horizontal="left" vertical="center"/>
    </xf>
    <xf numFmtId="3" fontId="17" fillId="3" borderId="4" xfId="5" applyNumberFormat="1" applyFont="1" applyBorder="1" applyAlignment="1">
      <alignment horizontal="center" vertical="center"/>
    </xf>
    <xf numFmtId="167" fontId="4" fillId="0" borderId="0" xfId="11" applyNumberFormat="1" applyFont="1" applyFill="1" applyBorder="1" applyAlignment="1">
      <alignment horizontal="center" vertical="center"/>
    </xf>
    <xf numFmtId="167" fontId="4" fillId="3" borderId="0" xfId="11" applyNumberFormat="1" applyFont="1" applyFill="1" applyBorder="1" applyAlignment="1">
      <alignment horizontal="center" vertical="center"/>
    </xf>
    <xf numFmtId="167" fontId="4" fillId="3" borderId="2" xfId="5" applyNumberFormat="1" applyFont="1" applyBorder="1" applyAlignment="1">
      <alignment horizontal="left" vertical="center"/>
    </xf>
    <xf numFmtId="167" fontId="4" fillId="3" borderId="3" xfId="11" applyNumberFormat="1" applyFont="1" applyFill="1" applyBorder="1" applyAlignment="1">
      <alignment horizontal="center" vertical="center"/>
    </xf>
    <xf numFmtId="168" fontId="4" fillId="0" borderId="2" xfId="5" applyNumberFormat="1" applyFont="1" applyFill="1" applyBorder="1" applyAlignment="1">
      <alignment horizontal="left" vertical="center"/>
    </xf>
    <xf numFmtId="167" fontId="4" fillId="0" borderId="3" xfId="11" applyNumberFormat="1" applyFont="1" applyFill="1" applyBorder="1" applyAlignment="1">
      <alignment horizontal="center" vertical="center"/>
    </xf>
    <xf numFmtId="3" fontId="17" fillId="0" borderId="0" xfId="5" applyNumberFormat="1" applyFont="1" applyFill="1" applyAlignment="1">
      <alignment horizontal="center" vertical="center"/>
    </xf>
    <xf numFmtId="168" fontId="17" fillId="0" borderId="2" xfId="5" applyNumberFormat="1" applyFont="1" applyFill="1" applyBorder="1" applyAlignment="1">
      <alignment horizontal="left" vertical="center"/>
    </xf>
    <xf numFmtId="3" fontId="17" fillId="0" borderId="3" xfId="5" applyNumberFormat="1" applyFont="1" applyFill="1" applyBorder="1" applyAlignment="1">
      <alignment horizontal="center" vertical="center"/>
    </xf>
    <xf numFmtId="0" fontId="4" fillId="5" borderId="5" xfId="2" applyFont="1" applyFill="1" applyBorder="1"/>
    <xf numFmtId="3" fontId="4" fillId="0" borderId="0" xfId="1" applyNumberFormat="1" applyFont="1" applyAlignment="1">
      <alignment horizontal="center" vertical="center"/>
    </xf>
    <xf numFmtId="3" fontId="4" fillId="0" borderId="0" xfId="1" applyNumberFormat="1" applyFont="1"/>
    <xf numFmtId="0" fontId="4" fillId="8" borderId="0" xfId="1" applyFont="1" applyFill="1" applyAlignment="1">
      <alignment horizontal="left" vertical="center"/>
    </xf>
    <xf numFmtId="0" fontId="4" fillId="0" borderId="0" xfId="1" applyFont="1" applyAlignment="1">
      <alignment vertical="center"/>
    </xf>
    <xf numFmtId="167" fontId="12" fillId="8" borderId="8" xfId="11" applyNumberFormat="1" applyFont="1" applyFill="1" applyBorder="1" applyAlignment="1">
      <alignment horizontal="center" vertical="center"/>
    </xf>
    <xf numFmtId="3" fontId="12" fillId="8" borderId="7" xfId="12" applyNumberFormat="1" applyFont="1" applyFill="1" applyBorder="1" applyAlignment="1" applyProtection="1">
      <alignment horizontal="center" vertical="center"/>
      <protection locked="0"/>
    </xf>
    <xf numFmtId="3" fontId="12" fillId="8" borderId="10" xfId="12" applyNumberFormat="1" applyFont="1" applyFill="1" applyBorder="1" applyAlignment="1" applyProtection="1">
      <alignment horizontal="center" vertical="center"/>
      <protection locked="0"/>
    </xf>
    <xf numFmtId="3" fontId="12" fillId="8" borderId="8" xfId="12" applyNumberFormat="1" applyFont="1" applyFill="1" applyBorder="1" applyAlignment="1" applyProtection="1">
      <alignment horizontal="center" vertical="center"/>
      <protection locked="0"/>
    </xf>
    <xf numFmtId="0" fontId="12" fillId="8" borderId="8" xfId="2" applyFont="1" applyFill="1" applyBorder="1" applyAlignment="1">
      <alignment vertical="center"/>
    </xf>
    <xf numFmtId="167" fontId="12" fillId="8" borderId="12" xfId="11" applyNumberFormat="1" applyFont="1" applyFill="1" applyBorder="1" applyAlignment="1">
      <alignment horizontal="center" vertical="center"/>
    </xf>
    <xf numFmtId="3" fontId="12" fillId="8" borderId="11" xfId="12" applyNumberFormat="1" applyFont="1" applyFill="1" applyBorder="1" applyAlignment="1" applyProtection="1">
      <alignment horizontal="center" vertical="center"/>
      <protection locked="0"/>
    </xf>
    <xf numFmtId="3" fontId="12" fillId="8" borderId="13" xfId="12" applyNumberFormat="1" applyFont="1" applyFill="1" applyBorder="1" applyAlignment="1" applyProtection="1">
      <alignment horizontal="center" vertical="center"/>
      <protection locked="0"/>
    </xf>
    <xf numFmtId="3" fontId="12" fillId="8" borderId="12" xfId="12" applyNumberFormat="1" applyFont="1" applyFill="1" applyBorder="1" applyAlignment="1" applyProtection="1">
      <alignment horizontal="center" vertical="center"/>
      <protection locked="0"/>
    </xf>
    <xf numFmtId="0" fontId="12" fillId="8" borderId="12" xfId="2" applyFont="1" applyFill="1" applyBorder="1" applyAlignment="1">
      <alignment vertical="center"/>
    </xf>
    <xf numFmtId="167" fontId="17" fillId="0" borderId="3" xfId="11" applyNumberFormat="1" applyFont="1" applyBorder="1"/>
    <xf numFmtId="0" fontId="12" fillId="0" borderId="4" xfId="1" applyFont="1" applyBorder="1"/>
    <xf numFmtId="0" fontId="17" fillId="0" borderId="3" xfId="1" applyFont="1" applyBorder="1"/>
    <xf numFmtId="0" fontId="17" fillId="0" borderId="4" xfId="1" applyFont="1" applyBorder="1"/>
    <xf numFmtId="3" fontId="4" fillId="7" borderId="14" xfId="7" applyNumberFormat="1" applyFont="1" applyFill="1" applyBorder="1" applyAlignment="1" applyProtection="1">
      <alignment horizontal="left" vertical="center"/>
      <protection locked="0"/>
    </xf>
    <xf numFmtId="167" fontId="12" fillId="7" borderId="3" xfId="11" applyNumberFormat="1" applyFont="1" applyFill="1" applyBorder="1" applyAlignment="1" applyProtection="1">
      <alignment horizontal="center" vertical="center"/>
      <protection locked="0"/>
    </xf>
    <xf numFmtId="3" fontId="12" fillId="7" borderId="0" xfId="12" applyNumberFormat="1" applyFont="1" applyFill="1" applyBorder="1" applyAlignment="1" applyProtection="1">
      <alignment horizontal="center" vertical="center"/>
      <protection locked="0"/>
    </xf>
    <xf numFmtId="3" fontId="12" fillId="7" borderId="4" xfId="11" applyNumberFormat="1" applyFont="1" applyFill="1" applyBorder="1" applyAlignment="1" applyProtection="1">
      <alignment horizontal="center" vertical="center"/>
      <protection locked="0"/>
    </xf>
    <xf numFmtId="3" fontId="12" fillId="7" borderId="3" xfId="12" applyNumberFormat="1" applyFont="1" applyFill="1" applyBorder="1" applyAlignment="1" applyProtection="1">
      <alignment horizontal="center" vertical="center"/>
      <protection locked="0"/>
    </xf>
    <xf numFmtId="167" fontId="12" fillId="7" borderId="0" xfId="11" applyNumberFormat="1" applyFont="1" applyFill="1" applyBorder="1" applyAlignment="1" applyProtection="1">
      <alignment horizontal="center" vertical="center"/>
      <protection locked="0"/>
    </xf>
    <xf numFmtId="3" fontId="12" fillId="7" borderId="4" xfId="12" applyNumberFormat="1" applyFont="1" applyFill="1" applyBorder="1" applyAlignment="1" applyProtection="1">
      <alignment horizontal="center" vertical="center"/>
      <protection locked="0"/>
    </xf>
    <xf numFmtId="0" fontId="5" fillId="0" borderId="0" xfId="1" applyFont="1"/>
    <xf numFmtId="0" fontId="5" fillId="0" borderId="0" xfId="1" applyFont="1" applyAlignment="1">
      <alignment vertical="center"/>
    </xf>
    <xf numFmtId="167" fontId="12" fillId="3" borderId="15" xfId="11" applyNumberFormat="1" applyFont="1" applyFill="1" applyBorder="1" applyAlignment="1" applyProtection="1">
      <alignment horizontal="center" vertical="center"/>
      <protection locked="0"/>
    </xf>
    <xf numFmtId="3" fontId="12" fillId="3" borderId="16" xfId="12" applyNumberFormat="1" applyFont="1" applyFill="1" applyBorder="1" applyAlignment="1" applyProtection="1">
      <alignment horizontal="center" vertical="center"/>
      <protection locked="0"/>
    </xf>
    <xf numFmtId="3" fontId="12" fillId="3" borderId="15" xfId="12" applyNumberFormat="1" applyFont="1" applyFill="1" applyBorder="1" applyAlignment="1" applyProtection="1">
      <alignment horizontal="center" vertical="center"/>
      <protection locked="0"/>
    </xf>
    <xf numFmtId="167" fontId="12" fillId="3" borderId="18" xfId="11" applyNumberFormat="1" applyFont="1" applyFill="1" applyBorder="1" applyAlignment="1" applyProtection="1">
      <alignment horizontal="center" vertical="center"/>
      <protection locked="0"/>
    </xf>
    <xf numFmtId="3" fontId="12" fillId="5" borderId="16" xfId="12" applyNumberFormat="1" applyFont="1" applyFill="1" applyBorder="1" applyAlignment="1" applyProtection="1">
      <alignment horizontal="center" vertical="center"/>
      <protection locked="0"/>
    </xf>
    <xf numFmtId="3" fontId="12" fillId="5" borderId="17" xfId="12" applyNumberFormat="1" applyFont="1" applyFill="1" applyBorder="1" applyAlignment="1" applyProtection="1">
      <alignment horizontal="center" vertical="center"/>
      <protection locked="0"/>
    </xf>
    <xf numFmtId="3" fontId="12" fillId="3" borderId="17" xfId="12" applyNumberFormat="1" applyFont="1" applyFill="1" applyBorder="1" applyAlignment="1" applyProtection="1">
      <alignment horizontal="center" vertical="center"/>
      <protection locked="0"/>
    </xf>
    <xf numFmtId="168" fontId="12" fillId="3" borderId="2" xfId="5" applyNumberFormat="1" applyFont="1" applyBorder="1" applyAlignment="1">
      <alignment horizontal="left" vertical="center"/>
    </xf>
    <xf numFmtId="3" fontId="12" fillId="3" borderId="3" xfId="12" applyNumberFormat="1" applyFont="1" applyFill="1" applyBorder="1" applyAlignment="1" applyProtection="1">
      <alignment horizontal="center" vertical="center"/>
      <protection locked="0"/>
    </xf>
    <xf numFmtId="167" fontId="12" fillId="3" borderId="0" xfId="11" applyNumberFormat="1" applyFont="1" applyFill="1" applyBorder="1" applyAlignment="1" applyProtection="1">
      <alignment horizontal="center" vertical="center"/>
      <protection locked="0"/>
    </xf>
    <xf numFmtId="3" fontId="12" fillId="5" borderId="18" xfId="12" applyNumberFormat="1" applyFont="1" applyFill="1" applyBorder="1" applyAlignment="1" applyProtection="1">
      <alignment horizontal="center" vertical="center"/>
      <protection locked="0"/>
    </xf>
    <xf numFmtId="3" fontId="24" fillId="10" borderId="17" xfId="11" applyNumberFormat="1" applyFont="1" applyFill="1" applyBorder="1" applyAlignment="1" applyProtection="1">
      <alignment horizontal="center" vertical="center"/>
      <protection locked="0"/>
    </xf>
    <xf numFmtId="3" fontId="12" fillId="5" borderId="16" xfId="13" applyNumberFormat="1" applyFont="1" applyFill="1" applyBorder="1" applyAlignment="1" applyProtection="1">
      <alignment horizontal="center" vertical="center"/>
      <protection locked="0"/>
    </xf>
    <xf numFmtId="3" fontId="12" fillId="5" borderId="19" xfId="12" applyNumberFormat="1" applyFont="1" applyFill="1" applyBorder="1" applyAlignment="1" applyProtection="1">
      <alignment horizontal="center" vertical="center"/>
      <protection locked="0"/>
    </xf>
    <xf numFmtId="3" fontId="12" fillId="3" borderId="4" xfId="12" applyNumberFormat="1" applyFont="1" applyFill="1" applyBorder="1" applyAlignment="1" applyProtection="1">
      <alignment horizontal="center" vertical="center"/>
      <protection locked="0"/>
    </xf>
    <xf numFmtId="3" fontId="4" fillId="2" borderId="14" xfId="7" applyNumberFormat="1" applyFont="1" applyBorder="1" applyAlignment="1" applyProtection="1">
      <alignment horizontal="left" vertical="center"/>
      <protection locked="0"/>
    </xf>
    <xf numFmtId="167" fontId="4" fillId="3" borderId="15" xfId="11" applyNumberFormat="1" applyFont="1" applyFill="1" applyBorder="1" applyAlignment="1" applyProtection="1">
      <alignment horizontal="center" vertical="center"/>
      <protection locked="0"/>
    </xf>
    <xf numFmtId="3" fontId="4" fillId="5" borderId="16" xfId="12" applyNumberFormat="1" applyFont="1" applyFill="1" applyBorder="1" applyAlignment="1" applyProtection="1">
      <alignment horizontal="center" vertical="center"/>
      <protection locked="0"/>
    </xf>
    <xf numFmtId="3" fontId="4" fillId="5" borderId="17" xfId="12" applyNumberFormat="1" applyFont="1" applyFill="1" applyBorder="1" applyAlignment="1" applyProtection="1">
      <alignment horizontal="center" vertical="center"/>
      <protection locked="0"/>
    </xf>
    <xf numFmtId="3" fontId="4" fillId="3" borderId="3" xfId="12" applyNumberFormat="1" applyFont="1" applyFill="1" applyBorder="1" applyAlignment="1" applyProtection="1">
      <alignment horizontal="center" vertical="center"/>
      <protection locked="0"/>
    </xf>
    <xf numFmtId="167" fontId="4" fillId="3" borderId="0" xfId="11" applyNumberFormat="1" applyFont="1" applyFill="1" applyBorder="1" applyAlignment="1" applyProtection="1">
      <alignment horizontal="center" vertical="center"/>
      <protection locked="0"/>
    </xf>
    <xf numFmtId="3" fontId="4" fillId="5" borderId="16" xfId="13" applyNumberFormat="1" applyFont="1" applyFill="1" applyBorder="1" applyAlignment="1" applyProtection="1">
      <alignment horizontal="center" vertical="center"/>
      <protection locked="0"/>
    </xf>
    <xf numFmtId="3" fontId="4" fillId="5" borderId="19" xfId="12" applyNumberFormat="1" applyFont="1" applyFill="1" applyBorder="1" applyAlignment="1" applyProtection="1">
      <alignment horizontal="center" vertical="center"/>
      <protection locked="0"/>
    </xf>
    <xf numFmtId="3" fontId="4" fillId="3" borderId="4" xfId="12" applyNumberFormat="1" applyFont="1" applyFill="1" applyBorder="1" applyAlignment="1" applyProtection="1">
      <alignment horizontal="center" vertical="center"/>
      <protection locked="0"/>
    </xf>
    <xf numFmtId="3" fontId="4" fillId="3" borderId="15" xfId="12" applyNumberFormat="1" applyFont="1" applyFill="1" applyBorder="1" applyAlignment="1" applyProtection="1">
      <alignment horizontal="center" vertical="center"/>
      <protection locked="0"/>
    </xf>
    <xf numFmtId="0" fontId="6" fillId="3" borderId="3" xfId="1" applyFont="1" applyFill="1" applyBorder="1" applyAlignment="1">
      <alignment vertical="center"/>
    </xf>
    <xf numFmtId="3" fontId="4" fillId="3" borderId="16" xfId="12" applyNumberFormat="1" applyFont="1" applyFill="1" applyBorder="1" applyAlignment="1" applyProtection="1">
      <alignment horizontal="center" vertical="center"/>
      <protection locked="0"/>
    </xf>
    <xf numFmtId="3" fontId="4" fillId="3" borderId="16" xfId="13" applyNumberFormat="1" applyFont="1" applyFill="1" applyBorder="1" applyAlignment="1" applyProtection="1">
      <alignment horizontal="center" vertical="center"/>
      <protection locked="0"/>
    </xf>
    <xf numFmtId="3" fontId="4" fillId="3" borderId="17" xfId="12" applyNumberFormat="1" applyFont="1" applyFill="1" applyBorder="1" applyAlignment="1" applyProtection="1">
      <alignment horizontal="center" vertical="center"/>
      <protection locked="0"/>
    </xf>
    <xf numFmtId="3" fontId="4" fillId="5" borderId="4" xfId="12" applyNumberFormat="1" applyFont="1" applyFill="1" applyBorder="1" applyAlignment="1" applyProtection="1">
      <alignment horizontal="center" vertical="center"/>
      <protection locked="0"/>
    </xf>
    <xf numFmtId="168" fontId="17" fillId="7" borderId="2" xfId="5" applyNumberFormat="1" applyFont="1" applyFill="1" applyBorder="1" applyAlignment="1">
      <alignment horizontal="left" vertical="center"/>
    </xf>
    <xf numFmtId="3" fontId="4" fillId="3" borderId="0" xfId="12" applyNumberFormat="1" applyFont="1" applyFill="1" applyBorder="1" applyAlignment="1" applyProtection="1">
      <alignment horizontal="center" vertical="center"/>
      <protection locked="0"/>
    </xf>
    <xf numFmtId="3" fontId="10" fillId="5" borderId="16" xfId="13" applyNumberFormat="1" applyFont="1" applyFill="1" applyBorder="1" applyAlignment="1" applyProtection="1">
      <alignment horizontal="center" vertical="center"/>
      <protection locked="0"/>
    </xf>
    <xf numFmtId="3" fontId="4" fillId="5" borderId="0" xfId="12" applyNumberFormat="1" applyFont="1" applyFill="1" applyBorder="1" applyAlignment="1" applyProtection="1">
      <alignment horizontal="center" vertical="center"/>
      <protection locked="0"/>
    </xf>
    <xf numFmtId="3" fontId="6" fillId="3" borderId="0" xfId="11" applyNumberFormat="1" applyFont="1" applyFill="1" applyBorder="1" applyAlignment="1" applyProtection="1">
      <alignment horizontal="center" vertical="center"/>
      <protection locked="0"/>
    </xf>
    <xf numFmtId="3" fontId="6" fillId="3" borderId="18" xfId="11" applyNumberFormat="1" applyFont="1" applyFill="1" applyBorder="1" applyAlignment="1" applyProtection="1">
      <alignment horizontal="center" vertical="center"/>
      <protection locked="0"/>
    </xf>
    <xf numFmtId="3" fontId="4" fillId="3" borderId="19" xfId="12" applyNumberFormat="1" applyFont="1" applyFill="1" applyBorder="1" applyAlignment="1" applyProtection="1">
      <alignment horizontal="center" vertical="center"/>
      <protection locked="0"/>
    </xf>
    <xf numFmtId="0" fontId="12" fillId="0" borderId="0" xfId="1" applyFont="1"/>
    <xf numFmtId="3" fontId="24" fillId="3" borderId="0" xfId="11" applyNumberFormat="1" applyFont="1" applyFill="1" applyBorder="1" applyAlignment="1" applyProtection="1">
      <alignment horizontal="center" vertical="center"/>
      <protection locked="0"/>
    </xf>
    <xf numFmtId="3" fontId="24" fillId="3" borderId="18" xfId="11" applyNumberFormat="1" applyFont="1" applyFill="1" applyBorder="1" applyAlignment="1" applyProtection="1">
      <alignment horizontal="center" vertical="center"/>
      <protection locked="0"/>
    </xf>
    <xf numFmtId="3" fontId="12" fillId="3" borderId="19" xfId="12" applyNumberFormat="1" applyFont="1" applyFill="1" applyBorder="1" applyAlignment="1" applyProtection="1">
      <alignment horizontal="center" vertical="center"/>
      <protection locked="0"/>
    </xf>
    <xf numFmtId="0" fontId="12" fillId="3" borderId="3" xfId="1" applyFont="1" applyFill="1" applyBorder="1" applyAlignment="1">
      <alignment vertical="center"/>
    </xf>
    <xf numFmtId="3" fontId="4" fillId="5" borderId="18" xfId="12" applyNumberFormat="1" applyFont="1" applyFill="1" applyBorder="1" applyAlignment="1" applyProtection="1">
      <alignment horizontal="center" vertical="center"/>
      <protection locked="0"/>
    </xf>
    <xf numFmtId="3" fontId="6" fillId="3" borderId="16" xfId="11" applyNumberFormat="1" applyFont="1" applyFill="1" applyBorder="1" applyAlignment="1" applyProtection="1">
      <alignment horizontal="center" vertical="center"/>
      <protection locked="0"/>
    </xf>
    <xf numFmtId="3" fontId="6" fillId="3" borderId="19" xfId="11" applyNumberFormat="1" applyFont="1" applyFill="1" applyBorder="1" applyAlignment="1" applyProtection="1">
      <alignment horizontal="center" vertical="center"/>
      <protection locked="0"/>
    </xf>
    <xf numFmtId="167" fontId="4" fillId="3" borderId="3" xfId="11" applyNumberFormat="1" applyFont="1" applyFill="1" applyBorder="1" applyAlignment="1" applyProtection="1">
      <alignment horizontal="center" vertical="center"/>
      <protection locked="0"/>
    </xf>
    <xf numFmtId="0" fontId="6" fillId="3" borderId="3" xfId="1" applyFont="1" applyFill="1" applyBorder="1" applyAlignment="1">
      <alignment vertical="center" wrapText="1"/>
    </xf>
    <xf numFmtId="3" fontId="12" fillId="7" borderId="3" xfId="14" applyNumberFormat="1" applyFont="1" applyFill="1" applyBorder="1" applyAlignment="1" applyProtection="1">
      <alignment horizontal="center" vertical="center"/>
      <protection locked="0"/>
    </xf>
    <xf numFmtId="167" fontId="12" fillId="3" borderId="15" xfId="11" applyNumberFormat="1" applyFont="1" applyFill="1" applyBorder="1" applyAlignment="1">
      <alignment horizontal="center" vertical="center"/>
    </xf>
    <xf numFmtId="3" fontId="17" fillId="5" borderId="16" xfId="12" applyNumberFormat="1" applyFont="1" applyFill="1" applyBorder="1" applyAlignment="1" applyProtection="1">
      <alignment horizontal="center" vertical="center"/>
      <protection locked="0"/>
    </xf>
    <xf numFmtId="3" fontId="24" fillId="10" borderId="15" xfId="11" applyNumberFormat="1" applyFont="1" applyFill="1" applyBorder="1" applyAlignment="1" applyProtection="1">
      <alignment horizontal="center" vertical="center"/>
      <protection locked="0"/>
    </xf>
    <xf numFmtId="3" fontId="24" fillId="10" borderId="18" xfId="11" applyNumberFormat="1" applyFont="1" applyFill="1" applyBorder="1" applyAlignment="1" applyProtection="1">
      <alignment horizontal="center" vertical="center"/>
      <protection locked="0"/>
    </xf>
    <xf numFmtId="3" fontId="24" fillId="10" borderId="16" xfId="11" applyNumberFormat="1" applyFont="1" applyFill="1" applyBorder="1" applyAlignment="1" applyProtection="1">
      <alignment horizontal="center" vertical="center"/>
      <protection locked="0"/>
    </xf>
    <xf numFmtId="3" fontId="17" fillId="3" borderId="15" xfId="12" applyNumberFormat="1" applyFont="1" applyFill="1" applyBorder="1" applyAlignment="1" applyProtection="1">
      <alignment horizontal="center" vertical="center"/>
      <protection locked="0"/>
    </xf>
    <xf numFmtId="3" fontId="12" fillId="5" borderId="16" xfId="1" applyNumberFormat="1" applyFont="1" applyFill="1" applyBorder="1" applyAlignment="1">
      <alignment horizontal="center" vertical="center"/>
    </xf>
    <xf numFmtId="3" fontId="12" fillId="5" borderId="17" xfId="1" applyNumberFormat="1" applyFont="1" applyFill="1" applyBorder="1" applyAlignment="1">
      <alignment horizontal="center" vertical="center"/>
    </xf>
    <xf numFmtId="3" fontId="12" fillId="7" borderId="16" xfId="1" applyNumberFormat="1" applyFont="1" applyFill="1" applyBorder="1" applyAlignment="1">
      <alignment horizontal="center" vertical="center"/>
    </xf>
    <xf numFmtId="3" fontId="12" fillId="7" borderId="3" xfId="1" applyNumberFormat="1" applyFont="1" applyFill="1" applyBorder="1" applyAlignment="1">
      <alignment horizontal="center" vertical="center"/>
    </xf>
    <xf numFmtId="3" fontId="12" fillId="7" borderId="0" xfId="1" applyNumberFormat="1" applyFont="1" applyFill="1" applyAlignment="1">
      <alignment horizontal="center" vertical="center"/>
    </xf>
    <xf numFmtId="3" fontId="12" fillId="7" borderId="18" xfId="1" applyNumberFormat="1" applyFont="1" applyFill="1" applyBorder="1" applyAlignment="1">
      <alignment horizontal="center" vertical="center"/>
    </xf>
    <xf numFmtId="3" fontId="12" fillId="7" borderId="15" xfId="1" applyNumberFormat="1" applyFont="1" applyFill="1" applyBorder="1" applyAlignment="1">
      <alignment horizontal="center" vertical="center"/>
    </xf>
    <xf numFmtId="3" fontId="11" fillId="5" borderId="16" xfId="1" applyNumberFormat="1" applyFont="1" applyFill="1" applyBorder="1" applyAlignment="1">
      <alignment horizontal="center" vertical="center"/>
    </xf>
    <xf numFmtId="3" fontId="12" fillId="7" borderId="19" xfId="1" applyNumberFormat="1" applyFont="1" applyFill="1" applyBorder="1" applyAlignment="1">
      <alignment horizontal="center" vertical="center"/>
    </xf>
    <xf numFmtId="3" fontId="12" fillId="7" borderId="4" xfId="1" applyNumberFormat="1" applyFont="1" applyFill="1" applyBorder="1" applyAlignment="1">
      <alignment horizontal="center" vertical="center"/>
    </xf>
    <xf numFmtId="0" fontId="12" fillId="4" borderId="0" xfId="5" applyFont="1" applyFill="1" applyAlignment="1">
      <alignment horizontal="center" vertical="center" wrapText="1"/>
    </xf>
    <xf numFmtId="0" fontId="12" fillId="4" borderId="3" xfId="5" applyFont="1" applyFill="1" applyBorder="1" applyAlignment="1">
      <alignment horizontal="center" vertical="center" wrapText="1"/>
    </xf>
    <xf numFmtId="167" fontId="4" fillId="0" borderId="0" xfId="11" applyNumberFormat="1" applyFont="1" applyAlignment="1">
      <alignment horizontal="center"/>
    </xf>
    <xf numFmtId="0" fontId="4" fillId="7" borderId="0" xfId="1" applyFont="1" applyFill="1" applyAlignment="1">
      <alignment horizontal="left" vertical="center"/>
    </xf>
    <xf numFmtId="167" fontId="12" fillId="7" borderId="3" xfId="11" applyNumberFormat="1" applyFont="1" applyFill="1" applyBorder="1" applyAlignment="1">
      <alignment horizontal="center" vertical="center"/>
    </xf>
    <xf numFmtId="3" fontId="12" fillId="7" borderId="2" xfId="12" applyNumberFormat="1" applyFont="1" applyFill="1" applyBorder="1" applyAlignment="1" applyProtection="1">
      <alignment horizontal="center" vertical="center"/>
      <protection locked="0"/>
    </xf>
    <xf numFmtId="0" fontId="12" fillId="7" borderId="3" xfId="2" applyFont="1" applyFill="1" applyBorder="1" applyAlignment="1">
      <alignment vertical="center"/>
    </xf>
    <xf numFmtId="167" fontId="17" fillId="0" borderId="3" xfId="1" applyNumberFormat="1" applyFont="1" applyBorder="1"/>
    <xf numFmtId="3" fontId="17" fillId="0" borderId="0" xfId="1" applyNumberFormat="1" applyFont="1"/>
    <xf numFmtId="3" fontId="12" fillId="0" borderId="4" xfId="1" applyNumberFormat="1" applyFont="1" applyBorder="1"/>
    <xf numFmtId="3" fontId="17" fillId="0" borderId="2" xfId="1" applyNumberFormat="1" applyFont="1" applyBorder="1"/>
    <xf numFmtId="3" fontId="17" fillId="0" borderId="3" xfId="1" applyNumberFormat="1" applyFont="1" applyBorder="1"/>
    <xf numFmtId="3" fontId="17" fillId="0" borderId="4" xfId="1" applyNumberFormat="1" applyFont="1" applyBorder="1"/>
    <xf numFmtId="167" fontId="12" fillId="7" borderId="3" xfId="12" applyNumberFormat="1" applyFont="1" applyFill="1" applyBorder="1" applyAlignment="1" applyProtection="1">
      <alignment horizontal="center" vertical="center"/>
      <protection locked="0"/>
    </xf>
    <xf numFmtId="0" fontId="12" fillId="7" borderId="3" xfId="1" applyFont="1" applyFill="1" applyBorder="1" applyAlignment="1">
      <alignment vertical="center"/>
    </xf>
    <xf numFmtId="3" fontId="4" fillId="3" borderId="0" xfId="7" applyNumberFormat="1" applyFont="1" applyFill="1" applyBorder="1" applyAlignment="1" applyProtection="1">
      <alignment horizontal="left" vertical="center"/>
      <protection locked="0"/>
    </xf>
    <xf numFmtId="167" fontId="12" fillId="3" borderId="3" xfId="11" applyNumberFormat="1" applyFont="1" applyFill="1" applyBorder="1" applyAlignment="1" applyProtection="1">
      <alignment horizontal="center" vertical="center"/>
      <protection locked="0"/>
    </xf>
    <xf numFmtId="3" fontId="12" fillId="3" borderId="0" xfId="12" applyNumberFormat="1" applyFont="1" applyFill="1" applyBorder="1" applyAlignment="1" applyProtection="1">
      <alignment horizontal="center" vertical="center"/>
      <protection locked="0"/>
    </xf>
    <xf numFmtId="3" fontId="12" fillId="3" borderId="4" xfId="11" applyNumberFormat="1" applyFont="1" applyFill="1" applyBorder="1" applyAlignment="1" applyProtection="1">
      <alignment horizontal="center" vertical="center"/>
      <protection locked="0"/>
    </xf>
    <xf numFmtId="3" fontId="12" fillId="3" borderId="2" xfId="12" applyNumberFormat="1" applyFont="1" applyFill="1" applyBorder="1" applyAlignment="1" applyProtection="1">
      <alignment horizontal="center" vertical="center"/>
      <protection locked="0"/>
    </xf>
    <xf numFmtId="3" fontId="17" fillId="3" borderId="0" xfId="12" applyNumberFormat="1" applyFont="1" applyFill="1" applyBorder="1" applyAlignment="1" applyProtection="1">
      <alignment horizontal="center" vertical="center"/>
      <protection locked="0"/>
    </xf>
    <xf numFmtId="3" fontId="12" fillId="3" borderId="0" xfId="11" applyNumberFormat="1" applyFont="1" applyFill="1" applyBorder="1" applyAlignment="1" applyProtection="1">
      <alignment horizontal="center" vertical="center"/>
      <protection locked="0"/>
    </xf>
    <xf numFmtId="3" fontId="10" fillId="3" borderId="0" xfId="12" applyNumberFormat="1" applyFont="1" applyFill="1" applyBorder="1" applyAlignment="1" applyProtection="1">
      <alignment horizontal="center" vertical="center"/>
      <protection locked="0"/>
    </xf>
    <xf numFmtId="3" fontId="10" fillId="3" borderId="3" xfId="12" applyNumberFormat="1" applyFont="1" applyFill="1" applyBorder="1" applyAlignment="1" applyProtection="1">
      <alignment horizontal="center" vertical="center"/>
      <protection locked="0"/>
    </xf>
    <xf numFmtId="3" fontId="10" fillId="3" borderId="4" xfId="12" applyNumberFormat="1" applyFont="1" applyFill="1" applyBorder="1" applyAlignment="1" applyProtection="1">
      <alignment horizontal="center" vertical="center"/>
      <protection locked="0"/>
    </xf>
    <xf numFmtId="3" fontId="12" fillId="7" borderId="2" xfId="14" applyNumberFormat="1" applyFont="1" applyFill="1" applyBorder="1" applyAlignment="1" applyProtection="1">
      <alignment horizontal="center" vertical="center"/>
      <protection locked="0"/>
    </xf>
    <xf numFmtId="3" fontId="12" fillId="7" borderId="0" xfId="14" applyNumberFormat="1" applyFont="1" applyFill="1" applyBorder="1" applyAlignment="1" applyProtection="1">
      <alignment horizontal="center" vertical="center"/>
      <protection locked="0"/>
    </xf>
    <xf numFmtId="168" fontId="12" fillId="7" borderId="0" xfId="5" applyNumberFormat="1" applyFont="1" applyFill="1" applyAlignment="1">
      <alignment horizontal="left" vertical="center"/>
    </xf>
    <xf numFmtId="168" fontId="12" fillId="7" borderId="3" xfId="5" applyNumberFormat="1" applyFont="1" applyFill="1" applyBorder="1" applyAlignment="1">
      <alignment horizontal="left" vertical="center"/>
    </xf>
    <xf numFmtId="0" fontId="12" fillId="4" borderId="2" xfId="5" applyFont="1" applyFill="1" applyBorder="1" applyAlignment="1">
      <alignment horizontal="center" vertical="center" wrapText="1"/>
    </xf>
    <xf numFmtId="167" fontId="4" fillId="0" borderId="0" xfId="11" applyNumberFormat="1" applyFont="1" applyBorder="1" applyAlignment="1">
      <alignment horizontal="center"/>
    </xf>
    <xf numFmtId="0" fontId="12" fillId="3" borderId="6" xfId="2" applyFont="1" applyFill="1" applyBorder="1"/>
    <xf numFmtId="0" fontId="10" fillId="0" borderId="0" xfId="8" applyFont="1"/>
    <xf numFmtId="0" fontId="10" fillId="0" borderId="0" xfId="2" applyFont="1"/>
    <xf numFmtId="0" fontId="4" fillId="0" borderId="0" xfId="15" applyFont="1"/>
    <xf numFmtId="167" fontId="10" fillId="0" borderId="0" xfId="16" applyNumberFormat="1" applyFont="1" applyBorder="1" applyAlignment="1" applyProtection="1">
      <alignment horizontal="center" vertical="center"/>
      <protection locked="0"/>
    </xf>
    <xf numFmtId="3" fontId="10" fillId="3" borderId="0" xfId="13" applyNumberFormat="1" applyFont="1" applyFill="1" applyBorder="1" applyAlignment="1" applyProtection="1">
      <alignment horizontal="center" vertical="center"/>
      <protection locked="0"/>
    </xf>
    <xf numFmtId="167" fontId="10" fillId="3" borderId="0" xfId="16" applyNumberFormat="1" applyFont="1" applyFill="1" applyBorder="1" applyAlignment="1" applyProtection="1">
      <alignment horizontal="center" vertical="center"/>
      <protection locked="0"/>
    </xf>
    <xf numFmtId="0" fontId="17" fillId="0" borderId="0" xfId="2" applyFont="1"/>
    <xf numFmtId="0" fontId="17" fillId="0" borderId="0" xfId="15" applyFont="1"/>
    <xf numFmtId="167" fontId="12" fillId="11" borderId="0" xfId="16" applyNumberFormat="1" applyFont="1" applyFill="1" applyBorder="1" applyAlignment="1" applyProtection="1">
      <alignment horizontal="left" vertical="center"/>
      <protection locked="0"/>
    </xf>
    <xf numFmtId="167" fontId="12" fillId="11" borderId="0" xfId="16" applyNumberFormat="1" applyFont="1" applyFill="1" applyBorder="1" applyAlignment="1" applyProtection="1">
      <alignment horizontal="center" vertical="center"/>
      <protection locked="0"/>
    </xf>
    <xf numFmtId="167" fontId="12" fillId="11" borderId="20" xfId="16" applyNumberFormat="1" applyFont="1" applyFill="1" applyBorder="1" applyAlignment="1" applyProtection="1">
      <alignment horizontal="center" vertical="center"/>
      <protection locked="0"/>
    </xf>
    <xf numFmtId="167" fontId="12" fillId="11" borderId="21" xfId="16" applyNumberFormat="1" applyFont="1" applyFill="1" applyBorder="1" applyAlignment="1" applyProtection="1">
      <alignment horizontal="center" vertical="center"/>
      <protection locked="0"/>
    </xf>
    <xf numFmtId="167" fontId="12" fillId="11" borderId="4" xfId="16" applyNumberFormat="1" applyFont="1" applyFill="1" applyBorder="1" applyAlignment="1" applyProtection="1">
      <alignment horizontal="center" vertical="center"/>
      <protection locked="0"/>
    </xf>
    <xf numFmtId="167" fontId="12" fillId="11" borderId="3" xfId="16" applyNumberFormat="1" applyFont="1" applyFill="1" applyBorder="1" applyAlignment="1" applyProtection="1">
      <alignment horizontal="center" vertical="center"/>
      <protection locked="0"/>
    </xf>
    <xf numFmtId="0" fontId="12" fillId="11" borderId="3" xfId="1" applyFont="1" applyFill="1" applyBorder="1" applyAlignment="1">
      <alignment vertical="center" wrapText="1"/>
    </xf>
    <xf numFmtId="0" fontId="12" fillId="11" borderId="0" xfId="1" applyFont="1" applyFill="1" applyAlignment="1">
      <alignment vertical="center" wrapText="1"/>
    </xf>
    <xf numFmtId="3" fontId="12" fillId="11" borderId="20" xfId="13" applyNumberFormat="1" applyFont="1" applyFill="1" applyBorder="1" applyAlignment="1" applyProtection="1">
      <alignment horizontal="center" vertical="center"/>
      <protection locked="0"/>
    </xf>
    <xf numFmtId="3" fontId="12" fillId="11" borderId="21" xfId="13" applyNumberFormat="1" applyFont="1" applyFill="1" applyBorder="1" applyAlignment="1" applyProtection="1">
      <alignment horizontal="center" vertical="center"/>
      <protection locked="0"/>
    </xf>
    <xf numFmtId="3" fontId="12" fillId="11" borderId="0" xfId="13" applyNumberFormat="1" applyFont="1" applyFill="1" applyBorder="1" applyAlignment="1" applyProtection="1">
      <alignment horizontal="center" vertical="center"/>
      <protection locked="0"/>
    </xf>
    <xf numFmtId="3" fontId="12" fillId="11" borderId="4" xfId="13" applyNumberFormat="1" applyFont="1" applyFill="1" applyBorder="1" applyAlignment="1" applyProtection="1">
      <alignment horizontal="center" vertical="center"/>
      <protection locked="0"/>
    </xf>
    <xf numFmtId="3" fontId="12" fillId="11" borderId="3" xfId="13" applyNumberFormat="1" applyFont="1" applyFill="1" applyBorder="1" applyAlignment="1" applyProtection="1">
      <alignment horizontal="center" vertical="center"/>
      <protection locked="0"/>
    </xf>
    <xf numFmtId="3" fontId="12" fillId="11" borderId="0" xfId="13" applyNumberFormat="1" applyFont="1" applyFill="1" applyBorder="1" applyAlignment="1" applyProtection="1">
      <alignment horizontal="left" vertical="center"/>
      <protection locked="0"/>
    </xf>
    <xf numFmtId="0" fontId="12" fillId="11" borderId="0" xfId="1" applyFont="1" applyFill="1" applyAlignment="1">
      <alignment vertical="center"/>
    </xf>
    <xf numFmtId="0" fontId="10" fillId="3" borderId="0" xfId="2" applyFont="1" applyFill="1"/>
    <xf numFmtId="0" fontId="4" fillId="3" borderId="0" xfId="15" applyFont="1" applyFill="1"/>
    <xf numFmtId="167" fontId="11" fillId="3" borderId="0" xfId="16" applyNumberFormat="1" applyFont="1" applyFill="1" applyBorder="1" applyAlignment="1" applyProtection="1">
      <alignment horizontal="center" vertical="center"/>
      <protection locked="0"/>
    </xf>
    <xf numFmtId="3" fontId="11" fillId="3" borderId="20" xfId="13" applyNumberFormat="1" applyFont="1" applyFill="1" applyBorder="1" applyAlignment="1" applyProtection="1">
      <alignment horizontal="center" vertical="center"/>
      <protection locked="0"/>
    </xf>
    <xf numFmtId="167" fontId="11" fillId="3" borderId="21" xfId="16" applyNumberFormat="1" applyFont="1" applyFill="1" applyBorder="1" applyAlignment="1" applyProtection="1">
      <alignment horizontal="center" vertical="center"/>
      <protection locked="0"/>
    </xf>
    <xf numFmtId="167" fontId="11" fillId="3" borderId="4" xfId="16" applyNumberFormat="1" applyFont="1" applyFill="1" applyBorder="1" applyAlignment="1" applyProtection="1">
      <alignment horizontal="center" vertical="center"/>
      <protection locked="0"/>
    </xf>
    <xf numFmtId="167" fontId="11" fillId="3" borderId="3" xfId="16" applyNumberFormat="1" applyFont="1" applyFill="1" applyBorder="1" applyAlignment="1" applyProtection="1">
      <alignment horizontal="center" vertical="center"/>
      <protection locked="0"/>
    </xf>
    <xf numFmtId="0" fontId="12" fillId="3" borderId="0" xfId="1" applyFont="1" applyFill="1" applyAlignment="1">
      <alignment vertical="center"/>
    </xf>
    <xf numFmtId="0" fontId="4" fillId="0" borderId="0" xfId="15" applyFont="1" applyAlignment="1">
      <alignment horizontal="center"/>
    </xf>
    <xf numFmtId="0" fontId="10" fillId="0" borderId="0" xfId="16" applyNumberFormat="1" applyFont="1" applyBorder="1" applyAlignment="1" applyProtection="1">
      <alignment horizontal="left" vertical="center"/>
      <protection locked="0"/>
    </xf>
    <xf numFmtId="167" fontId="10" fillId="0" borderId="20" xfId="16" applyNumberFormat="1" applyFont="1" applyBorder="1" applyAlignment="1" applyProtection="1">
      <alignment horizontal="center" vertical="center"/>
      <protection locked="0"/>
    </xf>
    <xf numFmtId="167" fontId="10" fillId="0" borderId="21" xfId="16" applyNumberFormat="1" applyFont="1" applyFill="1" applyBorder="1" applyAlignment="1" applyProtection="1">
      <alignment horizontal="center" vertical="center"/>
      <protection locked="0"/>
    </xf>
    <xf numFmtId="167" fontId="10" fillId="0" borderId="21" xfId="16" applyNumberFormat="1" applyFont="1" applyBorder="1" applyAlignment="1" applyProtection="1">
      <alignment horizontal="center" vertical="center"/>
      <protection locked="0"/>
    </xf>
    <xf numFmtId="167" fontId="10" fillId="0" borderId="4" xfId="16" applyNumberFormat="1" applyFont="1" applyBorder="1" applyAlignment="1" applyProtection="1">
      <alignment horizontal="center" vertical="center"/>
      <protection locked="0"/>
    </xf>
    <xf numFmtId="167" fontId="10" fillId="0" borderId="3" xfId="16" applyNumberFormat="1" applyFont="1" applyBorder="1" applyAlignment="1" applyProtection="1">
      <alignment horizontal="center" vertical="center"/>
      <protection locked="0"/>
    </xf>
    <xf numFmtId="0" fontId="10" fillId="3" borderId="3" xfId="1" applyFont="1" applyFill="1" applyBorder="1" applyAlignment="1">
      <alignment vertical="center" wrapText="1"/>
    </xf>
    <xf numFmtId="0" fontId="10" fillId="3" borderId="0" xfId="1" applyFont="1" applyFill="1" applyAlignment="1">
      <alignment vertical="center" wrapText="1"/>
    </xf>
    <xf numFmtId="168" fontId="12" fillId="7" borderId="0" xfId="5" applyNumberFormat="1" applyFont="1" applyFill="1" applyAlignment="1">
      <alignment horizontal="center" vertical="center"/>
    </xf>
    <xf numFmtId="167" fontId="12" fillId="7" borderId="20" xfId="5" applyNumberFormat="1" applyFont="1" applyFill="1" applyBorder="1" applyAlignment="1">
      <alignment horizontal="center" vertical="center"/>
    </xf>
    <xf numFmtId="167" fontId="12" fillId="7" borderId="21" xfId="5" applyNumberFormat="1" applyFont="1" applyFill="1" applyBorder="1" applyAlignment="1">
      <alignment horizontal="center" vertical="center"/>
    </xf>
    <xf numFmtId="167" fontId="12" fillId="7" borderId="0" xfId="5" applyNumberFormat="1" applyFont="1" applyFill="1" applyAlignment="1">
      <alignment horizontal="center" vertical="center"/>
    </xf>
    <xf numFmtId="167" fontId="12" fillId="7" borderId="4" xfId="5" applyNumberFormat="1" applyFont="1" applyFill="1" applyBorder="1" applyAlignment="1">
      <alignment horizontal="center" vertical="center"/>
    </xf>
    <xf numFmtId="167" fontId="12" fillId="7" borderId="3" xfId="5" applyNumberFormat="1" applyFont="1" applyFill="1" applyBorder="1" applyAlignment="1">
      <alignment horizontal="center" vertical="center"/>
    </xf>
    <xf numFmtId="3" fontId="12" fillId="7" borderId="21" xfId="5" applyNumberFormat="1" applyFont="1" applyFill="1" applyBorder="1" applyAlignment="1">
      <alignment horizontal="center" vertical="center"/>
    </xf>
    <xf numFmtId="3" fontId="12" fillId="7" borderId="4" xfId="5" applyNumberFormat="1" applyFont="1" applyFill="1" applyBorder="1" applyAlignment="1">
      <alignment horizontal="center" vertical="center"/>
    </xf>
    <xf numFmtId="0" fontId="4" fillId="0" borderId="0" xfId="2" applyFont="1"/>
    <xf numFmtId="167" fontId="4" fillId="0" borderId="0" xfId="16" applyNumberFormat="1" applyFont="1" applyBorder="1" applyAlignment="1" applyProtection="1">
      <alignment horizontal="center" vertical="center"/>
      <protection locked="0"/>
    </xf>
    <xf numFmtId="167" fontId="4" fillId="12" borderId="20" xfId="16" applyNumberFormat="1" applyFont="1" applyFill="1" applyBorder="1" applyAlignment="1" applyProtection="1">
      <alignment horizontal="center" vertical="center"/>
      <protection locked="0"/>
    </xf>
    <xf numFmtId="167" fontId="4" fillId="12" borderId="0" xfId="16" applyNumberFormat="1" applyFont="1" applyFill="1" applyBorder="1" applyAlignment="1" applyProtection="1">
      <alignment horizontal="center" vertical="center"/>
      <protection locked="0"/>
    </xf>
    <xf numFmtId="167" fontId="4" fillId="12" borderId="21" xfId="16" applyNumberFormat="1" applyFont="1" applyFill="1" applyBorder="1" applyAlignment="1" applyProtection="1">
      <alignment horizontal="center" vertical="center"/>
      <protection locked="0"/>
    </xf>
    <xf numFmtId="167" fontId="4" fillId="12" borderId="4" xfId="16" applyNumberFormat="1" applyFont="1" applyFill="1" applyBorder="1" applyAlignment="1" applyProtection="1">
      <alignment horizontal="center" vertical="center"/>
      <protection locked="0"/>
    </xf>
    <xf numFmtId="167" fontId="4" fillId="12" borderId="3" xfId="16" applyNumberFormat="1" applyFont="1" applyFill="1" applyBorder="1" applyAlignment="1" applyProtection="1">
      <alignment horizontal="center" vertical="center"/>
      <protection locked="0"/>
    </xf>
    <xf numFmtId="0" fontId="4" fillId="12" borderId="3" xfId="1" applyFont="1" applyFill="1" applyBorder="1" applyAlignment="1">
      <alignment vertical="center" wrapText="1"/>
    </xf>
    <xf numFmtId="0" fontId="4" fillId="12" borderId="0" xfId="1" applyFont="1" applyFill="1" applyAlignment="1">
      <alignment vertical="center" wrapText="1"/>
    </xf>
    <xf numFmtId="3" fontId="4" fillId="5" borderId="21" xfId="13" applyNumberFormat="1" applyFont="1" applyFill="1" applyBorder="1" applyAlignment="1" applyProtection="1">
      <alignment horizontal="center" vertical="center"/>
      <protection locked="0"/>
    </xf>
    <xf numFmtId="3" fontId="4" fillId="12" borderId="0" xfId="13" applyNumberFormat="1" applyFont="1" applyFill="1" applyBorder="1" applyAlignment="1" applyProtection="1">
      <alignment horizontal="center" vertical="center"/>
      <protection locked="0"/>
    </xf>
    <xf numFmtId="3" fontId="4" fillId="9" borderId="21" xfId="13" applyNumberFormat="1" applyFont="1" applyBorder="1" applyAlignment="1" applyProtection="1">
      <alignment horizontal="center" vertical="center"/>
      <protection locked="0"/>
    </xf>
    <xf numFmtId="3" fontId="4" fillId="9" borderId="0" xfId="13" applyNumberFormat="1" applyFont="1" applyBorder="1" applyAlignment="1" applyProtection="1">
      <alignment horizontal="center" vertical="center"/>
      <protection locked="0"/>
    </xf>
    <xf numFmtId="3" fontId="4" fillId="9" borderId="4" xfId="13" applyNumberFormat="1" applyFont="1" applyBorder="1" applyAlignment="1" applyProtection="1">
      <alignment horizontal="center" vertical="center"/>
      <protection locked="0"/>
    </xf>
    <xf numFmtId="3" fontId="4" fillId="13" borderId="4" xfId="13" applyNumberFormat="1" applyFont="1" applyFill="1" applyBorder="1" applyAlignment="1" applyProtection="1">
      <alignment horizontal="center" vertical="center"/>
      <protection locked="0"/>
    </xf>
    <xf numFmtId="0" fontId="4" fillId="3" borderId="3" xfId="1" applyFont="1" applyFill="1" applyBorder="1" applyAlignment="1">
      <alignment vertical="center" wrapText="1"/>
    </xf>
    <xf numFmtId="0" fontId="4" fillId="3" borderId="0" xfId="1" applyFont="1" applyFill="1" applyAlignment="1">
      <alignment vertical="center" wrapText="1"/>
    </xf>
    <xf numFmtId="3" fontId="4" fillId="0" borderId="0" xfId="15" applyNumberFormat="1" applyFont="1" applyAlignment="1">
      <alignment horizontal="center"/>
    </xf>
    <xf numFmtId="3" fontId="4" fillId="5" borderId="3" xfId="13" applyNumberFormat="1" applyFont="1" applyFill="1" applyBorder="1" applyAlignment="1" applyProtection="1">
      <alignment horizontal="center" vertical="center"/>
      <protection locked="0"/>
    </xf>
    <xf numFmtId="3" fontId="4" fillId="5" borderId="0" xfId="13" applyNumberFormat="1" applyFont="1" applyFill="1" applyBorder="1" applyAlignment="1" applyProtection="1">
      <alignment horizontal="center" vertical="center"/>
      <protection locked="0"/>
    </xf>
    <xf numFmtId="3" fontId="12" fillId="7" borderId="20" xfId="5" applyNumberFormat="1" applyFont="1" applyFill="1" applyBorder="1" applyAlignment="1">
      <alignment horizontal="center" vertical="center"/>
    </xf>
    <xf numFmtId="0" fontId="4" fillId="0" borderId="0" xfId="15" applyFont="1" applyAlignment="1">
      <alignment horizontal="left"/>
    </xf>
    <xf numFmtId="3" fontId="10" fillId="0" borderId="20" xfId="13" applyNumberFormat="1" applyFont="1" applyFill="1" applyBorder="1" applyAlignment="1" applyProtection="1">
      <alignment horizontal="center" vertical="center"/>
      <protection locked="0"/>
    </xf>
    <xf numFmtId="3" fontId="10" fillId="0" borderId="21" xfId="13" applyNumberFormat="1" applyFont="1" applyFill="1" applyBorder="1" applyAlignment="1" applyProtection="1">
      <alignment horizontal="center" vertical="center"/>
      <protection locked="0"/>
    </xf>
    <xf numFmtId="3" fontId="10" fillId="0" borderId="0" xfId="13" applyNumberFormat="1" applyFont="1" applyFill="1" applyBorder="1" applyAlignment="1" applyProtection="1">
      <alignment horizontal="center" vertical="center"/>
      <protection locked="0"/>
    </xf>
    <xf numFmtId="167" fontId="4" fillId="5" borderId="21" xfId="16" applyNumberFormat="1" applyFont="1" applyFill="1" applyBorder="1" applyAlignment="1" applyProtection="1">
      <alignment horizontal="center" vertical="center"/>
      <protection locked="0"/>
    </xf>
    <xf numFmtId="0" fontId="4" fillId="3" borderId="0" xfId="2" applyFont="1" applyFill="1"/>
    <xf numFmtId="0" fontId="10" fillId="3" borderId="0" xfId="16" applyNumberFormat="1" applyFont="1" applyFill="1" applyBorder="1" applyAlignment="1" applyProtection="1">
      <alignment horizontal="left" vertical="center"/>
      <protection locked="0"/>
    </xf>
    <xf numFmtId="3" fontId="10" fillId="3" borderId="20" xfId="13" applyNumberFormat="1" applyFont="1" applyFill="1" applyBorder="1" applyAlignment="1" applyProtection="1">
      <alignment horizontal="center" vertical="center"/>
      <protection locked="0"/>
    </xf>
    <xf numFmtId="167" fontId="10" fillId="3" borderId="21" xfId="16" applyNumberFormat="1" applyFont="1" applyFill="1" applyBorder="1" applyAlignment="1" applyProtection="1">
      <alignment horizontal="center" vertical="center"/>
      <protection locked="0"/>
    </xf>
    <xf numFmtId="167" fontId="10" fillId="3" borderId="4" xfId="16" applyNumberFormat="1" applyFont="1" applyFill="1" applyBorder="1" applyAlignment="1" applyProtection="1">
      <alignment horizontal="center" vertical="center"/>
      <protection locked="0"/>
    </xf>
    <xf numFmtId="167" fontId="10" fillId="3" borderId="3" xfId="16" applyNumberFormat="1" applyFont="1" applyFill="1" applyBorder="1" applyAlignment="1" applyProtection="1">
      <alignment horizontal="center" vertical="center"/>
      <protection locked="0"/>
    </xf>
    <xf numFmtId="9" fontId="12" fillId="7" borderId="21" xfId="16" applyFont="1" applyFill="1" applyBorder="1" applyAlignment="1">
      <alignment horizontal="center" vertical="center"/>
    </xf>
    <xf numFmtId="167" fontId="4" fillId="14" borderId="0" xfId="16" applyNumberFormat="1" applyFont="1" applyFill="1" applyBorder="1" applyAlignment="1" applyProtection="1">
      <alignment horizontal="center" vertical="center"/>
      <protection locked="0"/>
    </xf>
    <xf numFmtId="3" fontId="4" fillId="13" borderId="21" xfId="13" applyNumberFormat="1" applyFont="1" applyFill="1" applyBorder="1" applyAlignment="1" applyProtection="1">
      <alignment horizontal="center" vertical="center"/>
      <protection locked="0"/>
    </xf>
    <xf numFmtId="3" fontId="4" fillId="13" borderId="0" xfId="13" applyNumberFormat="1" applyFont="1" applyFill="1" applyBorder="1" applyAlignment="1" applyProtection="1">
      <alignment horizontal="center" vertical="center"/>
      <protection locked="0"/>
    </xf>
    <xf numFmtId="168" fontId="4" fillId="14" borderId="0" xfId="15" applyNumberFormat="1" applyFont="1" applyFill="1" applyAlignment="1">
      <alignment horizontal="center"/>
    </xf>
    <xf numFmtId="0" fontId="12" fillId="4" borderId="20" xfId="5" applyFont="1" applyFill="1" applyBorder="1" applyAlignment="1">
      <alignment horizontal="center" vertical="center" wrapText="1"/>
    </xf>
    <xf numFmtId="0" fontId="12" fillId="4" borderId="0" xfId="5" applyFont="1" applyFill="1" applyAlignment="1">
      <alignment vertical="center" wrapText="1"/>
    </xf>
    <xf numFmtId="0" fontId="10" fillId="0" borderId="0" xfId="17" applyFont="1"/>
    <xf numFmtId="0" fontId="26" fillId="0" borderId="0" xfId="9" applyFont="1" applyFill="1" applyBorder="1"/>
    <xf numFmtId="3" fontId="11" fillId="3" borderId="0" xfId="13" applyNumberFormat="1" applyFont="1" applyFill="1" applyBorder="1" applyAlignment="1" applyProtection="1">
      <alignment horizontal="center" vertical="center"/>
      <protection locked="0"/>
    </xf>
    <xf numFmtId="0" fontId="23" fillId="3" borderId="0" xfId="15" applyFont="1" applyFill="1" applyAlignment="1">
      <alignment vertical="center" wrapText="1"/>
    </xf>
    <xf numFmtId="0" fontId="12" fillId="11" borderId="3" xfId="15" applyFont="1" applyFill="1" applyBorder="1" applyAlignment="1">
      <alignment vertical="center" wrapText="1"/>
    </xf>
    <xf numFmtId="0" fontId="12" fillId="11" borderId="0" xfId="15" applyFont="1" applyFill="1" applyAlignment="1">
      <alignment vertical="center" wrapText="1"/>
    </xf>
    <xf numFmtId="0" fontId="12" fillId="11" borderId="0" xfId="15" applyFont="1" applyFill="1" applyAlignment="1">
      <alignment horizontal="left" vertical="center"/>
    </xf>
    <xf numFmtId="0" fontId="10" fillId="0" borderId="0" xfId="15" applyFont="1" applyAlignment="1">
      <alignment horizontal="left"/>
    </xf>
    <xf numFmtId="0" fontId="10" fillId="3" borderId="3" xfId="15" applyFont="1" applyFill="1" applyBorder="1" applyAlignment="1">
      <alignment vertical="center" wrapText="1"/>
    </xf>
    <xf numFmtId="0" fontId="10" fillId="3" borderId="0" xfId="15" applyFont="1" applyFill="1" applyAlignment="1">
      <alignment vertical="center" wrapText="1"/>
    </xf>
    <xf numFmtId="168" fontId="12" fillId="7" borderId="21" xfId="5" applyNumberFormat="1" applyFont="1" applyFill="1" applyBorder="1" applyAlignment="1">
      <alignment horizontal="center" vertical="center"/>
    </xf>
    <xf numFmtId="0" fontId="4" fillId="12" borderId="0" xfId="16" applyNumberFormat="1" applyFont="1" applyFill="1" applyBorder="1" applyAlignment="1" applyProtection="1">
      <alignment horizontal="left" vertical="center"/>
      <protection locked="0"/>
    </xf>
    <xf numFmtId="0" fontId="4" fillId="12" borderId="3" xfId="15" applyFont="1" applyFill="1" applyBorder="1" applyAlignment="1">
      <alignment vertical="center" wrapText="1"/>
    </xf>
    <xf numFmtId="0" fontId="4" fillId="12" borderId="0" xfId="15" applyFont="1" applyFill="1" applyAlignment="1">
      <alignment vertical="center" wrapText="1"/>
    </xf>
    <xf numFmtId="0" fontId="4" fillId="3" borderId="0" xfId="16" applyNumberFormat="1" applyFont="1" applyFill="1" applyBorder="1" applyAlignment="1" applyProtection="1">
      <alignment horizontal="left" vertical="center"/>
      <protection locked="0"/>
    </xf>
    <xf numFmtId="167" fontId="4" fillId="3" borderId="21" xfId="16" applyNumberFormat="1" applyFont="1" applyFill="1" applyBorder="1" applyAlignment="1" applyProtection="1">
      <alignment horizontal="center" vertical="center"/>
      <protection locked="0"/>
    </xf>
    <xf numFmtId="167" fontId="4" fillId="3" borderId="0" xfId="16" applyNumberFormat="1" applyFont="1" applyFill="1" applyBorder="1" applyAlignment="1" applyProtection="1">
      <alignment horizontal="center" vertical="center"/>
      <protection locked="0"/>
    </xf>
    <xf numFmtId="3" fontId="4" fillId="3" borderId="0" xfId="13" applyNumberFormat="1" applyFont="1" applyFill="1" applyBorder="1" applyAlignment="1" applyProtection="1">
      <alignment horizontal="center" vertical="center"/>
      <protection locked="0"/>
    </xf>
    <xf numFmtId="3" fontId="4" fillId="3" borderId="3" xfId="13" applyNumberFormat="1" applyFont="1" applyFill="1" applyBorder="1" applyAlignment="1" applyProtection="1">
      <alignment horizontal="center" vertical="center"/>
      <protection locked="0"/>
    </xf>
    <xf numFmtId="3" fontId="4" fillId="3" borderId="4" xfId="13" applyNumberFormat="1" applyFont="1" applyFill="1" applyBorder="1" applyAlignment="1" applyProtection="1">
      <alignment horizontal="center" vertical="center"/>
      <protection locked="0"/>
    </xf>
    <xf numFmtId="0" fontId="4" fillId="3" borderId="3" xfId="15" applyFont="1" applyFill="1" applyBorder="1" applyAlignment="1">
      <alignment vertical="center" wrapText="1"/>
    </xf>
    <xf numFmtId="0" fontId="4" fillId="3" borderId="0" xfId="15" applyFont="1" applyFill="1" applyAlignment="1">
      <alignment vertical="center" wrapText="1"/>
    </xf>
    <xf numFmtId="3" fontId="4" fillId="3" borderId="21" xfId="16" applyNumberFormat="1" applyFont="1" applyFill="1" applyBorder="1" applyAlignment="1" applyProtection="1">
      <alignment horizontal="center" vertical="center"/>
      <protection locked="0"/>
    </xf>
    <xf numFmtId="3" fontId="4" fillId="3" borderId="0" xfId="15" applyNumberFormat="1" applyFont="1" applyFill="1" applyAlignment="1">
      <alignment horizontal="center"/>
    </xf>
    <xf numFmtId="0" fontId="10" fillId="3" borderId="0" xfId="15" applyFont="1" applyFill="1" applyAlignment="1">
      <alignment horizontal="left" vertical="center" wrapText="1"/>
    </xf>
    <xf numFmtId="0" fontId="10" fillId="3" borderId="21" xfId="15" applyFont="1" applyFill="1" applyBorder="1" applyAlignment="1">
      <alignment vertical="center" wrapText="1"/>
    </xf>
    <xf numFmtId="3" fontId="10" fillId="3" borderId="3" xfId="13" applyNumberFormat="1" applyFont="1" applyFill="1" applyBorder="1" applyAlignment="1" applyProtection="1">
      <alignment horizontal="center" vertical="center"/>
      <protection locked="0"/>
    </xf>
    <xf numFmtId="3" fontId="10" fillId="3" borderId="4" xfId="13" applyNumberFormat="1" applyFont="1" applyFill="1" applyBorder="1" applyAlignment="1" applyProtection="1">
      <alignment horizontal="center" vertical="center"/>
      <protection locked="0"/>
    </xf>
    <xf numFmtId="0" fontId="4" fillId="12" borderId="0" xfId="15" applyFont="1" applyFill="1"/>
    <xf numFmtId="0" fontId="5" fillId="0" borderId="0" xfId="15" applyFont="1"/>
    <xf numFmtId="167" fontId="12" fillId="8" borderId="3" xfId="16" applyNumberFormat="1" applyFont="1" applyFill="1" applyBorder="1" applyAlignment="1">
      <alignment horizontal="center" vertical="center"/>
    </xf>
    <xf numFmtId="3" fontId="12" fillId="8" borderId="0" xfId="2" applyNumberFormat="1" applyFont="1" applyFill="1" applyAlignment="1">
      <alignment horizontal="center" vertical="center"/>
    </xf>
    <xf numFmtId="3" fontId="12" fillId="8" borderId="3" xfId="16" applyNumberFormat="1" applyFont="1" applyFill="1" applyBorder="1" applyAlignment="1">
      <alignment horizontal="center" vertical="center"/>
    </xf>
    <xf numFmtId="3" fontId="12" fillId="8" borderId="4" xfId="16" applyNumberFormat="1" applyFont="1" applyFill="1" applyBorder="1" applyAlignment="1">
      <alignment horizontal="center" vertical="center"/>
    </xf>
    <xf numFmtId="3" fontId="12" fillId="8" borderId="3" xfId="2" applyNumberFormat="1" applyFont="1" applyFill="1" applyBorder="1" applyAlignment="1">
      <alignment horizontal="center" vertical="center"/>
    </xf>
    <xf numFmtId="0" fontId="12" fillId="8" borderId="3" xfId="15" applyFont="1" applyFill="1" applyBorder="1" applyAlignment="1">
      <alignment vertical="center"/>
    </xf>
    <xf numFmtId="0" fontId="23" fillId="0" borderId="0" xfId="15" applyFont="1"/>
    <xf numFmtId="3" fontId="12" fillId="8" borderId="3" xfId="15" applyNumberFormat="1" applyFont="1" applyFill="1" applyBorder="1" applyAlignment="1">
      <alignment horizontal="center" vertical="center"/>
    </xf>
    <xf numFmtId="3" fontId="12" fillId="8" borderId="4" xfId="15" applyNumberFormat="1" applyFont="1" applyFill="1" applyBorder="1" applyAlignment="1">
      <alignment horizontal="center" vertical="center"/>
    </xf>
    <xf numFmtId="3" fontId="12" fillId="8" borderId="0" xfId="15" applyNumberFormat="1" applyFont="1" applyFill="1" applyAlignment="1">
      <alignment horizontal="center" vertical="center"/>
    </xf>
    <xf numFmtId="3" fontId="12" fillId="8" borderId="4" xfId="2" applyNumberFormat="1" applyFont="1" applyFill="1" applyBorder="1" applyAlignment="1">
      <alignment horizontal="center" vertical="center"/>
    </xf>
    <xf numFmtId="0" fontId="10" fillId="0" borderId="4" xfId="15" applyFont="1" applyBorder="1"/>
    <xf numFmtId="167" fontId="10" fillId="0" borderId="3" xfId="16" applyNumberFormat="1" applyFont="1" applyBorder="1"/>
    <xf numFmtId="0" fontId="10" fillId="0" borderId="0" xfId="15" applyFont="1"/>
    <xf numFmtId="0" fontId="10" fillId="0" borderId="3" xfId="15" applyFont="1" applyBorder="1"/>
    <xf numFmtId="0" fontId="27" fillId="3" borderId="3" xfId="15" applyFont="1" applyFill="1" applyBorder="1" applyAlignment="1">
      <alignment vertical="center"/>
    </xf>
    <xf numFmtId="0" fontId="4" fillId="5" borderId="4" xfId="16" applyNumberFormat="1" applyFont="1" applyFill="1" applyBorder="1" applyAlignment="1" applyProtection="1">
      <alignment horizontal="left" vertical="center"/>
      <protection locked="0"/>
    </xf>
    <xf numFmtId="3" fontId="10" fillId="13" borderId="3" xfId="13" applyNumberFormat="1" applyFont="1" applyFill="1" applyBorder="1" applyAlignment="1" applyProtection="1">
      <alignment horizontal="center" vertical="center"/>
      <protection locked="0"/>
    </xf>
    <xf numFmtId="3" fontId="10" fillId="14" borderId="4" xfId="13" applyNumberFormat="1" applyFont="1" applyFill="1" applyBorder="1" applyAlignment="1" applyProtection="1">
      <alignment horizontal="center" vertical="center"/>
      <protection locked="0"/>
    </xf>
    <xf numFmtId="3" fontId="10" fillId="14" borderId="3" xfId="13" applyNumberFormat="1" applyFont="1" applyFill="1" applyBorder="1" applyAlignment="1" applyProtection="1">
      <alignment horizontal="center" vertical="center"/>
      <protection locked="0"/>
    </xf>
    <xf numFmtId="3" fontId="10" fillId="14" borderId="0" xfId="13" applyNumberFormat="1" applyFont="1" applyFill="1" applyBorder="1" applyAlignment="1" applyProtection="1">
      <alignment horizontal="center" vertical="center"/>
      <protection locked="0"/>
    </xf>
    <xf numFmtId="0" fontId="4" fillId="14" borderId="3" xfId="15" applyFont="1" applyFill="1" applyBorder="1" applyAlignment="1">
      <alignment vertical="center"/>
    </xf>
    <xf numFmtId="3" fontId="10" fillId="9" borderId="4" xfId="13" applyNumberFormat="1" applyFont="1" applyBorder="1" applyAlignment="1" applyProtection="1">
      <alignment horizontal="center" vertical="center"/>
      <protection locked="0"/>
    </xf>
    <xf numFmtId="3" fontId="10" fillId="5" borderId="3" xfId="13" applyNumberFormat="1" applyFont="1" applyFill="1" applyBorder="1" applyAlignment="1" applyProtection="1">
      <alignment horizontal="center" vertical="center"/>
      <protection locked="0"/>
    </xf>
    <xf numFmtId="3" fontId="10" fillId="9" borderId="3" xfId="13" applyNumberFormat="1" applyFont="1" applyBorder="1" applyAlignment="1" applyProtection="1">
      <alignment horizontal="center" vertical="center"/>
      <protection locked="0"/>
    </xf>
    <xf numFmtId="3" fontId="10" fillId="9" borderId="0" xfId="13" applyNumberFormat="1" applyFont="1" applyBorder="1" applyAlignment="1" applyProtection="1">
      <alignment horizontal="center" vertical="center"/>
      <protection locked="0"/>
    </xf>
    <xf numFmtId="0" fontId="4" fillId="8" borderId="4" xfId="2" applyFont="1" applyFill="1" applyBorder="1" applyAlignment="1">
      <alignment horizontal="left" vertical="center"/>
    </xf>
    <xf numFmtId="167" fontId="10" fillId="14" borderId="3" xfId="16" applyNumberFormat="1" applyFont="1" applyFill="1" applyBorder="1" applyAlignment="1" applyProtection="1">
      <alignment horizontal="center" vertical="center"/>
      <protection locked="0"/>
    </xf>
    <xf numFmtId="3" fontId="10" fillId="15" borderId="3" xfId="13" applyNumberFormat="1" applyFont="1" applyFill="1" applyBorder="1" applyAlignment="1" applyProtection="1">
      <alignment horizontal="center" vertical="center"/>
      <protection locked="0"/>
    </xf>
    <xf numFmtId="3" fontId="10" fillId="15" borderId="0" xfId="13" applyNumberFormat="1" applyFont="1" applyFill="1" applyBorder="1" applyAlignment="1" applyProtection="1">
      <alignment horizontal="center" vertical="center"/>
      <protection locked="0"/>
    </xf>
    <xf numFmtId="0" fontId="8" fillId="0" borderId="0" xfId="15" applyFont="1"/>
    <xf numFmtId="0" fontId="10" fillId="0" borderId="0" xfId="18" applyFont="1"/>
    <xf numFmtId="0" fontId="4" fillId="3" borderId="4" xfId="16" applyNumberFormat="1" applyFont="1" applyFill="1" applyBorder="1" applyAlignment="1" applyProtection="1">
      <alignment horizontal="left" vertical="center"/>
      <protection locked="0"/>
    </xf>
    <xf numFmtId="0" fontId="4" fillId="3" borderId="3" xfId="15" applyFont="1" applyFill="1" applyBorder="1" applyAlignment="1">
      <alignment vertical="center"/>
    </xf>
    <xf numFmtId="3" fontId="10" fillId="15" borderId="4" xfId="13" applyNumberFormat="1" applyFont="1" applyFill="1" applyBorder="1" applyAlignment="1" applyProtection="1">
      <alignment horizontal="center" vertical="center"/>
      <protection locked="0"/>
    </xf>
    <xf numFmtId="3" fontId="10" fillId="15" borderId="22" xfId="13" applyNumberFormat="1" applyFont="1" applyFill="1" applyBorder="1" applyAlignment="1" applyProtection="1">
      <alignment horizontal="center" vertical="center"/>
      <protection locked="0"/>
    </xf>
    <xf numFmtId="3" fontId="10" fillId="15" borderId="19" xfId="13" applyNumberFormat="1" applyFont="1" applyFill="1" applyBorder="1" applyAlignment="1" applyProtection="1">
      <alignment horizontal="center" vertical="center"/>
      <protection locked="0"/>
    </xf>
    <xf numFmtId="0" fontId="4" fillId="14" borderId="4" xfId="16" applyNumberFormat="1" applyFont="1" applyFill="1" applyBorder="1" applyAlignment="1" applyProtection="1">
      <alignment horizontal="left" vertical="center"/>
      <protection locked="0"/>
    </xf>
    <xf numFmtId="0" fontId="10" fillId="9" borderId="23" xfId="12" applyFont="1" applyBorder="1" applyAlignment="1" applyProtection="1">
      <alignment horizontal="left" vertical="center"/>
      <protection locked="0"/>
    </xf>
    <xf numFmtId="167" fontId="4" fillId="0" borderId="0" xfId="16" applyNumberFormat="1" applyFont="1" applyAlignment="1">
      <alignment horizontal="center"/>
    </xf>
    <xf numFmtId="3" fontId="4" fillId="10" borderId="15" xfId="12" applyNumberFormat="1" applyFont="1" applyFill="1" applyBorder="1" applyAlignment="1" applyProtection="1">
      <alignment horizontal="center" vertical="center"/>
      <protection locked="0"/>
    </xf>
    <xf numFmtId="3" fontId="4" fillId="10" borderId="16" xfId="12" applyNumberFormat="1" applyFont="1" applyFill="1" applyBorder="1" applyAlignment="1" applyProtection="1">
      <alignment horizontal="center" vertical="center"/>
      <protection locked="0"/>
    </xf>
    <xf numFmtId="3" fontId="4" fillId="10" borderId="17" xfId="12" applyNumberFormat="1" applyFont="1" applyFill="1" applyBorder="1" applyAlignment="1" applyProtection="1">
      <alignment horizontal="center" vertical="center"/>
      <protection locked="0"/>
    </xf>
    <xf numFmtId="0" fontId="6" fillId="3" borderId="3" xfId="15" applyFont="1" applyFill="1" applyBorder="1" applyAlignment="1">
      <alignment vertical="center" wrapText="1"/>
    </xf>
    <xf numFmtId="3" fontId="12" fillId="7" borderId="20" xfId="12" applyNumberFormat="1" applyFont="1" applyFill="1" applyBorder="1" applyAlignment="1" applyProtection="1">
      <alignment horizontal="left" vertical="center"/>
      <protection locked="0"/>
    </xf>
    <xf numFmtId="167" fontId="12" fillId="7" borderId="18" xfId="16" applyNumberFormat="1" applyFont="1" applyFill="1" applyBorder="1" applyAlignment="1" applyProtection="1">
      <alignment horizontal="center" vertical="center"/>
      <protection locked="0"/>
    </xf>
    <xf numFmtId="3" fontId="12" fillId="7" borderId="18" xfId="14" applyNumberFormat="1" applyFont="1" applyFill="1" applyBorder="1" applyAlignment="1" applyProtection="1">
      <alignment horizontal="center" vertical="center"/>
      <protection locked="0"/>
    </xf>
    <xf numFmtId="3" fontId="12" fillId="7" borderId="17" xfId="16" applyNumberFormat="1" applyFont="1" applyFill="1" applyBorder="1" applyAlignment="1" applyProtection="1">
      <alignment horizontal="center" vertical="center"/>
      <protection locked="0"/>
    </xf>
    <xf numFmtId="3" fontId="12" fillId="7" borderId="15" xfId="14" applyNumberFormat="1" applyFont="1" applyFill="1" applyBorder="1" applyAlignment="1" applyProtection="1">
      <alignment horizontal="center" vertical="center"/>
      <protection locked="0"/>
    </xf>
    <xf numFmtId="3" fontId="12" fillId="7" borderId="16" xfId="12" applyNumberFormat="1" applyFont="1" applyFill="1" applyBorder="1" applyAlignment="1" applyProtection="1">
      <alignment horizontal="center" vertical="center"/>
      <protection locked="0"/>
    </xf>
    <xf numFmtId="3" fontId="12" fillId="7" borderId="17" xfId="12" applyNumberFormat="1" applyFont="1" applyFill="1" applyBorder="1" applyAlignment="1" applyProtection="1">
      <alignment horizontal="center" vertical="center"/>
      <protection locked="0"/>
    </xf>
    <xf numFmtId="3" fontId="12" fillId="7" borderId="16" xfId="14" applyNumberFormat="1" applyFont="1" applyFill="1" applyBorder="1" applyAlignment="1" applyProtection="1">
      <alignment horizontal="center" vertical="center"/>
      <protection locked="0"/>
    </xf>
    <xf numFmtId="3" fontId="17" fillId="7" borderId="20" xfId="12" applyNumberFormat="1" applyFont="1" applyFill="1" applyBorder="1" applyAlignment="1" applyProtection="1">
      <alignment horizontal="left" vertical="center"/>
      <protection locked="0"/>
    </xf>
    <xf numFmtId="167" fontId="17" fillId="7" borderId="18" xfId="16" applyNumberFormat="1" applyFont="1" applyFill="1" applyBorder="1" applyAlignment="1" applyProtection="1">
      <alignment horizontal="center" vertical="center"/>
      <protection locked="0"/>
    </xf>
    <xf numFmtId="167" fontId="17" fillId="7" borderId="17" xfId="16" applyNumberFormat="1" applyFont="1" applyFill="1" applyBorder="1" applyAlignment="1" applyProtection="1">
      <alignment horizontal="center" vertical="center"/>
      <protection locked="0"/>
    </xf>
    <xf numFmtId="167" fontId="17" fillId="7" borderId="16" xfId="12" applyNumberFormat="1" applyFont="1" applyFill="1" applyBorder="1" applyAlignment="1" applyProtection="1">
      <alignment horizontal="center" vertical="center"/>
      <protection locked="0"/>
    </xf>
    <xf numFmtId="167" fontId="17" fillId="7" borderId="17" xfId="12" applyNumberFormat="1" applyFont="1" applyFill="1" applyBorder="1" applyAlignment="1" applyProtection="1">
      <alignment horizontal="center" vertical="center"/>
      <protection locked="0"/>
    </xf>
    <xf numFmtId="167" fontId="4" fillId="3" borderId="18" xfId="16" applyNumberFormat="1" applyFont="1" applyFill="1" applyBorder="1" applyAlignment="1" applyProtection="1">
      <alignment horizontal="center" vertical="center"/>
      <protection locked="0"/>
    </xf>
    <xf numFmtId="167" fontId="17" fillId="7" borderId="18" xfId="12" applyNumberFormat="1" applyFont="1" applyFill="1" applyBorder="1" applyAlignment="1" applyProtection="1">
      <alignment horizontal="center" vertical="center"/>
      <protection locked="0"/>
    </xf>
    <xf numFmtId="167" fontId="17" fillId="7" borderId="15" xfId="12" applyNumberFormat="1" applyFont="1" applyFill="1" applyBorder="1" applyAlignment="1" applyProtection="1">
      <alignment horizontal="center" vertical="center"/>
      <protection locked="0"/>
    </xf>
    <xf numFmtId="0" fontId="12" fillId="3" borderId="6" xfId="2" applyFont="1" applyFill="1" applyBorder="1" applyAlignment="1">
      <alignment horizontal="right"/>
    </xf>
    <xf numFmtId="0" fontId="15" fillId="0" borderId="0" xfId="8" applyFont="1" applyAlignment="1">
      <alignment horizontal="left"/>
    </xf>
    <xf numFmtId="0" fontId="6" fillId="3" borderId="3" xfId="15" applyFont="1" applyFill="1" applyBorder="1" applyAlignment="1">
      <alignment vertical="center"/>
    </xf>
    <xf numFmtId="3" fontId="12" fillId="16" borderId="18" xfId="12" applyNumberFormat="1" applyFont="1" applyFill="1" applyBorder="1" applyAlignment="1" applyProtection="1">
      <alignment horizontal="center" vertical="center"/>
      <protection locked="0"/>
    </xf>
    <xf numFmtId="3" fontId="12" fillId="16" borderId="17" xfId="16" applyNumberFormat="1" applyFont="1" applyFill="1" applyBorder="1" applyAlignment="1" applyProtection="1">
      <alignment horizontal="center" vertical="center"/>
      <protection locked="0"/>
    </xf>
    <xf numFmtId="3" fontId="12" fillId="16" borderId="16" xfId="12" applyNumberFormat="1" applyFont="1" applyFill="1" applyBorder="1" applyAlignment="1" applyProtection="1">
      <alignment horizontal="center" vertical="center"/>
      <protection locked="0"/>
    </xf>
    <xf numFmtId="3" fontId="12" fillId="16" borderId="17" xfId="12" applyNumberFormat="1" applyFont="1" applyFill="1" applyBorder="1" applyAlignment="1" applyProtection="1">
      <alignment horizontal="center" vertical="center"/>
      <protection locked="0"/>
    </xf>
    <xf numFmtId="3" fontId="12" fillId="16" borderId="15" xfId="14" applyNumberFormat="1" applyFont="1" applyFill="1" applyBorder="1" applyAlignment="1" applyProtection="1">
      <alignment horizontal="center" vertical="center"/>
      <protection locked="0"/>
    </xf>
    <xf numFmtId="3" fontId="12" fillId="16" borderId="16" xfId="14" applyNumberFormat="1" applyFont="1" applyFill="1" applyBorder="1" applyAlignment="1" applyProtection="1">
      <alignment horizontal="center" vertical="center"/>
      <protection locked="0"/>
    </xf>
    <xf numFmtId="3" fontId="10" fillId="3" borderId="0" xfId="16" applyNumberFormat="1" applyFont="1" applyFill="1" applyBorder="1" applyAlignment="1" applyProtection="1">
      <alignment horizontal="center" vertical="center"/>
      <protection locked="0"/>
    </xf>
    <xf numFmtId="3" fontId="12" fillId="7" borderId="18" xfId="12" applyNumberFormat="1" applyFont="1" applyFill="1" applyBorder="1" applyAlignment="1" applyProtection="1">
      <alignment horizontal="center" vertical="center"/>
      <protection locked="0"/>
    </xf>
    <xf numFmtId="9" fontId="17" fillId="7" borderId="18" xfId="16" applyFont="1" applyFill="1" applyBorder="1" applyAlignment="1" applyProtection="1">
      <alignment horizontal="center" vertical="center"/>
      <protection locked="0"/>
    </xf>
    <xf numFmtId="9" fontId="17" fillId="7" borderId="17" xfId="16" applyFont="1" applyFill="1" applyBorder="1" applyAlignment="1" applyProtection="1">
      <alignment horizontal="center" vertical="center"/>
      <protection locked="0"/>
    </xf>
    <xf numFmtId="9" fontId="17" fillId="7" borderId="16" xfId="16" applyFont="1" applyFill="1" applyBorder="1" applyAlignment="1" applyProtection="1">
      <alignment horizontal="center" vertical="center"/>
      <protection locked="0"/>
    </xf>
    <xf numFmtId="9" fontId="17" fillId="7" borderId="15" xfId="16" applyFont="1" applyFill="1" applyBorder="1" applyAlignment="1" applyProtection="1">
      <alignment horizontal="center" vertical="center"/>
      <protection locked="0"/>
    </xf>
    <xf numFmtId="0" fontId="28" fillId="3" borderId="0" xfId="15" applyFont="1" applyFill="1"/>
    <xf numFmtId="168" fontId="17" fillId="7" borderId="0" xfId="5" applyNumberFormat="1" applyFont="1" applyFill="1" applyAlignment="1">
      <alignment horizontal="left" vertical="center"/>
    </xf>
    <xf numFmtId="168" fontId="12" fillId="7" borderId="3" xfId="5" applyNumberFormat="1" applyFont="1" applyFill="1" applyBorder="1" applyAlignment="1">
      <alignment horizontal="center" vertical="center"/>
    </xf>
    <xf numFmtId="3" fontId="12" fillId="7" borderId="27" xfId="5" applyNumberFormat="1" applyFont="1" applyFill="1" applyBorder="1" applyAlignment="1">
      <alignment horizontal="center" vertical="center"/>
    </xf>
    <xf numFmtId="3" fontId="12" fillId="17" borderId="27" xfId="5" applyNumberFormat="1" applyFont="1" applyFill="1" applyBorder="1" applyAlignment="1">
      <alignment horizontal="center" vertical="center"/>
    </xf>
    <xf numFmtId="3" fontId="12" fillId="17" borderId="3" xfId="5" applyNumberFormat="1" applyFont="1" applyFill="1" applyBorder="1" applyAlignment="1">
      <alignment horizontal="center" vertical="center"/>
    </xf>
    <xf numFmtId="3" fontId="12" fillId="17" borderId="0" xfId="5" applyNumberFormat="1" applyFont="1" applyFill="1" applyAlignment="1">
      <alignment horizontal="center" vertical="center"/>
    </xf>
    <xf numFmtId="0" fontId="16" fillId="3" borderId="0" xfId="15" applyFont="1" applyFill="1"/>
    <xf numFmtId="0" fontId="3" fillId="3" borderId="0" xfId="15" applyFont="1" applyFill="1"/>
    <xf numFmtId="0" fontId="15" fillId="3" borderId="0" xfId="2" applyFont="1" applyFill="1" applyAlignment="1">
      <alignment horizontal="right"/>
    </xf>
    <xf numFmtId="0" fontId="10" fillId="3" borderId="0" xfId="8" applyFont="1" applyFill="1"/>
    <xf numFmtId="0" fontId="15" fillId="3" borderId="0" xfId="8" applyFont="1" applyFill="1" applyAlignment="1">
      <alignment horizontal="left"/>
    </xf>
    <xf numFmtId="0" fontId="15" fillId="3" borderId="0" xfId="2" applyFont="1" applyFill="1"/>
    <xf numFmtId="0" fontId="10" fillId="5" borderId="0" xfId="19" applyNumberFormat="1" applyFont="1" applyFill="1" applyBorder="1" applyAlignment="1">
      <alignment horizontal="left" vertical="center"/>
    </xf>
    <xf numFmtId="3" fontId="11" fillId="3" borderId="0" xfId="2" applyNumberFormat="1" applyFont="1" applyFill="1" applyAlignment="1">
      <alignment horizontal="center" vertical="center"/>
    </xf>
    <xf numFmtId="0" fontId="4" fillId="3" borderId="0" xfId="15" applyFont="1" applyFill="1" applyAlignment="1">
      <alignment vertical="center"/>
    </xf>
    <xf numFmtId="0" fontId="10" fillId="5" borderId="0" xfId="16" applyNumberFormat="1" applyFont="1" applyFill="1" applyBorder="1" applyAlignment="1">
      <alignment horizontal="left" vertical="center"/>
    </xf>
    <xf numFmtId="0" fontId="12" fillId="7" borderId="0" xfId="5" applyFont="1" applyFill="1" applyAlignment="1">
      <alignment horizontal="left" vertical="center"/>
    </xf>
    <xf numFmtId="167" fontId="12" fillId="7" borderId="0" xfId="16" applyNumberFormat="1" applyFont="1" applyFill="1" applyBorder="1" applyAlignment="1">
      <alignment horizontal="center" vertical="center"/>
    </xf>
    <xf numFmtId="0" fontId="4" fillId="0" borderId="0" xfId="20" applyFont="1"/>
    <xf numFmtId="37" fontId="11" fillId="0" borderId="0" xfId="21" applyNumberFormat="1" applyFont="1" applyFill="1" applyAlignment="1">
      <alignment horizontal="center" vertical="center"/>
    </xf>
    <xf numFmtId="37" fontId="4" fillId="0" borderId="0" xfId="21" applyNumberFormat="1" applyFont="1" applyFill="1" applyAlignment="1">
      <alignment horizontal="center" vertical="center"/>
    </xf>
    <xf numFmtId="0" fontId="11" fillId="0" borderId="0" xfId="2" applyFont="1" applyAlignment="1">
      <alignment horizontal="left" vertical="center"/>
    </xf>
    <xf numFmtId="3" fontId="11" fillId="0" borderId="0" xfId="2" applyNumberFormat="1" applyFont="1" applyAlignment="1">
      <alignment horizontal="center" vertical="center"/>
    </xf>
    <xf numFmtId="3" fontId="11" fillId="0" borderId="21" xfId="2" applyNumberFormat="1" applyFont="1" applyBorder="1" applyAlignment="1">
      <alignment horizontal="center" vertical="center"/>
    </xf>
    <xf numFmtId="0" fontId="11" fillId="0" borderId="0" xfId="21" applyFont="1" applyFill="1" applyAlignment="1">
      <alignment vertical="center"/>
    </xf>
    <xf numFmtId="37" fontId="10" fillId="0" borderId="0" xfId="21" applyNumberFormat="1" applyFont="1" applyFill="1" applyAlignment="1">
      <alignment horizontal="left" vertical="center"/>
    </xf>
    <xf numFmtId="0" fontId="10" fillId="9" borderId="0" xfId="13" applyNumberFormat="1" applyFont="1" applyBorder="1" applyAlignment="1" applyProtection="1">
      <alignment horizontal="left" vertical="center"/>
      <protection locked="0"/>
    </xf>
    <xf numFmtId="0" fontId="4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left" vertical="center"/>
    </xf>
    <xf numFmtId="3" fontId="10" fillId="0" borderId="0" xfId="2" applyNumberFormat="1" applyFont="1" applyAlignment="1">
      <alignment horizontal="center" vertical="center"/>
    </xf>
    <xf numFmtId="3" fontId="10" fillId="0" borderId="21" xfId="2" applyNumberFormat="1" applyFont="1" applyBorder="1" applyAlignment="1">
      <alignment horizontal="center" vertical="center"/>
    </xf>
    <xf numFmtId="0" fontId="10" fillId="0" borderId="0" xfId="2" applyFont="1" applyAlignment="1">
      <alignment vertical="center"/>
    </xf>
    <xf numFmtId="3" fontId="10" fillId="15" borderId="21" xfId="13" applyNumberFormat="1" applyFont="1" applyFill="1" applyBorder="1" applyAlignment="1" applyProtection="1">
      <alignment horizontal="center" vertical="center"/>
      <protection locked="0"/>
    </xf>
    <xf numFmtId="3" fontId="10" fillId="9" borderId="21" xfId="13" applyNumberFormat="1" applyFont="1" applyBorder="1" applyAlignment="1" applyProtection="1">
      <alignment horizontal="center" vertical="center"/>
      <protection locked="0"/>
    </xf>
    <xf numFmtId="3" fontId="10" fillId="19" borderId="0" xfId="13" applyNumberFormat="1" applyFont="1" applyFill="1" applyBorder="1" applyAlignment="1" applyProtection="1">
      <alignment horizontal="center" vertical="center"/>
      <protection locked="0"/>
    </xf>
    <xf numFmtId="0" fontId="31" fillId="0" borderId="0" xfId="8" applyFont="1" applyAlignment="1">
      <alignment horizontal="left"/>
    </xf>
    <xf numFmtId="3" fontId="10" fillId="3" borderId="0" xfId="2" applyNumberFormat="1" applyFont="1" applyFill="1" applyAlignment="1" applyProtection="1">
      <alignment horizontal="center" vertical="center"/>
      <protection locked="0"/>
    </xf>
    <xf numFmtId="0" fontId="10" fillId="0" borderId="0" xfId="13" applyNumberFormat="1" applyFont="1" applyFill="1" applyBorder="1" applyAlignment="1" applyProtection="1">
      <alignment horizontal="left" vertical="center"/>
      <protection locked="0"/>
    </xf>
    <xf numFmtId="0" fontId="3" fillId="0" borderId="0" xfId="15" applyFont="1"/>
    <xf numFmtId="168" fontId="12" fillId="7" borderId="21" xfId="5" applyNumberFormat="1" applyFont="1" applyFill="1" applyBorder="1" applyAlignment="1">
      <alignment horizontal="left" vertical="center"/>
    </xf>
    <xf numFmtId="3" fontId="12" fillId="7" borderId="28" xfId="5" applyNumberFormat="1" applyFont="1" applyFill="1" applyBorder="1" applyAlignment="1">
      <alignment horizontal="center" vertical="center"/>
    </xf>
    <xf numFmtId="0" fontId="10" fillId="5" borderId="0" xfId="16" applyNumberFormat="1" applyFont="1" applyFill="1" applyBorder="1" applyAlignment="1" applyProtection="1">
      <alignment horizontal="left" vertical="center"/>
      <protection locked="0"/>
    </xf>
    <xf numFmtId="167" fontId="5" fillId="3" borderId="20" xfId="16" applyNumberFormat="1" applyFont="1" applyFill="1" applyBorder="1" applyAlignment="1" applyProtection="1">
      <alignment horizontal="center" vertical="center" wrapText="1"/>
      <protection locked="0"/>
    </xf>
    <xf numFmtId="167" fontId="10" fillId="0" borderId="28" xfId="16" applyNumberFormat="1" applyFont="1" applyBorder="1" applyAlignment="1" applyProtection="1">
      <alignment horizontal="center" vertical="center"/>
      <protection locked="0"/>
    </xf>
    <xf numFmtId="169" fontId="17" fillId="0" borderId="21" xfId="15" applyNumberFormat="1" applyFont="1" applyBorder="1" applyAlignment="1">
      <alignment horizontal="left" vertical="center" indent="3"/>
    </xf>
    <xf numFmtId="169" fontId="17" fillId="0" borderId="0" xfId="15" applyNumberFormat="1" applyFont="1" applyAlignment="1">
      <alignment horizontal="left" vertical="top" indent="1"/>
    </xf>
    <xf numFmtId="3" fontId="12" fillId="3" borderId="20" xfId="23" applyNumberFormat="1" applyFont="1" applyFill="1" applyBorder="1" applyAlignment="1">
      <alignment horizontal="center" vertical="center"/>
    </xf>
    <xf numFmtId="3" fontId="17" fillId="0" borderId="21" xfId="12" applyNumberFormat="1" applyFont="1" applyFill="1" applyBorder="1" applyAlignment="1" applyProtection="1">
      <alignment horizontal="center" vertical="center"/>
      <protection locked="0"/>
    </xf>
    <xf numFmtId="3" fontId="17" fillId="0" borderId="0" xfId="12" applyNumberFormat="1" applyFont="1" applyFill="1" applyBorder="1" applyAlignment="1" applyProtection="1">
      <alignment horizontal="center" vertical="center"/>
      <protection locked="0"/>
    </xf>
    <xf numFmtId="3" fontId="17" fillId="0" borderId="20" xfId="12" applyNumberFormat="1" applyFont="1" applyFill="1" applyBorder="1" applyAlignment="1" applyProtection="1">
      <alignment horizontal="center" vertical="center"/>
      <protection locked="0"/>
    </xf>
    <xf numFmtId="3" fontId="17" fillId="0" borderId="28" xfId="12" applyNumberFormat="1" applyFont="1" applyFill="1" applyBorder="1" applyAlignment="1" applyProtection="1">
      <alignment horizontal="center" vertical="center"/>
      <protection locked="0"/>
    </xf>
    <xf numFmtId="168" fontId="17" fillId="0" borderId="21" xfId="12" applyNumberFormat="1" applyFont="1" applyFill="1" applyBorder="1" applyAlignment="1" applyProtection="1">
      <alignment horizontal="center" vertical="center"/>
      <protection locked="0"/>
    </xf>
    <xf numFmtId="168" fontId="17" fillId="0" borderId="21" xfId="23" applyFont="1" applyFill="1" applyBorder="1" applyAlignment="1">
      <alignment horizontal="left" vertical="center" indent="2"/>
    </xf>
    <xf numFmtId="168" fontId="17" fillId="0" borderId="0" xfId="12" applyNumberFormat="1" applyFont="1" applyFill="1" applyBorder="1" applyAlignment="1" applyProtection="1">
      <alignment horizontal="center" vertical="center"/>
      <protection locked="0"/>
    </xf>
    <xf numFmtId="168" fontId="17" fillId="0" borderId="0" xfId="23" applyFont="1" applyFill="1" applyBorder="1">
      <alignment vertical="center"/>
    </xf>
    <xf numFmtId="0" fontId="12" fillId="4" borderId="28" xfId="5" applyFont="1" applyFill="1" applyBorder="1" applyAlignment="1">
      <alignment horizontal="center" vertical="center" wrapText="1"/>
    </xf>
    <xf numFmtId="0" fontId="4" fillId="0" borderId="21" xfId="15" applyFont="1" applyBorder="1"/>
    <xf numFmtId="0" fontId="21" fillId="0" borderId="0" xfId="15" applyFont="1"/>
    <xf numFmtId="0" fontId="25" fillId="0" borderId="0" xfId="8" applyFont="1" applyAlignment="1">
      <alignment horizontal="left"/>
    </xf>
    <xf numFmtId="3" fontId="11" fillId="7" borderId="21" xfId="5" applyNumberFormat="1" applyFont="1" applyFill="1" applyBorder="1" applyAlignment="1">
      <alignment horizontal="center" vertical="center"/>
    </xf>
    <xf numFmtId="3" fontId="11" fillId="7" borderId="20" xfId="5" applyNumberFormat="1" applyFont="1" applyFill="1" applyBorder="1" applyAlignment="1">
      <alignment horizontal="center" vertical="center"/>
    </xf>
    <xf numFmtId="3" fontId="11" fillId="7" borderId="0" xfId="5" applyNumberFormat="1" applyFont="1" applyFill="1" applyAlignment="1">
      <alignment horizontal="center" vertical="center"/>
    </xf>
    <xf numFmtId="3" fontId="11" fillId="7" borderId="28" xfId="5" applyNumberFormat="1" applyFont="1" applyFill="1" applyBorder="1" applyAlignment="1">
      <alignment horizontal="center" vertical="center"/>
    </xf>
    <xf numFmtId="167" fontId="10" fillId="3" borderId="20" xfId="16" applyNumberFormat="1" applyFont="1" applyFill="1" applyBorder="1" applyAlignment="1" applyProtection="1">
      <alignment horizontal="center" vertical="center" wrapText="1"/>
      <protection locked="0"/>
    </xf>
    <xf numFmtId="167" fontId="10" fillId="3" borderId="20" xfId="16" applyNumberFormat="1" applyFont="1" applyFill="1" applyBorder="1" applyAlignment="1" applyProtection="1">
      <alignment horizontal="center" vertical="center"/>
      <protection locked="0"/>
    </xf>
    <xf numFmtId="167" fontId="10" fillId="3" borderId="28" xfId="16" applyNumberFormat="1" applyFont="1" applyFill="1" applyBorder="1" applyAlignment="1" applyProtection="1">
      <alignment horizontal="center" vertical="center"/>
      <protection locked="0"/>
    </xf>
    <xf numFmtId="3" fontId="10" fillId="3" borderId="21" xfId="12" applyNumberFormat="1" applyFont="1" applyFill="1" applyBorder="1" applyAlignment="1" applyProtection="1">
      <alignment horizontal="center" vertical="center"/>
      <protection locked="0"/>
    </xf>
    <xf numFmtId="3" fontId="10" fillId="3" borderId="20" xfId="12" applyNumberFormat="1" applyFont="1" applyFill="1" applyBorder="1" applyAlignment="1" applyProtection="1">
      <alignment horizontal="center" vertical="center"/>
      <protection locked="0"/>
    </xf>
    <xf numFmtId="3" fontId="10" fillId="3" borderId="28" xfId="12" applyNumberFormat="1" applyFont="1" applyFill="1" applyBorder="1" applyAlignment="1" applyProtection="1">
      <alignment horizontal="center" vertical="center"/>
      <protection locked="0"/>
    </xf>
    <xf numFmtId="3" fontId="10" fillId="0" borderId="21" xfId="12" applyNumberFormat="1" applyFont="1" applyFill="1" applyBorder="1" applyAlignment="1" applyProtection="1">
      <alignment horizontal="center" vertical="center"/>
      <protection locked="0"/>
    </xf>
    <xf numFmtId="3" fontId="10" fillId="0" borderId="20" xfId="12" applyNumberFormat="1" applyFont="1" applyFill="1" applyBorder="1" applyAlignment="1" applyProtection="1">
      <alignment horizontal="center" vertical="center"/>
      <protection locked="0"/>
    </xf>
    <xf numFmtId="3" fontId="10" fillId="0" borderId="0" xfId="12" applyNumberFormat="1" applyFont="1" applyFill="1" applyBorder="1" applyAlignment="1" applyProtection="1">
      <alignment horizontal="center" vertical="center"/>
      <protection locked="0"/>
    </xf>
    <xf numFmtId="3" fontId="10" fillId="0" borderId="28" xfId="12" applyNumberFormat="1" applyFont="1" applyFill="1" applyBorder="1" applyAlignment="1" applyProtection="1">
      <alignment horizontal="center" vertical="center"/>
      <protection locked="0"/>
    </xf>
    <xf numFmtId="0" fontId="4" fillId="0" borderId="0" xfId="15" applyFont="1" applyAlignment="1">
      <alignment horizontal="right"/>
    </xf>
    <xf numFmtId="167" fontId="12" fillId="7" borderId="31" xfId="16" applyNumberFormat="1" applyFont="1" applyFill="1" applyBorder="1" applyAlignment="1">
      <alignment horizontal="center" vertical="center"/>
    </xf>
    <xf numFmtId="168" fontId="12" fillId="7" borderId="32" xfId="5" applyNumberFormat="1" applyFont="1" applyFill="1" applyBorder="1" applyAlignment="1">
      <alignment horizontal="left" vertical="center"/>
    </xf>
    <xf numFmtId="167" fontId="10" fillId="12" borderId="33" xfId="5" applyNumberFormat="1" applyFont="1" applyFill="1" applyBorder="1" applyAlignment="1">
      <alignment horizontal="center" vertical="center"/>
    </xf>
    <xf numFmtId="3" fontId="10" fillId="12" borderId="34" xfId="15" applyNumberFormat="1" applyFont="1" applyFill="1" applyBorder="1" applyAlignment="1" applyProtection="1">
      <alignment horizontal="center" vertical="center" wrapText="1"/>
      <protection locked="0"/>
    </xf>
    <xf numFmtId="3" fontId="10" fillId="5" borderId="35" xfId="15" applyNumberFormat="1" applyFont="1" applyFill="1" applyBorder="1" applyAlignment="1" applyProtection="1">
      <alignment horizontal="center" vertical="center" wrapText="1"/>
      <protection locked="0"/>
    </xf>
    <xf numFmtId="3" fontId="23" fillId="5" borderId="36" xfId="5" applyNumberFormat="1" applyFont="1" applyFill="1" applyBorder="1" applyAlignment="1">
      <alignment horizontal="left" vertical="center"/>
    </xf>
    <xf numFmtId="3" fontId="10" fillId="5" borderId="37" xfId="15" applyNumberFormat="1" applyFont="1" applyFill="1" applyBorder="1" applyAlignment="1" applyProtection="1">
      <alignment horizontal="center" vertical="center" wrapText="1"/>
      <protection locked="0"/>
    </xf>
    <xf numFmtId="9" fontId="10" fillId="5" borderId="34" xfId="16" applyFont="1" applyFill="1" applyBorder="1" applyAlignment="1" applyProtection="1">
      <alignment horizontal="center" vertical="center" wrapText="1"/>
      <protection locked="0"/>
    </xf>
    <xf numFmtId="167" fontId="10" fillId="12" borderId="38" xfId="5" applyNumberFormat="1" applyFont="1" applyFill="1" applyBorder="1" applyAlignment="1">
      <alignment horizontal="center" vertical="center"/>
    </xf>
    <xf numFmtId="3" fontId="10" fillId="12" borderId="39" xfId="15" applyNumberFormat="1" applyFont="1" applyFill="1" applyBorder="1" applyAlignment="1" applyProtection="1">
      <alignment horizontal="center" vertical="center" wrapText="1"/>
      <protection locked="0"/>
    </xf>
    <xf numFmtId="3" fontId="10" fillId="5" borderId="40" xfId="15" applyNumberFormat="1" applyFont="1" applyFill="1" applyBorder="1" applyAlignment="1" applyProtection="1">
      <alignment horizontal="center" vertical="center" wrapText="1"/>
      <protection locked="0"/>
    </xf>
    <xf numFmtId="3" fontId="23" fillId="5" borderId="32" xfId="5" applyNumberFormat="1" applyFont="1" applyFill="1" applyBorder="1" applyAlignment="1">
      <alignment horizontal="left" vertical="center"/>
    </xf>
    <xf numFmtId="3" fontId="10" fillId="5" borderId="41" xfId="15" applyNumberFormat="1" applyFont="1" applyFill="1" applyBorder="1" applyAlignment="1" applyProtection="1">
      <alignment horizontal="center" vertical="center" wrapText="1"/>
      <protection locked="0"/>
    </xf>
    <xf numFmtId="9" fontId="10" fillId="5" borderId="39" xfId="16" applyFont="1" applyFill="1" applyBorder="1" applyAlignment="1" applyProtection="1">
      <alignment horizontal="center" vertical="center" wrapText="1"/>
      <protection locked="0"/>
    </xf>
    <xf numFmtId="0" fontId="12" fillId="4" borderId="42" xfId="5" applyFont="1" applyFill="1" applyBorder="1" applyAlignment="1">
      <alignment horizontal="center" vertical="center" wrapText="1"/>
    </xf>
    <xf numFmtId="0" fontId="4" fillId="14" borderId="0" xfId="15" applyFont="1" applyFill="1" applyProtection="1">
      <protection locked="0"/>
    </xf>
    <xf numFmtId="0" fontId="12" fillId="14" borderId="0" xfId="2" applyFont="1" applyFill="1"/>
    <xf numFmtId="167" fontId="12" fillId="7" borderId="21" xfId="16" applyNumberFormat="1" applyFont="1" applyFill="1" applyBorder="1" applyAlignment="1">
      <alignment horizontal="center" vertical="center"/>
    </xf>
    <xf numFmtId="3" fontId="12" fillId="7" borderId="0" xfId="5" applyNumberFormat="1" applyFont="1" applyFill="1" applyAlignment="1">
      <alignment horizontal="left" vertical="top"/>
    </xf>
    <xf numFmtId="0" fontId="17" fillId="5" borderId="0" xfId="26" applyFont="1" applyFill="1" applyAlignment="1">
      <alignment horizontal="left"/>
    </xf>
    <xf numFmtId="167" fontId="17" fillId="14" borderId="21" xfId="27" applyNumberFormat="1" applyFont="1" applyFill="1" applyBorder="1" applyAlignment="1" applyProtection="1">
      <alignment horizontal="center"/>
    </xf>
    <xf numFmtId="3" fontId="17" fillId="14" borderId="0" xfId="26" applyNumberFormat="1" applyFont="1" applyFill="1" applyAlignment="1">
      <alignment horizontal="center"/>
    </xf>
    <xf numFmtId="3" fontId="17" fillId="5" borderId="3" xfId="26" applyNumberFormat="1" applyFont="1" applyFill="1" applyBorder="1" applyAlignment="1" applyProtection="1">
      <alignment horizontal="center"/>
      <protection locked="0"/>
    </xf>
    <xf numFmtId="3" fontId="17" fillId="5" borderId="0" xfId="26" applyNumberFormat="1" applyFont="1" applyFill="1" applyAlignment="1" applyProtection="1">
      <alignment horizontal="center"/>
      <protection locked="0"/>
    </xf>
    <xf numFmtId="170" fontId="17" fillId="5" borderId="3" xfId="26" applyNumberFormat="1" applyFont="1" applyFill="1" applyBorder="1"/>
    <xf numFmtId="170" fontId="17" fillId="5" borderId="0" xfId="26" applyNumberFormat="1" applyFont="1" applyFill="1" applyAlignment="1" applyProtection="1">
      <alignment wrapText="1"/>
      <protection locked="0"/>
    </xf>
    <xf numFmtId="14" fontId="12" fillId="7" borderId="3" xfId="5" applyNumberFormat="1" applyFont="1" applyFill="1" applyBorder="1" applyAlignment="1">
      <alignment horizontal="center" vertical="center"/>
    </xf>
    <xf numFmtId="0" fontId="12" fillId="14" borderId="0" xfId="26" applyFont="1" applyFill="1"/>
    <xf numFmtId="170" fontId="12" fillId="14" borderId="21" xfId="26" applyNumberFormat="1" applyFont="1" applyFill="1" applyBorder="1" applyAlignment="1">
      <alignment horizontal="center" vertical="center"/>
    </xf>
    <xf numFmtId="3" fontId="12" fillId="14" borderId="0" xfId="26" applyNumberFormat="1" applyFont="1" applyFill="1" applyAlignment="1">
      <alignment horizontal="center" vertical="center"/>
    </xf>
    <xf numFmtId="3" fontId="12" fillId="14" borderId="3" xfId="26" applyNumberFormat="1" applyFont="1" applyFill="1" applyBorder="1" applyAlignment="1">
      <alignment horizontal="center" vertical="center"/>
    </xf>
    <xf numFmtId="170" fontId="12" fillId="14" borderId="3" xfId="26" applyNumberFormat="1" applyFont="1" applyFill="1" applyBorder="1"/>
    <xf numFmtId="170" fontId="12" fillId="14" borderId="0" xfId="26" applyNumberFormat="1" applyFont="1" applyFill="1"/>
    <xf numFmtId="0" fontId="12" fillId="4" borderId="0" xfId="5" quotePrefix="1" applyFont="1" applyFill="1" applyAlignment="1">
      <alignment horizontal="center" vertical="center" wrapText="1"/>
    </xf>
    <xf numFmtId="0" fontId="17" fillId="14" borderId="0" xfId="2" applyFont="1" applyFill="1"/>
    <xf numFmtId="0" fontId="21" fillId="14" borderId="0" xfId="2" applyFont="1" applyFill="1"/>
    <xf numFmtId="0" fontId="32" fillId="14" borderId="0" xfId="2" applyFont="1" applyFill="1"/>
    <xf numFmtId="0" fontId="10" fillId="14" borderId="0" xfId="8" applyFont="1" applyFill="1"/>
    <xf numFmtId="0" fontId="15" fillId="14" borderId="0" xfId="2" applyFont="1" applyFill="1"/>
    <xf numFmtId="0" fontId="12" fillId="7" borderId="20" xfId="5" applyFont="1" applyFill="1" applyBorder="1" applyAlignment="1">
      <alignment horizontal="center" vertical="center"/>
    </xf>
    <xf numFmtId="0" fontId="17" fillId="3" borderId="20" xfId="26" applyFont="1" applyFill="1" applyBorder="1" applyAlignment="1" applyProtection="1">
      <alignment wrapText="1"/>
      <protection locked="0"/>
    </xf>
    <xf numFmtId="167" fontId="17" fillId="14" borderId="0" xfId="27" applyNumberFormat="1" applyFont="1" applyFill="1" applyBorder="1" applyAlignment="1" applyProtection="1">
      <alignment horizontal="center"/>
    </xf>
    <xf numFmtId="3" fontId="17" fillId="3" borderId="3" xfId="26" applyNumberFormat="1" applyFont="1" applyFill="1" applyBorder="1" applyAlignment="1" applyProtection="1">
      <alignment horizontal="center"/>
      <protection locked="0"/>
    </xf>
    <xf numFmtId="3" fontId="17" fillId="3" borderId="0" xfId="26" applyNumberFormat="1" applyFont="1" applyFill="1" applyAlignment="1" applyProtection="1">
      <alignment horizontal="center"/>
      <protection locked="0"/>
    </xf>
    <xf numFmtId="170" fontId="17" fillId="3" borderId="3" xfId="26" applyNumberFormat="1" applyFont="1" applyFill="1" applyBorder="1"/>
    <xf numFmtId="170" fontId="17" fillId="3" borderId="0" xfId="26" applyNumberFormat="1" applyFont="1" applyFill="1" applyAlignment="1" applyProtection="1">
      <alignment wrapText="1"/>
      <protection locked="0"/>
    </xf>
    <xf numFmtId="0" fontId="12" fillId="14" borderId="20" xfId="26" applyFont="1" applyFill="1" applyBorder="1"/>
    <xf numFmtId="170" fontId="12" fillId="14" borderId="0" xfId="26" applyNumberFormat="1" applyFont="1" applyFill="1" applyAlignment="1">
      <alignment horizontal="center" vertical="center"/>
    </xf>
    <xf numFmtId="0" fontId="3" fillId="21" borderId="0" xfId="15" applyFont="1" applyFill="1"/>
    <xf numFmtId="3" fontId="3" fillId="0" borderId="0" xfId="15" applyNumberFormat="1" applyFont="1"/>
    <xf numFmtId="0" fontId="3" fillId="0" borderId="45" xfId="15" applyFont="1" applyBorder="1"/>
    <xf numFmtId="0" fontId="3" fillId="21" borderId="45" xfId="15" applyFont="1" applyFill="1" applyBorder="1"/>
    <xf numFmtId="3" fontId="3" fillId="0" borderId="45" xfId="15" applyNumberFormat="1" applyFont="1" applyBorder="1"/>
    <xf numFmtId="3" fontId="3" fillId="21" borderId="45" xfId="15" applyNumberFormat="1" applyFont="1" applyFill="1" applyBorder="1"/>
    <xf numFmtId="3" fontId="3" fillId="21" borderId="0" xfId="15" applyNumberFormat="1" applyFont="1" applyFill="1"/>
    <xf numFmtId="0" fontId="3" fillId="0" borderId="0" xfId="15" applyFont="1" applyAlignment="1">
      <alignment wrapText="1"/>
    </xf>
    <xf numFmtId="0" fontId="34" fillId="0" borderId="0" xfId="15" applyFont="1"/>
    <xf numFmtId="0" fontId="28" fillId="0" borderId="0" xfId="15" applyFont="1"/>
    <xf numFmtId="0" fontId="33" fillId="0" borderId="0" xfId="15" applyFont="1"/>
    <xf numFmtId="0" fontId="28" fillId="0" borderId="0" xfId="15" applyFont="1" applyProtection="1">
      <protection locked="0"/>
    </xf>
    <xf numFmtId="4" fontId="28" fillId="0" borderId="50" xfId="31" quotePrefix="1" applyNumberFormat="1" applyFont="1" applyFill="1" applyBorder="1" applyAlignment="1" applyProtection="1">
      <alignment vertical="center"/>
    </xf>
    <xf numFmtId="4" fontId="28" fillId="0" borderId="51" xfId="32" quotePrefix="1" applyNumberFormat="1" applyFont="1" applyFill="1" applyBorder="1" applyAlignment="1" applyProtection="1">
      <alignment vertical="center"/>
    </xf>
    <xf numFmtId="0" fontId="28" fillId="3" borderId="52" xfId="32" quotePrefix="1" applyFont="1" applyFill="1" applyBorder="1" applyAlignment="1">
      <alignment horizontal="left" vertical="center" indent="3"/>
    </xf>
    <xf numFmtId="4" fontId="28" fillId="12" borderId="50" xfId="30" quotePrefix="1" applyNumberFormat="1" applyFont="1" applyFill="1" applyBorder="1" applyAlignment="1" applyProtection="1">
      <alignment vertical="center"/>
    </xf>
    <xf numFmtId="4" fontId="28" fillId="12" borderId="51" xfId="30" quotePrefix="1" applyNumberFormat="1" applyFont="1" applyFill="1" applyBorder="1" applyAlignment="1" applyProtection="1">
      <alignment vertical="center"/>
    </xf>
    <xf numFmtId="0" fontId="28" fillId="12" borderId="52" xfId="30" quotePrefix="1" applyFont="1" applyFill="1" applyBorder="1" applyAlignment="1">
      <alignment horizontal="left" vertical="center" indent="2"/>
    </xf>
    <xf numFmtId="0" fontId="28" fillId="3" borderId="52" xfId="31" quotePrefix="1" applyFont="1" applyFill="1" applyBorder="1" applyAlignment="1">
      <alignment horizontal="left" vertical="center" indent="4"/>
    </xf>
    <xf numFmtId="49" fontId="29" fillId="0" borderId="0" xfId="2" applyNumberFormat="1" applyFont="1"/>
    <xf numFmtId="0" fontId="28" fillId="0" borderId="52" xfId="31" quotePrefix="1" applyFont="1" applyFill="1" applyBorder="1" applyAlignment="1">
      <alignment horizontal="left" vertical="center" indent="4"/>
    </xf>
    <xf numFmtId="0" fontId="28" fillId="0" borderId="52" xfId="32" quotePrefix="1" applyFont="1" applyFill="1" applyBorder="1" applyAlignment="1">
      <alignment horizontal="left" vertical="center" indent="3"/>
    </xf>
    <xf numFmtId="2" fontId="28" fillId="6" borderId="50" xfId="32" quotePrefix="1" applyNumberFormat="1" applyFont="1" applyFill="1" applyBorder="1" applyAlignment="1" applyProtection="1">
      <alignment vertical="center"/>
    </xf>
    <xf numFmtId="4" fontId="28" fillId="6" borderId="51" xfId="30" quotePrefix="1" applyNumberFormat="1" applyFont="1" applyFill="1" applyBorder="1" applyAlignment="1" applyProtection="1">
      <alignment vertical="center"/>
    </xf>
    <xf numFmtId="4" fontId="28" fillId="6" borderId="51" xfId="32" quotePrefix="1" applyNumberFormat="1" applyFont="1" applyFill="1" applyBorder="1" applyAlignment="1" applyProtection="1">
      <alignment vertical="center"/>
    </xf>
    <xf numFmtId="0" fontId="28" fillId="12" borderId="52" xfId="32" quotePrefix="1" applyFont="1" applyFill="1" applyBorder="1" applyAlignment="1" applyProtection="1">
      <alignment horizontal="left" vertical="center" indent="3"/>
    </xf>
    <xf numFmtId="4" fontId="28" fillId="0" borderId="50" xfId="32" quotePrefix="1" applyNumberFormat="1" applyFont="1" applyFill="1" applyBorder="1" applyAlignment="1" applyProtection="1">
      <alignment vertical="center"/>
    </xf>
    <xf numFmtId="4" fontId="28" fillId="6" borderId="50" xfId="32" quotePrefix="1" applyNumberFormat="1" applyFont="1" applyFill="1" applyBorder="1" applyAlignment="1" applyProtection="1">
      <alignment vertical="center"/>
    </xf>
    <xf numFmtId="0" fontId="28" fillId="3" borderId="52" xfId="33" quotePrefix="1" applyFont="1" applyFill="1" applyBorder="1" applyAlignment="1">
      <alignment horizontal="left" vertical="center" indent="5"/>
    </xf>
    <xf numFmtId="0" fontId="28" fillId="12" borderId="52" xfId="31" quotePrefix="1" applyFont="1" applyFill="1" applyBorder="1" applyAlignment="1">
      <alignment horizontal="left" vertical="center" indent="4"/>
    </xf>
    <xf numFmtId="0" fontId="28" fillId="3" borderId="52" xfId="33" quotePrefix="1" applyFont="1" applyFill="1" applyBorder="1" applyAlignment="1">
      <alignment horizontal="left" vertical="center" indent="6"/>
    </xf>
    <xf numFmtId="0" fontId="28" fillId="12" borderId="52" xfId="32" quotePrefix="1" applyFont="1" applyFill="1" applyBorder="1" applyAlignment="1">
      <alignment horizontal="left" vertical="center" indent="3"/>
    </xf>
    <xf numFmtId="4" fontId="28" fillId="4" borderId="50" xfId="30" quotePrefix="1" applyNumberFormat="1" applyFont="1" applyFill="1" applyBorder="1" applyAlignment="1" applyProtection="1">
      <alignment vertical="center"/>
    </xf>
    <xf numFmtId="4" fontId="28" fillId="4" borderId="51" xfId="30" quotePrefix="1" applyNumberFormat="1" applyFont="1" applyFill="1" applyBorder="1" applyAlignment="1" applyProtection="1">
      <alignment vertical="center"/>
    </xf>
    <xf numFmtId="4" fontId="28" fillId="12" borderId="53" xfId="30" quotePrefix="1" applyNumberFormat="1" applyFont="1" applyFill="1" applyBorder="1" applyAlignment="1" applyProtection="1">
      <alignment vertical="center"/>
    </xf>
    <xf numFmtId="0" fontId="28" fillId="12" borderId="54" xfId="30" quotePrefix="1" applyFont="1" applyFill="1" applyBorder="1" applyAlignment="1">
      <alignment horizontal="left" vertical="center" indent="2"/>
    </xf>
    <xf numFmtId="0" fontId="11" fillId="4" borderId="0" xfId="5" applyFont="1" applyFill="1" applyAlignment="1">
      <alignment horizontal="center" vertical="center" wrapText="1"/>
    </xf>
    <xf numFmtId="0" fontId="29" fillId="0" borderId="0" xfId="34" applyFont="1" applyFill="1" applyBorder="1" applyAlignment="1" applyProtection="1">
      <alignment horizontal="center" vertical="center"/>
    </xf>
    <xf numFmtId="0" fontId="29" fillId="0" borderId="0" xfId="15" applyFont="1" applyAlignment="1">
      <alignment horizontal="center" wrapText="1"/>
    </xf>
    <xf numFmtId="0" fontId="29" fillId="0" borderId="0" xfId="35" applyFont="1"/>
    <xf numFmtId="4" fontId="33" fillId="0" borderId="0" xfId="15" applyNumberFormat="1" applyFont="1"/>
    <xf numFmtId="0" fontId="28" fillId="0" borderId="52" xfId="30" quotePrefix="1" applyFont="1" applyFill="1" applyBorder="1" applyAlignment="1">
      <alignment horizontal="left" vertical="center" indent="2"/>
    </xf>
    <xf numFmtId="0" fontId="33" fillId="0" borderId="0" xfId="36" applyFont="1"/>
    <xf numFmtId="3" fontId="28" fillId="0" borderId="51" xfId="32" quotePrefix="1" applyNumberFormat="1" applyFont="1" applyFill="1" applyBorder="1" applyAlignment="1" applyProtection="1">
      <alignment vertical="center"/>
    </xf>
    <xf numFmtId="0" fontId="28" fillId="0" borderId="56" xfId="32" quotePrefix="1" applyFont="1" applyFill="1" applyBorder="1" applyAlignment="1" applyProtection="1">
      <alignment horizontal="left" vertical="center" indent="3"/>
    </xf>
    <xf numFmtId="3" fontId="28" fillId="6" borderId="58" xfId="30" quotePrefix="1" applyNumberFormat="1" applyFont="1" applyFill="1" applyBorder="1" applyAlignment="1" applyProtection="1">
      <alignment vertical="center"/>
    </xf>
    <xf numFmtId="0" fontId="28" fillId="6" borderId="59" xfId="30" quotePrefix="1" applyFont="1" applyFill="1" applyBorder="1" applyAlignment="1" applyProtection="1">
      <alignment vertical="center"/>
    </xf>
    <xf numFmtId="0" fontId="35" fillId="0" borderId="0" xfId="15" applyFont="1"/>
    <xf numFmtId="3" fontId="28" fillId="0" borderId="60" xfId="32" quotePrefix="1" applyNumberFormat="1" applyFont="1" applyFill="1" applyBorder="1" applyAlignment="1" applyProtection="1">
      <alignment vertical="center"/>
    </xf>
    <xf numFmtId="3" fontId="28" fillId="0" borderId="61" xfId="32" quotePrefix="1" applyNumberFormat="1" applyFont="1" applyFill="1" applyBorder="1" applyAlignment="1" applyProtection="1">
      <alignment vertical="center"/>
    </xf>
    <xf numFmtId="3" fontId="28" fillId="0" borderId="62" xfId="32" quotePrefix="1" applyNumberFormat="1" applyFont="1" applyFill="1" applyBorder="1" applyAlignment="1" applyProtection="1">
      <alignment vertical="center"/>
    </xf>
    <xf numFmtId="0" fontId="35" fillId="0" borderId="63" xfId="32" quotePrefix="1" applyFont="1" applyFill="1" applyBorder="1" applyAlignment="1" applyProtection="1">
      <alignment vertical="center"/>
    </xf>
    <xf numFmtId="3" fontId="28" fillId="0" borderId="64" xfId="32" quotePrefix="1" applyNumberFormat="1" applyFont="1" applyFill="1" applyBorder="1" applyAlignment="1" applyProtection="1">
      <alignment vertical="center"/>
    </xf>
    <xf numFmtId="0" fontId="7" fillId="0" borderId="0" xfId="15" applyFont="1"/>
    <xf numFmtId="3" fontId="28" fillId="0" borderId="65" xfId="32" quotePrefix="1" applyNumberFormat="1" applyFont="1" applyFill="1" applyBorder="1" applyAlignment="1" applyProtection="1">
      <alignment vertical="center"/>
    </xf>
    <xf numFmtId="0" fontId="28" fillId="0" borderId="57" xfId="32" quotePrefix="1" applyFont="1" applyFill="1" applyBorder="1" applyAlignment="1" applyProtection="1">
      <alignment vertical="center"/>
    </xf>
    <xf numFmtId="0" fontId="28" fillId="0" borderId="56" xfId="32" quotePrefix="1" applyFont="1" applyFill="1" applyBorder="1" applyAlignment="1" applyProtection="1">
      <alignment vertical="center"/>
    </xf>
    <xf numFmtId="3" fontId="33" fillId="0" borderId="0" xfId="15" applyNumberFormat="1" applyFont="1"/>
    <xf numFmtId="3" fontId="29" fillId="0" borderId="0" xfId="2" applyNumberFormat="1" applyFont="1"/>
    <xf numFmtId="3" fontId="28" fillId="6" borderId="66" xfId="30" quotePrefix="1" applyNumberFormat="1" applyFont="1" applyFill="1" applyBorder="1" applyAlignment="1" applyProtection="1">
      <alignment vertical="center"/>
    </xf>
    <xf numFmtId="3" fontId="28" fillId="6" borderId="67" xfId="30" quotePrefix="1" applyNumberFormat="1" applyFont="1" applyFill="1" applyBorder="1" applyAlignment="1" applyProtection="1">
      <alignment vertical="center"/>
    </xf>
    <xf numFmtId="3" fontId="28" fillId="6" borderId="64" xfId="32" quotePrefix="1" applyNumberFormat="1" applyFont="1" applyFill="1" applyBorder="1" applyAlignment="1" applyProtection="1">
      <alignment vertical="center"/>
    </xf>
    <xf numFmtId="3" fontId="28" fillId="6" borderId="65" xfId="32" quotePrefix="1" applyNumberFormat="1" applyFont="1" applyFill="1" applyBorder="1" applyAlignment="1" applyProtection="1">
      <alignment vertical="center"/>
    </xf>
    <xf numFmtId="3" fontId="28" fillId="6" borderId="51" xfId="32" quotePrefix="1" applyNumberFormat="1" applyFont="1" applyFill="1" applyBorder="1" applyAlignment="1" applyProtection="1">
      <alignment vertical="center"/>
    </xf>
    <xf numFmtId="3" fontId="28" fillId="6" borderId="60" xfId="32" quotePrefix="1" applyNumberFormat="1" applyFont="1" applyFill="1" applyBorder="1" applyAlignment="1" applyProtection="1">
      <alignment vertical="center"/>
    </xf>
    <xf numFmtId="3" fontId="29" fillId="3" borderId="0" xfId="2" applyNumberFormat="1" applyFont="1" applyFill="1"/>
    <xf numFmtId="3" fontId="28" fillId="6" borderId="61" xfId="32" quotePrefix="1" applyNumberFormat="1" applyFont="1" applyFill="1" applyBorder="1" applyAlignment="1" applyProtection="1">
      <alignment vertical="center"/>
    </xf>
    <xf numFmtId="3" fontId="28" fillId="6" borderId="62" xfId="32" quotePrefix="1" applyNumberFormat="1" applyFont="1" applyFill="1" applyBorder="1" applyAlignment="1" applyProtection="1">
      <alignment vertical="center"/>
    </xf>
    <xf numFmtId="0" fontId="28" fillId="6" borderId="63" xfId="30" quotePrefix="1" applyFont="1" applyFill="1" applyBorder="1" applyAlignment="1" applyProtection="1">
      <alignment vertical="center"/>
    </xf>
    <xf numFmtId="3" fontId="28" fillId="6" borderId="66" xfId="32" quotePrefix="1" applyNumberFormat="1" applyFont="1" applyFill="1" applyBorder="1" applyAlignment="1" applyProtection="1">
      <alignment vertical="center"/>
    </xf>
    <xf numFmtId="3" fontId="28" fillId="6" borderId="58" xfId="32" quotePrefix="1" applyNumberFormat="1" applyFont="1" applyFill="1" applyBorder="1" applyAlignment="1" applyProtection="1">
      <alignment vertical="center"/>
    </xf>
    <xf numFmtId="3" fontId="28" fillId="6" borderId="67" xfId="32" quotePrefix="1" applyNumberFormat="1" applyFont="1" applyFill="1" applyBorder="1" applyAlignment="1" applyProtection="1">
      <alignment vertical="center"/>
    </xf>
    <xf numFmtId="49" fontId="28" fillId="0" borderId="0" xfId="2" applyNumberFormat="1" applyFont="1"/>
    <xf numFmtId="0" fontId="28" fillId="0" borderId="63" xfId="32" quotePrefix="1" applyFont="1" applyFill="1" applyBorder="1" applyAlignment="1" applyProtection="1">
      <alignment horizontal="left" vertical="center" indent="3"/>
    </xf>
    <xf numFmtId="0" fontId="3" fillId="0" borderId="0" xfId="15" applyFont="1" applyProtection="1">
      <protection locked="0"/>
    </xf>
    <xf numFmtId="0" fontId="16" fillId="0" borderId="0" xfId="36" applyFont="1"/>
    <xf numFmtId="49" fontId="36" fillId="0" borderId="0" xfId="2" applyNumberFormat="1" applyFont="1"/>
    <xf numFmtId="37" fontId="38" fillId="0" borderId="69" xfId="38" applyNumberFormat="1">
      <alignment horizontal="right" vertical="center"/>
    </xf>
    <xf numFmtId="37" fontId="38" fillId="0" borderId="73" xfId="38" applyNumberFormat="1" applyBorder="1">
      <alignment horizontal="right" vertical="center"/>
    </xf>
    <xf numFmtId="183" fontId="39" fillId="29" borderId="72" xfId="41" quotePrefix="1" applyNumberFormat="1" applyBorder="1" applyAlignment="1"/>
    <xf numFmtId="174" fontId="39" fillId="29" borderId="72" xfId="41" quotePrefix="1" applyNumberFormat="1" applyBorder="1" applyAlignment="1"/>
    <xf numFmtId="0" fontId="51" fillId="0" borderId="0" xfId="0" applyFont="1"/>
    <xf numFmtId="0" fontId="28" fillId="4" borderId="0" xfId="15" applyFont="1" applyFill="1" applyProtection="1">
      <protection locked="0"/>
    </xf>
    <xf numFmtId="0" fontId="28" fillId="4" borderId="52" xfId="30" quotePrefix="1" applyFont="1" applyFill="1" applyBorder="1" applyAlignment="1">
      <alignment horizontal="left" vertical="center" indent="2"/>
    </xf>
    <xf numFmtId="0" fontId="28" fillId="4" borderId="49" xfId="30" quotePrefix="1" applyFont="1" applyFill="1" applyBorder="1" applyAlignment="1">
      <alignment horizontal="left" vertical="center" indent="2"/>
    </xf>
    <xf numFmtId="4" fontId="28" fillId="4" borderId="48" xfId="30" quotePrefix="1" applyNumberFormat="1" applyFont="1" applyFill="1" applyBorder="1" applyAlignment="1" applyProtection="1">
      <alignment vertical="center"/>
    </xf>
    <xf numFmtId="4" fontId="28" fillId="4" borderId="47" xfId="30" quotePrefix="1" applyNumberFormat="1" applyFont="1" applyFill="1" applyBorder="1" applyAlignment="1" applyProtection="1">
      <alignment vertical="center"/>
    </xf>
    <xf numFmtId="4" fontId="33" fillId="0" borderId="0" xfId="15" applyNumberFormat="1" applyFont="1" applyAlignment="1">
      <alignment horizontal="center"/>
    </xf>
    <xf numFmtId="0" fontId="28" fillId="0" borderId="0" xfId="15" applyFont="1" applyAlignment="1">
      <alignment horizontal="center" wrapText="1"/>
    </xf>
    <xf numFmtId="2" fontId="28" fillId="0" borderId="52" xfId="31" quotePrefix="1" applyNumberFormat="1" applyFont="1" applyFill="1" applyBorder="1" applyAlignment="1">
      <alignment horizontal="right" vertical="center"/>
    </xf>
    <xf numFmtId="2" fontId="28" fillId="4" borderId="52" xfId="30" quotePrefix="1" applyNumberFormat="1" applyFont="1" applyFill="1" applyBorder="1" applyAlignment="1">
      <alignment horizontal="right" vertical="center"/>
    </xf>
    <xf numFmtId="2" fontId="28" fillId="4" borderId="49" xfId="30" quotePrefix="1" applyNumberFormat="1" applyFont="1" applyFill="1" applyBorder="1" applyAlignment="1">
      <alignment horizontal="right" vertical="center"/>
    </xf>
    <xf numFmtId="2" fontId="28" fillId="0" borderId="52" xfId="32" quotePrefix="1" applyNumberFormat="1" applyFont="1" applyFill="1" applyBorder="1" applyAlignment="1">
      <alignment horizontal="right" vertical="center"/>
    </xf>
    <xf numFmtId="3" fontId="52" fillId="0" borderId="62" xfId="32" quotePrefix="1" applyNumberFormat="1" applyFont="1" applyFill="1" applyBorder="1" applyAlignment="1" applyProtection="1">
      <alignment vertical="center"/>
    </xf>
    <xf numFmtId="3" fontId="52" fillId="0" borderId="61" xfId="32" quotePrefix="1" applyNumberFormat="1" applyFont="1" applyFill="1" applyBorder="1" applyAlignment="1" applyProtection="1">
      <alignment vertical="center"/>
    </xf>
    <xf numFmtId="3" fontId="28" fillId="6" borderId="59" xfId="32" quotePrefix="1" applyNumberFormat="1" applyFont="1" applyFill="1" applyBorder="1" applyAlignment="1" applyProtection="1">
      <alignment vertical="center"/>
    </xf>
    <xf numFmtId="3" fontId="28" fillId="6" borderId="56" xfId="32" quotePrefix="1" applyNumberFormat="1" applyFont="1" applyFill="1" applyBorder="1" applyAlignment="1" applyProtection="1">
      <alignment vertical="center"/>
    </xf>
    <xf numFmtId="3" fontId="28" fillId="6" borderId="63" xfId="32" quotePrefix="1" applyNumberFormat="1" applyFont="1" applyFill="1" applyBorder="1" applyAlignment="1" applyProtection="1">
      <alignment vertical="center"/>
    </xf>
    <xf numFmtId="3" fontId="28" fillId="0" borderId="56" xfId="32" quotePrefix="1" applyNumberFormat="1" applyFont="1" applyFill="1" applyBorder="1" applyProtection="1">
      <alignment horizontal="left" vertical="center" indent="1"/>
    </xf>
    <xf numFmtId="0" fontId="28" fillId="3" borderId="63" xfId="30" quotePrefix="1" applyFont="1" applyFill="1" applyBorder="1" applyAlignment="1" applyProtection="1">
      <alignment vertical="center"/>
    </xf>
    <xf numFmtId="3" fontId="28" fillId="3" borderId="62" xfId="32" quotePrefix="1" applyNumberFormat="1" applyFont="1" applyFill="1" applyBorder="1" applyAlignment="1" applyProtection="1">
      <alignment vertical="center"/>
    </xf>
    <xf numFmtId="3" fontId="28" fillId="3" borderId="61" xfId="32" quotePrefix="1" applyNumberFormat="1" applyFont="1" applyFill="1" applyBorder="1" applyAlignment="1" applyProtection="1">
      <alignment vertical="center"/>
    </xf>
    <xf numFmtId="0" fontId="28" fillId="3" borderId="56" xfId="30" quotePrefix="1" applyFont="1" applyFill="1" applyBorder="1" applyAlignment="1" applyProtection="1">
      <alignment vertical="center"/>
    </xf>
    <xf numFmtId="3" fontId="28" fillId="3" borderId="51" xfId="32" quotePrefix="1" applyNumberFormat="1" applyFont="1" applyFill="1" applyBorder="1" applyAlignment="1" applyProtection="1">
      <alignment vertical="center"/>
    </xf>
    <xf numFmtId="3" fontId="28" fillId="3" borderId="65" xfId="32" quotePrefix="1" applyNumberFormat="1" applyFont="1" applyFill="1" applyBorder="1" applyAlignment="1" applyProtection="1">
      <alignment vertical="center"/>
    </xf>
    <xf numFmtId="3" fontId="52" fillId="0" borderId="60" xfId="32" quotePrefix="1" applyNumberFormat="1" applyFont="1" applyFill="1" applyBorder="1" applyAlignment="1" applyProtection="1">
      <alignment vertical="center"/>
    </xf>
    <xf numFmtId="3" fontId="28" fillId="3" borderId="64" xfId="32" quotePrefix="1" applyNumberFormat="1" applyFont="1" applyFill="1" applyBorder="1" applyAlignment="1" applyProtection="1">
      <alignment vertical="center"/>
    </xf>
    <xf numFmtId="3" fontId="28" fillId="3" borderId="60" xfId="32" quotePrefix="1" applyNumberFormat="1" applyFont="1" applyFill="1" applyBorder="1" applyAlignment="1" applyProtection="1">
      <alignment vertical="center"/>
    </xf>
    <xf numFmtId="0" fontId="28" fillId="0" borderId="0" xfId="15" applyFont="1" applyAlignment="1">
      <alignment horizontal="right"/>
    </xf>
    <xf numFmtId="1" fontId="28" fillId="0" borderId="0" xfId="2" applyNumberFormat="1" applyFont="1"/>
    <xf numFmtId="0" fontId="12" fillId="6" borderId="0" xfId="1" applyFont="1" applyFill="1" applyAlignment="1">
      <alignment horizontal="left" vertical="center"/>
    </xf>
    <xf numFmtId="0" fontId="17" fillId="6" borderId="0" xfId="1" applyFont="1" applyFill="1" applyAlignment="1">
      <alignment horizontal="left" vertical="center"/>
    </xf>
    <xf numFmtId="167" fontId="17" fillId="6" borderId="0" xfId="16" applyNumberFormat="1" applyFont="1" applyFill="1" applyBorder="1" applyAlignment="1" applyProtection="1">
      <alignment horizontal="center" vertical="center"/>
      <protection locked="0"/>
    </xf>
    <xf numFmtId="3" fontId="17" fillId="6" borderId="0" xfId="13" applyNumberFormat="1" applyFont="1" applyFill="1" applyBorder="1" applyAlignment="1" applyProtection="1">
      <alignment horizontal="center" vertical="center"/>
      <protection locked="0"/>
    </xf>
    <xf numFmtId="3" fontId="17" fillId="6" borderId="20" xfId="13" applyNumberFormat="1" applyFont="1" applyFill="1" applyBorder="1" applyAlignment="1" applyProtection="1">
      <alignment horizontal="center" vertical="center"/>
      <protection locked="0"/>
    </xf>
    <xf numFmtId="167" fontId="17" fillId="6" borderId="0" xfId="16" applyNumberFormat="1" applyFont="1" applyFill="1" applyBorder="1" applyAlignment="1" applyProtection="1">
      <alignment horizontal="left" vertical="center"/>
      <protection locked="0"/>
    </xf>
    <xf numFmtId="0" fontId="18" fillId="0" borderId="0" xfId="9" applyAlignment="1">
      <alignment vertical="center"/>
    </xf>
    <xf numFmtId="0" fontId="8" fillId="0" borderId="0" xfId="2" applyFont="1"/>
    <xf numFmtId="0" fontId="12" fillId="4" borderId="3" xfId="5" quotePrefix="1" applyFont="1" applyFill="1" applyBorder="1" applyAlignment="1">
      <alignment horizontal="center" vertical="center" wrapText="1"/>
    </xf>
    <xf numFmtId="0" fontId="53" fillId="0" borderId="0" xfId="2" applyFont="1"/>
    <xf numFmtId="3" fontId="12" fillId="9" borderId="0" xfId="13" applyNumberFormat="1" applyFont="1" applyBorder="1" applyAlignment="1" applyProtection="1">
      <alignment horizontal="center" vertical="center"/>
      <protection locked="0"/>
    </xf>
    <xf numFmtId="0" fontId="17" fillId="0" borderId="0" xfId="15" applyFont="1" applyAlignment="1">
      <alignment horizontal="left"/>
    </xf>
    <xf numFmtId="0" fontId="17" fillId="0" borderId="0" xfId="15" applyFont="1" applyAlignment="1">
      <alignment horizontal="center"/>
    </xf>
    <xf numFmtId="0" fontId="12" fillId="4" borderId="21" xfId="5" applyFont="1" applyFill="1" applyBorder="1" applyAlignment="1">
      <alignment horizontal="center" vertical="center" wrapText="1"/>
    </xf>
    <xf numFmtId="0" fontId="12" fillId="4" borderId="4" xfId="5" applyFont="1" applyFill="1" applyBorder="1" applyAlignment="1">
      <alignment horizontal="center" vertical="center" wrapText="1"/>
    </xf>
    <xf numFmtId="0" fontId="12" fillId="4" borderId="26" xfId="5" applyFont="1" applyFill="1" applyBorder="1" applyAlignment="1">
      <alignment horizontal="center" vertical="center" wrapText="1"/>
    </xf>
    <xf numFmtId="0" fontId="28" fillId="3" borderId="52" xfId="31" quotePrefix="1" applyFont="1" applyFill="1" applyBorder="1" applyAlignment="1">
      <alignment horizontal="left" vertical="center" indent="3"/>
    </xf>
    <xf numFmtId="2" fontId="28" fillId="0" borderId="52" xfId="30" quotePrefix="1" applyNumberFormat="1" applyFont="1" applyFill="1" applyBorder="1" applyAlignment="1">
      <alignment horizontal="right" vertical="center"/>
    </xf>
    <xf numFmtId="2" fontId="28" fillId="0" borderId="52" xfId="33" quotePrefix="1" applyNumberFormat="1" applyFont="1" applyFill="1" applyBorder="1" applyAlignment="1">
      <alignment horizontal="right" vertical="center"/>
    </xf>
    <xf numFmtId="2" fontId="28" fillId="0" borderId="52" xfId="32" quotePrefix="1" applyNumberFormat="1" applyFont="1" applyFill="1" applyBorder="1" applyAlignment="1" applyProtection="1">
      <alignment horizontal="right" vertical="center"/>
    </xf>
    <xf numFmtId="2" fontId="28" fillId="0" borderId="49" xfId="30" quotePrefix="1" applyNumberFormat="1" applyFont="1" applyFill="1" applyBorder="1" applyAlignment="1">
      <alignment horizontal="right" vertical="center"/>
    </xf>
    <xf numFmtId="2" fontId="28" fillId="6" borderId="54" xfId="30" quotePrefix="1" applyNumberFormat="1" applyFont="1" applyFill="1" applyBorder="1" applyAlignment="1">
      <alignment horizontal="right" vertical="center"/>
    </xf>
    <xf numFmtId="2" fontId="28" fillId="6" borderId="52" xfId="32" quotePrefix="1" applyNumberFormat="1" applyFont="1" applyFill="1" applyBorder="1" applyAlignment="1">
      <alignment horizontal="right" vertical="center"/>
    </xf>
    <xf numFmtId="2" fontId="28" fillId="6" borderId="52" xfId="30" quotePrefix="1" applyNumberFormat="1" applyFont="1" applyFill="1" applyBorder="1" applyAlignment="1">
      <alignment horizontal="right" vertical="center"/>
    </xf>
    <xf numFmtId="2" fontId="28" fillId="6" borderId="52" xfId="31" quotePrefix="1" applyNumberFormat="1" applyFont="1" applyFill="1" applyBorder="1" applyAlignment="1">
      <alignment horizontal="right" vertical="center"/>
    </xf>
    <xf numFmtId="2" fontId="28" fillId="6" borderId="52" xfId="33" quotePrefix="1" applyNumberFormat="1" applyFont="1" applyFill="1" applyBorder="1" applyAlignment="1">
      <alignment horizontal="right" vertical="center"/>
    </xf>
    <xf numFmtId="2" fontId="28" fillId="6" borderId="52" xfId="32" quotePrefix="1" applyNumberFormat="1" applyFont="1" applyFill="1" applyBorder="1" applyAlignment="1" applyProtection="1">
      <alignment horizontal="right" vertical="center"/>
    </xf>
    <xf numFmtId="2" fontId="28" fillId="4" borderId="52" xfId="31" quotePrefix="1" applyNumberFormat="1" applyFont="1" applyFill="1" applyBorder="1" applyAlignment="1">
      <alignment horizontal="right" vertical="center"/>
    </xf>
    <xf numFmtId="2" fontId="3" fillId="0" borderId="0" xfId="15" applyNumberFormat="1" applyFont="1"/>
    <xf numFmtId="3" fontId="28" fillId="0" borderId="0" xfId="32" quotePrefix="1" applyNumberFormat="1" applyFont="1" applyFill="1" applyBorder="1" applyAlignment="1" applyProtection="1">
      <alignment vertical="center"/>
    </xf>
    <xf numFmtId="3" fontId="52" fillId="0" borderId="0" xfId="32" quotePrefix="1" applyNumberFormat="1" applyFont="1" applyFill="1" applyBorder="1" applyAlignment="1" applyProtection="1">
      <alignment vertical="center"/>
    </xf>
    <xf numFmtId="0" fontId="11" fillId="0" borderId="0" xfId="5" applyFont="1" applyFill="1" applyAlignment="1">
      <alignment horizontal="center" vertical="center" wrapText="1"/>
    </xf>
    <xf numFmtId="3" fontId="28" fillId="0" borderId="0" xfId="30" quotePrefix="1" applyNumberFormat="1" applyFont="1" applyFill="1" applyBorder="1" applyAlignment="1" applyProtection="1">
      <alignment vertical="center"/>
    </xf>
    <xf numFmtId="0" fontId="38" fillId="34" borderId="77" xfId="47" applyNumberFormat="1" applyBorder="1" applyAlignment="1"/>
    <xf numFmtId="0" fontId="55" fillId="0" borderId="0" xfId="15" applyFont="1"/>
    <xf numFmtId="3" fontId="12" fillId="7" borderId="4" xfId="14" applyNumberFormat="1" applyFont="1" applyFill="1" applyBorder="1" applyAlignment="1" applyProtection="1">
      <alignment horizontal="center" vertical="center"/>
      <protection locked="0"/>
    </xf>
    <xf numFmtId="3" fontId="4" fillId="5" borderId="4" xfId="13" applyNumberFormat="1" applyFont="1" applyFill="1" applyBorder="1" applyAlignment="1" applyProtection="1">
      <alignment horizontal="center" vertical="center"/>
      <protection locked="0"/>
    </xf>
    <xf numFmtId="3" fontId="4" fillId="15" borderId="4" xfId="13" applyNumberFormat="1" applyFont="1" applyFill="1" applyBorder="1" applyAlignment="1" applyProtection="1">
      <alignment horizontal="center" vertical="center"/>
      <protection locked="0"/>
    </xf>
    <xf numFmtId="3" fontId="4" fillId="15" borderId="0" xfId="13" applyNumberFormat="1" applyFont="1" applyFill="1" applyBorder="1" applyAlignment="1" applyProtection="1">
      <alignment horizontal="center" vertical="center"/>
      <protection locked="0"/>
    </xf>
    <xf numFmtId="3" fontId="4" fillId="15" borderId="21" xfId="13" applyNumberFormat="1" applyFont="1" applyFill="1" applyBorder="1" applyAlignment="1" applyProtection="1">
      <alignment horizontal="center" vertical="center"/>
      <protection locked="0"/>
    </xf>
    <xf numFmtId="3" fontId="10" fillId="5" borderId="4" xfId="13" applyNumberFormat="1" applyFont="1" applyFill="1" applyBorder="1" applyAlignment="1" applyProtection="1">
      <alignment horizontal="center" vertical="center"/>
      <protection locked="0"/>
    </xf>
    <xf numFmtId="0" fontId="12" fillId="4" borderId="4" xfId="5" quotePrefix="1" applyFont="1" applyFill="1" applyBorder="1" applyAlignment="1">
      <alignment horizontal="center" vertical="center" wrapText="1"/>
    </xf>
    <xf numFmtId="0" fontId="6" fillId="3" borderId="0" xfId="15" applyFont="1" applyFill="1" applyAlignment="1">
      <alignment vertical="center" wrapText="1"/>
    </xf>
    <xf numFmtId="3" fontId="12" fillId="7" borderId="17" xfId="14" applyNumberFormat="1" applyFont="1" applyFill="1" applyBorder="1" applyAlignment="1" applyProtection="1">
      <alignment horizontal="center" vertical="center"/>
      <protection locked="0"/>
    </xf>
    <xf numFmtId="3" fontId="12" fillId="16" borderId="17" xfId="14" applyNumberFormat="1" applyFont="1" applyFill="1" applyBorder="1" applyAlignment="1" applyProtection="1">
      <alignment horizontal="center" vertical="center"/>
      <protection locked="0"/>
    </xf>
    <xf numFmtId="0" fontId="12" fillId="4" borderId="78" xfId="5" applyFont="1" applyFill="1" applyBorder="1" applyAlignment="1">
      <alignment horizontal="center" vertical="center" wrapText="1"/>
    </xf>
    <xf numFmtId="0" fontId="12" fillId="4" borderId="79" xfId="5" applyFont="1" applyFill="1" applyBorder="1" applyAlignment="1">
      <alignment horizontal="center" vertical="center" wrapText="1"/>
    </xf>
    <xf numFmtId="3" fontId="12" fillId="7" borderId="79" xfId="5" applyNumberFormat="1" applyFont="1" applyFill="1" applyBorder="1" applyAlignment="1">
      <alignment horizontal="center" vertical="center"/>
    </xf>
    <xf numFmtId="3" fontId="12" fillId="7" borderId="78" xfId="5" applyNumberFormat="1" applyFont="1" applyFill="1" applyBorder="1" applyAlignment="1">
      <alignment horizontal="center" vertical="center"/>
    </xf>
    <xf numFmtId="168" fontId="12" fillId="7" borderId="78" xfId="5" applyNumberFormat="1" applyFont="1" applyFill="1" applyBorder="1" applyAlignment="1">
      <alignment horizontal="left" vertical="center"/>
    </xf>
    <xf numFmtId="3" fontId="4" fillId="3" borderId="0" xfId="15" applyNumberFormat="1" applyFont="1" applyFill="1" applyAlignment="1">
      <alignment vertical="center" wrapText="1"/>
    </xf>
    <xf numFmtId="168" fontId="17" fillId="0" borderId="28" xfId="12" applyNumberFormat="1" applyFont="1" applyFill="1" applyBorder="1" applyAlignment="1" applyProtection="1">
      <alignment horizontal="center" vertical="center"/>
      <protection locked="0"/>
    </xf>
    <xf numFmtId="168" fontId="17" fillId="0" borderId="20" xfId="12" applyNumberFormat="1" applyFont="1" applyFill="1" applyBorder="1" applyAlignment="1" applyProtection="1">
      <alignment horizontal="center" vertical="center"/>
      <protection locked="0"/>
    </xf>
    <xf numFmtId="0" fontId="4" fillId="0" borderId="0" xfId="15" applyFont="1" applyAlignment="1">
      <alignment vertical="top" wrapText="1"/>
    </xf>
    <xf numFmtId="0" fontId="4" fillId="0" borderId="0" xfId="2" applyFont="1" applyAlignment="1">
      <alignment vertical="center"/>
    </xf>
    <xf numFmtId="0" fontId="4" fillId="0" borderId="0" xfId="2" quotePrefix="1" applyFont="1" applyAlignment="1">
      <alignment vertical="center"/>
    </xf>
    <xf numFmtId="0" fontId="4" fillId="0" borderId="0" xfId="1" quotePrefix="1" applyFont="1"/>
    <xf numFmtId="0" fontId="10" fillId="5" borderId="44" xfId="29" applyFont="1" applyFill="1" applyBorder="1" applyAlignment="1">
      <alignment vertical="center" wrapText="1"/>
    </xf>
    <xf numFmtId="3" fontId="10" fillId="2" borderId="31" xfId="28" applyNumberFormat="1" applyFont="1" applyBorder="1" applyAlignment="1" applyProtection="1">
      <alignment horizontal="center" vertical="center"/>
      <protection locked="0"/>
    </xf>
    <xf numFmtId="3" fontId="10" fillId="2" borderId="43" xfId="28" applyNumberFormat="1" applyFont="1" applyBorder="1" applyAlignment="1" applyProtection="1">
      <alignment horizontal="center" vertical="center"/>
      <protection locked="0"/>
    </xf>
    <xf numFmtId="0" fontId="10" fillId="3" borderId="44" xfId="29" applyFont="1" applyFill="1" applyBorder="1" applyAlignment="1">
      <alignment vertical="center" wrapText="1"/>
    </xf>
    <xf numFmtId="3" fontId="10" fillId="3" borderId="31" xfId="28" applyNumberFormat="1" applyFont="1" applyFill="1" applyBorder="1" applyAlignment="1" applyProtection="1">
      <alignment horizontal="center" vertical="center"/>
      <protection locked="0"/>
    </xf>
    <xf numFmtId="3" fontId="10" fillId="3" borderId="43" xfId="28" applyNumberFormat="1" applyFont="1" applyFill="1" applyBorder="1" applyAlignment="1" applyProtection="1">
      <alignment horizontal="center" vertical="center"/>
      <protection locked="0"/>
    </xf>
    <xf numFmtId="0" fontId="21" fillId="0" borderId="0" xfId="6" applyFont="1" applyAlignment="1">
      <alignment horizontal="left"/>
    </xf>
    <xf numFmtId="49" fontId="4" fillId="0" borderId="0" xfId="2" applyNumberFormat="1" applyFont="1" applyAlignment="1">
      <alignment vertical="center"/>
    </xf>
    <xf numFmtId="0" fontId="4" fillId="0" borderId="0" xfId="2" applyFont="1" applyAlignment="1">
      <alignment vertical="center" wrapText="1"/>
    </xf>
    <xf numFmtId="167" fontId="4" fillId="0" borderId="0" xfId="11" applyNumberFormat="1" applyFont="1" applyAlignment="1">
      <alignment horizontal="left" vertical="center"/>
    </xf>
    <xf numFmtId="0" fontId="4" fillId="3" borderId="0" xfId="2" applyFont="1" applyFill="1" applyAlignment="1">
      <alignment vertical="center"/>
    </xf>
    <xf numFmtId="3" fontId="4" fillId="12" borderId="20" xfId="13" applyNumberFormat="1" applyFont="1" applyFill="1" applyBorder="1" applyAlignment="1" applyProtection="1">
      <alignment horizontal="center" vertical="center"/>
      <protection locked="0"/>
    </xf>
    <xf numFmtId="3" fontId="10" fillId="5" borderId="17" xfId="13" applyNumberFormat="1" applyFont="1" applyFill="1" applyBorder="1" applyAlignment="1" applyProtection="1">
      <alignment horizontal="center" vertical="center"/>
      <protection locked="0"/>
    </xf>
    <xf numFmtId="3" fontId="10" fillId="5" borderId="15" xfId="13" applyNumberFormat="1" applyFont="1" applyFill="1" applyBorder="1" applyAlignment="1" applyProtection="1">
      <alignment horizontal="center" vertical="center"/>
      <protection locked="0"/>
    </xf>
    <xf numFmtId="3" fontId="10" fillId="9" borderId="19" xfId="13" applyNumberFormat="1" applyFont="1" applyBorder="1" applyAlignment="1" applyProtection="1">
      <alignment horizontal="center" vertical="center"/>
      <protection locked="0"/>
    </xf>
    <xf numFmtId="3" fontId="10" fillId="9" borderId="22" xfId="13" applyNumberFormat="1" applyFont="1" applyBorder="1" applyAlignment="1" applyProtection="1">
      <alignment horizontal="center" vertical="center"/>
      <protection locked="0"/>
    </xf>
    <xf numFmtId="0" fontId="10" fillId="0" borderId="0" xfId="8" applyFont="1" applyAlignment="1">
      <alignment horizontal="left"/>
    </xf>
    <xf numFmtId="3" fontId="10" fillId="5" borderId="25" xfId="13" applyNumberFormat="1" applyFont="1" applyFill="1" applyBorder="1" applyAlignment="1" applyProtection="1">
      <alignment horizontal="center" vertical="center"/>
      <protection locked="0"/>
    </xf>
    <xf numFmtId="1" fontId="10" fillId="5" borderId="16" xfId="13" applyNumberFormat="1" applyFont="1" applyFill="1" applyBorder="1" applyAlignment="1" applyProtection="1">
      <alignment horizontal="center" vertical="center"/>
      <protection locked="0"/>
    </xf>
    <xf numFmtId="1" fontId="10" fillId="3" borderId="16" xfId="13" applyNumberFormat="1" applyFont="1" applyFill="1" applyBorder="1" applyAlignment="1" applyProtection="1">
      <alignment horizontal="center" vertical="center"/>
      <protection locked="0"/>
    </xf>
    <xf numFmtId="1" fontId="10" fillId="5" borderId="24" xfId="13" applyNumberFormat="1" applyFont="1" applyFill="1" applyBorder="1" applyAlignment="1" applyProtection="1">
      <alignment horizontal="center" vertical="center"/>
      <protection locked="0"/>
    </xf>
    <xf numFmtId="0" fontId="21" fillId="3" borderId="0" xfId="8" applyFont="1" applyFill="1" applyAlignment="1">
      <alignment horizontal="left"/>
    </xf>
    <xf numFmtId="0" fontId="17" fillId="3" borderId="0" xfId="15" applyFont="1" applyFill="1"/>
    <xf numFmtId="0" fontId="10" fillId="3" borderId="0" xfId="15" applyFont="1" applyFill="1"/>
    <xf numFmtId="0" fontId="10" fillId="3" borderId="78" xfId="15" applyFont="1" applyFill="1" applyBorder="1"/>
    <xf numFmtId="0" fontId="10" fillId="3" borderId="79" xfId="15" applyFont="1" applyFill="1" applyBorder="1"/>
    <xf numFmtId="0" fontId="10" fillId="3" borderId="3" xfId="15" applyFont="1" applyFill="1" applyBorder="1"/>
    <xf numFmtId="3" fontId="10" fillId="5" borderId="19" xfId="13" applyNumberFormat="1" applyFont="1" applyFill="1" applyBorder="1" applyAlignment="1" applyProtection="1">
      <alignment horizontal="center" vertical="center"/>
      <protection locked="0"/>
    </xf>
    <xf numFmtId="3" fontId="10" fillId="3" borderId="3" xfId="15" applyNumberFormat="1" applyFont="1" applyFill="1" applyBorder="1" applyAlignment="1">
      <alignment horizontal="center"/>
    </xf>
    <xf numFmtId="0" fontId="10" fillId="12" borderId="78" xfId="15" applyFont="1" applyFill="1" applyBorder="1"/>
    <xf numFmtId="0" fontId="10" fillId="12" borderId="0" xfId="15" applyFont="1" applyFill="1"/>
    <xf numFmtId="3" fontId="10" fillId="3" borderId="19" xfId="13" applyNumberFormat="1" applyFont="1" applyFill="1" applyBorder="1" applyAlignment="1" applyProtection="1">
      <alignment horizontal="center" vertical="center"/>
      <protection locked="0"/>
    </xf>
    <xf numFmtId="3" fontId="10" fillId="3" borderId="16" xfId="13" applyNumberFormat="1" applyFont="1" applyFill="1" applyBorder="1" applyAlignment="1" applyProtection="1">
      <alignment horizontal="center" vertical="center"/>
      <protection locked="0"/>
    </xf>
    <xf numFmtId="3" fontId="10" fillId="3" borderId="15" xfId="13" applyNumberFormat="1" applyFont="1" applyFill="1" applyBorder="1" applyAlignment="1" applyProtection="1">
      <alignment horizontal="center" vertical="center"/>
      <protection locked="0"/>
    </xf>
    <xf numFmtId="0" fontId="10" fillId="3" borderId="4" xfId="15" applyFont="1" applyFill="1" applyBorder="1"/>
    <xf numFmtId="3" fontId="10" fillId="6" borderId="4" xfId="13" applyNumberFormat="1" applyFont="1" applyFill="1" applyBorder="1" applyAlignment="1" applyProtection="1">
      <alignment horizontal="center" vertical="center"/>
      <protection locked="0"/>
    </xf>
    <xf numFmtId="3" fontId="10" fillId="6" borderId="19" xfId="13" applyNumberFormat="1" applyFont="1" applyFill="1" applyBorder="1" applyAlignment="1" applyProtection="1">
      <alignment horizontal="center" vertical="center"/>
      <protection locked="0"/>
    </xf>
    <xf numFmtId="3" fontId="10" fillId="6" borderId="16" xfId="13" applyNumberFormat="1" applyFont="1" applyFill="1" applyBorder="1" applyAlignment="1" applyProtection="1">
      <alignment horizontal="center" vertical="center"/>
      <protection locked="0"/>
    </xf>
    <xf numFmtId="3" fontId="10" fillId="6" borderId="15" xfId="13" applyNumberFormat="1" applyFont="1" applyFill="1" applyBorder="1" applyAlignment="1" applyProtection="1">
      <alignment horizontal="center" vertical="center"/>
      <protection locked="0"/>
    </xf>
    <xf numFmtId="3" fontId="10" fillId="6" borderId="3" xfId="15" applyNumberFormat="1" applyFont="1" applyFill="1" applyBorder="1" applyAlignment="1">
      <alignment horizontal="center"/>
    </xf>
    <xf numFmtId="3" fontId="12" fillId="45" borderId="0" xfId="13" applyNumberFormat="1" applyFont="1" applyFill="1" applyBorder="1" applyAlignment="1" applyProtection="1">
      <alignment horizontal="center" vertical="center"/>
      <protection locked="0"/>
    </xf>
    <xf numFmtId="3" fontId="12" fillId="0" borderId="0" xfId="2" applyNumberFormat="1" applyFont="1" applyAlignment="1">
      <alignment horizontal="center" vertical="center"/>
    </xf>
    <xf numFmtId="3" fontId="12" fillId="0" borderId="21" xfId="2" applyNumberFormat="1" applyFont="1" applyBorder="1" applyAlignment="1">
      <alignment horizontal="center" vertical="center"/>
    </xf>
    <xf numFmtId="3" fontId="17" fillId="21" borderId="0" xfId="12" applyNumberFormat="1" applyFont="1" applyFill="1" applyBorder="1" applyAlignment="1" applyProtection="1">
      <alignment horizontal="center" vertical="center"/>
      <protection locked="0"/>
    </xf>
    <xf numFmtId="168" fontId="17" fillId="9" borderId="28" xfId="12" applyNumberFormat="1" applyFont="1" applyBorder="1" applyAlignment="1" applyProtection="1">
      <alignment horizontal="center" vertical="center"/>
      <protection locked="0"/>
    </xf>
    <xf numFmtId="168" fontId="17" fillId="9" borderId="20" xfId="12" applyNumberFormat="1" applyFont="1" applyBorder="1" applyAlignment="1" applyProtection="1">
      <alignment horizontal="center" vertical="center"/>
      <protection locked="0"/>
    </xf>
    <xf numFmtId="168" fontId="17" fillId="13" borderId="21" xfId="12" applyNumberFormat="1" applyFont="1" applyFill="1" applyBorder="1" applyAlignment="1" applyProtection="1">
      <alignment horizontal="center" vertical="center"/>
      <protection locked="0"/>
    </xf>
    <xf numFmtId="3" fontId="23" fillId="5" borderId="39" xfId="5" applyNumberFormat="1" applyFont="1" applyFill="1" applyBorder="1" applyAlignment="1">
      <alignment horizontal="left" vertical="center"/>
    </xf>
    <xf numFmtId="0" fontId="15" fillId="0" borderId="0" xfId="2" quotePrefix="1" applyFont="1"/>
    <xf numFmtId="0" fontId="10" fillId="14" borderId="3" xfId="29" applyFont="1" applyFill="1" applyBorder="1" applyAlignment="1">
      <alignment vertical="center" wrapText="1"/>
    </xf>
    <xf numFmtId="3" fontId="10" fillId="14" borderId="4" xfId="28" applyNumberFormat="1" applyFont="1" applyFill="1" applyBorder="1" applyAlignment="1" applyProtection="1">
      <alignment horizontal="center" vertical="center"/>
      <protection locked="0"/>
    </xf>
    <xf numFmtId="3" fontId="10" fillId="14" borderId="0" xfId="28" applyNumberFormat="1" applyFont="1" applyFill="1" applyBorder="1" applyAlignment="1" applyProtection="1">
      <alignment horizontal="center" vertical="center"/>
      <protection locked="0"/>
    </xf>
    <xf numFmtId="3" fontId="10" fillId="14" borderId="3" xfId="28" applyNumberFormat="1" applyFont="1" applyFill="1" applyBorder="1" applyAlignment="1" applyProtection="1">
      <alignment horizontal="center" vertical="center"/>
      <protection locked="0"/>
    </xf>
    <xf numFmtId="0" fontId="56" fillId="0" borderId="0" xfId="9" applyFont="1" applyAlignment="1">
      <alignment vertical="center"/>
    </xf>
    <xf numFmtId="168" fontId="10" fillId="0" borderId="28" xfId="12" applyNumberFormat="1" applyFont="1" applyFill="1" applyBorder="1" applyAlignment="1" applyProtection="1">
      <alignment horizontal="center" vertical="center"/>
      <protection locked="0"/>
    </xf>
    <xf numFmtId="168" fontId="10" fillId="0" borderId="20" xfId="12" applyNumberFormat="1" applyFont="1" applyFill="1" applyBorder="1" applyAlignment="1" applyProtection="1">
      <alignment horizontal="center" vertical="center"/>
      <protection locked="0"/>
    </xf>
    <xf numFmtId="168" fontId="10" fillId="0" borderId="21" xfId="12" applyNumberFormat="1" applyFont="1" applyFill="1" applyBorder="1" applyAlignment="1" applyProtection="1">
      <alignment horizontal="center" vertical="center"/>
      <protection locked="0"/>
    </xf>
    <xf numFmtId="168" fontId="10" fillId="21" borderId="0" xfId="12" applyNumberFormat="1" applyFont="1" applyFill="1" applyBorder="1" applyAlignment="1" applyProtection="1">
      <alignment horizontal="center" vertical="center"/>
      <protection locked="0"/>
    </xf>
    <xf numFmtId="168" fontId="10" fillId="0" borderId="0" xfId="12" applyNumberFormat="1" applyFont="1" applyFill="1" applyBorder="1" applyAlignment="1" applyProtection="1">
      <alignment horizontal="center" vertical="center"/>
      <protection locked="0"/>
    </xf>
    <xf numFmtId="168" fontId="10" fillId="3" borderId="21" xfId="12" applyNumberFormat="1" applyFont="1" applyFill="1" applyBorder="1" applyAlignment="1" applyProtection="1">
      <alignment horizontal="center" vertical="center"/>
      <protection locked="0"/>
    </xf>
    <xf numFmtId="168" fontId="10" fillId="15" borderId="28" xfId="12" applyNumberFormat="1" applyFont="1" applyFill="1" applyBorder="1" applyAlignment="1" applyProtection="1">
      <alignment horizontal="center" vertical="center"/>
      <protection locked="0"/>
    </xf>
    <xf numFmtId="168" fontId="10" fillId="15" borderId="20" xfId="12" applyNumberFormat="1" applyFont="1" applyFill="1" applyBorder="1" applyAlignment="1" applyProtection="1">
      <alignment horizontal="center" vertical="center"/>
      <protection locked="0"/>
    </xf>
    <xf numFmtId="168" fontId="10" fillId="15" borderId="21" xfId="12" applyNumberFormat="1" applyFont="1" applyFill="1" applyBorder="1" applyAlignment="1" applyProtection="1">
      <alignment horizontal="center" vertical="center"/>
      <protection locked="0"/>
    </xf>
    <xf numFmtId="0" fontId="10" fillId="0" borderId="20" xfId="15" applyFont="1" applyBorder="1"/>
    <xf numFmtId="3" fontId="4" fillId="0" borderId="20" xfId="1" applyNumberFormat="1" applyFont="1" applyBorder="1" applyAlignment="1">
      <alignment horizontal="center" vertical="center"/>
    </xf>
    <xf numFmtId="3" fontId="10" fillId="14" borderId="20" xfId="13" applyNumberFormat="1" applyFont="1" applyFill="1" applyBorder="1" applyAlignment="1" applyProtection="1">
      <alignment horizontal="center" vertical="center"/>
      <protection locked="0"/>
    </xf>
    <xf numFmtId="0" fontId="4" fillId="0" borderId="0" xfId="3" applyFont="1" applyAlignment="1">
      <alignment horizontal="left"/>
    </xf>
    <xf numFmtId="3" fontId="10" fillId="19" borderId="21" xfId="13" applyNumberFormat="1" applyFont="1" applyFill="1" applyBorder="1" applyAlignment="1" applyProtection="1">
      <alignment horizontal="center" vertical="center"/>
      <protection locked="0"/>
    </xf>
    <xf numFmtId="0" fontId="4" fillId="3" borderId="21" xfId="15" applyFont="1" applyFill="1" applyBorder="1" applyAlignment="1">
      <alignment vertical="center" wrapText="1"/>
    </xf>
    <xf numFmtId="0" fontId="12" fillId="4" borderId="21" xfId="5" applyFont="1" applyFill="1" applyBorder="1" applyAlignment="1">
      <alignment vertical="center" wrapText="1"/>
    </xf>
    <xf numFmtId="0" fontId="12" fillId="3" borderId="0" xfId="5" applyFont="1" applyAlignment="1">
      <alignment vertical="center" wrapText="1"/>
    </xf>
    <xf numFmtId="0" fontId="12" fillId="3" borderId="0" xfId="5" applyFont="1" applyAlignment="1">
      <alignment horizontal="center" vertical="center" wrapText="1"/>
    </xf>
    <xf numFmtId="167" fontId="10" fillId="14" borderId="0" xfId="16" applyNumberFormat="1" applyFont="1" applyFill="1" applyBorder="1" applyAlignment="1" applyProtection="1">
      <alignment horizontal="center" vertical="center"/>
      <protection locked="0"/>
    </xf>
    <xf numFmtId="167" fontId="12" fillId="8" borderId="0" xfId="16" applyNumberFormat="1" applyFont="1" applyFill="1" applyBorder="1" applyAlignment="1">
      <alignment horizontal="center" vertical="center"/>
    </xf>
    <xf numFmtId="167" fontId="10" fillId="0" borderId="0" xfId="16" applyNumberFormat="1" applyFont="1" applyBorder="1"/>
    <xf numFmtId="0" fontId="12" fillId="4" borderId="0" xfId="5" quotePrefix="1" applyFont="1" applyFill="1" applyAlignment="1">
      <alignment horizontal="center" vertical="center"/>
    </xf>
    <xf numFmtId="0" fontId="12" fillId="4" borderId="3" xfId="5" quotePrefix="1" applyFont="1" applyFill="1" applyBorder="1" applyAlignment="1">
      <alignment horizontal="center" vertical="center"/>
    </xf>
    <xf numFmtId="3" fontId="10" fillId="5" borderId="21" xfId="2" applyNumberFormat="1" applyFont="1" applyFill="1" applyBorder="1" applyAlignment="1" applyProtection="1">
      <alignment horizontal="center" vertical="center"/>
      <protection locked="0"/>
    </xf>
    <xf numFmtId="3" fontId="4" fillId="0" borderId="21" xfId="1" applyNumberFormat="1" applyFont="1" applyBorder="1" applyAlignment="1">
      <alignment horizontal="center" vertical="center"/>
    </xf>
    <xf numFmtId="167" fontId="11" fillId="3" borderId="21" xfId="16" applyNumberFormat="1" applyFont="1" applyFill="1" applyBorder="1" applyAlignment="1">
      <alignment horizontal="center" vertical="center"/>
    </xf>
    <xf numFmtId="3" fontId="12" fillId="5" borderId="21" xfId="5" applyNumberFormat="1" applyFont="1" applyFill="1" applyBorder="1" applyAlignment="1">
      <alignment horizontal="center" vertical="center"/>
    </xf>
    <xf numFmtId="0" fontId="17" fillId="0" borderId="21" xfId="15" applyFont="1" applyBorder="1"/>
    <xf numFmtId="0" fontId="11" fillId="0" borderId="21" xfId="21" applyFont="1" applyFill="1" applyBorder="1" applyAlignment="1">
      <alignment vertical="center"/>
    </xf>
    <xf numFmtId="0" fontId="10" fillId="0" borderId="21" xfId="2" applyFont="1" applyBorder="1" applyAlignment="1">
      <alignment vertical="center"/>
    </xf>
    <xf numFmtId="167" fontId="10" fillId="0" borderId="21" xfId="16" applyNumberFormat="1" applyFont="1" applyBorder="1" applyAlignment="1">
      <alignment horizontal="center" vertical="center"/>
    </xf>
    <xf numFmtId="167" fontId="11" fillId="0" borderId="21" xfId="16" applyNumberFormat="1" applyFont="1" applyBorder="1" applyAlignment="1">
      <alignment horizontal="center" vertical="center"/>
    </xf>
    <xf numFmtId="3" fontId="12" fillId="45" borderId="21" xfId="13" applyNumberFormat="1" applyFont="1" applyFill="1" applyBorder="1" applyAlignment="1" applyProtection="1">
      <alignment horizontal="center" vertical="center"/>
      <protection locked="0"/>
    </xf>
    <xf numFmtId="3" fontId="10" fillId="3" borderId="21" xfId="2" applyNumberFormat="1" applyFont="1" applyFill="1" applyBorder="1" applyAlignment="1" applyProtection="1">
      <alignment horizontal="center" vertical="center"/>
      <protection locked="0"/>
    </xf>
    <xf numFmtId="3" fontId="4" fillId="0" borderId="0" xfId="16" applyNumberFormat="1" applyFont="1" applyBorder="1" applyAlignment="1" applyProtection="1">
      <alignment horizontal="center" vertical="center"/>
      <protection locked="0"/>
    </xf>
    <xf numFmtId="0" fontId="12" fillId="4" borderId="20" xfId="5" applyFont="1" applyFill="1" applyBorder="1" applyAlignment="1">
      <alignment vertical="center" wrapText="1"/>
    </xf>
    <xf numFmtId="168" fontId="12" fillId="7" borderId="20" xfId="5" applyNumberFormat="1" applyFont="1" applyFill="1" applyBorder="1" applyAlignment="1">
      <alignment horizontal="left" vertical="center"/>
    </xf>
    <xf numFmtId="0" fontId="4" fillId="5" borderId="20" xfId="16" applyNumberFormat="1" applyFont="1" applyFill="1" applyBorder="1" applyAlignment="1" applyProtection="1">
      <alignment horizontal="left" vertical="center"/>
      <protection locked="0"/>
    </xf>
    <xf numFmtId="0" fontId="10" fillId="3" borderId="20" xfId="16" applyNumberFormat="1" applyFont="1" applyFill="1" applyBorder="1" applyAlignment="1" applyProtection="1">
      <alignment horizontal="left" vertical="center"/>
      <protection locked="0"/>
    </xf>
    <xf numFmtId="0" fontId="4" fillId="0" borderId="20" xfId="15" applyFont="1" applyBorder="1" applyAlignment="1">
      <alignment horizontal="left"/>
    </xf>
    <xf numFmtId="0" fontId="10" fillId="0" borderId="20" xfId="16" applyNumberFormat="1" applyFont="1" applyBorder="1" applyAlignment="1" applyProtection="1">
      <alignment horizontal="left" vertical="center"/>
      <protection locked="0"/>
    </xf>
    <xf numFmtId="167" fontId="11" fillId="3" borderId="20" xfId="16" applyNumberFormat="1" applyFont="1" applyFill="1" applyBorder="1" applyAlignment="1" applyProtection="1">
      <alignment horizontal="left" vertical="center"/>
      <protection locked="0"/>
    </xf>
    <xf numFmtId="3" fontId="12" fillId="11" borderId="20" xfId="13" applyNumberFormat="1" applyFont="1" applyFill="1" applyBorder="1" applyAlignment="1" applyProtection="1">
      <alignment horizontal="left" vertical="center"/>
      <protection locked="0"/>
    </xf>
    <xf numFmtId="167" fontId="12" fillId="11" borderId="20" xfId="16" applyNumberFormat="1" applyFont="1" applyFill="1" applyBorder="1" applyAlignment="1" applyProtection="1">
      <alignment horizontal="left" vertical="center"/>
      <protection locked="0"/>
    </xf>
    <xf numFmtId="3" fontId="17" fillId="6" borderId="20" xfId="13" applyNumberFormat="1" applyFont="1" applyFill="1" applyBorder="1" applyAlignment="1" applyProtection="1">
      <alignment horizontal="left" vertical="center"/>
      <protection locked="0"/>
    </xf>
    <xf numFmtId="167" fontId="17" fillId="6" borderId="20" xfId="16" applyNumberFormat="1" applyFont="1" applyFill="1" applyBorder="1" applyAlignment="1" applyProtection="1">
      <alignment horizontal="left" vertical="center"/>
      <protection locked="0"/>
    </xf>
    <xf numFmtId="0" fontId="4" fillId="0" borderId="20" xfId="1" applyFont="1" applyBorder="1"/>
    <xf numFmtId="3" fontId="11" fillId="9" borderId="21" xfId="13" applyNumberFormat="1" applyFont="1" applyBorder="1" applyAlignment="1" applyProtection="1">
      <alignment horizontal="center" vertical="center"/>
      <protection locked="0"/>
    </xf>
    <xf numFmtId="168" fontId="17" fillId="5" borderId="20" xfId="22" applyNumberFormat="1" applyFont="1" applyFill="1" applyBorder="1" applyAlignment="1" applyProtection="1">
      <alignment horizontal="center" vertical="center" wrapText="1"/>
      <protection locked="0"/>
    </xf>
    <xf numFmtId="3" fontId="11" fillId="9" borderId="0" xfId="13" applyNumberFormat="1" applyFont="1" applyBorder="1" applyAlignment="1" applyProtection="1">
      <alignment horizontal="center" vertical="center"/>
      <protection locked="0"/>
    </xf>
    <xf numFmtId="0" fontId="5" fillId="3" borderId="0" xfId="1" quotePrefix="1" applyFont="1" applyFill="1"/>
    <xf numFmtId="4" fontId="4" fillId="0" borderId="0" xfId="2" quotePrefix="1" applyNumberFormat="1" applyFont="1" applyAlignment="1">
      <alignment horizontal="center"/>
    </xf>
    <xf numFmtId="0" fontId="38" fillId="34" borderId="70" xfId="47" quotePrefix="1" applyNumberFormat="1" applyAlignment="1"/>
    <xf numFmtId="0" fontId="39" fillId="32" borderId="70" xfId="45" quotePrefix="1" applyNumberFormat="1" applyAlignment="1"/>
    <xf numFmtId="0" fontId="39" fillId="28" borderId="70" xfId="40" quotePrefix="1" applyNumberFormat="1" applyAlignment="1"/>
    <xf numFmtId="0" fontId="39" fillId="27" borderId="70" xfId="39" quotePrefix="1" applyNumberFormat="1" applyAlignment="1"/>
    <xf numFmtId="0" fontId="39" fillId="30" borderId="70" xfId="42" quotePrefix="1" applyNumberFormat="1" applyAlignment="1"/>
    <xf numFmtId="0" fontId="40" fillId="31" borderId="70" xfId="44" quotePrefix="1" applyAlignment="1"/>
    <xf numFmtId="0" fontId="40" fillId="31" borderId="70" xfId="43" quotePrefix="1" applyNumberFormat="1">
      <alignment vertical="center"/>
    </xf>
    <xf numFmtId="168" fontId="17" fillId="7" borderId="29" xfId="5" applyNumberFormat="1" applyFont="1" applyFill="1" applyBorder="1" applyAlignment="1">
      <alignment horizontal="left" vertical="center"/>
    </xf>
    <xf numFmtId="3" fontId="10" fillId="5" borderId="84" xfId="13" applyNumberFormat="1" applyFont="1" applyFill="1" applyBorder="1" applyAlignment="1" applyProtection="1">
      <alignment horizontal="center" vertical="center"/>
      <protection locked="0"/>
    </xf>
    <xf numFmtId="3" fontId="10" fillId="6" borderId="0" xfId="13" applyNumberFormat="1" applyFont="1" applyFill="1" applyBorder="1" applyAlignment="1" applyProtection="1">
      <alignment horizontal="center" vertical="center"/>
      <protection locked="0"/>
    </xf>
    <xf numFmtId="0" fontId="12" fillId="3" borderId="0" xfId="15" quotePrefix="1" applyFont="1" applyFill="1" applyAlignment="1">
      <alignment horizontal="center"/>
    </xf>
    <xf numFmtId="0" fontId="10" fillId="3" borderId="26" xfId="15" applyFont="1" applyFill="1" applyBorder="1"/>
    <xf numFmtId="3" fontId="12" fillId="7" borderId="26" xfId="5" applyNumberFormat="1" applyFont="1" applyFill="1" applyBorder="1" applyAlignment="1">
      <alignment horizontal="center" vertical="center"/>
    </xf>
    <xf numFmtId="3" fontId="10" fillId="3" borderId="86" xfId="13" applyNumberFormat="1" applyFont="1" applyFill="1" applyBorder="1" applyAlignment="1" applyProtection="1">
      <alignment horizontal="center" vertical="center"/>
      <protection locked="0"/>
    </xf>
    <xf numFmtId="3" fontId="10" fillId="6" borderId="86" xfId="13" applyNumberFormat="1" applyFont="1" applyFill="1" applyBorder="1" applyAlignment="1" applyProtection="1">
      <alignment horizontal="center" vertical="center"/>
      <protection locked="0"/>
    </xf>
    <xf numFmtId="168" fontId="12" fillId="7" borderId="26" xfId="5" applyNumberFormat="1" applyFont="1" applyFill="1" applyBorder="1" applyAlignment="1">
      <alignment horizontal="center" vertical="center"/>
    </xf>
    <xf numFmtId="0" fontId="10" fillId="3" borderId="0" xfId="15" quotePrefix="1" applyFont="1" applyFill="1"/>
    <xf numFmtId="167" fontId="10" fillId="15" borderId="0" xfId="78" applyNumberFormat="1" applyFont="1" applyFill="1" applyBorder="1" applyAlignment="1" applyProtection="1">
      <alignment horizontal="center" vertical="center"/>
      <protection locked="0"/>
    </xf>
    <xf numFmtId="3" fontId="33" fillId="6" borderId="62" xfId="32" quotePrefix="1" applyNumberFormat="1" applyFont="1" applyFill="1" applyBorder="1" applyAlignment="1" applyProtection="1">
      <alignment vertical="center"/>
    </xf>
    <xf numFmtId="3" fontId="33" fillId="6" borderId="67" xfId="30" quotePrefix="1" applyNumberFormat="1" applyFont="1" applyFill="1" applyBorder="1" applyAlignment="1" applyProtection="1">
      <alignment vertical="center"/>
    </xf>
    <xf numFmtId="3" fontId="33" fillId="6" borderId="58" xfId="30" quotePrefix="1" applyNumberFormat="1" applyFont="1" applyFill="1" applyBorder="1" applyAlignment="1" applyProtection="1">
      <alignment vertical="center"/>
    </xf>
    <xf numFmtId="3" fontId="33" fillId="6" borderId="56" xfId="32" quotePrefix="1" applyNumberFormat="1" applyFont="1" applyFill="1" applyBorder="1" applyAlignment="1" applyProtection="1">
      <alignment vertical="center"/>
    </xf>
    <xf numFmtId="3" fontId="33" fillId="6" borderId="51" xfId="32" quotePrefix="1" applyNumberFormat="1" applyFont="1" applyFill="1" applyBorder="1" applyAlignment="1" applyProtection="1">
      <alignment vertical="center"/>
    </xf>
    <xf numFmtId="3" fontId="33" fillId="6" borderId="65" xfId="32" quotePrefix="1" applyNumberFormat="1" applyFont="1" applyFill="1" applyBorder="1" applyAlignment="1" applyProtection="1">
      <alignment vertical="center"/>
    </xf>
    <xf numFmtId="3" fontId="33" fillId="6" borderId="67" xfId="32" quotePrefix="1" applyNumberFormat="1" applyFont="1" applyFill="1" applyBorder="1" applyAlignment="1" applyProtection="1">
      <alignment vertical="center"/>
    </xf>
    <xf numFmtId="3" fontId="33" fillId="6" borderId="58" xfId="32" quotePrefix="1" applyNumberFormat="1" applyFont="1" applyFill="1" applyBorder="1" applyAlignment="1" applyProtection="1">
      <alignment vertical="center"/>
    </xf>
    <xf numFmtId="3" fontId="33" fillId="6" borderId="63" xfId="32" quotePrefix="1" applyNumberFormat="1" applyFont="1" applyFill="1" applyBorder="1" applyAlignment="1" applyProtection="1">
      <alignment vertical="center"/>
    </xf>
    <xf numFmtId="3" fontId="33" fillId="6" borderId="61" xfId="32" quotePrefix="1" applyNumberFormat="1" applyFont="1" applyFill="1" applyBorder="1" applyAlignment="1" applyProtection="1">
      <alignment vertical="center"/>
    </xf>
    <xf numFmtId="37" fontId="37" fillId="0" borderId="68" xfId="37" applyNumberFormat="1">
      <alignment horizontal="right" vertical="center"/>
    </xf>
    <xf numFmtId="37" fontId="37" fillId="0" borderId="87" xfId="37" applyNumberFormat="1" applyBorder="1">
      <alignment horizontal="right" vertical="center"/>
    </xf>
    <xf numFmtId="37" fontId="37" fillId="0" borderId="71" xfId="37" applyNumberFormat="1" applyBorder="1">
      <alignment horizontal="right" vertical="center"/>
    </xf>
    <xf numFmtId="37" fontId="37" fillId="0" borderId="88" xfId="37" applyNumberFormat="1" applyBorder="1">
      <alignment horizontal="right" vertical="center"/>
    </xf>
    <xf numFmtId="0" fontId="37" fillId="33" borderId="71" xfId="46" applyNumberFormat="1" applyBorder="1" applyAlignment="1"/>
    <xf numFmtId="0" fontId="37" fillId="33" borderId="88" xfId="46" applyNumberFormat="1" applyBorder="1" applyAlignment="1"/>
    <xf numFmtId="0" fontId="37" fillId="33" borderId="68" xfId="46" quotePrefix="1" applyNumberFormat="1" applyAlignment="1"/>
    <xf numFmtId="0" fontId="39" fillId="29" borderId="68" xfId="41" quotePrefix="1" applyNumberFormat="1" applyAlignment="1"/>
    <xf numFmtId="0" fontId="37" fillId="33" borderId="87" xfId="46" quotePrefix="1" applyNumberFormat="1" applyBorder="1" applyAlignment="1"/>
    <xf numFmtId="0" fontId="28" fillId="0" borderId="0" xfId="0" applyFont="1" applyProtection="1">
      <protection locked="0"/>
    </xf>
    <xf numFmtId="0" fontId="28" fillId="0" borderId="0" xfId="0" applyFont="1"/>
    <xf numFmtId="0" fontId="28" fillId="6" borderId="56" xfId="30" quotePrefix="1" applyFont="1" applyFill="1" applyBorder="1" applyAlignment="1" applyProtection="1">
      <alignment vertical="center"/>
    </xf>
    <xf numFmtId="0" fontId="28" fillId="0" borderId="56" xfId="30" quotePrefix="1" applyFont="1" applyFill="1" applyBorder="1" applyAlignment="1" applyProtection="1">
      <alignment vertical="center"/>
    </xf>
    <xf numFmtId="0" fontId="28" fillId="0" borderId="0" xfId="32" quotePrefix="1" applyFont="1" applyFill="1" applyBorder="1">
      <alignment horizontal="left" vertical="center" indent="1"/>
    </xf>
    <xf numFmtId="0" fontId="28" fillId="0" borderId="0" xfId="31" quotePrefix="1" applyFont="1" applyFill="1" applyBorder="1">
      <alignment horizontal="left" vertical="center" indent="1"/>
    </xf>
    <xf numFmtId="0" fontId="28" fillId="0" borderId="0" xfId="31" applyFont="1" applyFill="1" applyBorder="1">
      <alignment horizontal="left" vertical="center" indent="1"/>
    </xf>
    <xf numFmtId="2" fontId="28" fillId="0" borderId="0" xfId="2" applyNumberFormat="1" applyFont="1" applyAlignment="1">
      <alignment horizontal="center"/>
    </xf>
    <xf numFmtId="3" fontId="12" fillId="7" borderId="21" xfId="5" applyNumberFormat="1" applyFont="1" applyFill="1" applyBorder="1" applyAlignment="1">
      <alignment horizontal="center" vertical="center" wrapText="1"/>
    </xf>
    <xf numFmtId="3" fontId="33" fillId="6" borderId="89" xfId="32" quotePrefix="1" applyNumberFormat="1" applyFont="1" applyFill="1" applyBorder="1" applyAlignment="1" applyProtection="1">
      <alignment vertical="center"/>
    </xf>
    <xf numFmtId="3" fontId="33" fillId="6" borderId="90" xfId="32" quotePrefix="1" applyNumberFormat="1" applyFont="1" applyFill="1" applyBorder="1" applyAlignment="1" applyProtection="1">
      <alignment vertical="center"/>
    </xf>
    <xf numFmtId="0" fontId="28" fillId="0" borderId="63" xfId="30" quotePrefix="1" applyFont="1" applyFill="1" applyBorder="1" applyAlignment="1" applyProtection="1">
      <alignment vertical="center"/>
    </xf>
    <xf numFmtId="3" fontId="33" fillId="6" borderId="66" xfId="32" quotePrefix="1" applyNumberFormat="1" applyFont="1" applyFill="1" applyBorder="1" applyAlignment="1" applyProtection="1">
      <alignment vertical="center"/>
    </xf>
    <xf numFmtId="3" fontId="4" fillId="0" borderId="0" xfId="15" applyNumberFormat="1" applyFont="1"/>
    <xf numFmtId="167" fontId="4" fillId="0" borderId="0" xfId="15" applyNumberFormat="1" applyFont="1"/>
    <xf numFmtId="3" fontId="22" fillId="0" borderId="0" xfId="15" applyNumberFormat="1" applyFont="1" applyAlignment="1">
      <alignment vertical="center" wrapText="1"/>
    </xf>
    <xf numFmtId="0" fontId="57" fillId="0" borderId="0" xfId="15" applyFont="1"/>
    <xf numFmtId="0" fontId="57" fillId="21" borderId="0" xfId="15" applyFont="1" applyFill="1"/>
    <xf numFmtId="3" fontId="57" fillId="0" borderId="0" xfId="15" applyNumberFormat="1" applyFont="1"/>
    <xf numFmtId="0" fontId="57" fillId="0" borderId="45" xfId="15" applyFont="1" applyBorder="1"/>
    <xf numFmtId="0" fontId="57" fillId="21" borderId="45" xfId="15" applyFont="1" applyFill="1" applyBorder="1"/>
    <xf numFmtId="3" fontId="57" fillId="0" borderId="45" xfId="15" applyNumberFormat="1" applyFont="1" applyBorder="1"/>
    <xf numFmtId="0" fontId="58" fillId="0" borderId="0" xfId="0" applyFont="1"/>
    <xf numFmtId="0" fontId="58" fillId="0" borderId="45" xfId="0" applyFont="1" applyBorder="1"/>
    <xf numFmtId="168" fontId="12" fillId="0" borderId="0" xfId="23" applyFont="1" applyFill="1" applyBorder="1">
      <alignment vertical="center"/>
    </xf>
    <xf numFmtId="168" fontId="12" fillId="0" borderId="21" xfId="23" applyFont="1" applyFill="1" applyBorder="1">
      <alignment vertical="center"/>
    </xf>
    <xf numFmtId="3" fontId="12" fillId="0" borderId="28" xfId="12" applyNumberFormat="1" applyFont="1" applyFill="1" applyBorder="1" applyAlignment="1" applyProtection="1">
      <alignment horizontal="center" vertical="center"/>
      <protection locked="0"/>
    </xf>
    <xf numFmtId="3" fontId="12" fillId="0" borderId="20" xfId="12" applyNumberFormat="1" applyFont="1" applyFill="1" applyBorder="1" applyAlignment="1" applyProtection="1">
      <alignment horizontal="center" vertical="center"/>
      <protection locked="0"/>
    </xf>
    <xf numFmtId="3" fontId="12" fillId="0" borderId="21" xfId="12" applyNumberFormat="1" applyFont="1" applyFill="1" applyBorder="1" applyAlignment="1" applyProtection="1">
      <alignment horizontal="center" vertical="center"/>
      <protection locked="0"/>
    </xf>
    <xf numFmtId="3" fontId="12" fillId="0" borderId="0" xfId="12" applyNumberFormat="1" applyFont="1" applyFill="1" applyBorder="1" applyAlignment="1" applyProtection="1">
      <alignment horizontal="center" vertical="center"/>
      <protection locked="0"/>
    </xf>
    <xf numFmtId="0" fontId="5" fillId="0" borderId="0" xfId="2" applyFont="1" applyAlignment="1">
      <alignment horizontal="left" wrapText="1"/>
    </xf>
    <xf numFmtId="168" fontId="12" fillId="0" borderId="0" xfId="23" applyFont="1" applyFill="1" applyBorder="1" applyAlignment="1">
      <alignment vertical="top"/>
    </xf>
    <xf numFmtId="3" fontId="12" fillId="3" borderId="20" xfId="12" applyNumberFormat="1" applyFont="1" applyFill="1" applyBorder="1" applyAlignment="1" applyProtection="1">
      <alignment horizontal="center" vertical="center"/>
      <protection locked="0"/>
    </xf>
    <xf numFmtId="3" fontId="12" fillId="0" borderId="0" xfId="15" applyNumberFormat="1" applyFont="1" applyAlignment="1">
      <alignment horizontal="left" vertical="center" indent="1"/>
    </xf>
    <xf numFmtId="3" fontId="12" fillId="0" borderId="28" xfId="23" applyNumberFormat="1" applyFont="1" applyFill="1" applyBorder="1" applyAlignment="1">
      <alignment horizontal="center" vertical="center"/>
    </xf>
    <xf numFmtId="3" fontId="12" fillId="0" borderId="20" xfId="23" applyNumberFormat="1" applyFont="1" applyFill="1" applyBorder="1" applyAlignment="1">
      <alignment horizontal="center" vertical="center"/>
    </xf>
    <xf numFmtId="3" fontId="12" fillId="0" borderId="21" xfId="23" applyNumberFormat="1" applyFont="1" applyFill="1" applyBorder="1" applyAlignment="1">
      <alignment horizontal="center" vertical="center"/>
    </xf>
    <xf numFmtId="3" fontId="12" fillId="0" borderId="0" xfId="23" applyNumberFormat="1" applyFont="1" applyFill="1" applyBorder="1" applyAlignment="1">
      <alignment horizontal="center" vertical="center"/>
    </xf>
    <xf numFmtId="3" fontId="11" fillId="0" borderId="28" xfId="12" applyNumberFormat="1" applyFont="1" applyFill="1" applyBorder="1" applyAlignment="1" applyProtection="1">
      <alignment horizontal="center" vertical="center"/>
      <protection locked="0"/>
    </xf>
    <xf numFmtId="3" fontId="11" fillId="0" borderId="20" xfId="12" applyNumberFormat="1" applyFont="1" applyFill="1" applyBorder="1" applyAlignment="1" applyProtection="1">
      <alignment horizontal="center" vertical="center"/>
      <protection locked="0"/>
    </xf>
    <xf numFmtId="3" fontId="11" fillId="0" borderId="21" xfId="12" applyNumberFormat="1" applyFont="1" applyFill="1" applyBorder="1" applyAlignment="1" applyProtection="1">
      <alignment horizontal="center" vertical="center"/>
      <protection locked="0"/>
    </xf>
    <xf numFmtId="3" fontId="11" fillId="0" borderId="0" xfId="12" applyNumberFormat="1" applyFont="1" applyFill="1" applyBorder="1" applyAlignment="1" applyProtection="1">
      <alignment horizontal="center" vertical="center"/>
      <protection locked="0"/>
    </xf>
    <xf numFmtId="3" fontId="11" fillId="3" borderId="28" xfId="12" applyNumberFormat="1" applyFont="1" applyFill="1" applyBorder="1" applyAlignment="1" applyProtection="1">
      <alignment horizontal="center" vertical="center"/>
      <protection locked="0"/>
    </xf>
    <xf numFmtId="3" fontId="11" fillId="3" borderId="20" xfId="12" applyNumberFormat="1" applyFont="1" applyFill="1" applyBorder="1" applyAlignment="1" applyProtection="1">
      <alignment horizontal="center" vertical="center"/>
      <protection locked="0"/>
    </xf>
    <xf numFmtId="3" fontId="11" fillId="3" borderId="21" xfId="12" applyNumberFormat="1" applyFont="1" applyFill="1" applyBorder="1" applyAlignment="1" applyProtection="1">
      <alignment horizontal="center" vertical="center"/>
      <protection locked="0"/>
    </xf>
    <xf numFmtId="3" fontId="11" fillId="3" borderId="0" xfId="12" applyNumberFormat="1" applyFont="1" applyFill="1" applyBorder="1" applyAlignment="1" applyProtection="1">
      <alignment horizontal="center" vertical="center"/>
      <protection locked="0"/>
    </xf>
    <xf numFmtId="3" fontId="11" fillId="3" borderId="28" xfId="23" applyNumberFormat="1" applyFont="1" applyFill="1" applyBorder="1" applyAlignment="1">
      <alignment horizontal="center" vertical="center"/>
    </xf>
    <xf numFmtId="3" fontId="11" fillId="3" borderId="20" xfId="23" applyNumberFormat="1" applyFont="1" applyFill="1" applyBorder="1" applyAlignment="1">
      <alignment horizontal="center" vertical="center"/>
    </xf>
    <xf numFmtId="3" fontId="11" fillId="3" borderId="21" xfId="23" applyNumberFormat="1" applyFont="1" applyFill="1" applyBorder="1" applyAlignment="1">
      <alignment horizontal="center" vertical="center"/>
    </xf>
    <xf numFmtId="3" fontId="11" fillId="3" borderId="0" xfId="23" applyNumberFormat="1" applyFont="1" applyFill="1" applyBorder="1" applyAlignment="1">
      <alignment horizontal="center" vertical="center"/>
    </xf>
    <xf numFmtId="3" fontId="5" fillId="3" borderId="21" xfId="23" applyNumberFormat="1" applyFont="1" applyFill="1" applyBorder="1" applyAlignment="1">
      <alignment horizontal="center" vertical="center"/>
    </xf>
    <xf numFmtId="0" fontId="17" fillId="7" borderId="0" xfId="5" applyFont="1" applyFill="1" applyAlignment="1">
      <alignment horizontal="left" vertical="center"/>
    </xf>
    <xf numFmtId="0" fontId="10" fillId="0" borderId="0" xfId="16" applyNumberFormat="1" applyFont="1" applyFill="1" applyBorder="1" applyAlignment="1">
      <alignment horizontal="left" vertical="center"/>
    </xf>
    <xf numFmtId="3" fontId="10" fillId="0" borderId="0" xfId="15" applyNumberFormat="1" applyFont="1" applyAlignment="1">
      <alignment horizontal="center" vertical="center"/>
    </xf>
    <xf numFmtId="0" fontId="10" fillId="3" borderId="0" xfId="19" applyNumberFormat="1" applyFont="1" applyFill="1" applyBorder="1" applyAlignment="1">
      <alignment horizontal="left" vertical="center"/>
    </xf>
    <xf numFmtId="167" fontId="10" fillId="5" borderId="21" xfId="78" applyNumberFormat="1" applyFont="1" applyFill="1" applyBorder="1" applyAlignment="1" applyProtection="1">
      <alignment horizontal="center" vertical="center"/>
      <protection locked="0"/>
    </xf>
    <xf numFmtId="167" fontId="10" fillId="3" borderId="21" xfId="78" applyNumberFormat="1" applyFont="1" applyFill="1" applyBorder="1" applyAlignment="1" applyProtection="1">
      <alignment horizontal="center" vertical="center"/>
      <protection locked="0"/>
    </xf>
    <xf numFmtId="168" fontId="17" fillId="7" borderId="3" xfId="5" applyNumberFormat="1" applyFont="1" applyFill="1" applyBorder="1" applyAlignment="1">
      <alignment horizontal="left" vertical="center"/>
    </xf>
    <xf numFmtId="3" fontId="17" fillId="7" borderId="0" xfId="5" applyNumberFormat="1" applyFont="1" applyFill="1" applyAlignment="1">
      <alignment horizontal="center" vertical="center"/>
    </xf>
    <xf numFmtId="3" fontId="17" fillId="7" borderId="26" xfId="5" applyNumberFormat="1" applyFont="1" applyFill="1" applyBorder="1" applyAlignment="1">
      <alignment horizontal="center" vertical="center"/>
    </xf>
    <xf numFmtId="3" fontId="17" fillId="7" borderId="3" xfId="5" applyNumberFormat="1" applyFont="1" applyFill="1" applyBorder="1" applyAlignment="1">
      <alignment horizontal="center" vertical="center"/>
    </xf>
    <xf numFmtId="3" fontId="10" fillId="3" borderId="16" xfId="13" applyNumberFormat="1" applyFont="1" applyFill="1" applyBorder="1" applyAlignment="1" applyProtection="1">
      <alignment horizontal="left" vertical="center"/>
      <protection locked="0"/>
    </xf>
    <xf numFmtId="3" fontId="10" fillId="6" borderId="16" xfId="13" applyNumberFormat="1" applyFont="1" applyFill="1" applyBorder="1" applyAlignment="1" applyProtection="1">
      <alignment horizontal="left" vertical="center"/>
      <protection locked="0"/>
    </xf>
    <xf numFmtId="168" fontId="17" fillId="7" borderId="78" xfId="5" applyNumberFormat="1" applyFont="1" applyFill="1" applyBorder="1" applyAlignment="1">
      <alignment horizontal="left" vertical="center"/>
    </xf>
    <xf numFmtId="3" fontId="10" fillId="5" borderId="79" xfId="13" applyNumberFormat="1" applyFont="1" applyFill="1" applyBorder="1" applyAlignment="1" applyProtection="1">
      <alignment horizontal="center" vertical="center"/>
      <protection locked="0"/>
    </xf>
    <xf numFmtId="168" fontId="17" fillId="7" borderId="81" xfId="5" applyNumberFormat="1" applyFont="1" applyFill="1" applyBorder="1" applyAlignment="1">
      <alignment horizontal="left" vertical="center"/>
    </xf>
    <xf numFmtId="3" fontId="10" fillId="5" borderId="82" xfId="13" applyNumberFormat="1" applyFont="1" applyFill="1" applyBorder="1" applyAlignment="1" applyProtection="1">
      <alignment horizontal="center" vertical="center"/>
      <protection locked="0"/>
    </xf>
    <xf numFmtId="3" fontId="10" fillId="5" borderId="83" xfId="13" applyNumberFormat="1" applyFont="1" applyFill="1" applyBorder="1" applyAlignment="1" applyProtection="1">
      <alignment horizontal="center" vertical="center"/>
      <protection locked="0"/>
    </xf>
    <xf numFmtId="3" fontId="10" fillId="5" borderId="80" xfId="13" applyNumberFormat="1" applyFont="1" applyFill="1" applyBorder="1" applyAlignment="1" applyProtection="1">
      <alignment horizontal="center" vertical="center"/>
      <protection locked="0"/>
    </xf>
    <xf numFmtId="3" fontId="10" fillId="5" borderId="85" xfId="13" applyNumberFormat="1" applyFont="1" applyFill="1" applyBorder="1" applyAlignment="1" applyProtection="1">
      <alignment horizontal="center" vertical="center"/>
      <protection locked="0"/>
    </xf>
    <xf numFmtId="3" fontId="17" fillId="7" borderId="83" xfId="5" applyNumberFormat="1" applyFont="1" applyFill="1" applyBorder="1" applyAlignment="1">
      <alignment horizontal="center" vertical="center"/>
    </xf>
    <xf numFmtId="168" fontId="17" fillId="7" borderId="21" xfId="5" applyNumberFormat="1" applyFont="1" applyFill="1" applyBorder="1" applyAlignment="1">
      <alignment horizontal="left" vertical="center"/>
    </xf>
    <xf numFmtId="167" fontId="17" fillId="7" borderId="28" xfId="5" applyNumberFormat="1" applyFont="1" applyFill="1" applyBorder="1" applyAlignment="1">
      <alignment horizontal="center" vertical="center"/>
    </xf>
    <xf numFmtId="167" fontId="17" fillId="7" borderId="20" xfId="5" applyNumberFormat="1" applyFont="1" applyFill="1" applyBorder="1" applyAlignment="1">
      <alignment horizontal="center" vertical="center"/>
    </xf>
    <xf numFmtId="167" fontId="17" fillId="7" borderId="21" xfId="5" applyNumberFormat="1" applyFont="1" applyFill="1" applyBorder="1" applyAlignment="1">
      <alignment horizontal="center" vertical="center"/>
    </xf>
    <xf numFmtId="167" fontId="17" fillId="7" borderId="0" xfId="5" applyNumberFormat="1" applyFont="1" applyFill="1" applyAlignment="1">
      <alignment horizontal="center" vertical="center"/>
    </xf>
    <xf numFmtId="167" fontId="10" fillId="7" borderId="28" xfId="5" applyNumberFormat="1" applyFont="1" applyFill="1" applyBorder="1" applyAlignment="1">
      <alignment horizontal="center" vertical="center"/>
    </xf>
    <xf numFmtId="167" fontId="10" fillId="7" borderId="20" xfId="5" applyNumberFormat="1" applyFont="1" applyFill="1" applyBorder="1" applyAlignment="1">
      <alignment horizontal="center" vertical="center"/>
    </xf>
    <xf numFmtId="167" fontId="10" fillId="7" borderId="21" xfId="5" applyNumberFormat="1" applyFont="1" applyFill="1" applyBorder="1" applyAlignment="1">
      <alignment horizontal="center" vertical="center"/>
    </xf>
    <xf numFmtId="167" fontId="10" fillId="7" borderId="0" xfId="5" applyNumberFormat="1" applyFont="1" applyFill="1" applyAlignment="1">
      <alignment horizontal="center" vertical="center"/>
    </xf>
    <xf numFmtId="3" fontId="17" fillId="7" borderId="20" xfId="14" applyNumberFormat="1" applyFont="1" applyFill="1" applyBorder="1" applyAlignment="1" applyProtection="1">
      <alignment horizontal="left" vertical="center"/>
      <protection locked="0"/>
    </xf>
    <xf numFmtId="3" fontId="10" fillId="3" borderId="20" xfId="16" applyNumberFormat="1" applyFont="1" applyFill="1" applyBorder="1" applyAlignment="1" applyProtection="1">
      <alignment horizontal="left" vertical="center"/>
      <protection locked="0"/>
    </xf>
    <xf numFmtId="3" fontId="17" fillId="16" borderId="20" xfId="12" applyNumberFormat="1" applyFont="1" applyFill="1" applyBorder="1" applyAlignment="1" applyProtection="1">
      <alignment horizontal="left" vertical="center"/>
      <protection locked="0"/>
    </xf>
    <xf numFmtId="0" fontId="59" fillId="0" borderId="0" xfId="2" applyFont="1"/>
    <xf numFmtId="167" fontId="17" fillId="8" borderId="3" xfId="16" applyNumberFormat="1" applyFont="1" applyFill="1" applyBorder="1" applyAlignment="1">
      <alignment horizontal="center" vertical="center"/>
    </xf>
    <xf numFmtId="0" fontId="17" fillId="8" borderId="4" xfId="2" applyFont="1" applyFill="1" applyBorder="1" applyAlignment="1">
      <alignment horizontal="center" vertical="center"/>
    </xf>
    <xf numFmtId="0" fontId="60" fillId="8" borderId="4" xfId="2" applyFont="1" applyFill="1" applyBorder="1" applyAlignment="1">
      <alignment horizontal="center" vertical="center"/>
    </xf>
    <xf numFmtId="0" fontId="4" fillId="8" borderId="3" xfId="15" applyFont="1" applyFill="1" applyBorder="1" applyAlignment="1">
      <alignment vertical="center"/>
    </xf>
    <xf numFmtId="167" fontId="4" fillId="8" borderId="4" xfId="16" applyNumberFormat="1" applyFont="1" applyFill="1" applyBorder="1" applyAlignment="1">
      <alignment horizontal="center" vertical="center"/>
    </xf>
    <xf numFmtId="167" fontId="4" fillId="8" borderId="0" xfId="16" applyNumberFormat="1" applyFont="1" applyFill="1" applyBorder="1" applyAlignment="1">
      <alignment horizontal="center" vertical="center"/>
    </xf>
    <xf numFmtId="167" fontId="4" fillId="8" borderId="3" xfId="16" applyNumberFormat="1" applyFont="1" applyFill="1" applyBorder="1" applyAlignment="1">
      <alignment horizontal="center" vertical="center"/>
    </xf>
    <xf numFmtId="167" fontId="10" fillId="8" borderId="3" xfId="16" applyNumberFormat="1" applyFont="1" applyFill="1" applyBorder="1" applyAlignment="1">
      <alignment horizontal="center" vertical="center"/>
    </xf>
    <xf numFmtId="167" fontId="10" fillId="8" borderId="0" xfId="16" applyNumberFormat="1" applyFont="1" applyFill="1" applyBorder="1" applyAlignment="1">
      <alignment horizontal="center" vertical="center"/>
    </xf>
    <xf numFmtId="9" fontId="4" fillId="8" borderId="4" xfId="16" applyFont="1" applyFill="1" applyBorder="1" applyAlignment="1">
      <alignment horizontal="center" vertical="center"/>
    </xf>
    <xf numFmtId="9" fontId="4" fillId="8" borderId="0" xfId="16" applyFont="1" applyFill="1" applyBorder="1" applyAlignment="1">
      <alignment horizontal="center" vertical="center"/>
    </xf>
    <xf numFmtId="9" fontId="4" fillId="8" borderId="3" xfId="16" applyFont="1" applyFill="1" applyBorder="1" applyAlignment="1">
      <alignment horizontal="center" vertical="center"/>
    </xf>
    <xf numFmtId="9" fontId="17" fillId="8" borderId="0" xfId="16" applyFont="1" applyFill="1" applyBorder="1" applyAlignment="1">
      <alignment horizontal="center" vertical="center"/>
    </xf>
    <xf numFmtId="9" fontId="17" fillId="8" borderId="3" xfId="16" applyFont="1" applyFill="1" applyBorder="1" applyAlignment="1">
      <alignment horizontal="center" vertical="center"/>
    </xf>
    <xf numFmtId="9" fontId="17" fillId="8" borderId="4" xfId="16" applyFont="1" applyFill="1" applyBorder="1" applyAlignment="1">
      <alignment horizontal="center" vertical="center"/>
    </xf>
    <xf numFmtId="167" fontId="17" fillId="8" borderId="4" xfId="16" applyNumberFormat="1" applyFont="1" applyFill="1" applyBorder="1" applyAlignment="1">
      <alignment horizontal="center" vertical="center"/>
    </xf>
    <xf numFmtId="168" fontId="17" fillId="7" borderId="4" xfId="5" applyNumberFormat="1" applyFont="1" applyFill="1" applyBorder="1" applyAlignment="1">
      <alignment horizontal="left" vertical="center"/>
    </xf>
    <xf numFmtId="0" fontId="17" fillId="8" borderId="4" xfId="15" applyFont="1" applyFill="1" applyBorder="1" applyAlignment="1">
      <alignment horizontal="center" vertical="center"/>
    </xf>
    <xf numFmtId="0" fontId="10" fillId="3" borderId="91" xfId="1" applyFont="1" applyFill="1" applyBorder="1" applyAlignment="1">
      <alignment vertical="center" wrapText="1"/>
    </xf>
    <xf numFmtId="3" fontId="17" fillId="3" borderId="20" xfId="13" applyNumberFormat="1" applyFont="1" applyFill="1" applyBorder="1" applyAlignment="1" applyProtection="1">
      <alignment horizontal="center" vertical="center"/>
      <protection locked="0"/>
    </xf>
    <xf numFmtId="0" fontId="4" fillId="7" borderId="3" xfId="1" applyFont="1" applyFill="1" applyBorder="1" applyAlignment="1">
      <alignment vertical="center"/>
    </xf>
    <xf numFmtId="167" fontId="4" fillId="7" borderId="4" xfId="11" applyNumberFormat="1" applyFont="1" applyFill="1" applyBorder="1" applyAlignment="1" applyProtection="1">
      <alignment horizontal="center" vertical="center"/>
      <protection locked="0"/>
    </xf>
    <xf numFmtId="167" fontId="4" fillId="7" borderId="0" xfId="11" applyNumberFormat="1" applyFont="1" applyFill="1" applyBorder="1" applyAlignment="1" applyProtection="1">
      <alignment horizontal="center" vertical="center"/>
      <protection locked="0"/>
    </xf>
    <xf numFmtId="167" fontId="4" fillId="7" borderId="3" xfId="11" applyNumberFormat="1" applyFont="1" applyFill="1" applyBorder="1" applyAlignment="1" applyProtection="1">
      <alignment horizontal="center" vertical="center"/>
      <protection locked="0"/>
    </xf>
    <xf numFmtId="3" fontId="4" fillId="7" borderId="0" xfId="12" applyNumberFormat="1" applyFont="1" applyFill="1" applyBorder="1" applyAlignment="1" applyProtection="1">
      <alignment horizontal="center" vertical="center"/>
      <protection locked="0"/>
    </xf>
    <xf numFmtId="167" fontId="4" fillId="7" borderId="2" xfId="11" applyNumberFormat="1" applyFont="1" applyFill="1" applyBorder="1" applyAlignment="1" applyProtection="1">
      <alignment horizontal="center" vertical="center"/>
      <protection locked="0"/>
    </xf>
    <xf numFmtId="3" fontId="4" fillId="7" borderId="0" xfId="12" applyNumberFormat="1" applyFont="1" applyFill="1" applyBorder="1" applyAlignment="1" applyProtection="1">
      <alignment horizontal="left" vertical="center"/>
      <protection locked="0"/>
    </xf>
    <xf numFmtId="3" fontId="4" fillId="3" borderId="2" xfId="12" applyNumberFormat="1" applyFont="1" applyFill="1" applyBorder="1" applyAlignment="1" applyProtection="1">
      <alignment horizontal="center" vertical="center"/>
      <protection locked="0"/>
    </xf>
    <xf numFmtId="3" fontId="4" fillId="3" borderId="4" xfId="11" applyNumberFormat="1" applyFont="1" applyFill="1" applyBorder="1" applyAlignment="1" applyProtection="1">
      <alignment horizontal="center" vertical="center"/>
      <protection locked="0"/>
    </xf>
    <xf numFmtId="3" fontId="4" fillId="3" borderId="0" xfId="11" applyNumberFormat="1" applyFont="1" applyFill="1" applyBorder="1" applyAlignment="1" applyProtection="1">
      <alignment horizontal="center" vertical="center"/>
      <protection locked="0"/>
    </xf>
    <xf numFmtId="3" fontId="4" fillId="7" borderId="3" xfId="12" applyNumberFormat="1" applyFont="1" applyFill="1" applyBorder="1" applyAlignment="1" applyProtection="1">
      <alignment horizontal="center" vertical="center"/>
      <protection locked="0"/>
    </xf>
    <xf numFmtId="3" fontId="4" fillId="3" borderId="0" xfId="12" applyNumberFormat="1" applyFont="1" applyFill="1" applyBorder="1" applyAlignment="1" applyProtection="1">
      <alignment horizontal="left" vertical="center"/>
      <protection locked="0"/>
    </xf>
    <xf numFmtId="0" fontId="4" fillId="7" borderId="3" xfId="2" applyFont="1" applyFill="1" applyBorder="1" applyAlignment="1">
      <alignment horizontal="left" vertical="center"/>
    </xf>
    <xf numFmtId="0" fontId="4" fillId="8" borderId="3" xfId="2" applyFont="1" applyFill="1" applyBorder="1" applyAlignment="1">
      <alignment horizontal="left" vertical="center"/>
    </xf>
    <xf numFmtId="167" fontId="4" fillId="8" borderId="4" xfId="11" applyNumberFormat="1" applyFont="1" applyFill="1" applyBorder="1" applyAlignment="1" applyProtection="1">
      <alignment horizontal="center" vertical="center"/>
      <protection locked="0"/>
    </xf>
    <xf numFmtId="167" fontId="4" fillId="8" borderId="0" xfId="11" applyNumberFormat="1" applyFont="1" applyFill="1" applyBorder="1" applyAlignment="1" applyProtection="1">
      <alignment horizontal="center" vertical="center"/>
      <protection locked="0"/>
    </xf>
    <xf numFmtId="167" fontId="4" fillId="8" borderId="3" xfId="11" applyNumberFormat="1" applyFont="1" applyFill="1" applyBorder="1" applyAlignment="1" applyProtection="1">
      <alignment horizontal="center" vertical="center"/>
      <protection locked="0"/>
    </xf>
    <xf numFmtId="0" fontId="6" fillId="0" borderId="0" xfId="1" applyFont="1" applyAlignment="1">
      <alignment vertical="center"/>
    </xf>
    <xf numFmtId="3" fontId="4" fillId="7" borderId="0" xfId="1" applyNumberFormat="1" applyFont="1" applyFill="1" applyAlignment="1">
      <alignment horizontal="left" vertical="center"/>
    </xf>
    <xf numFmtId="0" fontId="4" fillId="8" borderId="11" xfId="1" applyFont="1" applyFill="1" applyBorder="1" applyAlignment="1">
      <alignment horizontal="left" vertical="center"/>
    </xf>
    <xf numFmtId="0" fontId="4" fillId="8" borderId="7" xfId="1" applyFont="1" applyFill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3" fontId="12" fillId="7" borderId="0" xfId="5" applyNumberFormat="1" applyFont="1" applyFill="1" applyAlignment="1">
      <alignment horizontal="left" vertical="center"/>
    </xf>
    <xf numFmtId="3" fontId="10" fillId="3" borderId="31" xfId="28" applyNumberFormat="1" applyFont="1" applyFill="1" applyBorder="1" applyAlignment="1" applyProtection="1">
      <alignment horizontal="left" vertical="center"/>
      <protection locked="0"/>
    </xf>
    <xf numFmtId="3" fontId="10" fillId="2" borderId="31" xfId="28" applyNumberFormat="1" applyFont="1" applyBorder="1" applyAlignment="1" applyProtection="1">
      <alignment horizontal="left" vertical="center"/>
      <protection locked="0"/>
    </xf>
    <xf numFmtId="0" fontId="10" fillId="3" borderId="0" xfId="15" applyFont="1" applyFill="1" applyAlignment="1">
      <alignment vertical="center"/>
    </xf>
    <xf numFmtId="3" fontId="11" fillId="3" borderId="0" xfId="5" applyNumberFormat="1" applyFont="1" applyAlignment="1">
      <alignment horizontal="center" vertical="center"/>
    </xf>
    <xf numFmtId="3" fontId="11" fillId="3" borderId="21" xfId="5" applyNumberFormat="1" applyFont="1" applyBorder="1" applyAlignment="1">
      <alignment horizontal="center" vertical="center"/>
    </xf>
    <xf numFmtId="3" fontId="10" fillId="5" borderId="21" xfId="5" applyNumberFormat="1" applyFont="1" applyFill="1" applyBorder="1" applyAlignment="1">
      <alignment horizontal="center" vertical="center"/>
    </xf>
    <xf numFmtId="3" fontId="10" fillId="3" borderId="0" xfId="5" applyNumberFormat="1" applyFont="1" applyAlignment="1">
      <alignment horizontal="center" vertical="center"/>
    </xf>
    <xf numFmtId="3" fontId="10" fillId="3" borderId="0" xfId="15" applyNumberFormat="1" applyFont="1" applyFill="1" applyAlignment="1">
      <alignment vertical="center" wrapText="1"/>
    </xf>
    <xf numFmtId="0" fontId="10" fillId="3" borderId="0" xfId="15" applyFont="1" applyFill="1" applyAlignment="1">
      <alignment horizontal="center" vertical="center" wrapText="1"/>
    </xf>
    <xf numFmtId="0" fontId="61" fillId="0" borderId="0" xfId="9" applyFont="1"/>
    <xf numFmtId="0" fontId="18" fillId="0" borderId="0" xfId="9"/>
    <xf numFmtId="10" fontId="4" fillId="0" borderId="0" xfId="78" applyNumberFormat="1" applyFont="1"/>
    <xf numFmtId="10" fontId="4" fillId="0" borderId="0" xfId="1" applyNumberFormat="1" applyFont="1"/>
    <xf numFmtId="3" fontId="4" fillId="2" borderId="0" xfId="7" applyNumberFormat="1" applyFont="1" applyBorder="1" applyAlignment="1" applyProtection="1">
      <alignment horizontal="left" vertical="center"/>
      <protection locked="0"/>
    </xf>
    <xf numFmtId="3" fontId="4" fillId="3" borderId="19" xfId="13" applyNumberFormat="1" applyFont="1" applyFill="1" applyBorder="1" applyAlignment="1" applyProtection="1">
      <alignment horizontal="center" vertical="center"/>
      <protection locked="0"/>
    </xf>
    <xf numFmtId="0" fontId="18" fillId="3" borderId="0" xfId="9" applyFill="1" applyAlignment="1">
      <alignment vertical="center"/>
    </xf>
    <xf numFmtId="3" fontId="12" fillId="7" borderId="45" xfId="5" applyNumberFormat="1" applyFont="1" applyFill="1" applyBorder="1" applyAlignment="1">
      <alignment horizontal="left" vertical="top"/>
    </xf>
    <xf numFmtId="14" fontId="36" fillId="7" borderId="92" xfId="5" applyNumberFormat="1" applyFont="1" applyFill="1" applyBorder="1" applyAlignment="1">
      <alignment horizontal="center" vertical="center"/>
    </xf>
    <xf numFmtId="3" fontId="12" fillId="5" borderId="45" xfId="26" applyNumberFormat="1" applyFont="1" applyFill="1" applyBorder="1" applyAlignment="1" applyProtection="1">
      <alignment horizontal="center"/>
      <protection locked="0"/>
    </xf>
    <xf numFmtId="3" fontId="12" fillId="5" borderId="92" xfId="26" applyNumberFormat="1" applyFont="1" applyFill="1" applyBorder="1" applyAlignment="1" applyProtection="1">
      <alignment horizontal="center"/>
      <protection locked="0"/>
    </xf>
    <xf numFmtId="3" fontId="12" fillId="7" borderId="45" xfId="5" applyNumberFormat="1" applyFont="1" applyFill="1" applyBorder="1" applyAlignment="1">
      <alignment horizontal="center" vertical="center"/>
    </xf>
    <xf numFmtId="167" fontId="12" fillId="7" borderId="93" xfId="16" applyNumberFormat="1" applyFont="1" applyFill="1" applyBorder="1" applyAlignment="1">
      <alignment horizontal="center" vertical="center"/>
    </xf>
    <xf numFmtId="0" fontId="12" fillId="7" borderId="45" xfId="5" applyFont="1" applyFill="1" applyBorder="1" applyAlignment="1">
      <alignment horizontal="left" vertical="center"/>
    </xf>
    <xf numFmtId="4" fontId="3" fillId="0" borderId="0" xfId="2" applyNumberFormat="1" applyFont="1" applyAlignment="1">
      <alignment horizontal="center"/>
    </xf>
    <xf numFmtId="0" fontId="62" fillId="0" borderId="0" xfId="0" applyFont="1"/>
    <xf numFmtId="3" fontId="4" fillId="2" borderId="14" xfId="7" applyNumberFormat="1" applyFont="1" applyBorder="1" applyAlignment="1" applyProtection="1">
      <alignment horizontal="left" vertical="center" wrapText="1"/>
      <protection locked="0"/>
    </xf>
    <xf numFmtId="0" fontId="4" fillId="5" borderId="4" xfId="16" applyNumberFormat="1" applyFont="1" applyFill="1" applyBorder="1" applyAlignment="1" applyProtection="1">
      <alignment horizontal="left" vertical="center" wrapText="1"/>
      <protection locked="0"/>
    </xf>
    <xf numFmtId="167" fontId="4" fillId="0" borderId="0" xfId="1" applyNumberFormat="1" applyFont="1"/>
    <xf numFmtId="4" fontId="6" fillId="0" borderId="0" xfId="1" applyNumberFormat="1" applyFont="1"/>
    <xf numFmtId="3" fontId="4" fillId="0" borderId="0" xfId="2" applyNumberFormat="1" applyFont="1" applyAlignment="1">
      <alignment vertical="center"/>
    </xf>
    <xf numFmtId="167" fontId="29" fillId="0" borderId="0" xfId="2" applyNumberFormat="1" applyFont="1"/>
    <xf numFmtId="4" fontId="28" fillId="0" borderId="0" xfId="15" applyNumberFormat="1" applyFont="1"/>
    <xf numFmtId="10" fontId="29" fillId="0" borderId="0" xfId="2" applyNumberFormat="1" applyFont="1"/>
    <xf numFmtId="10" fontId="28" fillId="0" borderId="0" xfId="15" applyNumberFormat="1" applyFont="1"/>
    <xf numFmtId="4" fontId="3" fillId="0" borderId="0" xfId="15" applyNumberFormat="1" applyFont="1"/>
    <xf numFmtId="10" fontId="4" fillId="12" borderId="3" xfId="16" applyNumberFormat="1" applyFont="1" applyFill="1" applyBorder="1" applyAlignment="1" applyProtection="1">
      <alignment horizontal="center" vertical="center"/>
      <protection locked="0"/>
    </xf>
    <xf numFmtId="10" fontId="4" fillId="12" borderId="4" xfId="16" applyNumberFormat="1" applyFont="1" applyFill="1" applyBorder="1" applyAlignment="1" applyProtection="1">
      <alignment horizontal="center" vertical="center"/>
      <protection locked="0"/>
    </xf>
    <xf numFmtId="10" fontId="4" fillId="12" borderId="0" xfId="16" applyNumberFormat="1" applyFont="1" applyFill="1" applyBorder="1" applyAlignment="1" applyProtection="1">
      <alignment horizontal="center" vertical="center"/>
      <protection locked="0"/>
    </xf>
    <xf numFmtId="10" fontId="4" fillId="12" borderId="21" xfId="16" applyNumberFormat="1" applyFont="1" applyFill="1" applyBorder="1" applyAlignment="1" applyProtection="1">
      <alignment horizontal="center" vertical="center"/>
      <protection locked="0"/>
    </xf>
    <xf numFmtId="0" fontId="37" fillId="33" borderId="70" xfId="48" applyNumberFormat="1" applyAlignment="1"/>
    <xf numFmtId="0" fontId="37" fillId="33" borderId="70" xfId="48" quotePrefix="1" applyNumberFormat="1" applyAlignment="1"/>
    <xf numFmtId="184" fontId="39" fillId="32" borderId="70" xfId="45" quotePrefix="1" applyNumberFormat="1" applyAlignment="1"/>
    <xf numFmtId="173" fontId="39" fillId="28" borderId="70" xfId="40" quotePrefix="1" applyNumberFormat="1" applyAlignment="1"/>
    <xf numFmtId="172" fontId="39" fillId="27" borderId="70" xfId="39" quotePrefix="1" applyNumberFormat="1" applyAlignment="1"/>
    <xf numFmtId="185" fontId="39" fillId="28" borderId="70" xfId="40" quotePrefix="1" applyNumberFormat="1" applyAlignment="1"/>
    <xf numFmtId="177" fontId="39" fillId="27" borderId="70" xfId="39" quotePrefix="1" applyNumberFormat="1" applyAlignment="1"/>
    <xf numFmtId="176" fontId="39" fillId="30" borderId="70" xfId="42" quotePrefix="1" applyNumberFormat="1" applyAlignment="1"/>
    <xf numFmtId="175" fontId="39" fillId="30" borderId="70" xfId="42" quotePrefix="1" applyNumberFormat="1" applyAlignment="1"/>
    <xf numFmtId="182" fontId="40" fillId="31" borderId="70" xfId="43" quotePrefix="1" applyNumberFormat="1">
      <alignment vertical="center"/>
    </xf>
    <xf numFmtId="179" fontId="40" fillId="31" borderId="70" xfId="43" quotePrefix="1" applyNumberFormat="1">
      <alignment vertical="center"/>
    </xf>
    <xf numFmtId="178" fontId="40" fillId="31" borderId="70" xfId="43" quotePrefix="1" applyNumberFormat="1">
      <alignment vertical="center"/>
    </xf>
    <xf numFmtId="181" fontId="40" fillId="31" borderId="70" xfId="43" quotePrefix="1" applyNumberFormat="1">
      <alignment vertical="center"/>
    </xf>
    <xf numFmtId="180" fontId="40" fillId="31" borderId="70" xfId="43" quotePrefix="1" applyNumberFormat="1">
      <alignment vertical="center"/>
    </xf>
    <xf numFmtId="0" fontId="5" fillId="4" borderId="0" xfId="5" applyFont="1" applyFill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5" fillId="0" borderId="0" xfId="2" applyFont="1" applyAlignment="1">
      <alignment horizontal="center"/>
    </xf>
    <xf numFmtId="0" fontId="12" fillId="4" borderId="4" xfId="5" applyFont="1" applyFill="1" applyBorder="1" applyAlignment="1">
      <alignment horizontal="center" vertical="center"/>
    </xf>
    <xf numFmtId="0" fontId="12" fillId="4" borderId="3" xfId="5" applyFont="1" applyFill="1" applyBorder="1" applyAlignment="1">
      <alignment horizontal="center" vertical="center"/>
    </xf>
    <xf numFmtId="0" fontId="13" fillId="0" borderId="0" xfId="6" applyFont="1" applyAlignment="1">
      <alignment horizontal="center"/>
    </xf>
    <xf numFmtId="0" fontId="12" fillId="4" borderId="0" xfId="5" applyFont="1" applyFill="1" applyAlignment="1">
      <alignment horizontal="center" vertical="center"/>
    </xf>
    <xf numFmtId="0" fontId="12" fillId="4" borderId="2" xfId="5" applyFont="1" applyFill="1" applyBorder="1" applyAlignment="1">
      <alignment horizontal="center" vertical="center"/>
    </xf>
    <xf numFmtId="3" fontId="22" fillId="0" borderId="0" xfId="1" applyNumberFormat="1" applyFont="1" applyAlignment="1">
      <alignment horizontal="left" vertical="center" wrapText="1"/>
    </xf>
    <xf numFmtId="0" fontId="10" fillId="6" borderId="0" xfId="10" applyFont="1" applyFill="1" applyAlignment="1">
      <alignment horizontal="left" vertical="center"/>
    </xf>
    <xf numFmtId="0" fontId="12" fillId="4" borderId="0" xfId="5" applyFont="1" applyFill="1" applyAlignment="1">
      <alignment horizontal="center" vertical="center" wrapText="1"/>
    </xf>
    <xf numFmtId="0" fontId="12" fillId="4" borderId="21" xfId="5" applyFont="1" applyFill="1" applyBorder="1" applyAlignment="1">
      <alignment horizontal="center" vertical="center" wrapText="1"/>
    </xf>
    <xf numFmtId="0" fontId="12" fillId="4" borderId="4" xfId="5" applyFont="1" applyFill="1" applyBorder="1" applyAlignment="1">
      <alignment horizontal="center" vertical="center" wrapText="1"/>
    </xf>
    <xf numFmtId="0" fontId="12" fillId="4" borderId="3" xfId="5" applyFont="1" applyFill="1" applyBorder="1" applyAlignment="1">
      <alignment horizontal="center" vertical="center" wrapText="1"/>
    </xf>
    <xf numFmtId="0" fontId="12" fillId="4" borderId="20" xfId="5" applyFont="1" applyFill="1" applyBorder="1" applyAlignment="1">
      <alignment horizontal="center" vertical="center" wrapText="1"/>
    </xf>
    <xf numFmtId="0" fontId="12" fillId="4" borderId="26" xfId="5" applyFont="1" applyFill="1" applyBorder="1" applyAlignment="1">
      <alignment horizontal="center" vertical="center" wrapText="1"/>
    </xf>
    <xf numFmtId="0" fontId="10" fillId="12" borderId="0" xfId="15" applyFont="1" applyFill="1" applyAlignment="1">
      <alignment horizontal="center" vertical="center"/>
    </xf>
    <xf numFmtId="0" fontId="10" fillId="3" borderId="0" xfId="15" applyFont="1" applyFill="1" applyAlignment="1">
      <alignment horizontal="center" vertical="center"/>
    </xf>
    <xf numFmtId="0" fontId="12" fillId="3" borderId="0" xfId="5" applyFont="1" applyAlignment="1">
      <alignment horizontal="center" vertical="center" wrapText="1"/>
    </xf>
    <xf numFmtId="3" fontId="22" fillId="0" borderId="0" xfId="15" applyNumberFormat="1" applyFont="1" applyAlignment="1">
      <alignment horizontal="left" vertical="center" wrapText="1"/>
    </xf>
    <xf numFmtId="0" fontId="28" fillId="0" borderId="0" xfId="32" quotePrefix="1" applyFont="1" applyFill="1" applyBorder="1" applyAlignment="1">
      <alignment horizontal="left" vertical="center" wrapText="1"/>
    </xf>
    <xf numFmtId="0" fontId="28" fillId="0" borderId="0" xfId="32" quotePrefix="1" applyFont="1" applyFill="1" applyBorder="1" applyAlignment="1">
      <alignment horizontal="center" vertical="center" wrapText="1"/>
    </xf>
  </cellXfs>
  <cellStyles count="80">
    <cellStyle name="Comma 2" xfId="14" xr:uid="{13CC8542-8AD4-488E-A29B-CD71ACFFF1A7}"/>
    <cellStyle name="Comma 2 2" xfId="79" xr:uid="{9579844C-1294-4ADD-88E6-BADD23C0249C}"/>
    <cellStyle name="Conti_normal" xfId="23" xr:uid="{2B4BB655-9159-4705-91AE-E839155E16F3}"/>
    <cellStyle name="Hyperlink" xfId="9" builtinId="8"/>
    <cellStyle name="Normal" xfId="0" builtinId="0"/>
    <cellStyle name="Normal 10" xfId="15" xr:uid="{74E41AA4-6D84-4069-A176-43DD79E6643F}"/>
    <cellStyle name="Normal 185" xfId="3" xr:uid="{856F84A1-671C-43BF-A872-93715BF88415}"/>
    <cellStyle name="Normal 187" xfId="36" xr:uid="{CE6A98DC-BFEB-4C28-8347-B237E461F46A}"/>
    <cellStyle name="Normal 188" xfId="4" xr:uid="{5851AF41-C03A-4389-9B5E-1C9DD0C40E56}"/>
    <cellStyle name="Normal 191" xfId="6" xr:uid="{8B17F6C5-9202-4C6B-A32E-1719BEAA6E4C}"/>
    <cellStyle name="Normal 193" xfId="8" xr:uid="{F3EA01B6-66B1-4723-8210-D5D0D8110DBB}"/>
    <cellStyle name="Normal 193 2" xfId="18" xr:uid="{E16F1870-C179-41BC-BC6C-A15A05EE695A}"/>
    <cellStyle name="Normal 193 3" xfId="17" xr:uid="{DF3A03B9-3D2F-4194-9E91-3E2525B5AC0D}"/>
    <cellStyle name="Normal 2" xfId="1" xr:uid="{4876540B-C024-451E-B478-EC62A4F10B91}"/>
    <cellStyle name="Normal 200" xfId="29" xr:uid="{F6395BC4-784E-4815-972E-E960F800AC1D}"/>
    <cellStyle name="Normal 3 2" xfId="5" xr:uid="{16A3E0A8-5921-4F27-A393-0DFF8B3BD155}"/>
    <cellStyle name="Note 2" xfId="12" xr:uid="{182F55A3-7C83-42E3-AB56-6B5428868C71}"/>
    <cellStyle name="Note 3 18" xfId="13" xr:uid="{1B122862-7EA9-4D68-93A3-3698677C85C2}"/>
    <cellStyle name="Note 7" xfId="7" xr:uid="{52047DE6-03A9-4186-BDA0-89C108478222}"/>
    <cellStyle name="Note 9" xfId="28" xr:uid="{3D1F693B-8B58-4E69-81A4-5ADA092B1BC5}"/>
    <cellStyle name="Percent" xfId="78" builtinId="5"/>
    <cellStyle name="Percent 10" xfId="16" xr:uid="{1366FF0F-F5B6-4407-ADEA-E057905569E9}"/>
    <cellStyle name="Percent 2" xfId="11" xr:uid="{AD31C4BE-647B-498A-9179-79B2B97AC7A2}"/>
    <cellStyle name="Percent 2 10" xfId="25" xr:uid="{F0E7EB15-8DB2-439C-A52C-F32849441622}"/>
    <cellStyle name="Percent 217" xfId="19" xr:uid="{48F0EE6F-1CAA-48A7-805A-68E5BCCB443C}"/>
    <cellStyle name="Prozent 2" xfId="27" xr:uid="{4115D90B-BCF4-4972-8FB0-CBD91495E628}"/>
    <cellStyle name="SAPBEXHLevel0" xfId="30" xr:uid="{E0AFCF18-6E75-4656-94D8-0230261074E6}"/>
    <cellStyle name="SAPBEXHLevel1" xfId="32" xr:uid="{1FBDF7AE-7979-407C-A2A4-31B8B46ADDED}"/>
    <cellStyle name="SAPBEXHLevel2" xfId="31" xr:uid="{F4DA6884-5DF6-428E-9A73-A40B103F3F89}"/>
    <cellStyle name="SAPBEXHLevel3" xfId="33" xr:uid="{2C9F69A5-202C-4A47-80B6-C43D21FB8E03}"/>
    <cellStyle name="SAPBEXstdItemX_EBS Budget Package 2009 2" xfId="34" xr:uid="{8E95650A-5244-4DDF-8818-F6F459EA8FD4}"/>
    <cellStyle name="SAPBorder" xfId="65" xr:uid="{623708FE-7FDC-4EE9-BE3B-73C6E19055BB}"/>
    <cellStyle name="SAPDataCell" xfId="38" xr:uid="{DD17AF67-47F1-4166-805C-89DD8BEB7289}"/>
    <cellStyle name="SAPDataRemoved" xfId="66" xr:uid="{7CF88B67-E8C4-4FDF-A108-7EE4024D6D03}"/>
    <cellStyle name="SAPDataTotalCell" xfId="37" xr:uid="{6005CC8A-567F-4B6A-A144-0408E29A89AE}"/>
    <cellStyle name="SAPDimensionCell" xfId="48" xr:uid="{404CA778-F996-4E0E-B539-A7B903F4C89B}"/>
    <cellStyle name="SAPEditableDataCell" xfId="50" xr:uid="{BB74C812-3E03-4543-AEBC-54E36158EFF5}"/>
    <cellStyle name="SAPEditableDataTotalCell" xfId="53" xr:uid="{78EEDBBC-422E-45A1-9BB3-72CFCA4778D6}"/>
    <cellStyle name="SAPEmphasized" xfId="69" xr:uid="{A99129E0-2C64-4056-80B9-75DA274DAF40}"/>
    <cellStyle name="SAPEmphasizedEditableDataCell" xfId="71" xr:uid="{BF0B1DA0-4C19-4DFD-9CED-851E67B5FB05}"/>
    <cellStyle name="SAPEmphasizedEditableDataTotalCell" xfId="72" xr:uid="{878786E5-DE2F-4A91-860C-B6E872B91E1A}"/>
    <cellStyle name="SAPEmphasizedLockedDataCell" xfId="75" xr:uid="{B784D6C3-1B9B-47B5-82C0-69E6CCCAB862}"/>
    <cellStyle name="SAPEmphasizedLockedDataTotalCell" xfId="76" xr:uid="{C39AF779-AA7B-4D21-8EDE-02373D34914C}"/>
    <cellStyle name="SAPEmphasizedReadonlyDataCell" xfId="73" xr:uid="{54CA80F8-7C3A-42ED-885D-90CA3974E7A9}"/>
    <cellStyle name="SAPEmphasizedReadonlyDataTotalCell" xfId="74" xr:uid="{E550ED7B-5524-4E78-B5D4-F8CA02DDA30C}"/>
    <cellStyle name="SAPEmphasizedTotal" xfId="70" xr:uid="{BC3211CA-2342-4A6B-9514-5EDC9656DAAF}"/>
    <cellStyle name="SAPError" xfId="67" xr:uid="{9D61F60C-91C3-443C-BF64-9F8B6E8104D0}"/>
    <cellStyle name="SAPExceptionLevel1" xfId="56" xr:uid="{5DAB366C-6147-45C8-B0C3-33B123866806}"/>
    <cellStyle name="SAPExceptionLevel2" xfId="57" xr:uid="{9F5EB67C-677D-42CE-8665-28815B12D706}"/>
    <cellStyle name="SAPExceptionLevel3" xfId="58" xr:uid="{813515C1-C11B-470D-9BFE-3959D788ABEB}"/>
    <cellStyle name="SAPExceptionLevel4" xfId="59" xr:uid="{0F3AF934-1CD9-4488-940F-F186F72F9064}"/>
    <cellStyle name="SAPExceptionLevel5" xfId="60" xr:uid="{AC9839B3-E9D7-42AF-9A1D-A2C5AE6CF040}"/>
    <cellStyle name="SAPExceptionLevel6" xfId="61" xr:uid="{7E4989EE-504E-49FC-92A3-936F31E06766}"/>
    <cellStyle name="SAPExceptionLevel7" xfId="62" xr:uid="{88D40DD7-7016-40EF-B793-E83EBC53D8D0}"/>
    <cellStyle name="SAPExceptionLevel8" xfId="63" xr:uid="{F97CD953-3C0E-48ED-A2C0-7DAA75466459}"/>
    <cellStyle name="SAPExceptionLevel9" xfId="64" xr:uid="{6D3B4157-7287-43A6-8BA7-8710AED1EEA8}"/>
    <cellStyle name="SAPFormula" xfId="77" xr:uid="{E592928D-3E67-4176-A036-B2A41FFC37B7}"/>
    <cellStyle name="SAPGroupingFillCell" xfId="49" xr:uid="{DE2D2A9A-C6F7-4BF2-8554-A8F7FCA18883}"/>
    <cellStyle name="SAPHierarchyCell0" xfId="45" xr:uid="{B0F6DF99-3BA6-479B-9F72-7B8CAD687073}"/>
    <cellStyle name="SAPHierarchyCell1" xfId="40" xr:uid="{D5BEB989-4339-43C2-9AA4-3EECA6BC353E}"/>
    <cellStyle name="SAPHierarchyCell2" xfId="39" xr:uid="{679F4BFC-5E0F-49D3-B344-22B3F1A2D64C}"/>
    <cellStyle name="SAPHierarchyCell3" xfId="42" xr:uid="{1FAB4421-0EB9-493F-A898-38873995B290}"/>
    <cellStyle name="SAPHierarchyCell4" xfId="41" xr:uid="{990A27F7-EC8A-42DE-BC35-C36127A8405C}"/>
    <cellStyle name="SAPHierarchyCell5" xfId="44" xr:uid="{32AE6C8B-7F6D-4E3C-B452-31A24AB0E663}"/>
    <cellStyle name="SAPHierarchyCell6" xfId="43" xr:uid="{1E702BA2-16BD-4612-9B68-57FB324128A6}"/>
    <cellStyle name="SAPLockedDataCell" xfId="52" xr:uid="{685428E8-BFBD-463F-912B-0FF4414DD1F0}"/>
    <cellStyle name="SAPLockedDataTotalCell" xfId="55" xr:uid="{9B3E54A4-99D5-4345-8A6F-058BACBFFDD0}"/>
    <cellStyle name="SAPMemberCell" xfId="47" xr:uid="{5C94961B-3E6A-4935-9CD7-8D678E74B9B2}"/>
    <cellStyle name="SAPMemberTotalCell" xfId="46" xr:uid="{4954E8DA-34B1-49F3-BF49-D4978B85CBB0}"/>
    <cellStyle name="SAPMessageText" xfId="68" xr:uid="{9E64D9DE-9184-45F9-BA3C-E1A8919992D9}"/>
    <cellStyle name="SAPReadonlyDataCell" xfId="51" xr:uid="{DA5A11E5-4F1B-466E-85D8-C74DC5DC9C63}"/>
    <cellStyle name="SAPReadonlyDataTotalCell" xfId="54" xr:uid="{676B62F1-7DBC-4DE1-A64B-2F24998B9DE0}"/>
    <cellStyle name="Standard 14 2" xfId="10" xr:uid="{7B6C3F7E-1544-4BF7-93C0-2B2E0A719BFA}"/>
    <cellStyle name="Standard 2 2" xfId="24" xr:uid="{76A357C9-40F1-49AF-BC8A-C66528546BE0}"/>
    <cellStyle name="Standard_7_Manpower_Compensation_2005" xfId="21" xr:uid="{75E3545C-C466-4F55-B4A0-D060ACC9F4B0}"/>
    <cellStyle name="Standard_EBS Budget Package 2009 2 2 2" xfId="2" xr:uid="{D387A50C-78F1-4F2A-AFD0-53CA8F7C5A47}"/>
    <cellStyle name="Standard_EBS Budget Package 2009 2 3" xfId="20" xr:uid="{7DFECA77-61CD-42F9-BE03-34C5C15B6BEF}"/>
    <cellStyle name="Standard_EBS Budget Package 2009 3" xfId="35" xr:uid="{826D8442-0B4A-46B4-89E2-C68406993B56}"/>
    <cellStyle name="Standard_purchas vol" xfId="26" xr:uid="{AF5E6E3D-A44E-49D0-A215-ED30537D203F}"/>
    <cellStyle name="Standard_vorlagesuper" xfId="22" xr:uid="{4237F646-0D89-4FDD-A2E1-998045F8C08C}"/>
  </cellStyles>
  <dxfs count="10"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</dxfs>
  <tableStyles count="0" defaultTableStyle="TableStyleMedium2" defaultPivotStyle="PivotStyleLight16"/>
  <colors>
    <mruColors>
      <color rgb="FF4B4B46"/>
      <color rgb="FFF0F0F0"/>
      <color rgb="FFD2D2D2"/>
      <color rgb="FFD7004B"/>
      <color rgb="FFB4C832"/>
      <color rgb="FFF0E614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1062638</xdr:colOff>
      <xdr:row>15</xdr:row>
      <xdr:rowOff>74599</xdr:rowOff>
    </xdr:from>
    <xdr:to>
      <xdr:col>5</xdr:col>
      <xdr:colOff>154640</xdr:colOff>
      <xdr:row>39</xdr:row>
      <xdr:rowOff>22413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CBA34F70-68C7-4E10-860F-CBCE350F2C07}"/>
            </a:ext>
          </a:extLst>
        </xdr:cNvPr>
        <xdr:cNvSpPr/>
      </xdr:nvSpPr>
      <xdr:spPr>
        <a:xfrm>
          <a:off x="3208938" y="2455849"/>
          <a:ext cx="152452" cy="3757814"/>
        </a:xfrm>
        <a:prstGeom prst="rightBrace">
          <a:avLst/>
        </a:prstGeom>
        <a:ln w="12700">
          <a:solidFill>
            <a:srgbClr val="B4C832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687080</xdr:colOff>
      <xdr:row>20</xdr:row>
      <xdr:rowOff>131268</xdr:rowOff>
    </xdr:from>
    <xdr:to>
      <xdr:col>10</xdr:col>
      <xdr:colOff>635000</xdr:colOff>
      <xdr:row>36</xdr:row>
      <xdr:rowOff>6350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3D08BE6-825A-421D-9278-A525EEC48E6A}"/>
            </a:ext>
          </a:extLst>
        </xdr:cNvPr>
        <xdr:cNvSpPr txBox="1"/>
      </xdr:nvSpPr>
      <xdr:spPr>
        <a:xfrm>
          <a:off x="7195830" y="4087318"/>
          <a:ext cx="5326370" cy="2415082"/>
        </a:xfrm>
        <a:prstGeom prst="rect">
          <a:avLst/>
        </a:prstGeom>
        <a:ln>
          <a:solidFill>
            <a:srgbClr val="B4C83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Analysis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 FS Item Hierarchy Plan [2024_All]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Fiscal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Year: 2024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Posting Period: 6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="1" baseline="0">
              <a:solidFill>
                <a:srgbClr val="D7004B"/>
              </a:solidFill>
              <a:latin typeface="Arial" panose="020B0604020202020204" pitchFamily="34" charset="0"/>
              <a:cs typeface="Arial" panose="020B0604020202020204" pitchFamily="34" charset="0"/>
            </a:rPr>
            <a:t>Input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Cons Unit (GER: please include CU 1524)</a:t>
          </a:r>
        </a:p>
        <a:p>
          <a:r>
            <a:rPr lang="en-US" sz="1100" b="1" baseline="0">
              <a:solidFill>
                <a:srgbClr val="D7004B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Input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Outlet (in case of split to new Electrification Outlet, put both Outlets) </a:t>
          </a:r>
        </a:p>
        <a:p>
          <a:r>
            <a:rPr lang="en-US" sz="1100" b="1" baseline="0" noProof="0">
              <a:solidFill>
                <a:srgbClr val="D7004B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Input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Plant</a:t>
          </a:r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Currency: LC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Unconsolidated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-&gt; Data is used for ACT &amp; FC &amp; BUD columns 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-&gt; Data is used for BS, P&amp;L, CO-Items (HC &amp; PMME)</a:t>
          </a:r>
        </a:p>
      </xdr:txBody>
    </xdr:sp>
    <xdr:clientData/>
  </xdr:twoCellAnchor>
  <xdr:twoCellAnchor>
    <xdr:from>
      <xdr:col>4</xdr:col>
      <xdr:colOff>1080567</xdr:colOff>
      <xdr:row>41</xdr:row>
      <xdr:rowOff>2881</xdr:rowOff>
    </xdr:from>
    <xdr:to>
      <xdr:col>5</xdr:col>
      <xdr:colOff>172569</xdr:colOff>
      <xdr:row>64</xdr:row>
      <xdr:rowOff>17930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2BA48302-3645-452F-AB38-CDB4086C8C4D}"/>
            </a:ext>
          </a:extLst>
        </xdr:cNvPr>
        <xdr:cNvSpPr/>
      </xdr:nvSpPr>
      <xdr:spPr>
        <a:xfrm>
          <a:off x="3207817" y="6511631"/>
          <a:ext cx="171502" cy="3666299"/>
        </a:xfrm>
        <a:prstGeom prst="rightBrace">
          <a:avLst/>
        </a:prstGeom>
        <a:ln w="12700">
          <a:solidFill>
            <a:srgbClr val="B4C832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496580</xdr:colOff>
      <xdr:row>46</xdr:row>
      <xdr:rowOff>55068</xdr:rowOff>
    </xdr:from>
    <xdr:to>
      <xdr:col>10</xdr:col>
      <xdr:colOff>601980</xdr:colOff>
      <xdr:row>60</xdr:row>
      <xdr:rowOff>95250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17704CD-FB51-45F7-A229-9ACBB533EB9F}"/>
            </a:ext>
          </a:extLst>
        </xdr:cNvPr>
        <xdr:cNvSpPr txBox="1"/>
      </xdr:nvSpPr>
      <xdr:spPr>
        <a:xfrm>
          <a:off x="6889760" y="8513268"/>
          <a:ext cx="5393680" cy="2394762"/>
        </a:xfrm>
        <a:prstGeom prst="rect">
          <a:avLst/>
        </a:prstGeom>
        <a:ln>
          <a:solidFill>
            <a:srgbClr val="B4C83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Analysis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 FS Item Hierarchy Plan [2024_Seasonal]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Fiscal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Year: 2024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Posting Period: 12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D7004B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Input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 Unit (GER: please include CU 1524)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D7004B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Input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Outlet (in case of split to new Electrification Outlet, put both Outlets)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D7004B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Input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Plant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Currency: LC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Unconsolidated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-&gt; Data is used for seasonalized BUD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-&gt; Data is used for scrap/start-up, fix cost, Inventory &amp; BS Key Figures</a:t>
          </a:r>
        </a:p>
      </xdr:txBody>
    </xdr:sp>
    <xdr:clientData/>
  </xdr:twoCellAnchor>
  <xdr:twoCellAnchor editAs="oneCell">
    <xdr:from>
      <xdr:col>0</xdr:col>
      <xdr:colOff>0</xdr:colOff>
      <xdr:row>15</xdr:row>
      <xdr:rowOff>106680</xdr:rowOff>
    </xdr:from>
    <xdr:to>
      <xdr:col>4</xdr:col>
      <xdr:colOff>922020</xdr:colOff>
      <xdr:row>38</xdr:row>
      <xdr:rowOff>145614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B27FB36-1A51-78E0-4519-72C9BE0F2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99460"/>
          <a:ext cx="5974080" cy="37955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60960</xdr:rowOff>
    </xdr:from>
    <xdr:to>
      <xdr:col>4</xdr:col>
      <xdr:colOff>944880</xdr:colOff>
      <xdr:row>63</xdr:row>
      <xdr:rowOff>115886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E882748-D8DB-2DA9-6F8B-5EDFD91DB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604760"/>
          <a:ext cx="5996940" cy="38039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22861</xdr:colOff>
      <xdr:row>14</xdr:row>
      <xdr:rowOff>53341</xdr:rowOff>
    </xdr:from>
    <xdr:to>
      <xdr:col>10</xdr:col>
      <xdr:colOff>342901</xdr:colOff>
      <xdr:row>25</xdr:row>
      <xdr:rowOff>43663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41F380-E1CF-D6CE-AA5E-41614F26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86461" y="3566161"/>
          <a:ext cx="8938260" cy="27182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15</xdr:row>
      <xdr:rowOff>0</xdr:rowOff>
    </xdr:from>
    <xdr:to>
      <xdr:col>10</xdr:col>
      <xdr:colOff>327660</xdr:colOff>
      <xdr:row>26</xdr:row>
      <xdr:rowOff>29510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45EB0-AFC5-4429-A21C-3CD3515F7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74486" y="3722914"/>
          <a:ext cx="8938260" cy="27182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121920</xdr:colOff>
      <xdr:row>1</xdr:row>
      <xdr:rowOff>114300</xdr:rowOff>
    </xdr:from>
    <xdr:to>
      <xdr:col>34</xdr:col>
      <xdr:colOff>229589</xdr:colOff>
      <xdr:row>6</xdr:row>
      <xdr:rowOff>22931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D9B944-6BB9-EE5C-3E29-6963137A1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14020" y="297180"/>
          <a:ext cx="11415749" cy="82303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38100</xdr:colOff>
      <xdr:row>1</xdr:row>
      <xdr:rowOff>68580</xdr:rowOff>
    </xdr:from>
    <xdr:to>
      <xdr:col>46</xdr:col>
      <xdr:colOff>16429</xdr:colOff>
      <xdr:row>7</xdr:row>
      <xdr:rowOff>167744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FD61E4-0EDA-FC0E-349B-419C7EF76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59940" y="251460"/>
          <a:ext cx="13724809" cy="119644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Urban, Nina (uidp0217)" id="{73FED8AF-F150-467B-BE81-42DC5313751A}" userId="S::uidp0217@vitesco.com::2254898f-765f-4f0e-8e9f-3cb7063df85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0" dT="2021-07-22T16:20:44.75" personId="{73FED8AF-F150-467B-BE81-42DC5313751A}" id="{53185747-8E9E-4B2E-A41F-92CF0BC1CACF}">
    <text>Re-DTC measures incl. in Budget BOM</text>
  </threadedComment>
  <threadedComment ref="I12" dT="2021-07-22T16:21:00.93" personId="{73FED8AF-F150-467B-BE81-42DC5313751A}" id="{1B44DEBA-29AB-4153-8097-1DBAD2C34DA6}">
    <text>Re-DTC measures add on Budget BOM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7" dT="2021-07-22T16:40:11.60" personId="{73FED8AF-F150-467B-BE81-42DC5313751A}" id="{A4062738-182B-4DB3-9C4F-2710F9370C30}">
    <text>Please overwrite with your respective Product Group, Line, etc.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ustomProperty" Target="../customProperty3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3.bin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../../../../../../../../:p:/r/teams/team_10035487/Shared%20Documents/General/20230703_Maintenance%20concept_budget_2024.pptx?d=w31db86be778d4177983f732d44bd54a3&amp;csf=1&amp;web=1&amp;e=EbKJrs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4.bin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../../../../../../../../:p:/r/teams/team_10035487/Shared%20Documents/General/20230703_Maintenance%20concept_budget_2024.pptx?d=w31db86be778d4177983f732d44bd54a3&amp;csf=1&amp;web=1&amp;e=EbKJrs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1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../../../../../../../../:p:/r/teams/team_10035487/Shared%20Documents/General/20230703_Maintenance%20concept_budget_2024.pptx?d=w31db86be778d4177983f732d44bd54a3&amp;csf=1&amp;web=1&amp;e=EbKJrs" TargetMode="External"/><Relationship Id="rId1" Type="http://schemas.openxmlformats.org/officeDocument/2006/relationships/hyperlink" Target="https://confluence.vitesco.io/pages/viewpage.action?pageId=136846844" TargetMode="External"/><Relationship Id="rId5" Type="http://schemas.openxmlformats.org/officeDocument/2006/relationships/customProperty" Target="../customProperty18.bin"/><Relationship Id="rId4" Type="http://schemas.openxmlformats.org/officeDocument/2006/relationships/customProperty" Target="../customProperty1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../../../../../../../../:p:/r/teams/team_10035487/Shared%20Documents/General/20230703_Maintenance%20concept_budget_2024.pptx?d=w31db86be778d4177983f732d44bd54a3&amp;csf=1&amp;web=1&amp;e=EbKJrs" TargetMode="External"/><Relationship Id="rId1" Type="http://schemas.openxmlformats.org/officeDocument/2006/relationships/hyperlink" Target="https://confluence.vitesco.io/pages/viewpage.action?pageId=136846844" TargetMode="External"/><Relationship Id="rId4" Type="http://schemas.openxmlformats.org/officeDocument/2006/relationships/customProperty" Target="../customProperty1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0.bin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1.bin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2.bin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3.bin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5.bin"/><Relationship Id="rId2" Type="http://schemas.openxmlformats.org/officeDocument/2006/relationships/customProperty" Target="../customProperty24.bin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6.bin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7.bin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8.bin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9.bin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0.bin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1.bin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2.bin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3.bin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4.bin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5.bin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6.bin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7.bin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9.bin"/><Relationship Id="rId2" Type="http://schemas.openxmlformats.org/officeDocument/2006/relationships/customProperty" Target="../customProperty38.bin"/><Relationship Id="rId1" Type="http://schemas.openxmlformats.org/officeDocument/2006/relationships/printerSettings" Target="../printerSettings/printerSettings33.bin"/><Relationship Id="rId4" Type="http://schemas.openxmlformats.org/officeDocument/2006/relationships/drawing" Target="../drawings/drawing4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customProperty" Target="../customProperty41.bin"/><Relationship Id="rId1" Type="http://schemas.openxmlformats.org/officeDocument/2006/relationships/customProperty" Target="../customProperty40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2.bin"/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../../../../../../../../:x:/r/teams/team_10046812/Shared%20Documents/News-Channel%20RACE/RACE_Management_Structure_2024%20v02.xlsx?d=wdd30e73b2661456994550acb0b862327&amp;csf=1&amp;web=1&amp;e=EksrqJ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7.bin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../../../../../../../../:f:/r/teams/team_10049672/Shared%20Documents/General/Internal%20Trainings?csf=1&amp;web=1&amp;e=V0rKTD" TargetMode="Externa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.bin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BEB42-FEBE-4C08-A7E2-A84EBB845E94}">
  <dimension ref="A1"/>
  <sheetViews>
    <sheetView workbookViewId="0"/>
  </sheetViews>
  <sheetFormatPr defaultRowHeight="15"/>
  <sheetData/>
  <phoneticPr fontId="65" type="noConversion"/>
  <pageMargins left="0.7" right="0.7" top="0.75" bottom="0.75" header="0.3" footer="0.3"/>
  <pageSetup paperSize="9" orientation="portrait" r:id="rId1"/>
  <customProperties>
    <customPr name="_pios_id" r:id="rId2"/>
    <customPr name="CofWorksheetType" r:id="rId3"/>
    <customPr name="serializedData2" r:id="rId4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64762-6284-489B-95C5-DD42B2B54785}">
  <sheetPr>
    <tabColor rgb="FFFFFFCC"/>
    <pageSetUpPr fitToPage="1"/>
  </sheetPr>
  <dimension ref="A1:Q42"/>
  <sheetViews>
    <sheetView showGridLines="0" zoomScale="90" zoomScaleNormal="90" workbookViewId="0">
      <pane xSplit="1" ySplit="5" topLeftCell="B6" activePane="bottomRight" state="frozen"/>
      <selection pane="topRight" activeCell="C21" sqref="C21"/>
      <selection pane="bottomLeft" activeCell="C21" sqref="C21"/>
      <selection pane="bottomRight" activeCell="H26" sqref="H26"/>
    </sheetView>
  </sheetViews>
  <sheetFormatPr defaultColWidth="9.28515625" defaultRowHeight="12.75" customHeight="1" outlineLevelCol="1"/>
  <cols>
    <col min="1" max="1" width="57.28515625" style="5" customWidth="1"/>
    <col min="2" max="2" width="16.28515625" style="5" customWidth="1"/>
    <col min="3" max="3" width="16.7109375" style="5" customWidth="1"/>
    <col min="4" max="4" width="16.7109375" style="5" customWidth="1" outlineLevel="1"/>
    <col min="5" max="5" width="21.28515625" style="5" customWidth="1" outlineLevel="1"/>
    <col min="6" max="6" width="16.7109375" style="5" customWidth="1"/>
    <col min="7" max="9" width="14.7109375" style="5" customWidth="1"/>
    <col min="10" max="10" width="12.7109375" style="5" customWidth="1"/>
    <col min="11" max="11" width="16.7109375" style="5" customWidth="1"/>
    <col min="12" max="12" width="16.7109375" style="5" customWidth="1" outlineLevel="1"/>
    <col min="13" max="14" width="16.7109375" style="5" customWidth="1"/>
    <col min="15" max="15" width="70.140625" style="5" customWidth="1"/>
    <col min="16" max="16" width="2.28515625" style="5" customWidth="1"/>
    <col min="17" max="17" width="255.7109375" style="5" bestFit="1" customWidth="1"/>
    <col min="18" max="16384" width="9.28515625" style="5"/>
  </cols>
  <sheetData>
    <row r="1" spans="1:17" s="71" customFormat="1" ht="19.899999999999999" customHeight="1">
      <c r="A1" s="60" t="str">
        <f>+'0. Instructions'!A1</f>
        <v>Budget 2024</v>
      </c>
      <c r="B1" s="60"/>
      <c r="C1" s="60"/>
      <c r="D1" s="72"/>
      <c r="E1" s="72"/>
      <c r="F1" s="72"/>
      <c r="G1" s="708"/>
      <c r="H1" s="60"/>
      <c r="I1" s="60"/>
      <c r="J1" s="60"/>
      <c r="K1" s="60"/>
      <c r="L1" s="72"/>
      <c r="M1" s="72"/>
      <c r="N1" s="72"/>
      <c r="O1" s="58" t="str">
        <f>'Input-FX Rates'!$H$1</f>
        <v>Plant ICH Icheon (242)</v>
      </c>
      <c r="Q1" s="56" t="s">
        <v>154</v>
      </c>
    </row>
    <row r="2" spans="1:17" s="71" customFormat="1" ht="19.899999999999999" customHeight="1" thickBot="1">
      <c r="A2" s="55" t="s">
        <v>246</v>
      </c>
      <c r="B2" s="55"/>
      <c r="C2" s="55"/>
      <c r="D2" s="55"/>
      <c r="E2" s="55"/>
      <c r="F2" s="55"/>
      <c r="G2" s="54"/>
      <c r="H2" s="55"/>
      <c r="I2" s="55"/>
      <c r="J2" s="55"/>
      <c r="K2" s="55"/>
      <c r="L2" s="55"/>
      <c r="M2" s="55"/>
      <c r="N2" s="55"/>
      <c r="O2" s="54" t="str">
        <f>'Input-FX Rates'!$H$2</f>
        <v>7821 PL Drivetrain Controls (&amp; Electrification)</v>
      </c>
      <c r="Q2" s="95" t="s">
        <v>156</v>
      </c>
    </row>
    <row r="3" spans="1:17" ht="12.75" customHeight="1">
      <c r="L3" s="121"/>
      <c r="N3" s="189"/>
    </row>
    <row r="4" spans="1:17" ht="25.5" customHeight="1">
      <c r="A4" s="188" t="str">
        <f>"Variable Cost"&amp;" in '000 "&amp;'Input-FX Rates'!$B$8</f>
        <v>Variable Cost in '000 KRW</v>
      </c>
      <c r="B4" s="1037">
        <v>2023</v>
      </c>
      <c r="C4" s="1035"/>
      <c r="D4" s="1035"/>
      <c r="E4" s="1038"/>
      <c r="F4" s="1037" t="s">
        <v>247</v>
      </c>
      <c r="G4" s="1035"/>
      <c r="H4" s="1035"/>
      <c r="I4" s="1035"/>
      <c r="J4" s="1035"/>
      <c r="K4" s="1038"/>
      <c r="L4" s="1037">
        <v>2024</v>
      </c>
      <c r="M4" s="1035"/>
      <c r="N4" s="1038"/>
      <c r="O4" s="187" t="s">
        <v>208</v>
      </c>
    </row>
    <row r="5" spans="1:17" ht="54" customHeight="1">
      <c r="A5" s="188"/>
      <c r="B5" s="659" t="s">
        <v>248</v>
      </c>
      <c r="C5" s="187" t="s">
        <v>19</v>
      </c>
      <c r="D5" s="187" t="s">
        <v>249</v>
      </c>
      <c r="E5" s="188" t="s">
        <v>250</v>
      </c>
      <c r="F5" s="659" t="s">
        <v>251</v>
      </c>
      <c r="G5" s="187" t="s">
        <v>252</v>
      </c>
      <c r="H5" s="187" t="s">
        <v>253</v>
      </c>
      <c r="I5" s="187" t="s">
        <v>254</v>
      </c>
      <c r="J5" s="187" t="s">
        <v>255</v>
      </c>
      <c r="K5" s="188" t="s">
        <v>256</v>
      </c>
      <c r="L5" s="659" t="s">
        <v>257</v>
      </c>
      <c r="M5" s="187" t="s">
        <v>15</v>
      </c>
      <c r="N5" s="188" t="s">
        <v>258</v>
      </c>
      <c r="O5" s="187"/>
    </row>
    <row r="6" spans="1:17" ht="18.600000000000001" customHeight="1">
      <c r="A6" s="79" t="s">
        <v>195</v>
      </c>
      <c r="B6" s="186">
        <f>'P&amp;L'!F8</f>
        <v>78052717.702999994</v>
      </c>
      <c r="C6" s="185">
        <f>'P&amp;L'!H8</f>
        <v>140545930.37400001</v>
      </c>
      <c r="D6" s="184">
        <v>4242966.8289999999</v>
      </c>
      <c r="E6" s="183">
        <f>C6-D6</f>
        <v>136302963.54500002</v>
      </c>
      <c r="F6" s="178">
        <v>-7301989.9895000132</v>
      </c>
      <c r="G6" s="179"/>
      <c r="H6" s="177">
        <v>-2636166.7999999998</v>
      </c>
      <c r="I6" s="182"/>
      <c r="J6" s="181"/>
      <c r="K6" s="180">
        <f>M6-SUM(E6:I6)</f>
        <v>1052700.0004999936</v>
      </c>
      <c r="L6" s="128"/>
      <c r="M6" s="179">
        <f>'P&amp;L'!I8</f>
        <v>127417506.756</v>
      </c>
      <c r="N6" s="171">
        <f>IFERROR(M6/C6-1,0)</f>
        <v>-9.341020108561382E-2</v>
      </c>
      <c r="O6" s="967"/>
      <c r="P6" s="99"/>
      <c r="Q6" s="709"/>
    </row>
    <row r="7" spans="1:17" ht="18.600000000000001" customHeight="1">
      <c r="A7" s="79" t="s">
        <v>259</v>
      </c>
      <c r="B7" s="178">
        <v>78539121.790999994</v>
      </c>
      <c r="C7" s="177">
        <v>134738250.79399994</v>
      </c>
      <c r="D7" s="177">
        <v>4242966.8289999999</v>
      </c>
      <c r="E7" s="176">
        <f>C7-D7</f>
        <v>130495283.96499994</v>
      </c>
      <c r="F7" s="134"/>
      <c r="G7" s="175"/>
      <c r="H7" s="175"/>
      <c r="I7" s="175"/>
      <c r="J7" s="174"/>
      <c r="K7" s="173"/>
      <c r="L7" s="141"/>
      <c r="M7" s="172">
        <v>126364806.7555</v>
      </c>
      <c r="N7" s="171">
        <f>IFERROR(M7/C7-1,0)</f>
        <v>-6.2146005229814172E-2</v>
      </c>
      <c r="O7" s="955"/>
      <c r="P7" s="99"/>
      <c r="Q7" s="709"/>
    </row>
    <row r="8" spans="1:17" ht="18.600000000000001" customHeight="1">
      <c r="A8" s="79" t="s">
        <v>260</v>
      </c>
      <c r="B8" s="120">
        <f>SUM(B10:B14)</f>
        <v>-38596966.872909993</v>
      </c>
      <c r="C8" s="116">
        <f>SUM(C10:C14)</f>
        <v>-67380362.071879998</v>
      </c>
      <c r="D8" s="116">
        <f>SUM(D10:D14)</f>
        <v>0</v>
      </c>
      <c r="E8" s="118">
        <f>C8-D8</f>
        <v>-67380362.071879998</v>
      </c>
      <c r="F8" s="120">
        <f>SUM(F10:F14)</f>
        <v>3609686</v>
      </c>
      <c r="G8" s="116">
        <f>SUM(G10:G14)</f>
        <v>-816270.6215400002</v>
      </c>
      <c r="H8" s="116">
        <f>SUM(H10:H14)</f>
        <v>764699.94787999988</v>
      </c>
      <c r="I8" s="116">
        <f>SUM(I10:I14)</f>
        <v>0</v>
      </c>
      <c r="J8" s="116"/>
      <c r="K8" s="170">
        <f>SUM(K10:K14)</f>
        <v>-87917.217999999993</v>
      </c>
      <c r="L8" s="117"/>
      <c r="M8" s="116">
        <f>SUM(M10:M14)</f>
        <v>-63910163.963540003</v>
      </c>
      <c r="N8" s="115">
        <f>IFERROR(M8/C8-1,0)</f>
        <v>-5.1501624533243917E-2</v>
      </c>
      <c r="O8" s="955"/>
      <c r="P8" s="99"/>
      <c r="Q8" s="699" t="s">
        <v>261</v>
      </c>
    </row>
    <row r="9" spans="1:17" ht="15" customHeight="1">
      <c r="A9" s="84" t="s">
        <v>262</v>
      </c>
      <c r="B9" s="950">
        <f>IFERROR((B8+B15)/B6,0)</f>
        <v>-0.64832637003701699</v>
      </c>
      <c r="C9" s="951">
        <f>IFERROR((C8+C15)/C6,0)</f>
        <v>-0.63194449326043989</v>
      </c>
      <c r="D9" s="951">
        <f>IFERROR((D8+D15)/D6,0)</f>
        <v>0</v>
      </c>
      <c r="E9" s="952">
        <f>IFERROR((E8+E15)/E6,0)</f>
        <v>-0.65161625572940496</v>
      </c>
      <c r="F9" s="950">
        <f>IFERROR((F8+F15)/F6,0)</f>
        <v>-0.65161647808911882</v>
      </c>
      <c r="G9" s="951"/>
      <c r="H9" s="951"/>
      <c r="I9" s="951"/>
      <c r="J9" s="951"/>
      <c r="K9" s="952"/>
      <c r="L9" s="950"/>
      <c r="M9" s="951">
        <f>IFERROR((M8+M15)/M6,0)</f>
        <v>-0.65466484009358483</v>
      </c>
      <c r="N9" s="952"/>
      <c r="O9" s="955"/>
      <c r="P9" s="99"/>
      <c r="Q9" s="99"/>
    </row>
    <row r="10" spans="1:17" ht="51">
      <c r="A10" s="169" t="s">
        <v>263</v>
      </c>
      <c r="B10" s="141">
        <v>-33775098.443389997</v>
      </c>
      <c r="C10" s="140">
        <v>-60431772.217390001</v>
      </c>
      <c r="D10" s="140"/>
      <c r="E10" s="147">
        <f t="shared" ref="E10:E16" si="0">C10-D10</f>
        <v>-60431772.217390001</v>
      </c>
      <c r="F10" s="146">
        <f t="shared" ref="F10:F16" si="1">IF($C$6=0,0,ROUND($F$6/$E$6*E10,0))</f>
        <v>3237437</v>
      </c>
      <c r="G10" s="145">
        <v>-7327299.7960299999</v>
      </c>
      <c r="H10" s="165">
        <f>'10. Purchasing (LC)'!E14</f>
        <v>764699.94787999988</v>
      </c>
      <c r="I10" s="156"/>
      <c r="J10" s="157"/>
      <c r="K10" s="142">
        <f t="shared" ref="K10:K16" si="2">M10-SUM(E10:I10)</f>
        <v>0</v>
      </c>
      <c r="L10" s="141"/>
      <c r="M10" s="165">
        <f>'10. Purchasing (LC)'!D14</f>
        <v>-63756935.065540001</v>
      </c>
      <c r="N10" s="168">
        <f t="shared" ref="N10:N16" si="3">IFERROR(M10/C10-1,0)</f>
        <v>5.5023421060505395E-2</v>
      </c>
      <c r="O10" s="997" t="s">
        <v>264</v>
      </c>
      <c r="P10" s="99"/>
      <c r="Q10" s="710" t="s">
        <v>265</v>
      </c>
    </row>
    <row r="11" spans="1:17" ht="15" customHeight="1">
      <c r="A11" s="148" t="s">
        <v>266</v>
      </c>
      <c r="B11" s="151">
        <f>'P&amp;L'!F26</f>
        <v>-4717507.3590000002</v>
      </c>
      <c r="C11" s="149">
        <f>'P&amp;L'!H26</f>
        <v>-6523231.5599999996</v>
      </c>
      <c r="D11" s="140"/>
      <c r="E11" s="147">
        <f t="shared" si="0"/>
        <v>-6523231.5599999996</v>
      </c>
      <c r="F11" s="146">
        <f t="shared" si="1"/>
        <v>349461</v>
      </c>
      <c r="G11" s="145">
        <v>6173770.5599999996</v>
      </c>
      <c r="H11" s="140"/>
      <c r="I11" s="165"/>
      <c r="J11" s="157"/>
      <c r="K11" s="142">
        <f t="shared" si="2"/>
        <v>0</v>
      </c>
      <c r="L11" s="141"/>
      <c r="M11" s="149">
        <f>'P&amp;L'!I26</f>
        <v>0</v>
      </c>
      <c r="N11" s="139">
        <f t="shared" si="3"/>
        <v>-1</v>
      </c>
      <c r="O11" s="138"/>
      <c r="P11" s="99"/>
      <c r="Q11" s="699" t="s">
        <v>267</v>
      </c>
    </row>
    <row r="12" spans="1:17" ht="15" customHeight="1">
      <c r="A12" s="148" t="s">
        <v>268</v>
      </c>
      <c r="B12" s="151">
        <f>'P&amp;L'!F45</f>
        <v>92893.217999999993</v>
      </c>
      <c r="C12" s="149">
        <f>'P&amp;L'!H45</f>
        <v>92893.217999999993</v>
      </c>
      <c r="D12" s="140"/>
      <c r="E12" s="147">
        <f t="shared" si="0"/>
        <v>92893.217999999993</v>
      </c>
      <c r="F12" s="146">
        <f t="shared" si="1"/>
        <v>-4976</v>
      </c>
      <c r="G12" s="167"/>
      <c r="H12" s="166"/>
      <c r="I12" s="165"/>
      <c r="J12" s="157"/>
      <c r="K12" s="142">
        <f t="shared" si="2"/>
        <v>-87917.217999999993</v>
      </c>
      <c r="L12" s="141"/>
      <c r="M12" s="149">
        <f>'P&amp;L'!I45</f>
        <v>0</v>
      </c>
      <c r="N12" s="139">
        <f t="shared" si="3"/>
        <v>-1</v>
      </c>
      <c r="O12" s="138"/>
      <c r="P12" s="99"/>
      <c r="Q12" s="699" t="s">
        <v>269</v>
      </c>
    </row>
    <row r="13" spans="1:17" ht="15" customHeight="1">
      <c r="A13" s="148" t="s">
        <v>270</v>
      </c>
      <c r="B13" s="141">
        <v>-197254.28851999997</v>
      </c>
      <c r="C13" s="140">
        <v>-518251.51249000005</v>
      </c>
      <c r="D13" s="140"/>
      <c r="E13" s="147">
        <f t="shared" si="0"/>
        <v>-518251.51249000005</v>
      </c>
      <c r="F13" s="146">
        <f t="shared" si="1"/>
        <v>27764</v>
      </c>
      <c r="G13" s="145">
        <v>337258.61449000007</v>
      </c>
      <c r="H13" s="140"/>
      <c r="I13" s="165"/>
      <c r="J13" s="157"/>
      <c r="K13" s="142">
        <f t="shared" si="2"/>
        <v>0</v>
      </c>
      <c r="L13" s="141"/>
      <c r="M13" s="140">
        <v>-153228.89799999999</v>
      </c>
      <c r="N13" s="139">
        <f t="shared" si="3"/>
        <v>-0.70433487542796769</v>
      </c>
      <c r="O13" s="138" t="s">
        <v>271</v>
      </c>
      <c r="P13" s="99"/>
      <c r="Q13" s="699" t="s">
        <v>272</v>
      </c>
    </row>
    <row r="14" spans="1:17" ht="15" customHeight="1">
      <c r="A14" s="148" t="s">
        <v>273</v>
      </c>
      <c r="B14" s="141">
        <v>0</v>
      </c>
      <c r="C14" s="140">
        <v>0</v>
      </c>
      <c r="D14" s="140"/>
      <c r="E14" s="147">
        <f t="shared" si="0"/>
        <v>0</v>
      </c>
      <c r="F14" s="146">
        <f t="shared" si="1"/>
        <v>0</v>
      </c>
      <c r="G14" s="145"/>
      <c r="H14" s="140"/>
      <c r="I14" s="158"/>
      <c r="J14" s="157"/>
      <c r="K14" s="142">
        <f t="shared" si="2"/>
        <v>0</v>
      </c>
      <c r="L14" s="141"/>
      <c r="M14" s="140">
        <v>0</v>
      </c>
      <c r="N14" s="139">
        <f t="shared" si="3"/>
        <v>0</v>
      </c>
      <c r="O14" s="138"/>
      <c r="P14" s="99"/>
      <c r="Q14" s="699" t="s">
        <v>274</v>
      </c>
    </row>
    <row r="15" spans="1:17" s="160" customFormat="1" ht="15" customHeight="1">
      <c r="A15" s="164" t="s">
        <v>275</v>
      </c>
      <c r="B15" s="128">
        <v>-12006668.267000001</v>
      </c>
      <c r="C15" s="127">
        <v>-21436864.678134501</v>
      </c>
      <c r="D15" s="127"/>
      <c r="E15" s="125">
        <f t="shared" si="0"/>
        <v>-21436864.678134501</v>
      </c>
      <c r="F15" s="137">
        <f t="shared" si="1"/>
        <v>1148411</v>
      </c>
      <c r="G15" s="163">
        <f>M15-SUM(E15,F15,H15)</f>
        <v>782855.95613450184</v>
      </c>
      <c r="H15" s="127"/>
      <c r="I15" s="162"/>
      <c r="J15" s="161"/>
      <c r="K15" s="142">
        <f t="shared" si="2"/>
        <v>0</v>
      </c>
      <c r="L15" s="128"/>
      <c r="M15" s="127">
        <v>-19505597.721999999</v>
      </c>
      <c r="N15" s="123">
        <f t="shared" si="3"/>
        <v>-9.0090924448685161E-2</v>
      </c>
      <c r="O15" s="138" t="s">
        <v>276</v>
      </c>
      <c r="P15" s="64"/>
      <c r="Q15" s="699" t="s">
        <v>277</v>
      </c>
    </row>
    <row r="16" spans="1:17" ht="15" customHeight="1">
      <c r="A16" s="148" t="s">
        <v>278</v>
      </c>
      <c r="B16" s="151">
        <f>'P&amp;L'!F58</f>
        <v>-3860834.1880000001</v>
      </c>
      <c r="C16" s="149">
        <f>'P&amp;L'!H58</f>
        <v>-6842464.7439999999</v>
      </c>
      <c r="D16" s="140"/>
      <c r="E16" s="147">
        <f t="shared" si="0"/>
        <v>-6842464.7439999999</v>
      </c>
      <c r="F16" s="146">
        <f t="shared" si="1"/>
        <v>366563</v>
      </c>
      <c r="G16" s="159">
        <f>M16-SUM(E16,F16,H16)</f>
        <v>600567.65299999993</v>
      </c>
      <c r="H16" s="140"/>
      <c r="I16" s="158"/>
      <c r="J16" s="157"/>
      <c r="K16" s="142">
        <f t="shared" si="2"/>
        <v>0</v>
      </c>
      <c r="L16" s="141"/>
      <c r="M16" s="149">
        <f>'P&amp;L'!I58</f>
        <v>-5875334.091</v>
      </c>
      <c r="N16" s="139">
        <f t="shared" si="3"/>
        <v>-0.14134243860709028</v>
      </c>
      <c r="O16" s="138" t="s">
        <v>279</v>
      </c>
      <c r="P16" s="99"/>
      <c r="Q16" s="699" t="s">
        <v>280</v>
      </c>
    </row>
    <row r="17" spans="1:17" ht="15" customHeight="1">
      <c r="A17" s="79" t="s">
        <v>281</v>
      </c>
      <c r="B17" s="120">
        <f>B19+B20+B21</f>
        <v>-2164073.523</v>
      </c>
      <c r="C17" s="116">
        <f t="shared" ref="C17:D17" si="4">C19+C20+C21</f>
        <v>-4200446.5753403064</v>
      </c>
      <c r="D17" s="116">
        <f t="shared" si="4"/>
        <v>0</v>
      </c>
      <c r="E17" s="118">
        <f>C17-D17</f>
        <v>-4200446.5753403064</v>
      </c>
      <c r="F17" s="120">
        <f>F19+F20+F21</f>
        <v>225025</v>
      </c>
      <c r="G17" s="116">
        <f t="shared" ref="G17:I17" si="5">G19+G20+G21</f>
        <v>152287</v>
      </c>
      <c r="H17" s="116">
        <f t="shared" si="5"/>
        <v>-102716.81472289198</v>
      </c>
      <c r="I17" s="116">
        <f t="shared" si="5"/>
        <v>86954.873771084007</v>
      </c>
      <c r="J17" s="119">
        <f>IFERROR((I17/(E17+F17+G17))*-1,0)</f>
        <v>2.2744392607038675E-2</v>
      </c>
      <c r="K17" s="118">
        <f>K19+K20+K21</f>
        <v>767473.07229211461</v>
      </c>
      <c r="L17" s="117">
        <f>L19+L20</f>
        <v>-2299054.06106932</v>
      </c>
      <c r="M17" s="116">
        <f>M19+M20+M21</f>
        <v>-3071423.4439999997</v>
      </c>
      <c r="N17" s="115">
        <f>IFERROR(M17/C17-1,0)</f>
        <v>-0.26878645189025807</v>
      </c>
      <c r="O17" s="955"/>
      <c r="P17" s="99"/>
      <c r="Q17" s="699"/>
    </row>
    <row r="18" spans="1:17" ht="15" customHeight="1">
      <c r="A18" s="84" t="s">
        <v>198</v>
      </c>
      <c r="B18" s="950">
        <f>IFERROR(B17/B$6,0)</f>
        <v>-2.7725793369995914E-2</v>
      </c>
      <c r="C18" s="951">
        <f>IFERROR(C17/C$6,0)</f>
        <v>-2.9886646764959328E-2</v>
      </c>
      <c r="D18" s="951">
        <f>IFERROR(D17/D$6,0)</f>
        <v>0</v>
      </c>
      <c r="E18" s="952">
        <f>IFERROR(E17/E$6,0)</f>
        <v>-3.081698641096341E-2</v>
      </c>
      <c r="F18" s="950">
        <f>IFERROR(F17/F$6,0)</f>
        <v>-3.0816941727334259E-2</v>
      </c>
      <c r="G18" s="951"/>
      <c r="H18" s="951"/>
      <c r="I18" s="951"/>
      <c r="J18" s="951"/>
      <c r="K18" s="952"/>
      <c r="L18" s="950"/>
      <c r="M18" s="951">
        <f>IFERROR(M17/M$6,0)</f>
        <v>-2.4105191838996398E-2</v>
      </c>
      <c r="N18" s="952"/>
      <c r="O18" s="955"/>
      <c r="P18" s="99"/>
      <c r="Q18" s="699"/>
    </row>
    <row r="19" spans="1:17" ht="15" customHeight="1">
      <c r="A19" s="148" t="s">
        <v>282</v>
      </c>
      <c r="B19" s="141">
        <v>-1762567.416</v>
      </c>
      <c r="C19" s="140">
        <v>-3447119.9610000001</v>
      </c>
      <c r="D19" s="144"/>
      <c r="E19" s="147">
        <f>C19-D19</f>
        <v>-3447119.9610000001</v>
      </c>
      <c r="F19" s="146">
        <f>IF($C$6=0,0,ROUND($F$6/$E$6*E19,0))</f>
        <v>184668</v>
      </c>
      <c r="G19" s="156"/>
      <c r="H19" s="154">
        <f>((M19/(1+'6. HC (LC)'!Q36))-M19)*-1</f>
        <v>-91310.886650602799</v>
      </c>
      <c r="I19" s="144">
        <f>34754.873771084+52200</f>
        <v>86954.873771084007</v>
      </c>
      <c r="J19" s="143">
        <f>IFERROR((I19/(E19+F19+G19))*-1,0)</f>
        <v>2.6653227330412789E-2</v>
      </c>
      <c r="K19" s="142">
        <f>M19-SUM(E19:I19)</f>
        <v>740540.10987951886</v>
      </c>
      <c r="L19" s="152">
        <v>-2299054.06106932</v>
      </c>
      <c r="M19" s="145">
        <v>-2526267.8640000001</v>
      </c>
      <c r="N19" s="139">
        <f>IFERROR(M19/C19-1,0)</f>
        <v>-0.26713665535819164</v>
      </c>
      <c r="O19" s="138" t="s">
        <v>283</v>
      </c>
      <c r="P19" s="99"/>
      <c r="Q19" s="699" t="s">
        <v>284</v>
      </c>
    </row>
    <row r="20" spans="1:17" ht="15" customHeight="1">
      <c r="A20" s="148" t="s">
        <v>285</v>
      </c>
      <c r="B20" s="151">
        <f>'5. Logistic Cost (LC)'!B11+'5. Logistic Cost (LC)'!B19</f>
        <v>-198009.02100000001</v>
      </c>
      <c r="C20" s="149">
        <f>'5. Logistic Cost (LC)'!C11+'5. Logistic Cost (LC)'!C19</f>
        <v>-346332.44234030659</v>
      </c>
      <c r="D20" s="149">
        <f>'5. Logistic Cost (LC)'!D11+'5. Logistic Cost (LC)'!D19</f>
        <v>0</v>
      </c>
      <c r="E20" s="147">
        <f>C20-D20</f>
        <v>-346332.44234030659</v>
      </c>
      <c r="F20" s="146">
        <f>IF($C$6=0,0,ROUND($F$6/$E$6*E20,0))</f>
        <v>18554</v>
      </c>
      <c r="G20" s="149">
        <f>'5. Logistic Cost (LC)'!G11+'5. Logistic Cost (LC)'!G19</f>
        <v>0</v>
      </c>
      <c r="H20" s="154">
        <f>'5. Logistic Cost (LC)'!H11+'5. Logistic Cost (LC)'!H19</f>
        <v>-11405.928072289185</v>
      </c>
      <c r="I20" s="154">
        <f>'5. Logistic Cost (LC)'!I11+'5. Logistic Cost (LC)'!I19</f>
        <v>0</v>
      </c>
      <c r="J20" s="143">
        <f>IFERROR((I20/(E20+F20+G20))*-1,0)</f>
        <v>0</v>
      </c>
      <c r="K20" s="142">
        <f>M20-SUM(E20:I20)</f>
        <v>23620.360412595794</v>
      </c>
      <c r="L20" s="154">
        <f>'5. Logistic Cost (LC)'!K11+'5. Logistic Cost (LC)'!K19</f>
        <v>0</v>
      </c>
      <c r="M20" s="149">
        <f>'5. Logistic Cost (LC)'!L11+'5. Logistic Cost (LC)'!L19</f>
        <v>-315564.01</v>
      </c>
      <c r="N20" s="139">
        <f>IFERROR(M20/C20-1,0)</f>
        <v>-8.884074541903153E-2</v>
      </c>
      <c r="O20" s="138"/>
      <c r="P20" s="99"/>
      <c r="Q20" s="711" t="s">
        <v>286</v>
      </c>
    </row>
    <row r="21" spans="1:17" ht="15" customHeight="1">
      <c r="A21" s="148" t="s">
        <v>287</v>
      </c>
      <c r="B21" s="141">
        <v>-203497.08600000001</v>
      </c>
      <c r="C21" s="140">
        <v>-406994.17200000002</v>
      </c>
      <c r="D21" s="144"/>
      <c r="E21" s="147">
        <f>C21-D21</f>
        <v>-406994.17200000002</v>
      </c>
      <c r="F21" s="146">
        <f>IF($C$6=0,0,ROUND($F$6/$E$6*E21,0))</f>
        <v>21803</v>
      </c>
      <c r="G21" s="156">
        <v>152287</v>
      </c>
      <c r="H21" s="156"/>
      <c r="I21" s="156"/>
      <c r="J21" s="143">
        <f>IFERROR((I21/(E21+F21+G21))*-1,0)</f>
        <v>0</v>
      </c>
      <c r="K21" s="142">
        <f>M21-SUM(E21:I21)</f>
        <v>3312.6020000000135</v>
      </c>
      <c r="L21" s="154"/>
      <c r="M21" s="145">
        <v>-229591.57</v>
      </c>
      <c r="N21" s="139">
        <f>IFERROR(M21/C21-1,0)</f>
        <v>-0.43588487060694325</v>
      </c>
      <c r="O21" s="985" t="s">
        <v>288</v>
      </c>
      <c r="P21" s="99"/>
      <c r="Q21" s="711" t="s">
        <v>289</v>
      </c>
    </row>
    <row r="22" spans="1:17" ht="15" customHeight="1">
      <c r="A22" s="79" t="s">
        <v>290</v>
      </c>
      <c r="B22" s="120">
        <f>SUM(B24:B30)</f>
        <v>-2144749.7849999997</v>
      </c>
      <c r="C22" s="116">
        <f>SUM(C24:C30)</f>
        <v>-4309575.381812227</v>
      </c>
      <c r="D22" s="116">
        <f>SUM(D24:D30)</f>
        <v>-435139.23387431109</v>
      </c>
      <c r="E22" s="118">
        <f>C22-D22</f>
        <v>-3874436.1479379158</v>
      </c>
      <c r="F22" s="120">
        <f>SUM(F24:F30)</f>
        <v>207560</v>
      </c>
      <c r="G22" s="116">
        <f>SUM(G24:G30)</f>
        <v>-95043.601577669717</v>
      </c>
      <c r="H22" s="116">
        <f>SUM(H24:H30)</f>
        <v>-35332.007099000002</v>
      </c>
      <c r="I22" s="116">
        <f>SUM(I24:I30)</f>
        <v>206652.76559899998</v>
      </c>
      <c r="J22" s="119">
        <f>IFERROR((I22/(E22+F22+G22))*-1,0)</f>
        <v>5.4932794785324757E-2</v>
      </c>
      <c r="K22" s="118">
        <f>SUM(K24:K30)</f>
        <v>-436807.02401153708</v>
      </c>
      <c r="L22" s="117">
        <f>SUM(L24:L30)</f>
        <v>-1956388.6505811499</v>
      </c>
      <c r="M22" s="116">
        <f>SUM(M24:M30)</f>
        <v>-4027406.0150271221</v>
      </c>
      <c r="N22" s="115">
        <f>IFERROR(M22/C22-1,0)</f>
        <v>-6.5474981125971055E-2</v>
      </c>
      <c r="O22" s="955"/>
      <c r="P22" s="99"/>
      <c r="Q22" s="99"/>
    </row>
    <row r="23" spans="1:17" ht="15" customHeight="1">
      <c r="A23" s="84" t="s">
        <v>198</v>
      </c>
      <c r="B23" s="950">
        <f>IFERROR(B22/B$6,0)</f>
        <v>-2.74782204658271E-2</v>
      </c>
      <c r="C23" s="951">
        <f>IFERROR(C22/C$6,0)</f>
        <v>-3.0663110417670746E-2</v>
      </c>
      <c r="D23" s="951">
        <f>IFERROR(D22/D$6,0)</f>
        <v>-0.10255541733209037</v>
      </c>
      <c r="E23" s="952">
        <f>IFERROR(E22/E$6,0)</f>
        <v>-2.8425179080268363E-2</v>
      </c>
      <c r="F23" s="950">
        <f>IFERROR(F22/F$6,0)</f>
        <v>-2.8425127985448276E-2</v>
      </c>
      <c r="G23" s="951"/>
      <c r="H23" s="951"/>
      <c r="I23" s="951"/>
      <c r="J23" s="951"/>
      <c r="K23" s="952"/>
      <c r="L23" s="950"/>
      <c r="M23" s="951">
        <f>IFERROR(M22/M$6,0)</f>
        <v>-3.1607948684315899E-2</v>
      </c>
      <c r="N23" s="952"/>
      <c r="O23" s="955"/>
      <c r="P23" s="99"/>
      <c r="Q23" s="99"/>
    </row>
    <row r="24" spans="1:17" ht="15" customHeight="1">
      <c r="A24" s="148" t="s">
        <v>291</v>
      </c>
      <c r="B24" s="141">
        <v>-4691.0370000000003</v>
      </c>
      <c r="C24" s="140">
        <v>-4691.0370000000003</v>
      </c>
      <c r="D24" s="140"/>
      <c r="E24" s="147">
        <f>C24-D24</f>
        <v>-4691.0370000000003</v>
      </c>
      <c r="F24" s="146">
        <f t="shared" ref="F24:F32" si="6">IF($C$6=0,0,ROUND($F$6/$E$6*E24,0))</f>
        <v>251</v>
      </c>
      <c r="G24" s="145"/>
      <c r="H24" s="140"/>
      <c r="I24" s="144">
        <v>4440.0370000000003</v>
      </c>
      <c r="J24" s="143">
        <f t="shared" ref="J24:J35" si="7">IFERROR((I24/(E24+F24+G24))*-1,0)</f>
        <v>1</v>
      </c>
      <c r="K24" s="142">
        <f t="shared" ref="K24:K34" si="8">M24-SUM(E24:I24)</f>
        <v>0</v>
      </c>
      <c r="L24" s="152">
        <v>-1956388.6505811499</v>
      </c>
      <c r="M24" s="145">
        <v>0</v>
      </c>
      <c r="N24" s="139">
        <f t="shared" ref="N24:N35" si="9">IFERROR(M24/C24-1,0)</f>
        <v>-1</v>
      </c>
      <c r="O24" s="138"/>
      <c r="P24" s="99"/>
      <c r="Q24" s="712" t="s">
        <v>292</v>
      </c>
    </row>
    <row r="25" spans="1:17" ht="25.5">
      <c r="A25" s="148" t="s">
        <v>293</v>
      </c>
      <c r="B25" s="141">
        <v>-150173.16899999999</v>
      </c>
      <c r="C25" s="140">
        <v>-300346.33799999999</v>
      </c>
      <c r="D25" s="140"/>
      <c r="E25" s="147">
        <f>C25-D25</f>
        <v>-300346.33799999999</v>
      </c>
      <c r="F25" s="146">
        <f t="shared" si="6"/>
        <v>16090</v>
      </c>
      <c r="G25" s="145"/>
      <c r="H25" s="140">
        <v>-6430.5035990000006</v>
      </c>
      <c r="I25" s="144">
        <v>11099.728598999965</v>
      </c>
      <c r="J25" s="143">
        <f t="shared" si="7"/>
        <v>3.9048306458517618E-2</v>
      </c>
      <c r="K25" s="142">
        <f t="shared" si="8"/>
        <v>19999.977000000014</v>
      </c>
      <c r="L25" s="141"/>
      <c r="M25" s="140">
        <v>-259587.136</v>
      </c>
      <c r="N25" s="139">
        <f t="shared" si="9"/>
        <v>-0.13570733797327006</v>
      </c>
      <c r="O25" s="997" t="s">
        <v>294</v>
      </c>
      <c r="P25" s="99"/>
      <c r="Q25" s="712" t="s">
        <v>295</v>
      </c>
    </row>
    <row r="26" spans="1:17">
      <c r="A26" s="148" t="s">
        <v>296</v>
      </c>
      <c r="B26" s="141">
        <v>-213867.571</v>
      </c>
      <c r="C26" s="140">
        <v>-492779.56599999999</v>
      </c>
      <c r="D26" s="144"/>
      <c r="E26" s="147">
        <f>C26-D26</f>
        <v>-492779.56599999999</v>
      </c>
      <c r="F26" s="146">
        <f t="shared" si="6"/>
        <v>26399</v>
      </c>
      <c r="G26" s="145"/>
      <c r="H26" s="140"/>
      <c r="I26" s="144">
        <v>33144</v>
      </c>
      <c r="J26" s="143">
        <f t="shared" si="7"/>
        <v>7.1066426039716246E-2</v>
      </c>
      <c r="K26" s="142">
        <f t="shared" si="8"/>
        <v>-680076.30999999994</v>
      </c>
      <c r="L26" s="141"/>
      <c r="M26" s="140">
        <v>-1113312.8759999999</v>
      </c>
      <c r="N26" s="139">
        <f t="shared" si="9"/>
        <v>1.2592513018285341</v>
      </c>
      <c r="O26" s="997" t="s">
        <v>283</v>
      </c>
      <c r="P26" s="99"/>
      <c r="Q26" s="987" t="s">
        <v>297</v>
      </c>
    </row>
    <row r="27" spans="1:17" ht="15" customHeight="1">
      <c r="A27" s="148" t="s">
        <v>298</v>
      </c>
      <c r="B27" s="141">
        <v>-238701.70499999999</v>
      </c>
      <c r="C27" s="140">
        <v>-549013.92149999994</v>
      </c>
      <c r="D27" s="140"/>
      <c r="E27" s="147">
        <f>C27-D27</f>
        <v>-549013.92149999994</v>
      </c>
      <c r="F27" s="146">
        <f t="shared" si="6"/>
        <v>29412</v>
      </c>
      <c r="G27" s="145">
        <v>-29526.645000000019</v>
      </c>
      <c r="H27" s="140">
        <v>-28901.503499999999</v>
      </c>
      <c r="I27" s="144"/>
      <c r="J27" s="143">
        <f t="shared" si="7"/>
        <v>0</v>
      </c>
      <c r="K27" s="142">
        <f t="shared" si="8"/>
        <v>0</v>
      </c>
      <c r="L27" s="141"/>
      <c r="M27" s="140">
        <v>-578030.06999999995</v>
      </c>
      <c r="N27" s="139">
        <f t="shared" si="9"/>
        <v>5.2851389306709962E-2</v>
      </c>
      <c r="O27" s="138" t="s">
        <v>299</v>
      </c>
      <c r="P27" s="99"/>
      <c r="Q27" s="712" t="s">
        <v>300</v>
      </c>
    </row>
    <row r="28" spans="1:17" ht="15" customHeight="1">
      <c r="A28" s="148" t="s">
        <v>301</v>
      </c>
      <c r="B28" s="151">
        <f>'5. Logistic Cost (LC)'!B8-'2. Variable (LC)'!B20</f>
        <v>-1629521.773</v>
      </c>
      <c r="C28" s="149">
        <f>'5. Logistic Cost (LC)'!C8-'2. Variable (LC)'!C20</f>
        <v>-3120928.1538898968</v>
      </c>
      <c r="D28" s="149">
        <f>'5. Logistic Cost (LC)'!D8-'2. Variable (LC)'!D20</f>
        <v>-435139.23387431109</v>
      </c>
      <c r="E28" s="147">
        <f>'5. Logistic Cost (LC)'!E8-'2. Variable (LC)'!E20</f>
        <v>-2685788.9200155856</v>
      </c>
      <c r="F28" s="146">
        <f t="shared" si="6"/>
        <v>143882</v>
      </c>
      <c r="G28" s="149">
        <f>'5. Logistic Cost (LC)'!G8-'2. Variable (LC)'!G20</f>
        <v>90194</v>
      </c>
      <c r="H28" s="149">
        <f>'5. Logistic Cost (LC)'!H8-'2. Variable (LC)'!H20</f>
        <v>0</v>
      </c>
      <c r="I28" s="150">
        <f>'5. Logistic Cost (LC)'!I8-'2. Variable (LC)'!I20</f>
        <v>157969</v>
      </c>
      <c r="J28" s="143">
        <f t="shared" si="7"/>
        <v>6.4432095091702571E-2</v>
      </c>
      <c r="K28" s="142">
        <f t="shared" si="8"/>
        <v>223269.31098846276</v>
      </c>
      <c r="L28" s="150">
        <f>'5. Logistic Cost (LC)'!K8-'2. Variable (LC)'!L20</f>
        <v>0</v>
      </c>
      <c r="M28" s="149">
        <f>'5. Logistic Cost (LC)'!L8-'2. Variable (LC)'!M20</f>
        <v>-2070474.6090271228</v>
      </c>
      <c r="N28" s="139">
        <f>IFERROR(M28/C28-1,0)</f>
        <v>-0.33658369980529612</v>
      </c>
      <c r="O28" s="138"/>
      <c r="P28" s="99"/>
      <c r="Q28" s="712" t="s">
        <v>302</v>
      </c>
    </row>
    <row r="29" spans="1:17" ht="15" customHeight="1">
      <c r="A29" s="148" t="s">
        <v>303</v>
      </c>
      <c r="B29" s="141">
        <v>92205.47</v>
      </c>
      <c r="C29" s="140">
        <v>158183.6345776697</v>
      </c>
      <c r="D29" s="140"/>
      <c r="E29" s="147">
        <f t="shared" ref="E29:E34" si="10">C29-D29</f>
        <v>158183.6345776697</v>
      </c>
      <c r="F29" s="146">
        <f t="shared" ref="F29" si="11">IF($C$6=0,0,ROUND($F$6/$E$6*E29,0))</f>
        <v>-8474</v>
      </c>
      <c r="G29" s="145">
        <v>-149710.9635776697</v>
      </c>
      <c r="H29" s="140"/>
      <c r="I29" s="144"/>
      <c r="J29" s="143">
        <f t="shared" ref="J29" si="12">IFERROR((I29/(E29+F29+G29))*-1,0)</f>
        <v>0</v>
      </c>
      <c r="K29" s="142">
        <f t="shared" ref="K29" si="13">M29-SUM(E29:I29)</f>
        <v>-2.0000000020954367E-3</v>
      </c>
      <c r="L29" s="986"/>
      <c r="M29" s="140">
        <v>-1.331</v>
      </c>
      <c r="N29" s="139">
        <f t="shared" si="9"/>
        <v>-1.0000084142711954</v>
      </c>
      <c r="O29" s="138" t="s">
        <v>304</v>
      </c>
      <c r="P29" s="99"/>
      <c r="Q29" s="711" t="s">
        <v>305</v>
      </c>
    </row>
    <row r="30" spans="1:17" ht="15" customHeight="1">
      <c r="A30" s="148" t="s">
        <v>306</v>
      </c>
      <c r="B30" s="141">
        <v>0</v>
      </c>
      <c r="C30" s="140"/>
      <c r="D30" s="140"/>
      <c r="E30" s="147">
        <f t="shared" si="10"/>
        <v>0</v>
      </c>
      <c r="F30" s="146">
        <f t="shared" si="6"/>
        <v>0</v>
      </c>
      <c r="G30" s="145">
        <v>-5999.9930000000004</v>
      </c>
      <c r="H30" s="140"/>
      <c r="I30" s="144"/>
      <c r="J30" s="143">
        <f t="shared" si="7"/>
        <v>0</v>
      </c>
      <c r="K30" s="142">
        <f t="shared" si="8"/>
        <v>0</v>
      </c>
      <c r="L30" s="141"/>
      <c r="M30" s="140">
        <v>-5999.9930000000004</v>
      </c>
      <c r="N30" s="139">
        <f t="shared" si="9"/>
        <v>0</v>
      </c>
      <c r="O30" s="138"/>
      <c r="P30" s="99"/>
      <c r="Q30" s="712" t="s">
        <v>307</v>
      </c>
    </row>
    <row r="31" spans="1:17" s="121" customFormat="1" ht="15" customHeight="1">
      <c r="A31" s="130" t="s">
        <v>308</v>
      </c>
      <c r="B31" s="129">
        <f>'P&amp;L'!F44</f>
        <v>-39055.754000000001</v>
      </c>
      <c r="C31" s="124">
        <f>'P&amp;L'!H44</f>
        <v>-168609.79800000001</v>
      </c>
      <c r="D31" s="127"/>
      <c r="E31" s="125">
        <f t="shared" si="10"/>
        <v>-168609.79800000001</v>
      </c>
      <c r="F31" s="137">
        <f t="shared" si="6"/>
        <v>9033</v>
      </c>
      <c r="G31" s="136"/>
      <c r="H31" s="127"/>
      <c r="I31" s="135"/>
      <c r="J31" s="132">
        <f t="shared" si="7"/>
        <v>0</v>
      </c>
      <c r="K31" s="131">
        <f t="shared" si="8"/>
        <v>7939.0299999999988</v>
      </c>
      <c r="L31" s="128">
        <v>-189529.5</v>
      </c>
      <c r="M31" s="124">
        <f>'P&amp;L'!I44</f>
        <v>-151637.76800000001</v>
      </c>
      <c r="N31" s="123">
        <f t="shared" si="9"/>
        <v>-0.10065862246036261</v>
      </c>
      <c r="O31" s="138" t="s">
        <v>309</v>
      </c>
      <c r="P31" s="122"/>
      <c r="Q31" s="712" t="s">
        <v>310</v>
      </c>
    </row>
    <row r="32" spans="1:17" s="121" customFormat="1" ht="15" customHeight="1">
      <c r="A32" s="130" t="s">
        <v>311</v>
      </c>
      <c r="B32" s="129">
        <f>'P&amp;L'!F49</f>
        <v>-250091.71100000001</v>
      </c>
      <c r="C32" s="124">
        <f>'P&amp;L'!H49</f>
        <v>-702541.70200000005</v>
      </c>
      <c r="D32" s="127"/>
      <c r="E32" s="125">
        <f t="shared" si="10"/>
        <v>-702541.70200000005</v>
      </c>
      <c r="F32" s="129">
        <f t="shared" si="6"/>
        <v>37636</v>
      </c>
      <c r="G32" s="127"/>
      <c r="H32" s="127"/>
      <c r="I32" s="135"/>
      <c r="J32" s="132">
        <f t="shared" si="7"/>
        <v>0</v>
      </c>
      <c r="K32" s="131">
        <f t="shared" si="8"/>
        <v>33081.668000000063</v>
      </c>
      <c r="L32" s="128">
        <v>-631824.03377750004</v>
      </c>
      <c r="M32" s="124">
        <f>'P&amp;L'!I49</f>
        <v>-631824.03399999999</v>
      </c>
      <c r="N32" s="123">
        <f t="shared" si="9"/>
        <v>-0.10065974418127854</v>
      </c>
      <c r="O32" s="138"/>
      <c r="P32" s="122"/>
      <c r="Q32" s="712" t="s">
        <v>312</v>
      </c>
    </row>
    <row r="33" spans="1:17" s="121" customFormat="1" ht="18" customHeight="1">
      <c r="A33" s="130" t="s">
        <v>313</v>
      </c>
      <c r="B33" s="129">
        <f>'P&amp;L'!F46</f>
        <v>0</v>
      </c>
      <c r="C33" s="124">
        <f>'P&amp;L'!H46</f>
        <v>0</v>
      </c>
      <c r="D33" s="127"/>
      <c r="E33" s="125">
        <f t="shared" si="10"/>
        <v>0</v>
      </c>
      <c r="F33" s="134"/>
      <c r="G33" s="127"/>
      <c r="H33" s="127"/>
      <c r="I33" s="133"/>
      <c r="J33" s="132">
        <f t="shared" si="7"/>
        <v>0</v>
      </c>
      <c r="K33" s="131">
        <f t="shared" si="8"/>
        <v>0</v>
      </c>
      <c r="L33" s="128">
        <v>0</v>
      </c>
      <c r="M33" s="124">
        <f>'P&amp;L'!I46</f>
        <v>0</v>
      </c>
      <c r="N33" s="123">
        <f t="shared" si="9"/>
        <v>0</v>
      </c>
      <c r="O33" s="138"/>
      <c r="P33" s="122"/>
      <c r="Q33" s="712" t="s">
        <v>314</v>
      </c>
    </row>
    <row r="34" spans="1:17" s="121" customFormat="1" ht="15" customHeight="1">
      <c r="A34" s="130" t="s">
        <v>315</v>
      </c>
      <c r="B34" s="129">
        <f>B37-(B8+B15-B16+B17+B22+B31+B32+B33)</f>
        <v>0.11490999907255173</v>
      </c>
      <c r="C34" s="124">
        <f>C37-(C8+C15-C16+C17+C22+C31+C32+C33)</f>
        <v>-0.20283296704292297</v>
      </c>
      <c r="D34" s="127"/>
      <c r="E34" s="125">
        <f t="shared" si="10"/>
        <v>-0.20283296704292297</v>
      </c>
      <c r="F34" s="128"/>
      <c r="G34" s="127"/>
      <c r="H34" s="127"/>
      <c r="I34" s="127"/>
      <c r="J34" s="126">
        <f t="shared" si="7"/>
        <v>0</v>
      </c>
      <c r="K34" s="125">
        <f t="shared" si="8"/>
        <v>0.28940010070800781</v>
      </c>
      <c r="L34" s="128"/>
      <c r="M34" s="124">
        <f>M37-(M8+M15-M16+M17+M22+M31+M32+M33)</f>
        <v>8.6567133665084839E-2</v>
      </c>
      <c r="N34" s="123">
        <f t="shared" si="9"/>
        <v>-1.4267902546964455</v>
      </c>
      <c r="O34" s="138"/>
      <c r="P34" s="122"/>
      <c r="Q34" s="712" t="s">
        <v>316</v>
      </c>
    </row>
    <row r="35" spans="1:17" ht="15" customHeight="1">
      <c r="A35" s="79" t="s">
        <v>317</v>
      </c>
      <c r="B35" s="120">
        <f t="shared" ref="B35" si="14">SUM(B31:B34)</f>
        <v>-289147.35009000095</v>
      </c>
      <c r="C35" s="116">
        <f t="shared" ref="C35:I35" si="15">SUM(C31:C34)</f>
        <v>-871151.70283296704</v>
      </c>
      <c r="D35" s="116">
        <f t="shared" si="15"/>
        <v>0</v>
      </c>
      <c r="E35" s="118">
        <f t="shared" si="15"/>
        <v>-871151.70283296704</v>
      </c>
      <c r="F35" s="120">
        <f t="shared" si="15"/>
        <v>46669</v>
      </c>
      <c r="G35" s="116">
        <f t="shared" si="15"/>
        <v>0</v>
      </c>
      <c r="H35" s="116">
        <f t="shared" si="15"/>
        <v>0</v>
      </c>
      <c r="I35" s="116">
        <f t="shared" si="15"/>
        <v>0</v>
      </c>
      <c r="J35" s="119">
        <f t="shared" si="7"/>
        <v>0</v>
      </c>
      <c r="K35" s="118">
        <f>SUM(K31:K34)</f>
        <v>41020.98740010077</v>
      </c>
      <c r="L35" s="117">
        <f>SUM(L31:L34)</f>
        <v>-821353.53377750004</v>
      </c>
      <c r="M35" s="116">
        <f>SUM(M31:M34)</f>
        <v>-783461.71543286636</v>
      </c>
      <c r="N35" s="115">
        <f t="shared" si="9"/>
        <v>-0.10065983584137494</v>
      </c>
      <c r="O35" s="114"/>
      <c r="P35" s="99"/>
      <c r="Q35" s="99"/>
    </row>
    <row r="36" spans="1:17" ht="4.9000000000000004" customHeight="1">
      <c r="A36" s="112"/>
      <c r="B36" s="113"/>
      <c r="C36" s="62"/>
      <c r="D36" s="62"/>
      <c r="E36" s="112"/>
      <c r="F36" s="113"/>
      <c r="G36" s="62"/>
      <c r="H36" s="62"/>
      <c r="I36" s="62"/>
      <c r="J36" s="62"/>
      <c r="K36" s="112"/>
      <c r="L36" s="111"/>
      <c r="M36" s="62"/>
      <c r="N36" s="110"/>
      <c r="O36" s="970"/>
    </row>
    <row r="37" spans="1:17" ht="22.15" customHeight="1">
      <c r="A37" s="109" t="s">
        <v>318</v>
      </c>
      <c r="B37" s="107">
        <f>'P&amp;L'!F17</f>
        <v>-51340771.609999999</v>
      </c>
      <c r="C37" s="106">
        <f>'P&amp;L'!H17</f>
        <v>-91355935.665999994</v>
      </c>
      <c r="D37" s="106">
        <f>D8+D15-D16+D17+D22+D35</f>
        <v>-435139.23387431109</v>
      </c>
      <c r="E37" s="108">
        <f>C37-D37</f>
        <v>-90920796.432125688</v>
      </c>
      <c r="F37" s="107">
        <f>F8+F15-F16+F17+F22+F35</f>
        <v>4870788</v>
      </c>
      <c r="G37" s="106">
        <f>G8+G15-G16+G17+G22+G35</f>
        <v>-576738.91998316802</v>
      </c>
      <c r="H37" s="106">
        <f>H8+H15-H16+H17+H22+H35</f>
        <v>626651.12605810782</v>
      </c>
      <c r="I37" s="106">
        <f>I8+I15-I16+I17+I22+I35</f>
        <v>293607.63937008398</v>
      </c>
      <c r="J37" s="106"/>
      <c r="K37" s="108">
        <f>M37-SUM(E37:I37)</f>
        <v>283769.81768067181</v>
      </c>
      <c r="L37" s="107"/>
      <c r="M37" s="106">
        <f>'P&amp;L'!I17</f>
        <v>-85422718.768999994</v>
      </c>
      <c r="N37" s="105">
        <f>IFERROR(M37/C37-1,0)</f>
        <v>-6.4946156522243004E-2</v>
      </c>
      <c r="O37" s="968"/>
      <c r="P37" s="99"/>
      <c r="Q37" s="99"/>
    </row>
    <row r="38" spans="1:17" ht="22.15" customHeight="1">
      <c r="A38" s="104" t="s">
        <v>319</v>
      </c>
      <c r="B38" s="102">
        <f t="shared" ref="B38" si="16">B6+B37</f>
        <v>26711946.092999995</v>
      </c>
      <c r="C38" s="101">
        <f>C6+C37</f>
        <v>49189994.708000019</v>
      </c>
      <c r="D38" s="101">
        <f t="shared" ref="D38:I38" si="17">D6+D37</f>
        <v>3807827.5951256887</v>
      </c>
      <c r="E38" s="103">
        <f t="shared" si="17"/>
        <v>45382167.112874329</v>
      </c>
      <c r="F38" s="102">
        <f t="shared" si="17"/>
        <v>-2431201.9895000132</v>
      </c>
      <c r="G38" s="101">
        <f t="shared" si="17"/>
        <v>-576738.91998316802</v>
      </c>
      <c r="H38" s="101">
        <f t="shared" si="17"/>
        <v>-2009515.6739418921</v>
      </c>
      <c r="I38" s="101">
        <f t="shared" si="17"/>
        <v>293607.63937008398</v>
      </c>
      <c r="J38" s="101"/>
      <c r="K38" s="103">
        <f>K6+K37</f>
        <v>1336469.8181806654</v>
      </c>
      <c r="L38" s="102"/>
      <c r="M38" s="101">
        <f>M6+M37</f>
        <v>41994787.987000003</v>
      </c>
      <c r="N38" s="100">
        <f>IFERROR(M38/C38-1,0)</f>
        <v>-0.14627378522221757</v>
      </c>
      <c r="O38" s="969"/>
      <c r="P38" s="99"/>
      <c r="Q38" s="99"/>
    </row>
    <row r="39" spans="1:17" ht="16.149999999999999" customHeight="1">
      <c r="A39" s="962" t="s">
        <v>320</v>
      </c>
      <c r="B39" s="963">
        <f>IFERROR(B38/B$6,0)</f>
        <v>0.34222954535218325</v>
      </c>
      <c r="C39" s="964">
        <f>IFERROR(C38/C$6,0)</f>
        <v>0.34999230911277823</v>
      </c>
      <c r="D39" s="964">
        <f>IFERROR(D38/D$6,0)</f>
        <v>0.89744458266790961</v>
      </c>
      <c r="E39" s="965">
        <f>IFERROR(E38/E$6,0)</f>
        <v>0.33295069991557114</v>
      </c>
      <c r="F39" s="963">
        <f>IFERROR(F38/F$6,0)</f>
        <v>0.33295060565626494</v>
      </c>
      <c r="G39" s="964"/>
      <c r="H39" s="964"/>
      <c r="I39" s="964"/>
      <c r="J39" s="964"/>
      <c r="K39" s="965"/>
      <c r="L39" s="963"/>
      <c r="M39" s="964">
        <f>IFERROR(M38/M$6, 0)</f>
        <v>0.32958412902725004</v>
      </c>
      <c r="N39" s="965"/>
      <c r="O39" s="98"/>
      <c r="P39" s="966"/>
      <c r="Q39" s="99"/>
    </row>
    <row r="41" spans="1:17" ht="12.75" customHeight="1">
      <c r="M41" s="97"/>
    </row>
    <row r="42" spans="1:17" ht="13.5" customHeight="1">
      <c r="A42" s="5" t="s">
        <v>321</v>
      </c>
      <c r="B42" s="96">
        <f>(+B35+B22+B17+B8+B15-B16)-B37</f>
        <v>0</v>
      </c>
      <c r="C42" s="96">
        <f t="shared" ref="C42:I42" si="18">(+C35+C22+C17+C8+C15-C16)-C37</f>
        <v>0</v>
      </c>
      <c r="D42" s="96">
        <f t="shared" si="18"/>
        <v>0</v>
      </c>
      <c r="E42" s="96">
        <f t="shared" si="18"/>
        <v>0</v>
      </c>
      <c r="F42" s="96">
        <f>(+F35+F22+F17+F8+F15-F16)-F37</f>
        <v>0</v>
      </c>
      <c r="G42" s="96">
        <f t="shared" si="18"/>
        <v>0</v>
      </c>
      <c r="H42" s="96">
        <f t="shared" si="18"/>
        <v>0</v>
      </c>
      <c r="I42" s="96">
        <f t="shared" si="18"/>
        <v>0</v>
      </c>
      <c r="J42" s="96"/>
      <c r="K42" s="96">
        <f>(+K35+K22+K17+K8+K15-K16)-K37</f>
        <v>6.5192580223083496E-9</v>
      </c>
      <c r="L42" s="96">
        <f>(+L35+L22+L17+L8+L15-L16)-L37</f>
        <v>-5076796.2454279698</v>
      </c>
      <c r="M42" s="96">
        <f>(+M35+M22+M17+M8+M15-M16)-M37</f>
        <v>0</v>
      </c>
    </row>
  </sheetData>
  <mergeCells count="3">
    <mergeCell ref="F4:K4"/>
    <mergeCell ref="L4:N4"/>
    <mergeCell ref="B4:E4"/>
  </mergeCells>
  <phoneticPr fontId="65" type="noConversion"/>
  <conditionalFormatting sqref="B42:M42">
    <cfRule type="cellIs" dxfId="9" priority="1" operator="notEqual">
      <formula>0</formula>
    </cfRule>
  </conditionalFormatting>
  <hyperlinks>
    <hyperlink ref="Q26" r:id="rId1" display="Maintenenace concept budget 2024" xr:uid="{B1935DF7-AB19-4275-B42F-1CE6E6D7CE59}"/>
  </hyperlinks>
  <pageMargins left="0.70866141732283472" right="0.70866141732283472" top="0.74803149606299213" bottom="0.74803149606299213" header="0.31496062992125984" footer="0.31496062992125984"/>
  <pageSetup paperSize="9" scale="43" orientation="landscape" r:id="rId2"/>
  <customProperties>
    <customPr name="_pios_id" r:id="rId3"/>
  </customProperties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AFB08-DF21-4A4A-927C-41D93E2E8388}">
  <sheetPr>
    <tabColor theme="0" tint="-4.9989318521683403E-2"/>
    <pageSetUpPr fitToPage="1"/>
  </sheetPr>
  <dimension ref="A1:R39"/>
  <sheetViews>
    <sheetView showGridLines="0" zoomScale="90" zoomScaleNormal="90" workbookViewId="0">
      <pane xSplit="1" ySplit="5" topLeftCell="B9" activePane="bottomRight" state="frozen"/>
      <selection pane="topRight" activeCell="C21" sqref="C21"/>
      <selection pane="bottomLeft" activeCell="C21" sqref="C21"/>
      <selection pane="bottomRight" activeCell="N25" sqref="N25:N27 N30"/>
    </sheetView>
  </sheetViews>
  <sheetFormatPr defaultColWidth="9.28515625" defaultRowHeight="12.75" customHeight="1" outlineLevelCol="1"/>
  <cols>
    <col min="1" max="1" width="64.28515625" style="5" bestFit="1" customWidth="1"/>
    <col min="2" max="2" width="19.7109375" style="5" customWidth="1"/>
    <col min="3" max="3" width="16.7109375" style="5" customWidth="1"/>
    <col min="4" max="4" width="16.7109375" style="5" hidden="1" customWidth="1" outlineLevel="1"/>
    <col min="5" max="5" width="19" style="5" hidden="1" customWidth="1" outlineLevel="1"/>
    <col min="6" max="6" width="16.7109375" style="5" customWidth="1" collapsed="1"/>
    <col min="7" max="9" width="16.7109375" style="5" customWidth="1"/>
    <col min="10" max="10" width="14.28515625" style="5" customWidth="1"/>
    <col min="11" max="11" width="16.7109375" style="5" customWidth="1"/>
    <col min="12" max="12" width="19.28515625" style="5" customWidth="1"/>
    <col min="13" max="13" width="16.7109375" style="5" customWidth="1" outlineLevel="1"/>
    <col min="14" max="15" width="16.7109375" style="5" customWidth="1"/>
    <col min="16" max="16" width="54.28515625" style="5" customWidth="1"/>
    <col min="17" max="17" width="2.28515625" style="5" customWidth="1"/>
    <col min="18" max="18" width="199.7109375" style="5" customWidth="1"/>
    <col min="19" max="19" width="9.28515625" style="5" customWidth="1"/>
    <col min="20" max="16384" width="9.28515625" style="5"/>
  </cols>
  <sheetData>
    <row r="1" spans="1:18" ht="19.899999999999999" customHeight="1">
      <c r="A1" s="60" t="str">
        <f>+'0. Instructions'!A1</f>
        <v>Budget 2024</v>
      </c>
      <c r="B1" s="60"/>
      <c r="D1" s="219"/>
      <c r="E1" s="219"/>
      <c r="F1" s="219"/>
      <c r="G1" s="58"/>
      <c r="H1" s="60"/>
      <c r="I1" s="60"/>
      <c r="J1" s="60"/>
      <c r="K1" s="60"/>
      <c r="L1" s="219"/>
      <c r="M1" s="219"/>
      <c r="N1" s="219"/>
      <c r="O1" s="58"/>
      <c r="P1" s="57" t="str">
        <f>'Input-FX Rates'!$H$1</f>
        <v>Plant ICH Icheon (242)</v>
      </c>
      <c r="R1" s="56" t="s">
        <v>154</v>
      </c>
    </row>
    <row r="2" spans="1:18" ht="19.899999999999999" customHeight="1" thickBot="1">
      <c r="A2" s="55" t="s">
        <v>246</v>
      </c>
      <c r="B2" s="55"/>
      <c r="C2" s="218"/>
      <c r="D2" s="218"/>
      <c r="E2" s="218"/>
      <c r="F2" s="218"/>
      <c r="G2" s="54"/>
      <c r="H2" s="55"/>
      <c r="I2" s="218"/>
      <c r="J2" s="218"/>
      <c r="K2" s="218"/>
      <c r="L2" s="218"/>
      <c r="M2" s="218"/>
      <c r="N2" s="218"/>
      <c r="O2" s="54"/>
      <c r="P2" s="54" t="str">
        <f>'Input-FX Rates'!$H$2</f>
        <v>7821 PL Drivetrain Controls (&amp; Electrification)</v>
      </c>
      <c r="R2" s="95" t="s">
        <v>156</v>
      </c>
    </row>
    <row r="3" spans="1:18">
      <c r="M3" s="121"/>
      <c r="O3" s="217"/>
    </row>
    <row r="4" spans="1:18" ht="24" customHeight="1">
      <c r="A4" s="188" t="str">
        <f>"Variable Cost"&amp;" in '000 EUR"</f>
        <v>Variable Cost in '000 EUR</v>
      </c>
      <c r="B4" s="1037">
        <v>2023</v>
      </c>
      <c r="C4" s="1035"/>
      <c r="D4" s="1035"/>
      <c r="E4" s="1038"/>
      <c r="F4" s="1037" t="s">
        <v>247</v>
      </c>
      <c r="G4" s="1035"/>
      <c r="H4" s="1035"/>
      <c r="I4" s="1035"/>
      <c r="J4" s="1035"/>
      <c r="K4" s="1038"/>
      <c r="L4" s="216" t="s">
        <v>322</v>
      </c>
      <c r="M4" s="1037">
        <v>2024</v>
      </c>
      <c r="N4" s="1035"/>
      <c r="O4" s="1038"/>
      <c r="P4" s="187" t="s">
        <v>208</v>
      </c>
    </row>
    <row r="5" spans="1:18" ht="54.75" customHeight="1">
      <c r="A5" s="188"/>
      <c r="B5" s="659" t="s">
        <v>248</v>
      </c>
      <c r="C5" s="187" t="s">
        <v>19</v>
      </c>
      <c r="D5" s="187" t="s">
        <v>249</v>
      </c>
      <c r="E5" s="188" t="s">
        <v>323</v>
      </c>
      <c r="F5" s="659" t="s">
        <v>251</v>
      </c>
      <c r="G5" s="187" t="s">
        <v>252</v>
      </c>
      <c r="H5" s="187" t="s">
        <v>253</v>
      </c>
      <c r="I5" s="187" t="s">
        <v>254</v>
      </c>
      <c r="J5" s="187" t="s">
        <v>255</v>
      </c>
      <c r="K5" s="188" t="s">
        <v>256</v>
      </c>
      <c r="L5" s="216"/>
      <c r="M5" s="659" t="s">
        <v>257</v>
      </c>
      <c r="N5" s="187" t="s">
        <v>15</v>
      </c>
      <c r="O5" s="188" t="s">
        <v>324</v>
      </c>
      <c r="P5" s="187"/>
    </row>
    <row r="6" spans="1:18" ht="15.75">
      <c r="A6" s="215" t="s">
        <v>195</v>
      </c>
      <c r="B6" s="186">
        <f>IFERROR('2. Variable (LC)'!B6/'Input-FX Rates'!$E$16,0)</f>
        <v>55718.001789595619</v>
      </c>
      <c r="C6" s="181">
        <f>IFERROR('2. Variable (LC)'!C6/'Input-FX Rates'!$G$16,0)</f>
        <v>100126.74994033898</v>
      </c>
      <c r="D6" s="181">
        <f>IFERROR('2. Variable (LC)'!D6/'Input-FX Rates'!$G$16,0)</f>
        <v>3022.7447892794153</v>
      </c>
      <c r="E6" s="180">
        <f>IFERROR('2. Variable (LC)'!E6/'Input-FX Rates'!$G$16,0)</f>
        <v>97104.00515105958</v>
      </c>
      <c r="F6" s="120">
        <f>IFERROR('2. Variable (LC)'!F6/'Input-FX Rates'!$G$16,0)</f>
        <v>-5202.0327006265215</v>
      </c>
      <c r="G6" s="116">
        <f>IFERROR('2. Variable (LC)'!G6/'Input-FX Rates'!$G$16,0)</f>
        <v>0</v>
      </c>
      <c r="H6" s="116">
        <f>IFERROR('2. Variable (LC)'!H6/'Input-FX Rates'!$G$16,0)</f>
        <v>-1878.0395368420614</v>
      </c>
      <c r="I6" s="116">
        <f>IFERROR('2. Variable (LC)'!I6/'Input-FX Rates'!$G$16,0)</f>
        <v>0</v>
      </c>
      <c r="J6" s="116"/>
      <c r="K6" s="118">
        <f>IFERROR('2. Variable (LC)'!K6/'Input-FX Rates'!$G$16,0)</f>
        <v>749.9571807719625</v>
      </c>
      <c r="L6" s="192">
        <f>IFERROR(N6-'2. Variable (LC)'!M6/'Input-FX Rates'!$G$16,0)</f>
        <v>-2899.7475040181307</v>
      </c>
      <c r="M6" s="186">
        <f>IFERROR('2. Variable (LC)'!L6/'Input-FX Rates'!$H$16,0)</f>
        <v>0</v>
      </c>
      <c r="N6" s="181">
        <f>IFERROR('2. Variable (LC)'!M6/'Input-FX Rates'!$H$16,0)</f>
        <v>87874.142590344825</v>
      </c>
      <c r="O6" s="115">
        <f>IFERROR(N6/C6-1,0)</f>
        <v>-0.12237096837053962</v>
      </c>
      <c r="P6" s="967" t="str">
        <f>IF(ISBLANK('2. Variable (LC)'!O6),"",'2. Variable (LC)'!O6)</f>
        <v/>
      </c>
      <c r="Q6" s="99"/>
      <c r="R6" s="709"/>
    </row>
    <row r="7" spans="1:18" ht="15.75">
      <c r="A7" s="214" t="s">
        <v>325</v>
      </c>
      <c r="B7" s="680">
        <f>IFERROR('2. Variable (LC)'!B7/'Input-FX Rates'!$E$16,0)</f>
        <v>56065.221779407824</v>
      </c>
      <c r="C7" s="213">
        <f>IFERROR('2. Variable (LC)'!C7/'Input-FX Rates'!$G$16,0)</f>
        <v>95989.283423216315</v>
      </c>
      <c r="D7" s="213">
        <f>IFERROR('2. Variable (LC)'!D7/'Input-FX Rates'!$G$16,0)</f>
        <v>3022.7447892794153</v>
      </c>
      <c r="E7" s="170">
        <f>IFERROR('2. Variable (LC)'!E7/'Input-FX Rates'!$G$16,0)</f>
        <v>92966.5386339369</v>
      </c>
      <c r="F7" s="120">
        <f>IFERROR('2. Variable (LC)'!F7/'Input-FX Rates'!$G$16,0)</f>
        <v>0</v>
      </c>
      <c r="G7" s="116">
        <f>IFERROR('2. Variable (LC)'!G7/'Input-FX Rates'!$G$16,0)</f>
        <v>0</v>
      </c>
      <c r="H7" s="116">
        <f>IFERROR('2. Variable (LC)'!H7/'Input-FX Rates'!$G$16,0)</f>
        <v>0</v>
      </c>
      <c r="I7" s="116">
        <f>IFERROR('2. Variable (LC)'!I7/'Input-FX Rates'!$G$16,0)</f>
        <v>0</v>
      </c>
      <c r="J7" s="116"/>
      <c r="K7" s="170">
        <f>IFERROR('2. Variable (LC)'!K7/'Input-FX Rates'!$G$16,0)</f>
        <v>0</v>
      </c>
      <c r="L7" s="212">
        <f>IFERROR(N7-'2. Variable (LC)'!M7/'Input-FX Rates'!$G$16,0)</f>
        <v>-2875.7903235909907</v>
      </c>
      <c r="M7" s="117">
        <f>IFERROR('2. Variable (LC)'!L7/'Input-FX Rates'!$H$16,0)</f>
        <v>0</v>
      </c>
      <c r="N7" s="116">
        <f>IFERROR('2. Variable (LC)'!M7/'Input-FX Rates'!$H$16,0)</f>
        <v>87148.142590000003</v>
      </c>
      <c r="O7" s="115">
        <f>IFERROR(N7/C7-1,0)</f>
        <v>-9.2105498842363076E-2</v>
      </c>
      <c r="P7" s="955" t="str">
        <f>IF(ISBLANK('2. Variable (LC)'!O7),"",'2. Variable (LC)'!O7)</f>
        <v/>
      </c>
      <c r="Q7" s="99"/>
      <c r="R7" s="1001"/>
    </row>
    <row r="8" spans="1:18" ht="15.75">
      <c r="A8" s="201" t="s">
        <v>260</v>
      </c>
      <c r="B8" s="680">
        <f>IFERROR('2. Variable (LC)'!B8/'Input-FX Rates'!$E$16,0)</f>
        <v>-27552.479049875601</v>
      </c>
      <c r="C8" s="213">
        <f>IFERROR('2. Variable (LC)'!C8/'Input-FX Rates'!$G$16,0)</f>
        <v>-48002.646865032941</v>
      </c>
      <c r="D8" s="213">
        <f>IFERROR('2. Variable (LC)'!D8/'Input-FX Rates'!$G$16,0)</f>
        <v>0</v>
      </c>
      <c r="E8" s="170">
        <f>IFERROR('2. Variable (LC)'!E8/'Input-FX Rates'!$G$16,0)</f>
        <v>-48002.646865032941</v>
      </c>
      <c r="F8" s="120">
        <f>IFERROR('2. Variable (LC)'!F8/'Input-FX Rates'!$G$16,0)</f>
        <v>2571.5872848354184</v>
      </c>
      <c r="G8" s="116">
        <f>IFERROR('2. Variable (LC)'!G8/'Input-FX Rates'!$G$16,0)</f>
        <v>-581.52181417911936</v>
      </c>
      <c r="H8" s="116">
        <f>IFERROR('2. Variable (LC)'!H8/'Input-FX Rates'!$G$16,0)</f>
        <v>544.78219509467442</v>
      </c>
      <c r="I8" s="116">
        <f>IFERROR('2. Variable (LC)'!I8/'Input-FX Rates'!$G$16,0)</f>
        <v>0</v>
      </c>
      <c r="J8" s="116"/>
      <c r="K8" s="170">
        <f>IFERROR('2. Variable (LC)'!K8/'Input-FX Rates'!$G$16,0)</f>
        <v>-62.633370306143959</v>
      </c>
      <c r="L8" s="212">
        <f>IFERROR(N8-'2. Variable (LC)'!M8/'Input-FX Rates'!$G$16,0)</f>
        <v>1454.4574223191448</v>
      </c>
      <c r="M8" s="117">
        <f>IFERROR('2. Variable (LC)'!L8/'Input-FX Rates'!$H$16,0)</f>
        <v>0</v>
      </c>
      <c r="N8" s="116">
        <f>IFERROR('2. Variable (LC)'!M8/'Input-FX Rates'!$H$16,0)</f>
        <v>-44075.975147268968</v>
      </c>
      <c r="O8" s="115">
        <f>IFERROR(N8/C8-1,0)</f>
        <v>-8.1801150024173319E-2</v>
      </c>
      <c r="P8" s="955" t="str">
        <f>IF(ISBLANK('2. Variable (LC)'!O8),"",'2. Variable (LC)'!O8)</f>
        <v/>
      </c>
      <c r="Q8" s="99"/>
      <c r="R8" s="699" t="s">
        <v>261</v>
      </c>
    </row>
    <row r="9" spans="1:18">
      <c r="A9" s="84" t="s">
        <v>262</v>
      </c>
      <c r="B9" s="950">
        <f>IFERROR((B8+B15)/B6,0)</f>
        <v>-0.64832637003701687</v>
      </c>
      <c r="C9" s="951">
        <f>IFERROR((C8+C15)/C6,0)</f>
        <v>-0.63194449326043989</v>
      </c>
      <c r="D9" s="951">
        <f>IFERROR((D8+D15)/D6,0)</f>
        <v>0</v>
      </c>
      <c r="E9" s="952">
        <f>IFERROR((E8+E15)/E6,0)</f>
        <v>-0.65161625572940496</v>
      </c>
      <c r="F9" s="950">
        <f>IFERROR((F8+F15)/F6,0)</f>
        <v>-0.65161647808911871</v>
      </c>
      <c r="G9" s="953"/>
      <c r="H9" s="953"/>
      <c r="I9" s="953"/>
      <c r="J9" s="953"/>
      <c r="K9" s="952">
        <f>IFERROR((K8+K15)/K6,0)</f>
        <v>-8.3515928524976316E-2</v>
      </c>
      <c r="L9" s="954">
        <f>IFERROR((L8+L15)/L6,0)</f>
        <v>-0.65466484009358306</v>
      </c>
      <c r="M9" s="950">
        <f>IFERROR((M8+M15)/M6,0)</f>
        <v>0</v>
      </c>
      <c r="N9" s="951">
        <f>IFERROR((N8+N15)/N6,0)</f>
        <v>-0.65466484009358483</v>
      </c>
      <c r="O9" s="952"/>
      <c r="P9" s="955" t="str">
        <f>IF(ISBLANK('2. Variable (LC)'!O9),"",'2. Variable (LC)'!O9)</f>
        <v/>
      </c>
      <c r="Q9" s="99"/>
      <c r="R9" s="99"/>
    </row>
    <row r="10" spans="1:18" ht="25.5">
      <c r="A10" s="169" t="s">
        <v>263</v>
      </c>
      <c r="B10" s="146">
        <f>IFERROR('2. Variable (LC)'!B10/'Input-FX Rates'!$E$16,0)</f>
        <v>-24110.383992948922</v>
      </c>
      <c r="C10" s="154">
        <f>IFERROR('2. Variable (LC)'!C10/'Input-FX Rates'!$G$16,0)</f>
        <v>-43052.381019930937</v>
      </c>
      <c r="D10" s="154">
        <f>IFERROR('2. Variable (LC)'!D10/'Input-FX Rates'!$G$16,0)</f>
        <v>0</v>
      </c>
      <c r="E10" s="142">
        <f>IFERROR('2. Variable (LC)'!E10/'Input-FX Rates'!$G$16,0)</f>
        <v>-43052.381019930937</v>
      </c>
      <c r="F10" s="146">
        <f>IFERROR('2. Variable (LC)'!F10/'Input-FX Rates'!$G$16,0)</f>
        <v>2306.3922525825578</v>
      </c>
      <c r="G10" s="154">
        <f>IFERROR('2. Variable (LC)'!G10/'Input-FX Rates'!$G$16,0)</f>
        <v>-5220.0637361942017</v>
      </c>
      <c r="H10" s="154">
        <f>IFERROR('2. Variable (LC)'!H10/'Input-FX Rates'!$G$16,0)</f>
        <v>544.78219509467442</v>
      </c>
      <c r="I10" s="154">
        <f>IFERROR('2. Variable (LC)'!I10/'Input-FX Rates'!$G$16,0)</f>
        <v>0</v>
      </c>
      <c r="J10" s="154"/>
      <c r="K10" s="142">
        <f>IFERROR('2. Variable (LC)'!K10/'Input-FX Rates'!$G$16,0)</f>
        <v>0</v>
      </c>
      <c r="L10" s="956">
        <f>IFERROR(N10-'2. Variable (LC)'!M10/'Input-FX Rates'!$G$16,0)</f>
        <v>1450.9702632479093</v>
      </c>
      <c r="M10" s="957">
        <f>IFERROR('2. Variable (LC)'!L10/'Input-FX Rates'!$H$16,0)</f>
        <v>0</v>
      </c>
      <c r="N10" s="154">
        <f>IFERROR('2. Variable (LC)'!M10/'Input-FX Rates'!$H$16,0)</f>
        <v>-43970.300045199998</v>
      </c>
      <c r="O10" s="168">
        <f t="shared" ref="O10:O17" si="0">IFERROR(N10/C10-1,0)</f>
        <v>2.1320981639647574E-2</v>
      </c>
      <c r="P10" s="202" t="str">
        <f>IF(ISBLANK('2. Variable (LC)'!O10),"",'2. Variable (LC)'!O10)</f>
        <v>Based on PSP after removing customer directed part that is supposed to be Zero.
Negative mix impact on material cost due to volume increase in SIM2K-305 &amp; 310.</v>
      </c>
      <c r="Q10" s="99"/>
      <c r="R10" s="710" t="s">
        <v>265</v>
      </c>
    </row>
    <row r="11" spans="1:18">
      <c r="A11" s="148" t="s">
        <v>266</v>
      </c>
      <c r="B11" s="146">
        <f>IFERROR('2. Variable (LC)'!B11/'Input-FX Rates'!$E$16,0)</f>
        <v>-3367.5968141348876</v>
      </c>
      <c r="C11" s="154">
        <f>IFERROR('2. Variable (LC)'!C11/'Input-FX Rates'!$G$16,0)</f>
        <v>-4647.2350602609504</v>
      </c>
      <c r="D11" s="154">
        <f>IFERROR('2. Variable (LC)'!D11/'Input-FX Rates'!$G$16,0)</f>
        <v>0</v>
      </c>
      <c r="E11" s="142">
        <f>IFERROR('2. Variable (LC)'!E11/'Input-FX Rates'!$G$16,0)</f>
        <v>-4647.2350602609504</v>
      </c>
      <c r="F11" s="146">
        <f>IFERROR('2. Variable (LC)'!F11/'Input-FX Rates'!$G$16,0)</f>
        <v>248.96056447731746</v>
      </c>
      <c r="G11" s="154">
        <f>IFERROR('2. Variable (LC)'!G11/'Input-FX Rates'!$G$16,0)</f>
        <v>4398.274495783633</v>
      </c>
      <c r="H11" s="154">
        <f>IFERROR('2. Variable (LC)'!H11/'Input-FX Rates'!$G$16,0)</f>
        <v>0</v>
      </c>
      <c r="I11" s="154">
        <f>IFERROR('2. Variable (LC)'!I11/'Input-FX Rates'!$G$16,0)</f>
        <v>0</v>
      </c>
      <c r="J11" s="154"/>
      <c r="K11" s="142">
        <f>IFERROR('2. Variable (LC)'!K11/'Input-FX Rates'!$G$16,0)</f>
        <v>0</v>
      </c>
      <c r="L11" s="956">
        <f>IFERROR(N11-'2. Variable (LC)'!M11/'Input-FX Rates'!$G$16,0)</f>
        <v>0</v>
      </c>
      <c r="M11" s="957">
        <f>IFERROR('2. Variable (LC)'!L11/'Input-FX Rates'!$H$16,0)</f>
        <v>0</v>
      </c>
      <c r="N11" s="154">
        <f>IFERROR('2. Variable (LC)'!M11/'Input-FX Rates'!$H$16,0)</f>
        <v>0</v>
      </c>
      <c r="O11" s="168">
        <f t="shared" si="0"/>
        <v>-1</v>
      </c>
      <c r="P11" s="202" t="str">
        <f>IF(ISBLANK('2. Variable (LC)'!O11),"",'2. Variable (LC)'!O11)</f>
        <v/>
      </c>
      <c r="Q11" s="99"/>
      <c r="R11" s="699" t="s">
        <v>267</v>
      </c>
    </row>
    <row r="12" spans="1:18">
      <c r="A12" s="148" t="s">
        <v>268</v>
      </c>
      <c r="B12" s="146">
        <f>IFERROR('2. Variable (LC)'!B12/'Input-FX Rates'!$E$16,0)</f>
        <v>66.311906094800335</v>
      </c>
      <c r="C12" s="154">
        <f>IFERROR('2. Variable (LC)'!C12/'Input-FX Rates'!$G$16,0)</f>
        <v>66.178337466539915</v>
      </c>
      <c r="D12" s="154">
        <f>IFERROR('2. Variable (LC)'!D12/'Input-FX Rates'!$G$16,0)</f>
        <v>0</v>
      </c>
      <c r="E12" s="142">
        <f>IFERROR('2. Variable (LC)'!E12/'Input-FX Rates'!$G$16,0)</f>
        <v>66.178337466539915</v>
      </c>
      <c r="F12" s="146">
        <f>IFERROR('2. Variable (LC)'!F12/'Input-FX Rates'!$G$16,0)</f>
        <v>-3.5449671603959576</v>
      </c>
      <c r="G12" s="958">
        <f>IFERROR('2. Variable (LC)'!G12/'Input-FX Rates'!$G$16,0)</f>
        <v>0</v>
      </c>
      <c r="H12" s="958">
        <f>IFERROR('2. Variable (LC)'!H12/'Input-FX Rates'!$G$16,0)</f>
        <v>0</v>
      </c>
      <c r="I12" s="154">
        <f>IFERROR('2. Variable (LC)'!I12/'Input-FX Rates'!$G$16,0)</f>
        <v>0</v>
      </c>
      <c r="J12" s="154"/>
      <c r="K12" s="142">
        <f>IFERROR('2. Variable (LC)'!K12/'Input-FX Rates'!$G$16,0)</f>
        <v>-62.633370306143959</v>
      </c>
      <c r="L12" s="956">
        <f>IFERROR(N12-'2. Variable (LC)'!M12/'Input-FX Rates'!$G$16,0)</f>
        <v>0</v>
      </c>
      <c r="M12" s="957">
        <f>IFERROR('2. Variable (LC)'!L12/'Input-FX Rates'!$H$16,0)</f>
        <v>0</v>
      </c>
      <c r="N12" s="154">
        <f>IFERROR('2. Variable (LC)'!M12/'Input-FX Rates'!$H$16,0)</f>
        <v>0</v>
      </c>
      <c r="O12" s="168">
        <f t="shared" si="0"/>
        <v>-1</v>
      </c>
      <c r="P12" s="202" t="str">
        <f>IF(ISBLANK('2. Variable (LC)'!O12),"",'2. Variable (LC)'!O12)</f>
        <v/>
      </c>
      <c r="Q12" s="99"/>
      <c r="R12" s="699" t="s">
        <v>269</v>
      </c>
    </row>
    <row r="13" spans="1:18">
      <c r="A13" s="148" t="s">
        <v>270</v>
      </c>
      <c r="B13" s="146">
        <f>IFERROR('2. Variable (LC)'!B13/'Input-FX Rates'!$E$16,0)</f>
        <v>-140.81014888659462</v>
      </c>
      <c r="C13" s="154">
        <f>IFERROR('2. Variable (LC)'!C13/'Input-FX Rates'!$G$16,0)</f>
        <v>-369.20912230759359</v>
      </c>
      <c r="D13" s="154">
        <f>IFERROR('2. Variable (LC)'!D13/'Input-FX Rates'!$G$16,0)</f>
        <v>0</v>
      </c>
      <c r="E13" s="142">
        <f>IFERROR('2. Variable (LC)'!E13/'Input-FX Rates'!$G$16,0)</f>
        <v>-369.20912230759359</v>
      </c>
      <c r="F13" s="146">
        <f>IFERROR('2. Variable (LC)'!F13/'Input-FX Rates'!$G$16,0)</f>
        <v>19.779434935939182</v>
      </c>
      <c r="G13" s="154">
        <f>IFERROR('2. Variable (LC)'!G13/'Input-FX Rates'!$G$16,0)</f>
        <v>240.26742623144906</v>
      </c>
      <c r="H13" s="154">
        <f>IFERROR('2. Variable (LC)'!H13/'Input-FX Rates'!$G$16,0)</f>
        <v>0</v>
      </c>
      <c r="I13" s="154">
        <f>IFERROR('2. Variable (LC)'!I13/'Input-FX Rates'!$G$16,0)</f>
        <v>0</v>
      </c>
      <c r="J13" s="154"/>
      <c r="K13" s="142">
        <f>IFERROR('2. Variable (LC)'!K13/'Input-FX Rates'!$G$16,0)</f>
        <v>0</v>
      </c>
      <c r="L13" s="956">
        <f>IFERROR(N13-'2. Variable (LC)'!M13/'Input-FX Rates'!$G$16,0)</f>
        <v>3.4871590712398302</v>
      </c>
      <c r="M13" s="957">
        <f>IFERROR('2. Variable (LC)'!L13/'Input-FX Rates'!$H$16,0)</f>
        <v>0</v>
      </c>
      <c r="N13" s="154">
        <f>IFERROR('2. Variable (LC)'!M13/'Input-FX Rates'!$H$16,0)</f>
        <v>-105.67510206896551</v>
      </c>
      <c r="O13" s="168">
        <f t="shared" si="0"/>
        <v>-0.71377981830869819</v>
      </c>
      <c r="P13" s="202" t="str">
        <f>IF(ISBLANK('2. Variable (LC)'!O13),"",'2. Variable (LC)'!O13)</f>
        <v>Existing -81K, New spending for SIM2K-310 -10K and 8s Wet DCT -13K EUR</v>
      </c>
      <c r="Q13" s="99"/>
      <c r="R13" s="699" t="s">
        <v>272</v>
      </c>
    </row>
    <row r="14" spans="1:18">
      <c r="A14" s="148" t="s">
        <v>273</v>
      </c>
      <c r="B14" s="146">
        <f>IFERROR('2. Variable (LC)'!B14/'Input-FX Rates'!$E$16,0)</f>
        <v>0</v>
      </c>
      <c r="C14" s="154">
        <f>IFERROR('2. Variable (LC)'!C14/'Input-FX Rates'!$G$16,0)</f>
        <v>0</v>
      </c>
      <c r="D14" s="154">
        <f>IFERROR('2. Variable (LC)'!D14/'Input-FX Rates'!$G$16,0)</f>
        <v>0</v>
      </c>
      <c r="E14" s="142">
        <f>IFERROR('2. Variable (LC)'!E14/'Input-FX Rates'!$G$16,0)</f>
        <v>0</v>
      </c>
      <c r="F14" s="146">
        <f>IFERROR('2. Variable (LC)'!F14/'Input-FX Rates'!$G$16,0)</f>
        <v>0</v>
      </c>
      <c r="G14" s="154">
        <f>IFERROR('2. Variable (LC)'!G14/'Input-FX Rates'!$G$16,0)</f>
        <v>0</v>
      </c>
      <c r="H14" s="154">
        <f>IFERROR('2. Variable (LC)'!H14/'Input-FX Rates'!$G$16,0)</f>
        <v>0</v>
      </c>
      <c r="I14" s="958">
        <f>IFERROR('2. Variable (LC)'!I14/'Input-FX Rates'!$G$16,0)</f>
        <v>0</v>
      </c>
      <c r="J14" s="958"/>
      <c r="K14" s="142">
        <f>IFERROR('2. Variable (LC)'!K14/'Input-FX Rates'!$G$16,0)</f>
        <v>0</v>
      </c>
      <c r="L14" s="956">
        <f>IFERROR(N14-'2. Variable (LC)'!M14/'Input-FX Rates'!$G$16,0)</f>
        <v>0</v>
      </c>
      <c r="M14" s="957">
        <f>IFERROR('2. Variable (LC)'!L14/'Input-FX Rates'!$H$16,0)</f>
        <v>0</v>
      </c>
      <c r="N14" s="154">
        <f>IFERROR('2. Variable (LC)'!M14/'Input-FX Rates'!$H$16,0)</f>
        <v>0</v>
      </c>
      <c r="O14" s="168">
        <f t="shared" si="0"/>
        <v>0</v>
      </c>
      <c r="P14" s="202" t="str">
        <f>IF(ISBLANK('2. Variable (LC)'!O14),"",'2. Variable (LC)'!O14)</f>
        <v/>
      </c>
      <c r="Q14" s="99"/>
      <c r="R14" s="699" t="s">
        <v>274</v>
      </c>
    </row>
    <row r="15" spans="1:18" s="160" customFormat="1" ht="15.75">
      <c r="A15" s="164" t="s">
        <v>275</v>
      </c>
      <c r="B15" s="137">
        <f>IFERROR('2. Variable (LC)'!B15/'Input-FX Rates'!$E$16,0)</f>
        <v>-8570.9707960889373</v>
      </c>
      <c r="C15" s="204">
        <f>IFERROR('2. Variable (LC)'!C15/'Input-FX Rates'!$G$16,0)</f>
        <v>-15271.901387829354</v>
      </c>
      <c r="D15" s="204">
        <f>IFERROR('2. Variable (LC)'!D15/'Input-FX Rates'!$G$16,0)</f>
        <v>0</v>
      </c>
      <c r="E15" s="131">
        <f>IFERROR('2. Variable (LC)'!E15/'Input-FX Rates'!$G$16,0)</f>
        <v>-15271.901387829354</v>
      </c>
      <c r="F15" s="137">
        <f>IFERROR('2. Variable (LC)'!F15/'Input-FX Rates'!$G$16,0)</f>
        <v>818.14294245126246</v>
      </c>
      <c r="G15" s="204">
        <f>IFERROR('2. Variable (LC)'!G15/'Input-FX Rates'!$G$16,0)</f>
        <v>557.71677166744121</v>
      </c>
      <c r="H15" s="204">
        <f>IFERROR('2. Variable (LC)'!H15/'Input-FX Rates'!$G$16,0)</f>
        <v>0</v>
      </c>
      <c r="I15" s="208">
        <f>IFERROR('2. Variable (LC)'!I15/'Input-FX Rates'!$G$16,0)</f>
        <v>0</v>
      </c>
      <c r="J15" s="208"/>
      <c r="K15" s="131">
        <f>IFERROR('2. Variable (LC)'!K15/'Input-FX Rates'!$G$16,0)</f>
        <v>0</v>
      </c>
      <c r="L15" s="206">
        <f>IFERROR(N15-'2. Variable (LC)'!M15/'Input-FX Rates'!$G$16,0)</f>
        <v>443.90531371065117</v>
      </c>
      <c r="M15" s="205">
        <f>IFERROR('2. Variable (LC)'!L15/'Input-FX Rates'!$H$16,0)</f>
        <v>0</v>
      </c>
      <c r="N15" s="204">
        <f>IFERROR('2. Variable (LC)'!M15/'Input-FX Rates'!$H$16,0)</f>
        <v>-13452.136359999999</v>
      </c>
      <c r="O15" s="203">
        <f t="shared" si="0"/>
        <v>-0.11915772513300682</v>
      </c>
      <c r="P15" s="202" t="str">
        <f>IF(ISBLANK('2. Variable (LC)'!O15),"",'2. Variable (LC)'!O15)</f>
        <v>ICO purchasing Motor Ass'y from Wuhu plant for TAD701</v>
      </c>
      <c r="Q15" s="64"/>
      <c r="R15" s="699" t="s">
        <v>277</v>
      </c>
    </row>
    <row r="16" spans="1:18">
      <c r="A16" s="148" t="s">
        <v>278</v>
      </c>
      <c r="B16" s="146">
        <f>IFERROR('2. Variable (LC)'!B16/'Input-FX Rates'!$E$16,0)</f>
        <v>-2756.0599108780011</v>
      </c>
      <c r="C16" s="154">
        <f>IFERROR('2. Variable (LC)'!C16/'Input-FX Rates'!$G$16,0)</f>
        <v>-4874.6609352184751</v>
      </c>
      <c r="D16" s="154">
        <f>IFERROR('2. Variable (LC)'!D16/'Input-FX Rates'!$G$16,0)</f>
        <v>0</v>
      </c>
      <c r="E16" s="142">
        <f>IFERROR('2. Variable (LC)'!E16/'Input-FX Rates'!$G$16,0)</f>
        <v>-4874.6609352184751</v>
      </c>
      <c r="F16" s="146">
        <f>IFERROR('2. Variable (LC)'!F16/'Input-FX Rates'!$G$16,0)</f>
        <v>261.14425185213491</v>
      </c>
      <c r="G16" s="154">
        <f>IFERROR('2. Variable (LC)'!G16/'Input-FX Rates'!$G$16,0)</f>
        <v>427.85221211436385</v>
      </c>
      <c r="H16" s="154">
        <f>IFERROR('2. Variable (LC)'!H16/'Input-FX Rates'!$G$16,0)</f>
        <v>0</v>
      </c>
      <c r="I16" s="157">
        <f>IFERROR('2. Variable (LC)'!I16/'Input-FX Rates'!$G$16,0)</f>
        <v>0</v>
      </c>
      <c r="J16" s="157"/>
      <c r="K16" s="142">
        <f>IFERROR('2. Variable (LC)'!K16/'Input-FX Rates'!$G$16,0)</f>
        <v>0</v>
      </c>
      <c r="L16" s="956">
        <f>IFERROR(N16-'2. Variable (LC)'!M16/'Input-FX Rates'!$G$16,0)</f>
        <v>133.70992573473495</v>
      </c>
      <c r="M16" s="957">
        <f>IFERROR('2. Variable (LC)'!L16/'Input-FX Rates'!$H$16,0)</f>
        <v>0</v>
      </c>
      <c r="N16" s="154">
        <f>IFERROR('2. Variable (LC)'!M16/'Input-FX Rates'!$H$16,0)</f>
        <v>-4051.9545455172415</v>
      </c>
      <c r="O16" s="168">
        <f t="shared" si="0"/>
        <v>-0.16877202345651166</v>
      </c>
      <c r="P16" s="202" t="str">
        <f>IF(ISBLANK('2. Variable (LC)'!O16),"",'2. Variable (LC)'!O16)</f>
        <v>PE ICO for Motor Ass'y</v>
      </c>
      <c r="Q16" s="99"/>
      <c r="R16" s="699" t="s">
        <v>280</v>
      </c>
    </row>
    <row r="17" spans="1:18" ht="15.75">
      <c r="A17" s="201" t="s">
        <v>281</v>
      </c>
      <c r="B17" s="120">
        <f>IFERROR('2. Variable (LC)'!B17/'Input-FX Rates'!$E$16,0)</f>
        <v>-1544.8258046073906</v>
      </c>
      <c r="C17" s="116">
        <f>IFERROR('2. Variable (LC)'!C17/'Input-FX Rates'!$G$16,0)</f>
        <v>-2992.4528071903237</v>
      </c>
      <c r="D17" s="116">
        <f>IFERROR('2. Variable (LC)'!D17/'Input-FX Rates'!$G$16,0)</f>
        <v>0</v>
      </c>
      <c r="E17" s="118">
        <f>IFERROR('2. Variable (LC)'!E17/'Input-FX Rates'!$G$16,0)</f>
        <v>-2992.4528071903237</v>
      </c>
      <c r="F17" s="120">
        <f>IFERROR('2. Variable (LC)'!F17/'Input-FX Rates'!$G$16,0)</f>
        <v>160.31073859889477</v>
      </c>
      <c r="G17" s="116">
        <f>IFERROR('2. Variable (LC)'!G17/'Input-FX Rates'!$G$16,0)</f>
        <v>108.49124074662765</v>
      </c>
      <c r="H17" s="116">
        <f>IFERROR('2. Variable (LC)'!H17/'Input-FX Rates'!$G$16,0)</f>
        <v>-73.176795621609344</v>
      </c>
      <c r="I17" s="116">
        <f>IFERROR('2. Variable (LC)'!I17/'Input-FX Rates'!$G$16,0)</f>
        <v>61.947783752988066</v>
      </c>
      <c r="J17" s="119">
        <f>+'2. Variable (LC)'!J17</f>
        <v>2.2744392607038675E-2</v>
      </c>
      <c r="K17" s="118">
        <f>IFERROR('2. Variable (LC)'!K17/'Input-FX Rates'!$G$16,0)</f>
        <v>546.75780501682857</v>
      </c>
      <c r="L17" s="192">
        <f>IFERROR(N17-'2. Variable (LC)'!M17/'Input-FX Rates'!$G$16,0)</f>
        <v>69.898969869007942</v>
      </c>
      <c r="M17" s="117">
        <f>IFERROR('2. Variable (LC)'!L17/'Input-FX Rates'!$H$16,0)</f>
        <v>-1585.5545248753931</v>
      </c>
      <c r="N17" s="116">
        <f>IFERROR('2. Variable (LC)'!M17/'Input-FX Rates'!$H$16,0)</f>
        <v>-2118.2230648275859</v>
      </c>
      <c r="O17" s="115">
        <f t="shared" si="0"/>
        <v>-0.29214487201339367</v>
      </c>
      <c r="P17" s="955" t="str">
        <f>IF(ISBLANK('2. Variable (LC)'!O17),"",'2. Variable (LC)'!O17)</f>
        <v/>
      </c>
      <c r="Q17" s="99"/>
      <c r="R17" s="699"/>
    </row>
    <row r="18" spans="1:18">
      <c r="A18" s="949" t="s">
        <v>198</v>
      </c>
      <c r="B18" s="950">
        <f>IFERROR(B17/B$6,0)</f>
        <v>-2.7725793369995914E-2</v>
      </c>
      <c r="C18" s="951">
        <f>IFERROR(C17/C$6,0)</f>
        <v>-2.9886646764959328E-2</v>
      </c>
      <c r="D18" s="951">
        <f>IFERROR(D17/D$6,0)</f>
        <v>0</v>
      </c>
      <c r="E18" s="952">
        <f>IFERROR(E17/E$6,0)</f>
        <v>-3.0816986410963407E-2</v>
      </c>
      <c r="F18" s="950">
        <f>IFERROR(F17/F$6,0)</f>
        <v>-3.0816941727334259E-2</v>
      </c>
      <c r="G18" s="953"/>
      <c r="H18" s="953"/>
      <c r="I18" s="953"/>
      <c r="J18" s="951"/>
      <c r="K18" s="959"/>
      <c r="L18" s="954"/>
      <c r="M18" s="951">
        <f>+'2. Variable (LC)'!L18</f>
        <v>0</v>
      </c>
      <c r="N18" s="951">
        <f>IFERROR(N17/N$6,0)</f>
        <v>-2.4105191838996398E-2</v>
      </c>
      <c r="O18" s="952"/>
      <c r="P18" s="955" t="str">
        <f>IF(ISBLANK('2. Variable (LC)'!O18),"",'2. Variable (LC)'!O18)</f>
        <v/>
      </c>
      <c r="Q18" s="99"/>
      <c r="R18" s="699"/>
    </row>
    <row r="19" spans="1:18">
      <c r="A19" s="148" t="s">
        <v>282</v>
      </c>
      <c r="B19" s="146">
        <f>IFERROR('2. Variable (LC)'!B19/'Input-FX Rates'!$E$16,0)</f>
        <v>-1258.2103138632456</v>
      </c>
      <c r="C19" s="154">
        <f>IFERROR('2. Variable (LC)'!C19/'Input-FX Rates'!$G$16,0)</f>
        <v>-2455.7731229281339</v>
      </c>
      <c r="D19" s="154">
        <f>IFERROR('2. Variable (LC)'!D19/'Input-FX Rates'!$G$16,0)</f>
        <v>0</v>
      </c>
      <c r="E19" s="142">
        <f>IFERROR('2. Variable (LC)'!E19/'Input-FX Rates'!$G$16,0)+512</f>
        <v>-1943.7731229281339</v>
      </c>
      <c r="F19" s="146">
        <f>IFERROR('2. Variable (LC)'!F19/'Input-FX Rates'!$G$16,0)</f>
        <v>131.55988657073968</v>
      </c>
      <c r="G19" s="154">
        <f>IFERROR('2. Variable (LC)'!G19/'Input-FX Rates'!$G$16,0)</f>
        <v>0</v>
      </c>
      <c r="H19" s="154">
        <f>IFERROR('2. Variable (LC)'!H19/'Input-FX Rates'!$G$16,0)</f>
        <v>-65.051064019900437</v>
      </c>
      <c r="I19" s="154">
        <f>IFERROR('2. Variable (LC)'!I19/'Input-FX Rates'!$G$16,0)</f>
        <v>61.947783752988066</v>
      </c>
      <c r="J19" s="143">
        <f>+'2. Variable (LC)'!J19</f>
        <v>2.6653227330412789E-2</v>
      </c>
      <c r="K19" s="142">
        <f>IFERROR('2. Variable (LC)'!K19/'Input-FX Rates'!$G$16,0)</f>
        <v>527.57041207373561</v>
      </c>
      <c r="L19" s="956">
        <f>IFERROR(N19-'2. Variable (LC)'!M19/'Input-FX Rates'!$G$16,0)</f>
        <v>57.492405240226162</v>
      </c>
      <c r="M19" s="146">
        <f>IFERROR('2. Variable (LC)'!L19/'Input-FX Rates'!$H$16,0)</f>
        <v>-1585.5545248753931</v>
      </c>
      <c r="N19" s="154">
        <f>IFERROR('2. Variable (LC)'!M19/'Input-FX Rates'!$H$16,0)</f>
        <v>-1742.2536993103449</v>
      </c>
      <c r="O19" s="168">
        <f>IFERROR(N19/C19-1,0)</f>
        <v>-0.29054777778780561</v>
      </c>
      <c r="P19" s="960" t="str">
        <f>IF(ISBLANK('2. Variable (LC)'!O19),"",'2. Variable (LC)'!O19)</f>
        <v>Structural change : Technician labor cost (512K EUR) goes to MDC from 2024</v>
      </c>
      <c r="Q19" s="99"/>
      <c r="R19" s="699" t="s">
        <v>284</v>
      </c>
    </row>
    <row r="20" spans="1:18">
      <c r="A20" s="148" t="s">
        <v>285</v>
      </c>
      <c r="B20" s="146">
        <f>IFERROR('2. Variable (LC)'!B20/'Input-FX Rates'!$E$16,0)</f>
        <v>-141.34891533712772</v>
      </c>
      <c r="C20" s="154">
        <f>IFERROR('2. Variable (LC)'!C20/'Input-FX Rates'!$G$16,0)</f>
        <v>-246.73173928378483</v>
      </c>
      <c r="D20" s="154">
        <f>IFERROR('2. Variable (LC)'!D20/'Input-FX Rates'!$G$16,0)</f>
        <v>0</v>
      </c>
      <c r="E20" s="142">
        <f>IFERROR('2. Variable (LC)'!E20/'Input-FX Rates'!$G$16,0)</f>
        <v>-246.73173928378483</v>
      </c>
      <c r="F20" s="146">
        <f>IFERROR('2. Variable (LC)'!F20/'Input-FX Rates'!$G$16,0)</f>
        <v>13.218111071942644</v>
      </c>
      <c r="G20" s="154">
        <f>IFERROR('2. Variable (LC)'!G20/'Input-FX Rates'!$G$16,0)</f>
        <v>0</v>
      </c>
      <c r="H20" s="154">
        <f>IFERROR('2. Variable (LC)'!H20/'Input-FX Rates'!$G$16,0)</f>
        <v>-8.1257316017089085</v>
      </c>
      <c r="I20" s="154">
        <f>IFERROR('2. Variable (LC)'!I20/'Input-FX Rates'!$G$16,0)</f>
        <v>0</v>
      </c>
      <c r="J20" s="143">
        <f>+'2. Variable (LC)'!J20</f>
        <v>0</v>
      </c>
      <c r="K20" s="142">
        <f>IFERROR('2. Variable (LC)'!K20/'Input-FX Rates'!$G$16,0)</f>
        <v>16.827452166271865</v>
      </c>
      <c r="L20" s="956">
        <f>IFERROR(N20-'2. Variable (LC)'!M20/'Input-FX Rates'!$G$16,0)</f>
        <v>7.1815559231413317</v>
      </c>
      <c r="M20" s="146">
        <f>IFERROR('2. Variable (LC)'!L20/'Input-FX Rates'!$H$16,0)</f>
        <v>0</v>
      </c>
      <c r="N20" s="154">
        <f>IFERROR('2. Variable (LC)'!M20/'Input-FX Rates'!$H$16,0)</f>
        <v>-217.63035172413794</v>
      </c>
      <c r="O20" s="168">
        <f>IFERROR(N20/C20-1,0)</f>
        <v>-0.11794748273620037</v>
      </c>
      <c r="P20" s="960" t="str">
        <f>IF(ISBLANK('2. Variable (LC)'!O20),"",'2. Variable (LC)'!O20)</f>
        <v/>
      </c>
      <c r="Q20" s="99"/>
      <c r="R20" s="711" t="s">
        <v>286</v>
      </c>
    </row>
    <row r="21" spans="1:18">
      <c r="A21" s="148" t="s">
        <v>287</v>
      </c>
      <c r="B21" s="146">
        <f>IFERROR('2. Variable (LC)'!B21/'Input-FX Rates'!$E$16,0)</f>
        <v>-145.26657540701746</v>
      </c>
      <c r="C21" s="154">
        <f>IFERROR('2. Variable (LC)'!C21/'Input-FX Rates'!$G$16,0)</f>
        <v>-289.94794497840513</v>
      </c>
      <c r="D21" s="154">
        <f>IFERROR('2. Variable (LC)'!D21/'Input-FX Rates'!$G$16,0)</f>
        <v>0</v>
      </c>
      <c r="E21" s="142">
        <f>IFERROR('2. Variable (LC)'!E21/'Input-FX Rates'!$G$16,0)</f>
        <v>-289.94794497840513</v>
      </c>
      <c r="F21" s="146">
        <f>IFERROR('2. Variable (LC)'!F21/'Input-FX Rates'!$G$16,0)</f>
        <v>15.532740956212432</v>
      </c>
      <c r="G21" s="154">
        <f>IFERROR('2. Variable (LC)'!G21/'Input-FX Rates'!$G$16,0)</f>
        <v>108.49124074662765</v>
      </c>
      <c r="H21" s="154">
        <f>IFERROR('2. Variable (LC)'!H21/'Input-FX Rates'!$G$16,0)</f>
        <v>0</v>
      </c>
      <c r="I21" s="154">
        <f>IFERROR('2. Variable (LC)'!I21/'Input-FX Rates'!$G$16,0)</f>
        <v>0</v>
      </c>
      <c r="J21" s="143">
        <f>+'2. Variable (LC)'!J21</f>
        <v>0</v>
      </c>
      <c r="K21" s="142">
        <f>IFERROR('2. Variable (LC)'!K21/'Input-FX Rates'!$G$16,0)</f>
        <v>2.3599407768211451</v>
      </c>
      <c r="L21" s="956">
        <f>IFERROR(N21-'2. Variable (LC)'!M21/'Input-FX Rates'!$G$16,0)</f>
        <v>5.2250087056404766</v>
      </c>
      <c r="M21" s="146">
        <f>IFERROR('2. Variable (LC)'!L21/'Input-FX Rates'!$H$16,0)</f>
        <v>0</v>
      </c>
      <c r="N21" s="154">
        <f>IFERROR('2. Variable (LC)'!M21/'Input-FX Rates'!$H$16,0)</f>
        <v>-158.33901379310345</v>
      </c>
      <c r="O21" s="168">
        <f>IFERROR(N21/C21-1,0)</f>
        <v>-0.45390537668788689</v>
      </c>
      <c r="P21" s="960"/>
      <c r="Q21" s="99"/>
      <c r="R21" s="711" t="s">
        <v>289</v>
      </c>
    </row>
    <row r="22" spans="1:18" ht="15.75">
      <c r="A22" s="201" t="s">
        <v>290</v>
      </c>
      <c r="B22" s="120">
        <f>IFERROR('2. Variable (LC)'!B22/'Input-FX Rates'!$E$16,0)</f>
        <v>-1531.0315370898572</v>
      </c>
      <c r="C22" s="116">
        <f>IFERROR('2. Variable (LC)'!C22/'Input-FX Rates'!$G$16,0)</f>
        <v>-3070.1975891831221</v>
      </c>
      <c r="D22" s="116">
        <f>IFERROR('2. Variable (LC)'!D22/'Input-FX Rates'!$G$16,0)</f>
        <v>-309.99885335295198</v>
      </c>
      <c r="E22" s="118">
        <f>IFERROR('2. Variable (LC)'!E22/'Input-FX Rates'!$G$16,0)</f>
        <v>-2760.1987358301699</v>
      </c>
      <c r="F22" s="120">
        <f>IFERROR('2. Variable (LC)'!F22/'Input-FX Rates'!$G$16,0)</f>
        <v>147.86844529979601</v>
      </c>
      <c r="G22" s="116">
        <f>IFERROR('2. Variable (LC)'!G22/'Input-FX Rates'!$G$16,0)</f>
        <v>-67.710298713544333</v>
      </c>
      <c r="H22" s="116">
        <f>IFERROR('2. Variable (LC)'!H22/'Input-FX Rates'!$G$16,0)</f>
        <v>-25.17098168746621</v>
      </c>
      <c r="I22" s="116">
        <f>IFERROR('2. Variable (LC)'!I22/'Input-FX Rates'!$G$16,0)</f>
        <v>147.22211970527701</v>
      </c>
      <c r="J22" s="116">
        <f>+'2. Variable (LC)'!J22</f>
        <v>5.4932794785324757E-2</v>
      </c>
      <c r="K22" s="118">
        <f>IFERROR('2. Variable (LC)'!K22/'Input-FX Rates'!$G$16,0)</f>
        <v>-311.18700875224829</v>
      </c>
      <c r="L22" s="192">
        <f>IFERROR(N22-'2. Variable (LC)'!M22/'Input-FX Rates'!$G$16,0)</f>
        <v>91.655070304478159</v>
      </c>
      <c r="M22" s="117">
        <f>IFERROR('2. Variable (LC)'!L22/'Input-FX Rates'!$H$16,0)</f>
        <v>-1349.2335521249308</v>
      </c>
      <c r="N22" s="116">
        <f>IFERROR('2. Variable (LC)'!M22/'Input-FX Rates'!$H$16,0)</f>
        <v>-2777.5213896738774</v>
      </c>
      <c r="O22" s="200">
        <f>IFERROR(N22/C22-1,0)</f>
        <v>-9.5328131498896851E-2</v>
      </c>
      <c r="P22" s="955" t="str">
        <f>IF(ISBLANK('2. Variable (LC)'!O22),"",'2. Variable (LC)'!O22)</f>
        <v/>
      </c>
      <c r="Q22" s="99"/>
      <c r="R22" s="99"/>
    </row>
    <row r="23" spans="1:18">
      <c r="A23" s="949" t="s">
        <v>198</v>
      </c>
      <c r="B23" s="950">
        <f>IFERROR(B22/B$6,0)</f>
        <v>-2.74782204658271E-2</v>
      </c>
      <c r="C23" s="951">
        <f>IFERROR(C22/C$6,0)</f>
        <v>-3.0663110417670749E-2</v>
      </c>
      <c r="D23" s="951">
        <f>IFERROR(D22/D$6,0)</f>
        <v>-0.10255541733209037</v>
      </c>
      <c r="E23" s="952">
        <f>IFERROR(E22/E$6,0)</f>
        <v>-2.842517908026836E-2</v>
      </c>
      <c r="F23" s="950">
        <f>IFERROR(F22/F$6,0)</f>
        <v>-2.8425127985448276E-2</v>
      </c>
      <c r="G23" s="953"/>
      <c r="H23" s="953"/>
      <c r="I23" s="953"/>
      <c r="J23" s="951"/>
      <c r="K23" s="959"/>
      <c r="L23" s="954"/>
      <c r="M23" s="951">
        <f>+'2. Variable (LC)'!L23</f>
        <v>0</v>
      </c>
      <c r="N23" s="951">
        <f>IFERROR(N22/N$6,0)</f>
        <v>-3.1607948684315899E-2</v>
      </c>
      <c r="O23" s="952"/>
      <c r="P23" s="955" t="str">
        <f>IF(ISBLANK('2. Variable (LC)'!O23),"",'2. Variable (LC)'!O23)</f>
        <v/>
      </c>
      <c r="Q23" s="99"/>
      <c r="R23" s="99"/>
    </row>
    <row r="24" spans="1:18">
      <c r="A24" s="148" t="s">
        <v>291</v>
      </c>
      <c r="B24" s="146">
        <f>IFERROR('2. Variable (LC)'!B24/'Input-FX Rates'!$E$16,0)</f>
        <v>-3.348700924875204</v>
      </c>
      <c r="C24" s="154">
        <f>IFERROR('2. Variable (LC)'!C24/'Input-FX Rates'!$G$16,0)</f>
        <v>-3.3419558105310236</v>
      </c>
      <c r="D24" s="154">
        <f>IFERROR('2. Variable (LC)'!D24/'Input-FX Rates'!$G$16,0)</f>
        <v>0</v>
      </c>
      <c r="E24" s="142">
        <f>IFERROR('2. Variable (LC)'!E24/'Input-FX Rates'!$G$16,0)</f>
        <v>-3.3419558105310236</v>
      </c>
      <c r="F24" s="146">
        <f>IFERROR('2. Variable (LC)'!F24/'Input-FX Rates'!$G$16,0)</f>
        <v>0.17881566665180573</v>
      </c>
      <c r="G24" s="154">
        <f>IFERROR('2. Variable (LC)'!G24/'Input-FX Rates'!$G$16,0)</f>
        <v>0</v>
      </c>
      <c r="H24" s="154">
        <f>IFERROR('2. Variable (LC)'!H24/'Input-FX Rates'!$G$16,0)</f>
        <v>0</v>
      </c>
      <c r="I24" s="154">
        <f>IFERROR('2. Variable (LC)'!I24/'Input-FX Rates'!$G$16,0)</f>
        <v>3.1631401438792177</v>
      </c>
      <c r="J24" s="143">
        <f>+'2. Variable (LC)'!J24</f>
        <v>1</v>
      </c>
      <c r="K24" s="142">
        <f>IFERROR('2. Variable (LC)'!K24/'Input-FX Rates'!$G$16,0)</f>
        <v>0</v>
      </c>
      <c r="L24" s="956">
        <f>IFERROR(N24-'2. Variable (LC)'!M24/'Input-FX Rates'!$G$16,0)</f>
        <v>0</v>
      </c>
      <c r="M24" s="957">
        <f>IFERROR('2. Variable (LC)'!L24/'Input-FX Rates'!$H$16,0)</f>
        <v>-1349.2335521249308</v>
      </c>
      <c r="N24" s="154">
        <f>IFERROR('2. Variable (LC)'!M24/'Input-FX Rates'!$H$16,0)</f>
        <v>0</v>
      </c>
      <c r="O24" s="168">
        <f t="shared" ref="O24:O35" si="1">IFERROR(N24/C24-1,0)</f>
        <v>-1</v>
      </c>
      <c r="P24" s="202" t="str">
        <f>IF(ISBLANK('2. Variable (LC)'!O24),"",'2. Variable (LC)'!O24)</f>
        <v/>
      </c>
      <c r="Q24" s="99"/>
      <c r="R24" s="712" t="s">
        <v>292</v>
      </c>
    </row>
    <row r="25" spans="1:18">
      <c r="A25" s="148" t="s">
        <v>293</v>
      </c>
      <c r="B25" s="146">
        <f>IFERROR('2. Variable (LC)'!B25/'Input-FX Rates'!$E$16,0)</f>
        <v>-107.20124994148208</v>
      </c>
      <c r="C25" s="154">
        <f>IFERROR('2. Variable (LC)'!C25/'Input-FX Rates'!$G$16,0)</f>
        <v>-213.97064006334094</v>
      </c>
      <c r="D25" s="154">
        <f>IFERROR('2. Variable (LC)'!D25/'Input-FX Rates'!$G$16,0)</f>
        <v>0</v>
      </c>
      <c r="E25" s="142">
        <f>IFERROR('2. Variable (LC)'!E25/'Input-FX Rates'!$G$16,0)</f>
        <v>-213.97064006334094</v>
      </c>
      <c r="F25" s="146">
        <f>IFERROR('2. Variable (LC)'!F25/'Input-FX Rates'!$G$16,0)</f>
        <v>11.462725404093842</v>
      </c>
      <c r="G25" s="154">
        <f>IFERROR('2. Variable (LC)'!G25/'Input-FX Rates'!$G$16,0)</f>
        <v>0</v>
      </c>
      <c r="H25" s="154">
        <f>IFERROR('2. Variable (LC)'!H25/'Input-FX Rates'!$G$16,0)</f>
        <v>-4.5811744540319568</v>
      </c>
      <c r="I25" s="154">
        <f>IFERROR('2. Variable (LC)'!I25/'Input-FX Rates'!$G$16,0)</f>
        <v>7.9075911118896114</v>
      </c>
      <c r="J25" s="143">
        <f>+'2. Variable (LC)'!J25</f>
        <v>3.9048306458517618E-2</v>
      </c>
      <c r="K25" s="142">
        <f>IFERROR('2. Variable (LC)'!K25/'Input-FX Rates'!$G$16,0)</f>
        <v>14.248243905481212</v>
      </c>
      <c r="L25" s="956">
        <f>IFERROR(N25-'2. Variable (LC)'!M25/'Input-FX Rates'!$G$16,0)</f>
        <v>5.9076430614254605</v>
      </c>
      <c r="M25" s="957">
        <f>IFERROR('2. Variable (LC)'!L25/'Input-FX Rates'!$H$16,0)</f>
        <v>0</v>
      </c>
      <c r="N25" s="154">
        <f>IFERROR('2. Variable (LC)'!M25/'Input-FX Rates'!$H$16,0)</f>
        <v>-179.02561103448275</v>
      </c>
      <c r="O25" s="168">
        <f t="shared" si="1"/>
        <v>-0.16331693459679109</v>
      </c>
      <c r="P25" s="202" t="str">
        <f>IF(ISBLANK('2. Variable (LC)'!O25),"",'2. Variable (LC)'!O25)</f>
        <v>SMD : N2 Gas monthly cost, replacement of stencil mask &amp; plastic rack -120K
BE : Stencil mask, PCB rack and dust cover -45K</v>
      </c>
      <c r="Q25" s="99"/>
      <c r="R25" s="712" t="s">
        <v>295</v>
      </c>
    </row>
    <row r="26" spans="1:18">
      <c r="A26" s="148" t="s">
        <v>296</v>
      </c>
      <c r="B26" s="146">
        <f>IFERROR('2. Variable (LC)'!B26/'Input-FX Rates'!$E$16,0)</f>
        <v>-152.66955532614926</v>
      </c>
      <c r="C26" s="154">
        <f>IFERROR('2. Variable (LC)'!C26/'Input-FX Rates'!$G$16,0)</f>
        <v>-351.06257612222112</v>
      </c>
      <c r="D26" s="154">
        <f>IFERROR('2. Variable (LC)'!D26/'Input-FX Rates'!$G$16,0)</f>
        <v>0</v>
      </c>
      <c r="E26" s="142">
        <f>IFERROR('2. Variable (LC)'!E26/'Input-FX Rates'!$G$16,0)</f>
        <v>-351.06257612222112</v>
      </c>
      <c r="F26" s="146">
        <f>IFERROR('2. Variable (LC)'!F26/'Input-FX Rates'!$G$16,0)</f>
        <v>18.806991171079758</v>
      </c>
      <c r="G26" s="154">
        <f>IFERROR('2. Variable (LC)'!G26/'Input-FX Rates'!$G$16,0)</f>
        <v>0</v>
      </c>
      <c r="H26" s="154">
        <f>IFERROR('2. Variable (LC)'!H26/'Input-FX Rates'!$G$16,0)</f>
        <v>0</v>
      </c>
      <c r="I26" s="154">
        <f>IFERROR('2. Variable (LC)'!I26/'Input-FX Rates'!$G$16,0)</f>
        <v>23.612216954212947</v>
      </c>
      <c r="J26" s="143">
        <f>+'2. Variable (LC)'!J26</f>
        <v>7.1066426039716246E-2</v>
      </c>
      <c r="K26" s="142">
        <f>IFERROR('2. Variable (LC)'!K26/'Input-FX Rates'!$G$16,0)</f>
        <v>-484.49521413047847</v>
      </c>
      <c r="L26" s="956">
        <f>IFERROR(N26-'2. Variable (LC)'!M26/'Input-FX Rates'!$G$16,0)</f>
        <v>25.336598679131043</v>
      </c>
      <c r="M26" s="957">
        <f>IFERROR('2. Variable (LC)'!L26/'Input-FX Rates'!$H$16,0)</f>
        <v>0</v>
      </c>
      <c r="N26" s="154">
        <f>IFERROR('2. Variable (LC)'!M26/'Input-FX Rates'!$H$16,0)</f>
        <v>-767.80198344827579</v>
      </c>
      <c r="O26" s="168">
        <f t="shared" si="1"/>
        <v>1.1870801266523161</v>
      </c>
      <c r="P26" s="202" t="str">
        <f>IF(ISBLANK('2. Variable (LC)'!O26),"",'2. Variable (LC)'!O26)</f>
        <v>Structural change : Technician labor cost (512K EUR) goes to MDC from 2024</v>
      </c>
      <c r="Q26" s="99"/>
      <c r="R26" s="987" t="s">
        <v>297</v>
      </c>
    </row>
    <row r="27" spans="1:18">
      <c r="A27" s="148" t="s">
        <v>298</v>
      </c>
      <c r="B27" s="146">
        <f>IFERROR('2. Variable (LC)'!B27/'Input-FX Rates'!$E$16,0)</f>
        <v>-170.39742391773675</v>
      </c>
      <c r="C27" s="154">
        <f>IFERROR('2. Variable (LC)'!C27/'Input-FX Rates'!$G$16,0)</f>
        <v>-391.12466284519775</v>
      </c>
      <c r="D27" s="154">
        <f>IFERROR('2. Variable (LC)'!D27/'Input-FX Rates'!$G$16,0)</f>
        <v>0</v>
      </c>
      <c r="E27" s="142">
        <f>IFERROR('2. Variable (LC)'!E27/'Input-FX Rates'!$G$16,0)</f>
        <v>-391.12466284519775</v>
      </c>
      <c r="F27" s="146">
        <f>IFERROR('2. Variable (LC)'!F27/'Input-FX Rates'!$G$16,0)</f>
        <v>20.953491583915977</v>
      </c>
      <c r="G27" s="154">
        <f>IFERROR('2. Variable (LC)'!G27/'Input-FX Rates'!$G$16,0)</f>
        <v>-21.035166173968964</v>
      </c>
      <c r="H27" s="154">
        <f>IFERROR('2. Variable (LC)'!H27/'Input-FX Rates'!$G$16,0)</f>
        <v>-20.58980723343425</v>
      </c>
      <c r="I27" s="154">
        <f>IFERROR('2. Variable (LC)'!I27/'Input-FX Rates'!$G$16,0)</f>
        <v>0</v>
      </c>
      <c r="J27" s="143">
        <f>+'2. Variable (LC)'!J27</f>
        <v>0</v>
      </c>
      <c r="K27" s="142">
        <f>IFERROR('2. Variable (LC)'!K27/'Input-FX Rates'!$G$16,0)</f>
        <v>0</v>
      </c>
      <c r="L27" s="956">
        <f>IFERROR(N27-'2. Variable (LC)'!M27/'Input-FX Rates'!$G$16,0)</f>
        <v>13.154717082478101</v>
      </c>
      <c r="M27" s="957">
        <f>IFERROR('2. Variable (LC)'!L27/'Input-FX Rates'!$H$16,0)</f>
        <v>0</v>
      </c>
      <c r="N27" s="154">
        <f>IFERROR('2. Variable (LC)'!M27/'Input-FX Rates'!$H$16,0)</f>
        <v>-398.64142758620687</v>
      </c>
      <c r="O27" s="168">
        <f t="shared" si="1"/>
        <v>1.9218334856025532E-2</v>
      </c>
      <c r="P27" s="202" t="str">
        <f>IF(ISBLANK('2. Variable (LC)'!O27),"",'2. Variable (LC)'!O27)</f>
        <v>Electricity cost increase of 5% has been considered comparing to FC</v>
      </c>
      <c r="Q27" s="99"/>
      <c r="R27" s="712" t="s">
        <v>300</v>
      </c>
    </row>
    <row r="28" spans="1:18">
      <c r="A28" s="148" t="s">
        <v>301</v>
      </c>
      <c r="B28" s="146">
        <f>IFERROR('2. Variable (LC)'!B28/'Input-FX Rates'!$E$16,0)</f>
        <v>-1163.2355635543659</v>
      </c>
      <c r="C28" s="154">
        <f>IFERROR('2. Variable (LC)'!C28/'Input-FX Rates'!$G$16,0)</f>
        <v>-2223.3898343036308</v>
      </c>
      <c r="D28" s="154">
        <f>IFERROR('2. Variable (LC)'!D28/'Input-FX Rates'!$G$16,0)</f>
        <v>-309.99885335295198</v>
      </c>
      <c r="E28" s="142">
        <f>IFERROR('2. Variable (LC)'!E28/'Input-FX Rates'!$G$16,0)</f>
        <v>-1913.3909809506786</v>
      </c>
      <c r="F28" s="146">
        <f>IFERROR('2. Variable (LC)'!F28/'Input-FX Rates'!$G$16,0)</f>
        <v>102.50340935934308</v>
      </c>
      <c r="G28" s="154">
        <f>IFERROR('2. Variable (LC)'!G28/'Input-FX Rates'!$G$16,0)</f>
        <v>64.255379434234925</v>
      </c>
      <c r="H28" s="154">
        <f>IFERROR('2. Variable (LC)'!H28/'Input-FX Rates'!$G$16,0)</f>
        <v>0</v>
      </c>
      <c r="I28" s="154">
        <f>IFERROR('2. Variable (LC)'!I28/'Input-FX Rates'!$G$16,0)</f>
        <v>112.53917149529522</v>
      </c>
      <c r="J28" s="143">
        <f>+'2. Variable (LC)'!J28</f>
        <v>6.4432095091702571E-2</v>
      </c>
      <c r="K28" s="142">
        <f>IFERROR('2. Variable (LC)'!K28/'Input-FX Rates'!$G$16,0)</f>
        <v>159.05996289757493</v>
      </c>
      <c r="L28" s="956">
        <f>IFERROR(N28-'2. Variable (LC)'!M28/'Input-FX Rates'!$G$16,0)</f>
        <v>47.119534297248947</v>
      </c>
      <c r="M28" s="146">
        <f>IFERROR('2. Variable (LC)'!L28/'Input-FX Rates'!$H$16,0)</f>
        <v>0</v>
      </c>
      <c r="N28" s="154">
        <f>IFERROR('2. Variable (LC)'!M28/'Input-FX Rates'!$H$16,0)</f>
        <v>-1427.9135234669814</v>
      </c>
      <c r="O28" s="168">
        <f t="shared" si="1"/>
        <v>-0.35777635507890759</v>
      </c>
      <c r="P28" s="202" t="str">
        <f>IF(ISBLANK('2. Variable (LC)'!O28),"",'2. Variable (LC)'!O28)</f>
        <v/>
      </c>
      <c r="Q28" s="99"/>
      <c r="R28" s="712" t="s">
        <v>302</v>
      </c>
    </row>
    <row r="29" spans="1:18">
      <c r="A29" s="148" t="s">
        <v>303</v>
      </c>
      <c r="B29" s="146">
        <f>IFERROR('2. Variable (LC)'!B29/'Input-FX Rates'!$E$16,0)</f>
        <v>65.820956574751563</v>
      </c>
      <c r="C29" s="154">
        <f>IFERROR('2. Variable (LC)'!C29/'Input-FX Rates'!$G$16,0)</f>
        <v>112.69207996179935</v>
      </c>
      <c r="D29" s="154">
        <f>IFERROR('2. Variable (LC)'!D29/'Input-FX Rates'!$G$16,0)</f>
        <v>0</v>
      </c>
      <c r="E29" s="142">
        <f>IFERROR('2. Variable (LC)'!E29/'Input-FX Rates'!$G$16,0)</f>
        <v>112.69207996179935</v>
      </c>
      <c r="F29" s="146">
        <f>IFERROR('2. Variable (LC)'!F29/'Input-FX Rates'!$G$16,0)</f>
        <v>-6.0369878852884531</v>
      </c>
      <c r="G29" s="154">
        <f>IFERROR('2. Variable (LC)'!G29/'Input-FX Rates'!$G$16,0)</f>
        <v>-106.65603887340723</v>
      </c>
      <c r="H29" s="154">
        <f>IFERROR('2. Variable (LC)'!H29/'Input-FX Rates'!$G$16,0)</f>
        <v>0</v>
      </c>
      <c r="I29" s="154">
        <f>IFERROR('2. Variable (LC)'!I29/'Input-FX Rates'!$G$16,0)</f>
        <v>0</v>
      </c>
      <c r="J29" s="143">
        <f>+'2. Variable (LC)'!J29</f>
        <v>0</v>
      </c>
      <c r="K29" s="142">
        <f>IFERROR('2. Variable (LC)'!K29/'Input-FX Rates'!$G$16,0)</f>
        <v>-1.4248260305908702E-6</v>
      </c>
      <c r="L29" s="956">
        <f>IFERROR(N29-'2. Variable (LC)'!M29/'Input-FX Rates'!$G$16,0)</f>
        <v>3.029068788199603E-5</v>
      </c>
      <c r="M29" s="146">
        <f>IFERROR('2. Variable (LC)'!L29/'Input-FX Rates'!$H$16,0)</f>
        <v>0</v>
      </c>
      <c r="N29" s="154">
        <f>IFERROR('2. Variable (LC)'!M29/'Input-FX Rates'!$H$16,0)</f>
        <v>-9.1793103448275864E-4</v>
      </c>
      <c r="O29" s="168">
        <f t="shared" si="1"/>
        <v>-1.0000081454795651</v>
      </c>
      <c r="P29" s="202"/>
      <c r="Q29" s="99"/>
      <c r="R29" s="711" t="s">
        <v>305</v>
      </c>
    </row>
    <row r="30" spans="1:18">
      <c r="A30" s="148" t="s">
        <v>306</v>
      </c>
      <c r="B30" s="146">
        <f>IFERROR('2. Variable (LC)'!B30/'Input-FX Rates'!$E$16,0)</f>
        <v>0</v>
      </c>
      <c r="C30" s="154">
        <f>IFERROR('2. Variable (LC)'!C30/'Input-FX Rates'!$G$16,0)</f>
        <v>0</v>
      </c>
      <c r="D30" s="154">
        <f>IFERROR('2. Variable (LC)'!D30/'Input-FX Rates'!$G$16,0)</f>
        <v>0</v>
      </c>
      <c r="E30" s="142">
        <f>IFERROR('2. Variable (LC)'!E30/'Input-FX Rates'!$G$16,0)</f>
        <v>0</v>
      </c>
      <c r="F30" s="146">
        <f>IFERROR('2. Variable (LC)'!F30/'Input-FX Rates'!$G$16,0)</f>
        <v>0</v>
      </c>
      <c r="G30" s="154">
        <f>IFERROR('2. Variable (LC)'!G30/'Input-FX Rates'!$G$16,0)</f>
        <v>-4.2744731004030596</v>
      </c>
      <c r="H30" s="154">
        <f>IFERROR('2. Variable (LC)'!H30/'Input-FX Rates'!$G$16,0)</f>
        <v>0</v>
      </c>
      <c r="I30" s="154">
        <f>IFERROR('2. Variable (LC)'!I30/'Input-FX Rates'!$G$16,0)</f>
        <v>0</v>
      </c>
      <c r="J30" s="143">
        <f>+'2. Variable (LC)'!J30</f>
        <v>0</v>
      </c>
      <c r="K30" s="142">
        <f>IFERROR('2. Variable (LC)'!K30/'Input-FX Rates'!$G$16,0)</f>
        <v>0</v>
      </c>
      <c r="L30" s="956">
        <f>IFERROR(N30-'2. Variable (LC)'!M30/'Input-FX Rates'!$G$16,0)</f>
        <v>0.13654689350650795</v>
      </c>
      <c r="M30" s="957">
        <f>IFERROR('2. Variable (LC)'!L30/'Input-FX Rates'!$H$16,0)</f>
        <v>0</v>
      </c>
      <c r="N30" s="154">
        <f>IFERROR('2. Variable (LC)'!M30/'Input-FX Rates'!$H$16,0)</f>
        <v>-4.1379262068965517</v>
      </c>
      <c r="O30" s="168">
        <f t="shared" si="1"/>
        <v>0</v>
      </c>
      <c r="P30" s="202" t="str">
        <f>IF(ISBLANK('2. Variable (LC)'!O30),"",'2. Variable (LC)'!O30)</f>
        <v/>
      </c>
      <c r="Q30" s="99"/>
      <c r="R30" s="712" t="s">
        <v>307</v>
      </c>
    </row>
    <row r="31" spans="1:18" ht="15.75">
      <c r="A31" s="164" t="s">
        <v>308</v>
      </c>
      <c r="B31" s="137">
        <f>IFERROR('2. Variable (LC)'!B31/'Input-FX Rates'!$E$16,0)</f>
        <v>-27.879984647637279</v>
      </c>
      <c r="C31" s="204">
        <f>IFERROR('2. Variable (LC)'!C31/'Input-FX Rates'!$G$16,0)</f>
        <v>-120.11981447568249</v>
      </c>
      <c r="D31" s="207">
        <f>IFERROR('2. Variable (LC)'!D31/'Input-FX Rates'!$G$16,0)</f>
        <v>0</v>
      </c>
      <c r="E31" s="131">
        <f>IFERROR('2. Variable (LC)'!E31/'Input-FX Rates'!$G$16,0)</f>
        <v>-120.11981447568249</v>
      </c>
      <c r="F31" s="137">
        <f>IFERROR('2. Variable (LC)'!F31/'Input-FX Rates'!$G$16,0)</f>
        <v>6.4352267604213598</v>
      </c>
      <c r="G31" s="204">
        <f>IFERROR('2. Variable (LC)'!G31/'Input-FX Rates'!$G$16,0)</f>
        <v>0</v>
      </c>
      <c r="H31" s="204">
        <f>IFERROR('2. Variable (LC)'!H31/'Input-FX Rates'!$G$16,0)</f>
        <v>0</v>
      </c>
      <c r="I31" s="204">
        <f>IFERROR('2. Variable (LC)'!I31/'Input-FX Rates'!$G$16,0)</f>
        <v>0</v>
      </c>
      <c r="J31" s="132">
        <f>+'2. Variable (LC)'!J31</f>
        <v>0</v>
      </c>
      <c r="K31" s="131">
        <f>IFERROR('2. Variable (LC)'!K31/'Input-FX Rates'!$G$16,0)</f>
        <v>5.6558682948951597</v>
      </c>
      <c r="L31" s="206">
        <f>IFERROR(N31-'2. Variable (LC)'!M31/'Input-FX Rates'!$G$16,0)</f>
        <v>3.4509483858831942</v>
      </c>
      <c r="M31" s="137">
        <f>IFERROR('2. Variable (LC)'!L31/'Input-FX Rates'!$H$16,0)</f>
        <v>-130.71</v>
      </c>
      <c r="N31" s="204">
        <f>IFERROR('2. Variable (LC)'!M31/'Input-FX Rates'!$H$16,0)</f>
        <v>-104.57777103448277</v>
      </c>
      <c r="O31" s="203">
        <f t="shared" si="1"/>
        <v>-0.12938784087404753</v>
      </c>
      <c r="P31" s="202" t="str">
        <f>IF(ISBLANK('2. Variable (LC)'!O31),"",'2. Variable (LC)'!O31)</f>
        <v>FC scrap ratio of -0.12% applied on opportunity</v>
      </c>
      <c r="Q31" s="99"/>
      <c r="R31" s="712" t="s">
        <v>310</v>
      </c>
    </row>
    <row r="32" spans="1:18" ht="15.75">
      <c r="A32" s="164" t="s">
        <v>311</v>
      </c>
      <c r="B32" s="137">
        <f>IFERROR('2. Variable (LC)'!B32/'Input-FX Rates'!$E$16,0)</f>
        <v>-178.52818980735435</v>
      </c>
      <c r="C32" s="204">
        <f>IFERROR('2. Variable (LC)'!C32/'Input-FX Rates'!$G$16,0)</f>
        <v>-500.49985176822412</v>
      </c>
      <c r="D32" s="207">
        <f>IFERROR('2. Variable (LC)'!D32/'Input-FX Rates'!$G$16,0)</f>
        <v>0</v>
      </c>
      <c r="E32" s="131">
        <f>IFERROR('2. Variable (LC)'!E32/'Input-FX Rates'!$G$16,0)</f>
        <v>-500.49985176822412</v>
      </c>
      <c r="F32" s="137">
        <f>IFERROR('2. Variable (LC)'!F32/'Input-FX Rates'!$G$16,0)</f>
        <v>26.812376215567173</v>
      </c>
      <c r="G32" s="204">
        <f>IFERROR('2. Variable (LC)'!G32/'Input-FX Rates'!$G$16,0)</f>
        <v>0</v>
      </c>
      <c r="H32" s="208">
        <f>IFERROR('2. Variable (LC)'!H32/'Input-FX Rates'!$G$16,0)</f>
        <v>0</v>
      </c>
      <c r="I32" s="208">
        <f>IFERROR('2. Variable (LC)'!I32/'Input-FX Rates'!$G$16,0)</f>
        <v>0</v>
      </c>
      <c r="J32" s="132">
        <f>+'2. Variable (LC)'!J32</f>
        <v>0</v>
      </c>
      <c r="K32" s="131">
        <f>IFERROR('2. Variable (LC)'!K32/'Input-FX Rates'!$G$16,0)</f>
        <v>23.567810826190122</v>
      </c>
      <c r="L32" s="206">
        <f>IFERROR(N32-'2. Variable (LC)'!M32/'Input-FX Rates'!$G$16,0)</f>
        <v>14.378951623018565</v>
      </c>
      <c r="M32" s="137">
        <f>IFERROR('2. Variable (LC)'!L32/'Input-FX Rates'!$H$16,0)</f>
        <v>-435.74071295000005</v>
      </c>
      <c r="N32" s="204">
        <f>IFERROR('2. Variable (LC)'!M32/'Input-FX Rates'!$H$16,0)</f>
        <v>-435.74071310344829</v>
      </c>
      <c r="O32" s="203">
        <f t="shared" si="1"/>
        <v>-0.12938892676189051</v>
      </c>
      <c r="P32" s="202" t="str">
        <f>IF(ISBLANK('2. Variable (LC)'!O32),"",'2. Variable (LC)'!O32)</f>
        <v/>
      </c>
      <c r="Q32" s="99"/>
      <c r="R32" s="712" t="s">
        <v>312</v>
      </c>
    </row>
    <row r="33" spans="1:18" ht="15.75">
      <c r="A33" s="164" t="s">
        <v>313</v>
      </c>
      <c r="B33" s="137">
        <f>IFERROR('2. Variable (LC)'!B33/'Input-FX Rates'!$E$16,0)</f>
        <v>0</v>
      </c>
      <c r="C33" s="204">
        <f>IFERROR('2. Variable (LC)'!C33/'Input-FX Rates'!$G$16,0)</f>
        <v>0</v>
      </c>
      <c r="D33" s="207">
        <f>IFERROR('2. Variable (LC)'!D33/'Input-FX Rates'!$G$16,0)</f>
        <v>0</v>
      </c>
      <c r="E33" s="131">
        <f>IFERROR('2. Variable (LC)'!E33/'Input-FX Rates'!$G$16,0)</f>
        <v>0</v>
      </c>
      <c r="F33" s="205">
        <f>IFERROR('2. Variable (LC)'!F33/'Input-FX Rates'!$G$16,0)</f>
        <v>0</v>
      </c>
      <c r="G33" s="208">
        <f>IFERROR('2. Variable (LC)'!G33/'Input-FX Rates'!$G$16,0)</f>
        <v>0</v>
      </c>
      <c r="H33" s="208">
        <f>IFERROR('2. Variable (LC)'!H33/'Input-FX Rates'!$G$16,0)</f>
        <v>0</v>
      </c>
      <c r="I33" s="208">
        <f>IFERROR('2. Variable (LC)'!I33/'Input-FX Rates'!$G$16,0)</f>
        <v>0</v>
      </c>
      <c r="J33" s="132">
        <f>+'2. Variable (LC)'!J33</f>
        <v>0</v>
      </c>
      <c r="K33" s="131">
        <f>IFERROR('2. Variable (LC)'!K33/'Input-FX Rates'!$G$16,0)</f>
        <v>0</v>
      </c>
      <c r="L33" s="206">
        <f>IFERROR(N33-'2. Variable (LC)'!M33/'Input-FX Rates'!$G$16,0)</f>
        <v>0</v>
      </c>
      <c r="M33" s="137">
        <f>IFERROR('2. Variable (LC)'!L33/'Input-FX Rates'!$H$16,0)</f>
        <v>0</v>
      </c>
      <c r="N33" s="204">
        <f>IFERROR('2. Variable (LC)'!M33/'Input-FX Rates'!$H$16,0)</f>
        <v>0</v>
      </c>
      <c r="O33" s="203">
        <f t="shared" si="1"/>
        <v>0</v>
      </c>
      <c r="P33" s="202" t="str">
        <f>IF(ISBLANK('2. Variable (LC)'!O33),"",'2. Variable (LC)'!O33)</f>
        <v/>
      </c>
      <c r="Q33" s="99"/>
      <c r="R33" s="712" t="s">
        <v>314</v>
      </c>
    </row>
    <row r="34" spans="1:18" ht="15.75">
      <c r="A34" s="164" t="s">
        <v>315</v>
      </c>
      <c r="B34" s="137">
        <f>IFERROR('2. Variable (LC)'!B34/'Input-FX Rates'!$E$16,0)</f>
        <v>8.2028604799250728E-5</v>
      </c>
      <c r="C34" s="204">
        <f>IFERROR('2. Variable (LC)'!C34/'Input-FX Rates'!$G$16,0)</f>
        <v>-1.4450084550097218E-4</v>
      </c>
      <c r="D34" s="207">
        <f>IFERROR('2. Variable (LC)'!D34/'Input-FX Rates'!$G$16,0)</f>
        <v>0</v>
      </c>
      <c r="E34" s="131">
        <f>IFERROR('2. Variable (LC)'!E34/'Input-FX Rates'!$G$16,0)</f>
        <v>-1.4450084550097218E-4</v>
      </c>
      <c r="F34" s="137">
        <f>IFERROR('2. Variable (LC)'!F34/'Input-FX Rates'!$G$16,0)</f>
        <v>0</v>
      </c>
      <c r="G34" s="204">
        <f>IFERROR('2. Variable (LC)'!G34/'Input-FX Rates'!$G$16,0)</f>
        <v>0</v>
      </c>
      <c r="H34" s="204">
        <f>IFERROR('2. Variable (LC)'!H34/'Input-FX Rates'!$G$16,0)</f>
        <v>0</v>
      </c>
      <c r="I34" s="204">
        <f>IFERROR('2. Variable (LC)'!I34/'Input-FX Rates'!$G$16,0)</f>
        <v>0</v>
      </c>
      <c r="J34" s="132">
        <f>+'2. Variable (LC)'!J34</f>
        <v>0</v>
      </c>
      <c r="K34" s="131">
        <f>IFERROR('2. Variable (LC)'!K34/'Input-FX Rates'!$G$16,0)</f>
        <v>2.0617239815618379E-4</v>
      </c>
      <c r="L34" s="206">
        <f>IFERROR(N34-'2. Variable (LC)'!M34/'Input-FX Rates'!$G$16,0)</f>
        <v>-1.9700811620496726E-6</v>
      </c>
      <c r="M34" s="205">
        <f>IFERROR('2. Variable (LC)'!L34/'Input-FX Rates'!$H$16,0)</f>
        <v>0</v>
      </c>
      <c r="N34" s="204">
        <f>IFERROR('2. Variable (LC)'!M34/'Input-FX Rates'!$H$16,0)</f>
        <v>5.970147149316196E-5</v>
      </c>
      <c r="O34" s="203">
        <f t="shared" si="1"/>
        <v>-1.4131565548020291</v>
      </c>
      <c r="P34" s="202" t="str">
        <f>IF(ISBLANK('2. Variable (LC)'!O34),"",'2. Variable (LC)'!O34)</f>
        <v/>
      </c>
      <c r="Q34" s="99"/>
      <c r="R34" s="712" t="s">
        <v>316</v>
      </c>
    </row>
    <row r="35" spans="1:18" ht="15.75">
      <c r="A35" s="201" t="s">
        <v>317</v>
      </c>
      <c r="B35" s="120">
        <f>IFERROR('2. Variable (LC)'!B35/'Input-FX Rates'!$E$16,0)</f>
        <v>-206.40809242638684</v>
      </c>
      <c r="C35" s="116">
        <f>IFERROR('2. Variable (LC)'!C35/'Input-FX Rates'!$G$16,0)</f>
        <v>-620.61981074475204</v>
      </c>
      <c r="D35" s="116">
        <f>IFERROR('2. Variable (LC)'!D35/'Input-FX Rates'!$G$16,0)</f>
        <v>0</v>
      </c>
      <c r="E35" s="118">
        <f>IFERROR('2. Variable (LC)'!E35/'Input-FX Rates'!$G$16,0)</f>
        <v>-620.61981074475204</v>
      </c>
      <c r="F35" s="120">
        <f>IFERROR('2. Variable (LC)'!F35/'Input-FX Rates'!$G$16,0)</f>
        <v>33.247602975988535</v>
      </c>
      <c r="G35" s="116">
        <f>IFERROR('2. Variable (LC)'!G35/'Input-FX Rates'!$G$16,0)</f>
        <v>0</v>
      </c>
      <c r="H35" s="116">
        <f>IFERROR('2. Variable (LC)'!H35/'Input-FX Rates'!$G$16,0)</f>
        <v>0</v>
      </c>
      <c r="I35" s="116">
        <f>IFERROR('2. Variable (LC)'!I35/'Input-FX Rates'!$G$16,0)</f>
        <v>0</v>
      </c>
      <c r="J35" s="119">
        <f>+'2. Variable (LC)'!J35</f>
        <v>0</v>
      </c>
      <c r="K35" s="118">
        <f>IFERROR('2. Variable (LC)'!K35/'Input-FX Rates'!$G$16,0)</f>
        <v>29.223885293483438</v>
      </c>
      <c r="L35" s="192">
        <f>IFERROR(N35-'2. Variable (LC)'!M35/'Input-FX Rates'!$G$16,0)</f>
        <v>17.829898038820602</v>
      </c>
      <c r="M35" s="117">
        <f>IFERROR('2. Variable (LC)'!L35/'Input-FX Rates'!$H$16,0)</f>
        <v>-566.45071295000002</v>
      </c>
      <c r="N35" s="116">
        <f>IFERROR('2. Variable (LC)'!M35/'Input-FX Rates'!$H$16,0)</f>
        <v>-540.31842443645951</v>
      </c>
      <c r="O35" s="200">
        <f t="shared" si="1"/>
        <v>-0.12938901549392989</v>
      </c>
      <c r="P35" s="955" t="str">
        <f>IF(ISBLANK('2. Variable (LC)'!O35),"",'2. Variable (LC)'!O35)</f>
        <v/>
      </c>
      <c r="Q35" s="99"/>
      <c r="R35" s="99"/>
    </row>
    <row r="36" spans="1:18" ht="15.75">
      <c r="A36" s="112"/>
      <c r="B36" s="199"/>
      <c r="C36" s="195"/>
      <c r="D36" s="195"/>
      <c r="E36" s="198"/>
      <c r="F36" s="199"/>
      <c r="G36" s="195"/>
      <c r="H36" s="195"/>
      <c r="I36" s="195"/>
      <c r="J36" s="195"/>
      <c r="K36" s="198"/>
      <c r="L36" s="197"/>
      <c r="M36" s="196"/>
      <c r="N36" s="195"/>
      <c r="O36" s="194"/>
      <c r="P36" s="970" t="str">
        <f>IF(ISBLANK('2. Variable (LC)'!O36),"",'2. Variable (LC)'!O36)</f>
        <v/>
      </c>
    </row>
    <row r="37" spans="1:18" ht="15.75">
      <c r="A37" s="193" t="s">
        <v>318</v>
      </c>
      <c r="B37" s="120">
        <f>IFERROR('2. Variable (LC)'!B37/'Input-FX Rates'!$E$16,0)</f>
        <v>-36649.655369210173</v>
      </c>
      <c r="C37" s="116">
        <f>IFERROR('2. Variable (LC)'!C37/'Input-FX Rates'!$G$16,0)</f>
        <v>-65083.157524762013</v>
      </c>
      <c r="D37" s="116">
        <f>IFERROR('2. Variable (LC)'!D37/'Input-FX Rates'!$G$16,0)</f>
        <v>-309.99885335295198</v>
      </c>
      <c r="E37" s="118">
        <f>IFERROR('2. Variable (LC)'!E37/'Input-FX Rates'!$G$16,0)</f>
        <v>-64773.158671409066</v>
      </c>
      <c r="F37" s="120">
        <f>IFERROR('2. Variable (LC)'!F37/'Input-FX Rates'!$G$16,0)</f>
        <v>3470.0127623092253</v>
      </c>
      <c r="G37" s="116">
        <f>IFERROR('2. Variable (LC)'!G37/'Input-FX Rates'!$G$16,0)</f>
        <v>-410.8763125929587</v>
      </c>
      <c r="H37" s="116">
        <f>IFERROR('2. Variable (LC)'!H37/'Input-FX Rates'!$G$16,0)</f>
        <v>446.43441778559884</v>
      </c>
      <c r="I37" s="116">
        <f>IFERROR('2. Variable (LC)'!I37/'Input-FX Rates'!$G$16,0)</f>
        <v>209.16990345826508</v>
      </c>
      <c r="J37" s="116">
        <f>+'2. Variable (LC)'!J37</f>
        <v>0</v>
      </c>
      <c r="K37" s="118">
        <f>IFERROR('2. Variable (LC)'!K37/'Input-FX Rates'!$G$16,0)</f>
        <v>202.16131125191515</v>
      </c>
      <c r="L37" s="192">
        <f>IFERROR(N37-'2. Variable (LC)'!M37/'Input-FX Rates'!$G$16,0)</f>
        <v>1944.036748507373</v>
      </c>
      <c r="M37" s="120">
        <f>IFERROR('2. Variable (LC)'!L37/'Input-FX Rates'!$H$16,0)</f>
        <v>0</v>
      </c>
      <c r="N37" s="116">
        <f>IFERROR('2. Variable (LC)'!M37/'Input-FX Rates'!$H$16,0)</f>
        <v>-58912.21984068965</v>
      </c>
      <c r="O37" s="191">
        <f>IFERROR(N37/C37-1,0)</f>
        <v>-9.4816200054899324E-2</v>
      </c>
      <c r="P37" s="190" t="str">
        <f>IF(ISBLANK('2. Variable (LC)'!O37),"",'2. Variable (LC)'!O37)</f>
        <v/>
      </c>
      <c r="Q37" s="99"/>
      <c r="R37" s="99"/>
    </row>
    <row r="38" spans="1:18" ht="15.75">
      <c r="A38" s="193" t="s">
        <v>319</v>
      </c>
      <c r="B38" s="120">
        <f>IFERROR('2. Variable (LC)'!B38/'Input-FX Rates'!$E$16,0)</f>
        <v>19068.346420385442</v>
      </c>
      <c r="C38" s="116">
        <f>IFERROR('2. Variable (LC)'!C38/'Input-FX Rates'!$G$16,0)</f>
        <v>35043.592415576968</v>
      </c>
      <c r="D38" s="116">
        <f>IFERROR('2. Variable (LC)'!D38/'Input-FX Rates'!$G$16,0)</f>
        <v>2712.7459359264631</v>
      </c>
      <c r="E38" s="118">
        <f>IFERROR('2. Variable (LC)'!E38/'Input-FX Rates'!$G$16,0)</f>
        <v>32330.846479650507</v>
      </c>
      <c r="F38" s="120">
        <f>IFERROR('2. Variable (LC)'!F38/'Input-FX Rates'!$G$16,0)</f>
        <v>-1732.019938317296</v>
      </c>
      <c r="G38" s="116">
        <f>IFERROR('2. Variable (LC)'!G38/'Input-FX Rates'!$G$16,0)</f>
        <v>-410.8763125929587</v>
      </c>
      <c r="H38" s="116">
        <f>IFERROR('2. Variable (LC)'!H38/'Input-FX Rates'!$G$16,0)</f>
        <v>-1431.6051190564626</v>
      </c>
      <c r="I38" s="116">
        <f>IFERROR('2. Variable (LC)'!I38/'Input-FX Rates'!$G$16,0)</f>
        <v>209.16990345826508</v>
      </c>
      <c r="J38" s="116">
        <f>+'2. Variable (LC)'!J38</f>
        <v>0</v>
      </c>
      <c r="K38" s="118">
        <f>IFERROR('2. Variable (LC)'!K38/'Input-FX Rates'!$G$16,0)</f>
        <v>952.11849202387759</v>
      </c>
      <c r="L38" s="192">
        <f>IFERROR(N38-'2. Variable (LC)'!M38/'Input-FX Rates'!$G$16,0)</f>
        <v>-955.7107555107541</v>
      </c>
      <c r="M38" s="120">
        <f>IFERROR('2. Variable (LC)'!L38/'Input-FX Rates'!$H$16,0)</f>
        <v>0</v>
      </c>
      <c r="N38" s="116">
        <f>IFERROR('2. Variable (LC)'!M38/'Input-FX Rates'!$H$16,0)</f>
        <v>28961.922749655176</v>
      </c>
      <c r="O38" s="191">
        <f>IFERROR(N38/C38-1,0)</f>
        <v>-0.17354583953038083</v>
      </c>
      <c r="P38" s="190" t="str">
        <f>IF(ISBLANK('2. Variable (LC)'!O38),"",'2. Variable (LC)'!O38)</f>
        <v/>
      </c>
      <c r="Q38" s="99"/>
      <c r="R38" s="99"/>
    </row>
    <row r="39" spans="1:18">
      <c r="A39" s="961" t="s">
        <v>320</v>
      </c>
      <c r="B39" s="950">
        <f>IFERROR(B38/B$6,0)</f>
        <v>0.34222954535218325</v>
      </c>
      <c r="C39" s="951">
        <f>IFERROR(C38/C$6,0)</f>
        <v>0.34999230911277823</v>
      </c>
      <c r="D39" s="951">
        <f>IFERROR(D38/D$6,0)</f>
        <v>0.89744458266790961</v>
      </c>
      <c r="E39" s="952">
        <f>IFERROR(E38/E$6,0)</f>
        <v>0.33295069991557108</v>
      </c>
      <c r="F39" s="950">
        <f>IFERROR(F38/F$6,0)</f>
        <v>0.33295060565626494</v>
      </c>
      <c r="G39" s="953"/>
      <c r="H39" s="953"/>
      <c r="I39" s="953"/>
      <c r="J39" s="951"/>
      <c r="K39" s="959"/>
      <c r="L39" s="954">
        <f>IFERROR(L38/L$6,0)</f>
        <v>0.32958412902724876</v>
      </c>
      <c r="M39" s="951">
        <f>IFERROR(M38/M$6,0)</f>
        <v>0</v>
      </c>
      <c r="N39" s="951">
        <f>IFERROR(N38/N$6,0)</f>
        <v>0.32958412902725004</v>
      </c>
      <c r="O39" s="952">
        <f>IFERROR(N39/C39-1,0)</f>
        <v>-5.8310367268533447E-2</v>
      </c>
      <c r="P39" s="190" t="str">
        <f>IF(ISBLANK('2. Variable (LC)'!O39),"",'2. Variable (LC)'!O39)</f>
        <v/>
      </c>
      <c r="Q39" s="99"/>
      <c r="R39" s="99"/>
    </row>
  </sheetData>
  <dataConsolidate/>
  <mergeCells count="3">
    <mergeCell ref="F4:K4"/>
    <mergeCell ref="M4:O4"/>
    <mergeCell ref="B4:E4"/>
  </mergeCells>
  <phoneticPr fontId="65" type="noConversion"/>
  <hyperlinks>
    <hyperlink ref="R26" r:id="rId1" display="Maintenenace concept budget 2024" xr:uid="{FE2E4776-6724-46C3-BEC8-B78809108D72}"/>
  </hyperlinks>
  <pageMargins left="0.70866141732283472" right="0.70866141732283472" top="0.74803149606299213" bottom="0.74803149606299213" header="0.31496062992125984" footer="0.31496062992125984"/>
  <pageSetup paperSize="9" scale="41" orientation="landscape" r:id="rId2"/>
  <customProperties>
    <customPr name="_pios_id" r:id="rId3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7CC47-6298-4BE7-B7E9-3103F282D980}">
  <sheetPr>
    <tabColor rgb="FFFFFFCC"/>
    <pageSetUpPr fitToPage="1"/>
  </sheetPr>
  <dimension ref="A1:Y88"/>
  <sheetViews>
    <sheetView showGridLines="0" zoomScaleNormal="100" workbookViewId="0">
      <pane xSplit="2" ySplit="5" topLeftCell="F20" activePane="bottomRight" state="frozen"/>
      <selection pane="topRight" activeCell="A30" sqref="A30:G30"/>
      <selection pane="bottomLeft" activeCell="A30" sqref="A30:G30"/>
      <selection pane="bottomRight" activeCell="R40" sqref="R40"/>
    </sheetView>
  </sheetViews>
  <sheetFormatPr defaultColWidth="8.7109375" defaultRowHeight="12.75" customHeight="1" outlineLevelRow="1"/>
  <cols>
    <col min="1" max="1" width="41.28515625" style="5" customWidth="1"/>
    <col min="2" max="2" width="20.28515625" style="5" customWidth="1"/>
    <col min="3" max="3" width="14.7109375" style="5" bestFit="1" customWidth="1"/>
    <col min="4" max="4" width="13.28515625" style="5" customWidth="1"/>
    <col min="5" max="5" width="15.28515625" style="5" bestFit="1" customWidth="1"/>
    <col min="6" max="7" width="14.28515625" style="5" bestFit="1" customWidth="1"/>
    <col min="8" max="9" width="13.85546875" style="5" bestFit="1" customWidth="1"/>
    <col min="10" max="14" width="14.28515625" style="5" bestFit="1" customWidth="1"/>
    <col min="15" max="15" width="13.28515625" style="5" bestFit="1" customWidth="1"/>
    <col min="16" max="16" width="13.85546875" style="5" bestFit="1" customWidth="1"/>
    <col min="17" max="17" width="14.28515625" style="5" bestFit="1" customWidth="1"/>
    <col min="18" max="18" width="15.28515625" style="5" bestFit="1" customWidth="1"/>
    <col min="19" max="19" width="10.7109375" style="5" bestFit="1" customWidth="1"/>
    <col min="20" max="20" width="14.85546875" style="5" customWidth="1"/>
    <col min="21" max="21" width="18.7109375" style="5" customWidth="1"/>
    <col min="22" max="22" width="10.7109375" style="5" customWidth="1"/>
    <col min="23" max="23" width="27.7109375" style="5" customWidth="1"/>
    <col min="24" max="24" width="8.7109375" style="5"/>
    <col min="25" max="25" width="66.7109375" style="5" customWidth="1"/>
    <col min="26" max="16384" width="8.7109375" style="5"/>
  </cols>
  <sheetData>
    <row r="1" spans="1:25" ht="20.100000000000001" customHeight="1">
      <c r="A1" s="60" t="str">
        <f>+'0. Instructions'!A1</f>
        <v>Budget 2024</v>
      </c>
      <c r="D1" s="307"/>
      <c r="E1" s="62"/>
      <c r="F1" s="219"/>
      <c r="G1" s="219"/>
      <c r="H1" s="58"/>
      <c r="I1" s="60"/>
      <c r="J1" s="60"/>
      <c r="K1" s="60"/>
      <c r="L1" s="219"/>
      <c r="M1" s="219"/>
      <c r="N1" s="219"/>
      <c r="O1" s="58"/>
      <c r="P1" s="60"/>
      <c r="Q1" s="60"/>
      <c r="R1" s="60"/>
      <c r="S1" s="219"/>
      <c r="T1" s="219"/>
      <c r="U1" s="219"/>
      <c r="V1" s="58"/>
      <c r="W1" s="57" t="str">
        <f>'Input-FX Rates'!$H$1</f>
        <v>Plant ICH Icheon (242)</v>
      </c>
      <c r="X1" s="306"/>
      <c r="Y1" s="56" t="s">
        <v>154</v>
      </c>
    </row>
    <row r="2" spans="1:25" ht="20.100000000000001" customHeight="1" thickBot="1">
      <c r="A2" s="55" t="s">
        <v>326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4" t="str">
        <f>'Input-FX Rates'!$H$2</f>
        <v>7821 PL Drivetrain Controls (&amp; Electrification)</v>
      </c>
      <c r="X2" s="221"/>
      <c r="Y2" s="95" t="s">
        <v>156</v>
      </c>
    </row>
    <row r="3" spans="1:25" ht="13.5" customHeight="1"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</row>
    <row r="4" spans="1:25" ht="23.25" customHeight="1">
      <c r="A4" s="1035" t="str">
        <f>"in '000 "&amp;'Input-FX Rates'!$B$8</f>
        <v>in '000 KRW</v>
      </c>
      <c r="B4" s="1038"/>
      <c r="C4" s="1037">
        <v>2023</v>
      </c>
      <c r="D4" s="1035"/>
      <c r="E4" s="1038"/>
      <c r="F4" s="1037">
        <v>2024</v>
      </c>
      <c r="G4" s="1035"/>
      <c r="H4" s="1035"/>
      <c r="I4" s="1035"/>
      <c r="J4" s="1035"/>
      <c r="K4" s="1035"/>
      <c r="L4" s="1035"/>
      <c r="M4" s="1035"/>
      <c r="N4" s="1035"/>
      <c r="O4" s="1035"/>
      <c r="P4" s="1035"/>
      <c r="Q4" s="1036"/>
      <c r="R4" s="1039">
        <v>2024</v>
      </c>
      <c r="S4" s="1036"/>
      <c r="T4" s="1039" t="s">
        <v>327</v>
      </c>
      <c r="U4" s="1035"/>
      <c r="V4" s="1035"/>
      <c r="W4" s="791"/>
      <c r="X4" s="221"/>
      <c r="Y4" s="221"/>
    </row>
    <row r="5" spans="1:25" ht="50.25" customHeight="1">
      <c r="A5" s="1035"/>
      <c r="B5" s="1038"/>
      <c r="C5" s="659" t="s">
        <v>248</v>
      </c>
      <c r="D5" s="187" t="s">
        <v>328</v>
      </c>
      <c r="E5" s="188" t="s">
        <v>19</v>
      </c>
      <c r="F5" s="659" t="s">
        <v>329</v>
      </c>
      <c r="G5" s="187" t="s">
        <v>330</v>
      </c>
      <c r="H5" s="187" t="s">
        <v>331</v>
      </c>
      <c r="I5" s="187" t="s">
        <v>332</v>
      </c>
      <c r="J5" s="187" t="s">
        <v>333</v>
      </c>
      <c r="K5" s="187" t="s">
        <v>334</v>
      </c>
      <c r="L5" s="187" t="s">
        <v>335</v>
      </c>
      <c r="M5" s="187" t="s">
        <v>336</v>
      </c>
      <c r="N5" s="187" t="s">
        <v>337</v>
      </c>
      <c r="O5" s="187" t="s">
        <v>338</v>
      </c>
      <c r="P5" s="187" t="s">
        <v>339</v>
      </c>
      <c r="Q5" s="658" t="s">
        <v>340</v>
      </c>
      <c r="R5" s="187" t="s">
        <v>15</v>
      </c>
      <c r="S5" s="658" t="s">
        <v>257</v>
      </c>
      <c r="T5" s="304" t="s">
        <v>341</v>
      </c>
      <c r="U5" s="187" t="s">
        <v>342</v>
      </c>
      <c r="V5" s="187" t="s">
        <v>343</v>
      </c>
      <c r="W5" s="304" t="s">
        <v>208</v>
      </c>
      <c r="X5" s="221"/>
      <c r="Y5" s="221"/>
    </row>
    <row r="6" spans="1:25" ht="17.649999999999999" customHeight="1" outlineLevel="1">
      <c r="A6" s="214" t="s">
        <v>344</v>
      </c>
      <c r="B6" s="215"/>
      <c r="C6" s="266"/>
      <c r="D6" s="78"/>
      <c r="E6" s="80"/>
      <c r="F6" s="266"/>
      <c r="G6" s="78"/>
      <c r="H6" s="78"/>
      <c r="I6" s="78"/>
      <c r="J6" s="78"/>
      <c r="K6" s="78"/>
      <c r="L6" s="78"/>
      <c r="M6" s="78"/>
      <c r="N6" s="78"/>
      <c r="O6" s="78"/>
      <c r="P6" s="78"/>
      <c r="Q6" s="265"/>
      <c r="R6" s="78"/>
      <c r="S6" s="265"/>
      <c r="T6" s="287"/>
      <c r="U6" s="78"/>
      <c r="V6" s="78"/>
      <c r="W6" s="792"/>
      <c r="X6" s="221"/>
      <c r="Y6" s="267"/>
    </row>
    <row r="7" spans="1:25" ht="17.649999999999999" customHeight="1" outlineLevel="1">
      <c r="A7" s="283" t="s">
        <v>345</v>
      </c>
      <c r="B7" s="282" t="s">
        <v>346</v>
      </c>
      <c r="C7" s="681">
        <v>-17479.785516158616</v>
      </c>
      <c r="D7" s="286">
        <v>-43149.972000000002</v>
      </c>
      <c r="E7" s="285">
        <v>-43149.972000000002</v>
      </c>
      <c r="F7" s="280">
        <f>F8*-0.12%</f>
        <v>-3430.1615992061543</v>
      </c>
      <c r="G7" s="279">
        <f t="shared" ref="G7:Q7" si="0">G8*-0.12%</f>
        <v>-3111.0767992799997</v>
      </c>
      <c r="H7" s="279">
        <f t="shared" si="0"/>
        <v>-3829.0175991138453</v>
      </c>
      <c r="I7" s="279">
        <f t="shared" si="0"/>
        <v>-3669.4751998445072</v>
      </c>
      <c r="J7" s="279">
        <f t="shared" si="0"/>
        <v>-3190.8479998647886</v>
      </c>
      <c r="K7" s="279">
        <f t="shared" si="0"/>
        <v>-3190.8479998647886</v>
      </c>
      <c r="L7" s="279">
        <f t="shared" si="0"/>
        <v>-3190.8479998647886</v>
      </c>
      <c r="M7" s="279">
        <f t="shared" si="0"/>
        <v>-2791.9919998816899</v>
      </c>
      <c r="N7" s="279">
        <f t="shared" si="0"/>
        <v>-2871.7631998783095</v>
      </c>
      <c r="O7" s="279">
        <f t="shared" si="0"/>
        <v>-3031.3055998715486</v>
      </c>
      <c r="P7" s="279">
        <f t="shared" si="0"/>
        <v>-3190.8479998647886</v>
      </c>
      <c r="Q7" s="278">
        <f t="shared" si="0"/>
        <v>-3190.8479998647886</v>
      </c>
      <c r="R7" s="277">
        <f>SUM(F7:Q7)</f>
        <v>-38689.031996400001</v>
      </c>
      <c r="S7" s="276">
        <f>R7</f>
        <v>-38689.031996400001</v>
      </c>
      <c r="T7" s="713">
        <f t="shared" ref="T7:T42" si="1">R7-E7</f>
        <v>4460.9400036000006</v>
      </c>
      <c r="U7" s="303">
        <f>R7-E9*R8</f>
        <v>-140.02924063738465</v>
      </c>
      <c r="V7" s="790">
        <f>IFERROR(R8/E8*E7-E7,0)</f>
        <v>4600.9692442373926</v>
      </c>
      <c r="W7" s="793"/>
      <c r="X7" s="221"/>
      <c r="Y7" s="267" t="s">
        <v>347</v>
      </c>
    </row>
    <row r="8" spans="1:25" ht="17.649999999999999" customHeight="1" outlineLevel="1">
      <c r="A8" s="283" t="s">
        <v>348</v>
      </c>
      <c r="B8" s="282" t="s">
        <v>346</v>
      </c>
      <c r="C8" s="281">
        <v>20514088.76920801</v>
      </c>
      <c r="D8" s="286">
        <v>36088928.550000004</v>
      </c>
      <c r="E8" s="285">
        <v>36088928.550000004</v>
      </c>
      <c r="F8" s="280">
        <v>2858467.999338462</v>
      </c>
      <c r="G8" s="279">
        <v>2592563.9994000001</v>
      </c>
      <c r="H8" s="279">
        <v>3190847.999261538</v>
      </c>
      <c r="I8" s="279">
        <v>3057895.9998704228</v>
      </c>
      <c r="J8" s="279">
        <v>2659039.9998873239</v>
      </c>
      <c r="K8" s="279">
        <v>2659039.9998873239</v>
      </c>
      <c r="L8" s="279">
        <v>2659039.9998873239</v>
      </c>
      <c r="M8" s="279">
        <v>2326659.9999014083</v>
      </c>
      <c r="N8" s="279">
        <v>2393135.9998985915</v>
      </c>
      <c r="O8" s="279">
        <v>2526087.9998929575</v>
      </c>
      <c r="P8" s="279">
        <v>2659039.9998873239</v>
      </c>
      <c r="Q8" s="278">
        <v>2659039.9998873239</v>
      </c>
      <c r="R8" s="277">
        <f>SUM(F8:Q8)</f>
        <v>32240859.997000001</v>
      </c>
      <c r="S8" s="276">
        <f>R8</f>
        <v>32240859.997000001</v>
      </c>
      <c r="T8" s="713">
        <f t="shared" si="1"/>
        <v>-3848068.5530000031</v>
      </c>
      <c r="U8" s="300">
        <f>IFERROR(-U7/(E7+V7),0)</f>
        <v>-3.6324996920044051E-3</v>
      </c>
      <c r="V8" s="790"/>
      <c r="W8" s="793"/>
      <c r="X8" s="221"/>
      <c r="Y8" s="267" t="s">
        <v>349</v>
      </c>
    </row>
    <row r="9" spans="1:25" ht="17.649999999999999" customHeight="1" outlineLevel="1">
      <c r="A9" s="275" t="s">
        <v>350</v>
      </c>
      <c r="B9" s="274" t="str">
        <f>+B7</f>
        <v>GAD701 Gen2 GA</v>
      </c>
      <c r="C9" s="272">
        <f t="shared" ref="C9" si="2">IFERROR(C7/C8,0)</f>
        <v>-8.5208686151324773E-4</v>
      </c>
      <c r="D9" s="270">
        <f t="shared" ref="D9:S9" si="3">IFERROR(D7/D8,0)</f>
        <v>-1.1956567771253491E-3</v>
      </c>
      <c r="E9" s="1007">
        <f t="shared" si="3"/>
        <v>-1.1956567771253491E-3</v>
      </c>
      <c r="F9" s="1008">
        <f t="shared" si="3"/>
        <v>-1.1999999999999999E-3</v>
      </c>
      <c r="G9" s="1009">
        <f t="shared" si="3"/>
        <v>-1.1999999999999999E-3</v>
      </c>
      <c r="H9" s="1009">
        <f t="shared" si="3"/>
        <v>-1.1999999999999999E-3</v>
      </c>
      <c r="I9" s="1009">
        <f t="shared" si="3"/>
        <v>-1.1999999999999999E-3</v>
      </c>
      <c r="J9" s="1009">
        <f t="shared" si="3"/>
        <v>-1.1999999999999999E-3</v>
      </c>
      <c r="K9" s="1009">
        <f t="shared" si="3"/>
        <v>-1.1999999999999999E-3</v>
      </c>
      <c r="L9" s="1009">
        <f t="shared" si="3"/>
        <v>-1.1999999999999999E-3</v>
      </c>
      <c r="M9" s="1009">
        <f t="shared" si="3"/>
        <v>-1.1999999999999999E-3</v>
      </c>
      <c r="N9" s="1009">
        <f t="shared" si="3"/>
        <v>-1.1999999999999999E-3</v>
      </c>
      <c r="O9" s="1009">
        <f t="shared" si="3"/>
        <v>-1.1999999999999999E-3</v>
      </c>
      <c r="P9" s="1009">
        <f t="shared" si="3"/>
        <v>-1.1999999999999999E-3</v>
      </c>
      <c r="Q9" s="1010">
        <f t="shared" si="3"/>
        <v>-1.1999999999999999E-3</v>
      </c>
      <c r="R9" s="270">
        <f t="shared" si="3"/>
        <v>-1.1999999999999999E-3</v>
      </c>
      <c r="S9" s="270">
        <f t="shared" si="3"/>
        <v>-1.1999999999999999E-3</v>
      </c>
      <c r="T9" s="269">
        <f>R9-E9</f>
        <v>-4.3432228746507779E-6</v>
      </c>
      <c r="U9" s="270"/>
      <c r="V9" s="270"/>
      <c r="W9" s="269"/>
      <c r="X9" s="221"/>
      <c r="Y9" s="267"/>
    </row>
    <row r="10" spans="1:25" ht="17.649999999999999" customHeight="1" outlineLevel="1">
      <c r="A10" s="283" t="s">
        <v>351</v>
      </c>
      <c r="B10" s="282" t="s">
        <v>352</v>
      </c>
      <c r="C10" s="681">
        <v>-17001.576387290512</v>
      </c>
      <c r="D10" s="286">
        <v>-68854.160999999993</v>
      </c>
      <c r="E10" s="285">
        <v>-68854.160999999993</v>
      </c>
      <c r="F10" s="280">
        <f>F11*-0.12%</f>
        <v>-5516.1431981381429</v>
      </c>
      <c r="G10" s="279">
        <f t="shared" ref="G10" si="4">G11*-0.12%</f>
        <v>-5003.0135983113396</v>
      </c>
      <c r="H10" s="279">
        <f t="shared" ref="H10" si="5">H11*-0.12%</f>
        <v>-6157.5551979216507</v>
      </c>
      <c r="I10" s="279">
        <f t="shared" ref="I10" si="6">I11*-0.12%</f>
        <v>-5900.9903980082472</v>
      </c>
      <c r="J10" s="279">
        <f t="shared" ref="J10" si="7">J11*-0.12%</f>
        <v>-5131.2959982680404</v>
      </c>
      <c r="K10" s="279">
        <f t="shared" ref="K10" si="8">K11*-0.12%</f>
        <v>-5131.2959982680404</v>
      </c>
      <c r="L10" s="279">
        <f t="shared" ref="L10" si="9">L11*-0.12%</f>
        <v>-5131.2959982680404</v>
      </c>
      <c r="M10" s="279">
        <f t="shared" ref="M10" si="10">M11*-0.12%</f>
        <v>-4489.8839984845345</v>
      </c>
      <c r="N10" s="279">
        <f t="shared" ref="N10" si="11">N11*-0.12%</f>
        <v>-4618.1663984412362</v>
      </c>
      <c r="O10" s="279">
        <f t="shared" ref="O10" si="12">O11*-0.12%</f>
        <v>-4874.7311983546379</v>
      </c>
      <c r="P10" s="279">
        <f t="shared" ref="P10" si="13">P11*-0.12%</f>
        <v>-5131.2959982680404</v>
      </c>
      <c r="Q10" s="278">
        <f t="shared" ref="Q10" si="14">Q11*-0.12%</f>
        <v>-5131.2959982680404</v>
      </c>
      <c r="R10" s="277">
        <f>SUM(F10:Q10)</f>
        <v>-62216.963978999993</v>
      </c>
      <c r="S10" s="276">
        <f>R10</f>
        <v>-62216.963978999993</v>
      </c>
      <c r="T10" s="713">
        <f t="shared" si="1"/>
        <v>6637.1970209999999</v>
      </c>
      <c r="U10" s="303">
        <f>R10-E12*R11</f>
        <v>-225.37566077837982</v>
      </c>
      <c r="V10" s="790">
        <f>IFERROR(R11/E11*E10-E10,0)</f>
        <v>6862.5726817783798</v>
      </c>
      <c r="W10" s="793"/>
      <c r="X10" s="221"/>
      <c r="Y10" s="267"/>
    </row>
    <row r="11" spans="1:25" ht="17.649999999999999" customHeight="1" outlineLevel="1">
      <c r="A11" s="283" t="s">
        <v>353</v>
      </c>
      <c r="B11" s="282" t="s">
        <v>352</v>
      </c>
      <c r="C11" s="281">
        <v>32791162.927452959</v>
      </c>
      <c r="D11" s="286">
        <v>57587071.769999996</v>
      </c>
      <c r="E11" s="285">
        <v>57587071.769999996</v>
      </c>
      <c r="F11" s="280">
        <v>4596785.9984484529</v>
      </c>
      <c r="G11" s="279">
        <v>4169177.9985927837</v>
      </c>
      <c r="H11" s="279">
        <v>5131295.9982680427</v>
      </c>
      <c r="I11" s="279">
        <v>4917491.9983402062</v>
      </c>
      <c r="J11" s="279">
        <v>4276079.9985567005</v>
      </c>
      <c r="K11" s="279">
        <v>4276079.9985567005</v>
      </c>
      <c r="L11" s="279">
        <v>4276079.9985567005</v>
      </c>
      <c r="M11" s="279">
        <v>3741569.9987371126</v>
      </c>
      <c r="N11" s="279">
        <v>3848471.9987010309</v>
      </c>
      <c r="O11" s="279">
        <v>4062275.9986288655</v>
      </c>
      <c r="P11" s="279">
        <v>4276079.9985567005</v>
      </c>
      <c r="Q11" s="278">
        <v>4276079.9985567005</v>
      </c>
      <c r="R11" s="277">
        <f>SUM(F11:Q11)</f>
        <v>51847469.982499994</v>
      </c>
      <c r="S11" s="276">
        <f>R11</f>
        <v>51847469.982499994</v>
      </c>
      <c r="T11" s="713">
        <f t="shared" si="1"/>
        <v>-5739601.7875000015</v>
      </c>
      <c r="U11" s="300">
        <f>-IFERROR(U10/(E10+V10),0)</f>
        <v>-3.6355845509467872E-3</v>
      </c>
      <c r="V11" s="790"/>
      <c r="W11" s="793"/>
      <c r="X11" s="221"/>
      <c r="Y11" s="267"/>
    </row>
    <row r="12" spans="1:25" ht="17.649999999999999" customHeight="1" outlineLevel="1">
      <c r="A12" s="275" t="s">
        <v>354</v>
      </c>
      <c r="B12" s="274" t="str">
        <f>+B10</f>
        <v>TAD701 Gen2 TCU</v>
      </c>
      <c r="C12" s="272">
        <f t="shared" ref="C12" si="15">IFERROR(C10/C11,0)</f>
        <v>-5.1848043403964459E-4</v>
      </c>
      <c r="D12" s="270">
        <f t="shared" ref="D12:S12" si="16">IFERROR(D10/D11,0)</f>
        <v>-1.1956531020538813E-3</v>
      </c>
      <c r="E12" s="273">
        <f t="shared" si="16"/>
        <v>-1.1956531020538813E-3</v>
      </c>
      <c r="F12" s="1008">
        <f t="shared" si="16"/>
        <v>-1.1999999999999999E-3</v>
      </c>
      <c r="G12" s="1009">
        <f t="shared" si="16"/>
        <v>-1.1999999999999999E-3</v>
      </c>
      <c r="H12" s="1009">
        <f t="shared" si="16"/>
        <v>-1.1999999999999999E-3</v>
      </c>
      <c r="I12" s="1009">
        <f t="shared" si="16"/>
        <v>-1.1999999999999999E-3</v>
      </c>
      <c r="J12" s="1009">
        <f t="shared" si="16"/>
        <v>-1.1999999999999999E-3</v>
      </c>
      <c r="K12" s="1009">
        <f t="shared" si="16"/>
        <v>-1.1999999999999999E-3</v>
      </c>
      <c r="L12" s="1009">
        <f t="shared" si="16"/>
        <v>-1.1999999999999999E-3</v>
      </c>
      <c r="M12" s="1009">
        <f t="shared" si="16"/>
        <v>-1.1999999999999999E-3</v>
      </c>
      <c r="N12" s="1009">
        <f t="shared" si="16"/>
        <v>-1.1999999999999997E-3</v>
      </c>
      <c r="O12" s="1009">
        <f t="shared" si="16"/>
        <v>-1.1999999999999999E-3</v>
      </c>
      <c r="P12" s="1009">
        <f t="shared" si="16"/>
        <v>-1.1999999999999999E-3</v>
      </c>
      <c r="Q12" s="1010">
        <f t="shared" si="16"/>
        <v>-1.1999999999999999E-3</v>
      </c>
      <c r="R12" s="270">
        <f t="shared" si="16"/>
        <v>-1.1999999999999999E-3</v>
      </c>
      <c r="S12" s="270">
        <f t="shared" si="16"/>
        <v>-1.1999999999999999E-3</v>
      </c>
      <c r="T12" s="269">
        <f t="shared" si="1"/>
        <v>-4.3468979461186268E-6</v>
      </c>
      <c r="U12" s="270"/>
      <c r="V12" s="270"/>
      <c r="W12" s="269"/>
      <c r="X12" s="221"/>
      <c r="Y12" s="267"/>
    </row>
    <row r="13" spans="1:25" ht="17.649999999999999" customHeight="1" outlineLevel="1">
      <c r="A13" s="283" t="s">
        <v>355</v>
      </c>
      <c r="B13" s="282" t="s">
        <v>356</v>
      </c>
      <c r="C13" s="681">
        <v>-6685.9483375452692</v>
      </c>
      <c r="D13" s="286">
        <v>-29299.133999999998</v>
      </c>
      <c r="E13" s="285">
        <v>-29299.133999999998</v>
      </c>
      <c r="F13" s="280">
        <f>F14*-0.12%</f>
        <v>-2468.5438696000001</v>
      </c>
      <c r="G13" s="279">
        <f t="shared" ref="G13" si="17">G14*-0.12%</f>
        <v>-2468.5438696000001</v>
      </c>
      <c r="H13" s="279">
        <f t="shared" ref="H13" si="18">H14*-0.12%</f>
        <v>-2468.5438696000001</v>
      </c>
      <c r="I13" s="279">
        <f t="shared" ref="I13" si="19">I14*-0.12%</f>
        <v>-2527.3187209923622</v>
      </c>
      <c r="J13" s="279">
        <f t="shared" ref="J13" si="20">J14*-0.12%</f>
        <v>-2527.3187209923622</v>
      </c>
      <c r="K13" s="279">
        <f t="shared" ref="K13" si="21">K14*-0.12%</f>
        <v>-2527.3187209923622</v>
      </c>
      <c r="L13" s="279">
        <f t="shared" ref="L13" si="22">L14*-0.12%</f>
        <v>-2527.3187209923622</v>
      </c>
      <c r="M13" s="279">
        <f t="shared" ref="M13" si="23">M14*-0.12%</f>
        <v>-2527.3187209923622</v>
      </c>
      <c r="N13" s="279">
        <f t="shared" ref="N13" si="24">N14*-0.12%</f>
        <v>-2468.5438669808236</v>
      </c>
      <c r="O13" s="279">
        <f t="shared" ref="O13" si="25">O14*-0.12%</f>
        <v>-2409.7690130191213</v>
      </c>
      <c r="P13" s="279">
        <f t="shared" ref="P13" si="26">P14*-0.12%</f>
        <v>-2409.7690130191213</v>
      </c>
      <c r="Q13" s="278">
        <f t="shared" ref="Q13" si="27">Q14*-0.12%</f>
        <v>-2409.7690130191213</v>
      </c>
      <c r="R13" s="277">
        <f>SUM(F13:Q13)</f>
        <v>-29740.076119800004</v>
      </c>
      <c r="S13" s="276">
        <f>R13</f>
        <v>-29740.076119800004</v>
      </c>
      <c r="T13" s="713">
        <f t="shared" si="1"/>
        <v>-440.94211980000546</v>
      </c>
      <c r="U13" s="303">
        <f>R13-E15*R14</f>
        <v>-108.18342462348664</v>
      </c>
      <c r="V13" s="790">
        <f>IFERROR(R14/E14*E13-E13,0)</f>
        <v>-332.75869517652245</v>
      </c>
      <c r="W13" s="793"/>
      <c r="X13" s="221"/>
      <c r="Y13" s="267"/>
    </row>
    <row r="14" spans="1:25" ht="17.649999999999999" customHeight="1" outlineLevel="1">
      <c r="A14" s="283" t="s">
        <v>357</v>
      </c>
      <c r="B14" s="282" t="s">
        <v>356</v>
      </c>
      <c r="C14" s="281">
        <v>13250666.871615581</v>
      </c>
      <c r="D14" s="286">
        <v>24505085.460000001</v>
      </c>
      <c r="E14" s="285">
        <v>24505085.460000001</v>
      </c>
      <c r="F14" s="280">
        <v>2057119.8913333337</v>
      </c>
      <c r="G14" s="279">
        <v>2057119.8913333337</v>
      </c>
      <c r="H14" s="279">
        <v>2057119.8913333337</v>
      </c>
      <c r="I14" s="279">
        <v>2106098.9341603019</v>
      </c>
      <c r="J14" s="279">
        <v>2106098.9341603019</v>
      </c>
      <c r="K14" s="279">
        <v>2106098.9341603019</v>
      </c>
      <c r="L14" s="279">
        <v>2106098.9341603019</v>
      </c>
      <c r="M14" s="279">
        <v>2106098.9341603019</v>
      </c>
      <c r="N14" s="279">
        <v>2057119.8891506866</v>
      </c>
      <c r="O14" s="279">
        <v>2008140.8441826012</v>
      </c>
      <c r="P14" s="279">
        <v>2008140.8441826012</v>
      </c>
      <c r="Q14" s="278">
        <v>2008140.8441826012</v>
      </c>
      <c r="R14" s="277">
        <f>SUM(F14:Q14)</f>
        <v>24783396.766500004</v>
      </c>
      <c r="S14" s="276">
        <f>R14</f>
        <v>24783396.766500004</v>
      </c>
      <c r="T14" s="713">
        <f t="shared" si="1"/>
        <v>278311.30650000274</v>
      </c>
      <c r="U14" s="300">
        <f>IFERROR(-U13/(E13+V13),0)</f>
        <v>-3.6509117300190796E-3</v>
      </c>
      <c r="V14" s="790"/>
      <c r="W14" s="793"/>
      <c r="X14" s="221"/>
      <c r="Y14" s="267"/>
    </row>
    <row r="15" spans="1:25" ht="17.649999999999999" customHeight="1" outlineLevel="1">
      <c r="A15" s="275" t="s">
        <v>358</v>
      </c>
      <c r="B15" s="274" t="str">
        <f>+B13</f>
        <v>TAD801 WET TCU</v>
      </c>
      <c r="C15" s="272">
        <f t="shared" ref="C15" si="28">IFERROR(C13/C14,0)</f>
        <v>-5.0457447933185333E-4</v>
      </c>
      <c r="D15" s="270">
        <f t="shared" ref="D15:S15" si="29">IFERROR(D13/D14,0)</f>
        <v>-1.1956348427278652E-3</v>
      </c>
      <c r="E15" s="273">
        <f t="shared" si="29"/>
        <v>-1.1956348427278652E-3</v>
      </c>
      <c r="F15" s="1008">
        <f t="shared" si="29"/>
        <v>-1.1999999999999999E-3</v>
      </c>
      <c r="G15" s="1009">
        <f t="shared" si="29"/>
        <v>-1.1999999999999999E-3</v>
      </c>
      <c r="H15" s="1009">
        <f t="shared" si="29"/>
        <v>-1.1999999999999999E-3</v>
      </c>
      <c r="I15" s="1009">
        <f t="shared" si="29"/>
        <v>-1.1999999999999999E-3</v>
      </c>
      <c r="J15" s="1009">
        <f t="shared" si="29"/>
        <v>-1.1999999999999999E-3</v>
      </c>
      <c r="K15" s="1009">
        <f t="shared" si="29"/>
        <v>-1.1999999999999999E-3</v>
      </c>
      <c r="L15" s="1009">
        <f t="shared" si="29"/>
        <v>-1.1999999999999999E-3</v>
      </c>
      <c r="M15" s="1009">
        <f t="shared" si="29"/>
        <v>-1.1999999999999999E-3</v>
      </c>
      <c r="N15" s="1009">
        <f t="shared" si="29"/>
        <v>-1.1999999999999999E-3</v>
      </c>
      <c r="O15" s="1009">
        <f t="shared" si="29"/>
        <v>-1.1999999999999999E-3</v>
      </c>
      <c r="P15" s="1009">
        <f t="shared" si="29"/>
        <v>-1.1999999999999999E-3</v>
      </c>
      <c r="Q15" s="1010">
        <f t="shared" si="29"/>
        <v>-1.1999999999999999E-3</v>
      </c>
      <c r="R15" s="270">
        <f t="shared" si="29"/>
        <v>-1.1999999999999999E-3</v>
      </c>
      <c r="S15" s="270">
        <f t="shared" si="29"/>
        <v>-1.1999999999999999E-3</v>
      </c>
      <c r="T15" s="269">
        <f t="shared" si="1"/>
        <v>-4.3651572721346496E-6</v>
      </c>
      <c r="U15" s="270"/>
      <c r="V15" s="270"/>
      <c r="W15" s="269"/>
      <c r="X15" s="221"/>
      <c r="Y15" s="267"/>
    </row>
    <row r="16" spans="1:25" ht="17.649999999999999" customHeight="1" outlineLevel="1">
      <c r="A16" s="283" t="s">
        <v>359</v>
      </c>
      <c r="B16" s="282" t="s">
        <v>360</v>
      </c>
      <c r="C16" s="681"/>
      <c r="D16" s="286"/>
      <c r="E16" s="285"/>
      <c r="F16" s="280"/>
      <c r="G16" s="279"/>
      <c r="H16" s="279"/>
      <c r="I16" s="279"/>
      <c r="J16" s="279"/>
      <c r="K16" s="279"/>
      <c r="L16" s="279"/>
      <c r="M16" s="279"/>
      <c r="N16" s="279"/>
      <c r="O16" s="279"/>
      <c r="P16" s="279"/>
      <c r="Q16" s="278"/>
      <c r="R16" s="277">
        <f>SUM(F16:Q16)</f>
        <v>0</v>
      </c>
      <c r="S16" s="276"/>
      <c r="T16" s="713">
        <f t="shared" si="1"/>
        <v>0</v>
      </c>
      <c r="U16" s="303">
        <f>R16-E18*R17</f>
        <v>0</v>
      </c>
      <c r="V16" s="790">
        <f>IFERROR(R17/E17*E16-E16,0)</f>
        <v>0</v>
      </c>
      <c r="W16" s="793"/>
      <c r="X16" s="221"/>
      <c r="Y16" s="267"/>
    </row>
    <row r="17" spans="1:25" ht="17.649999999999999" customHeight="1" outlineLevel="1">
      <c r="A17" s="283" t="s">
        <v>361</v>
      </c>
      <c r="B17" s="282" t="str">
        <f>+B16</f>
        <v>Area 4</v>
      </c>
      <c r="C17" s="281"/>
      <c r="D17" s="286"/>
      <c r="E17" s="285"/>
      <c r="F17" s="280"/>
      <c r="G17" s="279"/>
      <c r="H17" s="279"/>
      <c r="I17" s="279"/>
      <c r="J17" s="279"/>
      <c r="K17" s="279"/>
      <c r="L17" s="279"/>
      <c r="M17" s="279"/>
      <c r="N17" s="279"/>
      <c r="O17" s="279"/>
      <c r="P17" s="279"/>
      <c r="Q17" s="278"/>
      <c r="R17" s="277">
        <f>SUM(F17:Q17)</f>
        <v>0</v>
      </c>
      <c r="S17" s="276"/>
      <c r="T17" s="713">
        <f t="shared" si="1"/>
        <v>0</v>
      </c>
      <c r="U17" s="300">
        <f>IFERROR(-U16/(E16+V16),0)</f>
        <v>0</v>
      </c>
      <c r="V17" s="790"/>
      <c r="W17" s="793"/>
      <c r="X17" s="221"/>
      <c r="Y17" s="267"/>
    </row>
    <row r="18" spans="1:25" ht="17.649999999999999" customHeight="1" outlineLevel="1">
      <c r="A18" s="275" t="s">
        <v>362</v>
      </c>
      <c r="B18" s="274" t="str">
        <f>+B16</f>
        <v>Area 4</v>
      </c>
      <c r="C18" s="272">
        <f t="shared" ref="C18" si="30">IFERROR(C16/C17,0)</f>
        <v>0</v>
      </c>
      <c r="D18" s="270">
        <f t="shared" ref="D18:S18" si="31">IFERROR(D16/D17,0)</f>
        <v>0</v>
      </c>
      <c r="E18" s="273">
        <f t="shared" si="31"/>
        <v>0</v>
      </c>
      <c r="F18" s="272">
        <f t="shared" si="31"/>
        <v>0</v>
      </c>
      <c r="G18" s="270">
        <f t="shared" si="31"/>
        <v>0</v>
      </c>
      <c r="H18" s="270">
        <f t="shared" si="31"/>
        <v>0</v>
      </c>
      <c r="I18" s="270">
        <f t="shared" si="31"/>
        <v>0</v>
      </c>
      <c r="J18" s="270">
        <f t="shared" si="31"/>
        <v>0</v>
      </c>
      <c r="K18" s="270">
        <f t="shared" si="31"/>
        <v>0</v>
      </c>
      <c r="L18" s="270">
        <f t="shared" si="31"/>
        <v>0</v>
      </c>
      <c r="M18" s="270">
        <f t="shared" si="31"/>
        <v>0</v>
      </c>
      <c r="N18" s="270">
        <f t="shared" si="31"/>
        <v>0</v>
      </c>
      <c r="O18" s="270">
        <f t="shared" si="31"/>
        <v>0</v>
      </c>
      <c r="P18" s="270">
        <f t="shared" si="31"/>
        <v>0</v>
      </c>
      <c r="Q18" s="271">
        <f t="shared" si="31"/>
        <v>0</v>
      </c>
      <c r="R18" s="270">
        <f t="shared" si="31"/>
        <v>0</v>
      </c>
      <c r="S18" s="270">
        <f t="shared" si="31"/>
        <v>0</v>
      </c>
      <c r="T18" s="269">
        <f t="shared" si="1"/>
        <v>0</v>
      </c>
      <c r="U18" s="270"/>
      <c r="V18" s="270"/>
      <c r="W18" s="269"/>
      <c r="X18" s="221"/>
      <c r="Y18" s="267"/>
    </row>
    <row r="19" spans="1:25" ht="17.649999999999999" customHeight="1" outlineLevel="1">
      <c r="A19" s="283" t="s">
        <v>363</v>
      </c>
      <c r="B19" s="282" t="s">
        <v>364</v>
      </c>
      <c r="C19" s="681"/>
      <c r="D19" s="286"/>
      <c r="E19" s="285"/>
      <c r="F19" s="281"/>
      <c r="G19" s="302"/>
      <c r="H19" s="302"/>
      <c r="I19" s="302"/>
      <c r="J19" s="302"/>
      <c r="K19" s="302"/>
      <c r="L19" s="302"/>
      <c r="M19" s="302"/>
      <c r="N19" s="302"/>
      <c r="O19" s="302"/>
      <c r="P19" s="302"/>
      <c r="Q19" s="301"/>
      <c r="R19" s="277">
        <f>SUM(F19:Q19)</f>
        <v>0</v>
      </c>
      <c r="S19" s="276"/>
      <c r="T19" s="713">
        <f t="shared" si="1"/>
        <v>0</v>
      </c>
      <c r="U19" s="303">
        <f>R19-E21*R20</f>
        <v>0</v>
      </c>
      <c r="V19" s="790">
        <f>IFERROR(R20/E20*E19-E19,0)</f>
        <v>0</v>
      </c>
      <c r="W19" s="793"/>
      <c r="X19" s="221"/>
      <c r="Y19" s="267"/>
    </row>
    <row r="20" spans="1:25" ht="17.649999999999999" customHeight="1" outlineLevel="1">
      <c r="A20" s="283" t="s">
        <v>365</v>
      </c>
      <c r="B20" s="282" t="str">
        <f>+B19</f>
        <v>Area 5</v>
      </c>
      <c r="C20" s="281"/>
      <c r="D20" s="286"/>
      <c r="E20" s="285"/>
      <c r="F20" s="281"/>
      <c r="G20" s="302"/>
      <c r="H20" s="302"/>
      <c r="I20" s="302"/>
      <c r="J20" s="302"/>
      <c r="K20" s="302"/>
      <c r="L20" s="302"/>
      <c r="M20" s="302"/>
      <c r="N20" s="302"/>
      <c r="O20" s="302"/>
      <c r="P20" s="302"/>
      <c r="Q20" s="301"/>
      <c r="R20" s="277">
        <f>SUM(F20:Q20)</f>
        <v>0</v>
      </c>
      <c r="S20" s="276"/>
      <c r="T20" s="713">
        <f t="shared" si="1"/>
        <v>0</v>
      </c>
      <c r="U20" s="300">
        <f>IFERROR(-U19/(E19+V19),0)</f>
        <v>0</v>
      </c>
      <c r="V20" s="790"/>
      <c r="W20" s="793"/>
      <c r="X20" s="221"/>
      <c r="Y20" s="267"/>
    </row>
    <row r="21" spans="1:25" ht="17.649999999999999" customHeight="1" outlineLevel="1">
      <c r="A21" s="275" t="s">
        <v>366</v>
      </c>
      <c r="B21" s="274" t="str">
        <f>+B19</f>
        <v>Area 5</v>
      </c>
      <c r="C21" s="272">
        <f t="shared" ref="C21" si="32">IFERROR(C19/C20,0)</f>
        <v>0</v>
      </c>
      <c r="D21" s="270">
        <f t="shared" ref="D21:S21" si="33">IFERROR(D19/D20,0)</f>
        <v>0</v>
      </c>
      <c r="E21" s="273">
        <f t="shared" si="33"/>
        <v>0</v>
      </c>
      <c r="F21" s="272">
        <f t="shared" si="33"/>
        <v>0</v>
      </c>
      <c r="G21" s="270">
        <f t="shared" si="33"/>
        <v>0</v>
      </c>
      <c r="H21" s="270">
        <f t="shared" si="33"/>
        <v>0</v>
      </c>
      <c r="I21" s="270">
        <f t="shared" si="33"/>
        <v>0</v>
      </c>
      <c r="J21" s="270">
        <f t="shared" si="33"/>
        <v>0</v>
      </c>
      <c r="K21" s="270">
        <f t="shared" si="33"/>
        <v>0</v>
      </c>
      <c r="L21" s="270">
        <f t="shared" si="33"/>
        <v>0</v>
      </c>
      <c r="M21" s="270">
        <f t="shared" si="33"/>
        <v>0</v>
      </c>
      <c r="N21" s="270">
        <f t="shared" si="33"/>
        <v>0</v>
      </c>
      <c r="O21" s="270">
        <f t="shared" si="33"/>
        <v>0</v>
      </c>
      <c r="P21" s="270">
        <f t="shared" si="33"/>
        <v>0</v>
      </c>
      <c r="Q21" s="271">
        <f t="shared" si="33"/>
        <v>0</v>
      </c>
      <c r="R21" s="270">
        <f t="shared" si="33"/>
        <v>0</v>
      </c>
      <c r="S21" s="270">
        <f t="shared" si="33"/>
        <v>0</v>
      </c>
      <c r="T21" s="269">
        <f t="shared" si="1"/>
        <v>0</v>
      </c>
      <c r="U21" s="270"/>
      <c r="V21" s="270"/>
      <c r="W21" s="269"/>
      <c r="X21" s="221"/>
      <c r="Y21" s="267"/>
    </row>
    <row r="22" spans="1:25" ht="17.649999999999999" customHeight="1" outlineLevel="1">
      <c r="A22" s="283" t="s">
        <v>367</v>
      </c>
      <c r="B22" s="283" t="s">
        <v>368</v>
      </c>
      <c r="C22" s="681"/>
      <c r="D22" s="286"/>
      <c r="E22" s="285"/>
      <c r="F22" s="281"/>
      <c r="G22" s="302"/>
      <c r="H22" s="302"/>
      <c r="I22" s="302"/>
      <c r="J22" s="302"/>
      <c r="K22" s="302"/>
      <c r="L22" s="302"/>
      <c r="M22" s="302"/>
      <c r="N22" s="302"/>
      <c r="O22" s="302"/>
      <c r="P22" s="302"/>
      <c r="Q22" s="301"/>
      <c r="R22" s="277">
        <f>SUM(F22:Q22)</f>
        <v>0</v>
      </c>
      <c r="S22" s="276"/>
      <c r="T22" s="713">
        <f t="shared" si="1"/>
        <v>0</v>
      </c>
      <c r="U22" s="303">
        <f>R22-E24*R23</f>
        <v>0</v>
      </c>
      <c r="V22" s="790">
        <f>IFERROR(R23/E23*E22-E22,0)</f>
        <v>0</v>
      </c>
      <c r="W22" s="793"/>
      <c r="X22" s="221"/>
      <c r="Y22" s="267"/>
    </row>
    <row r="23" spans="1:25" ht="17.649999999999999" customHeight="1" outlineLevel="1">
      <c r="A23" s="283" t="s">
        <v>369</v>
      </c>
      <c r="B23" s="283" t="str">
        <f>B22</f>
        <v>Area 6</v>
      </c>
      <c r="C23" s="281"/>
      <c r="D23" s="286"/>
      <c r="E23" s="285"/>
      <c r="F23" s="281"/>
      <c r="G23" s="302"/>
      <c r="H23" s="302"/>
      <c r="I23" s="302"/>
      <c r="J23" s="302"/>
      <c r="K23" s="302"/>
      <c r="L23" s="302"/>
      <c r="M23" s="302"/>
      <c r="N23" s="302"/>
      <c r="O23" s="302"/>
      <c r="P23" s="302"/>
      <c r="Q23" s="301"/>
      <c r="R23" s="277">
        <f>SUM(F23:Q23)</f>
        <v>0</v>
      </c>
      <c r="S23" s="276"/>
      <c r="T23" s="713">
        <f t="shared" si="1"/>
        <v>0</v>
      </c>
      <c r="U23" s="300">
        <f>IFERROR(-U22/(E22+V22),0)</f>
        <v>0</v>
      </c>
      <c r="V23" s="790"/>
      <c r="W23" s="793"/>
      <c r="X23" s="221"/>
      <c r="Y23" s="267"/>
    </row>
    <row r="24" spans="1:25" ht="17.649999999999999" customHeight="1" outlineLevel="1">
      <c r="A24" s="275" t="s">
        <v>370</v>
      </c>
      <c r="B24" s="274" t="str">
        <f>B22</f>
        <v>Area 6</v>
      </c>
      <c r="C24" s="272">
        <f t="shared" ref="C24" si="34">IFERROR(C22/C23,0)</f>
        <v>0</v>
      </c>
      <c r="D24" s="270">
        <f t="shared" ref="D24:S24" si="35">IFERROR(D22/D23,0)</f>
        <v>0</v>
      </c>
      <c r="E24" s="273">
        <f t="shared" si="35"/>
        <v>0</v>
      </c>
      <c r="F24" s="272">
        <f t="shared" si="35"/>
        <v>0</v>
      </c>
      <c r="G24" s="270">
        <f t="shared" si="35"/>
        <v>0</v>
      </c>
      <c r="H24" s="270">
        <f t="shared" si="35"/>
        <v>0</v>
      </c>
      <c r="I24" s="270">
        <f t="shared" si="35"/>
        <v>0</v>
      </c>
      <c r="J24" s="270">
        <f t="shared" si="35"/>
        <v>0</v>
      </c>
      <c r="K24" s="270">
        <f t="shared" si="35"/>
        <v>0</v>
      </c>
      <c r="L24" s="270">
        <f t="shared" si="35"/>
        <v>0</v>
      </c>
      <c r="M24" s="270">
        <f t="shared" si="35"/>
        <v>0</v>
      </c>
      <c r="N24" s="270">
        <f t="shared" si="35"/>
        <v>0</v>
      </c>
      <c r="O24" s="270">
        <f t="shared" si="35"/>
        <v>0</v>
      </c>
      <c r="P24" s="270">
        <f t="shared" si="35"/>
        <v>0</v>
      </c>
      <c r="Q24" s="271">
        <f t="shared" si="35"/>
        <v>0</v>
      </c>
      <c r="R24" s="270">
        <f t="shared" si="35"/>
        <v>0</v>
      </c>
      <c r="S24" s="270">
        <f t="shared" si="35"/>
        <v>0</v>
      </c>
      <c r="T24" s="269">
        <f t="shared" si="1"/>
        <v>0</v>
      </c>
      <c r="U24" s="270"/>
      <c r="V24" s="270"/>
      <c r="W24" s="269"/>
      <c r="X24" s="221"/>
      <c r="Y24" s="267"/>
    </row>
    <row r="25" spans="1:25" ht="17.649999999999999" customHeight="1" outlineLevel="1">
      <c r="A25" s="283" t="s">
        <v>371</v>
      </c>
      <c r="B25" s="282" t="s">
        <v>372</v>
      </c>
      <c r="C25" s="681"/>
      <c r="D25" s="286"/>
      <c r="E25" s="285"/>
      <c r="F25" s="280"/>
      <c r="G25" s="279"/>
      <c r="H25" s="279"/>
      <c r="I25" s="279"/>
      <c r="J25" s="279"/>
      <c r="K25" s="279"/>
      <c r="L25" s="279"/>
      <c r="M25" s="279"/>
      <c r="N25" s="279"/>
      <c r="O25" s="279"/>
      <c r="P25" s="279"/>
      <c r="Q25" s="278"/>
      <c r="R25" s="277">
        <f>SUM(F25:Q25)</f>
        <v>0</v>
      </c>
      <c r="S25" s="276"/>
      <c r="T25" s="713">
        <f t="shared" si="1"/>
        <v>0</v>
      </c>
      <c r="U25" s="303">
        <f>R25-E27*R26</f>
        <v>0</v>
      </c>
      <c r="V25" s="790">
        <f>IFERROR(R26/E26*E25-E25,0)</f>
        <v>0</v>
      </c>
      <c r="W25" s="793"/>
      <c r="X25" s="221"/>
      <c r="Y25" s="267"/>
    </row>
    <row r="26" spans="1:25" ht="17.649999999999999" customHeight="1" outlineLevel="1">
      <c r="A26" s="283" t="s">
        <v>373</v>
      </c>
      <c r="B26" s="282" t="str">
        <f>B25</f>
        <v>Area 7</v>
      </c>
      <c r="C26" s="281"/>
      <c r="D26" s="286"/>
      <c r="E26" s="285"/>
      <c r="F26" s="280"/>
      <c r="G26" s="279"/>
      <c r="H26" s="279"/>
      <c r="I26" s="279"/>
      <c r="J26" s="279"/>
      <c r="K26" s="279"/>
      <c r="L26" s="279"/>
      <c r="M26" s="279"/>
      <c r="N26" s="279"/>
      <c r="O26" s="279"/>
      <c r="P26" s="279"/>
      <c r="Q26" s="278"/>
      <c r="R26" s="277">
        <f>SUM(F26:Q26)</f>
        <v>0</v>
      </c>
      <c r="S26" s="276"/>
      <c r="T26" s="713">
        <f t="shared" si="1"/>
        <v>0</v>
      </c>
      <c r="U26" s="300">
        <f>IFERROR(-U25/(E25+V25),0)</f>
        <v>0</v>
      </c>
      <c r="V26" s="790"/>
      <c r="W26" s="793"/>
      <c r="X26" s="221"/>
      <c r="Y26" s="267"/>
    </row>
    <row r="27" spans="1:25" ht="17.649999999999999" customHeight="1" outlineLevel="1">
      <c r="A27" s="275" t="s">
        <v>374</v>
      </c>
      <c r="B27" s="274" t="str">
        <f>B25</f>
        <v>Area 7</v>
      </c>
      <c r="C27" s="272">
        <f t="shared" ref="C27:S27" si="36">IFERROR(C25/C26,0)</f>
        <v>0</v>
      </c>
      <c r="D27" s="270">
        <f t="shared" si="36"/>
        <v>0</v>
      </c>
      <c r="E27" s="273">
        <f t="shared" si="36"/>
        <v>0</v>
      </c>
      <c r="F27" s="272">
        <f t="shared" si="36"/>
        <v>0</v>
      </c>
      <c r="G27" s="270">
        <f t="shared" si="36"/>
        <v>0</v>
      </c>
      <c r="H27" s="270">
        <f t="shared" si="36"/>
        <v>0</v>
      </c>
      <c r="I27" s="270">
        <f t="shared" si="36"/>
        <v>0</v>
      </c>
      <c r="J27" s="270">
        <f t="shared" si="36"/>
        <v>0</v>
      </c>
      <c r="K27" s="270">
        <f t="shared" si="36"/>
        <v>0</v>
      </c>
      <c r="L27" s="270">
        <f t="shared" si="36"/>
        <v>0</v>
      </c>
      <c r="M27" s="270">
        <f t="shared" si="36"/>
        <v>0</v>
      </c>
      <c r="N27" s="270">
        <f t="shared" si="36"/>
        <v>0</v>
      </c>
      <c r="O27" s="270">
        <f t="shared" si="36"/>
        <v>0</v>
      </c>
      <c r="P27" s="270">
        <f t="shared" si="36"/>
        <v>0</v>
      </c>
      <c r="Q27" s="271">
        <f t="shared" si="36"/>
        <v>0</v>
      </c>
      <c r="R27" s="270">
        <f t="shared" si="36"/>
        <v>0</v>
      </c>
      <c r="S27" s="270">
        <f t="shared" si="36"/>
        <v>0</v>
      </c>
      <c r="T27" s="269">
        <f>R27-E27</f>
        <v>0</v>
      </c>
      <c r="U27" s="270"/>
      <c r="V27" s="270"/>
      <c r="W27" s="269"/>
      <c r="X27" s="221"/>
      <c r="Y27" s="267"/>
    </row>
    <row r="28" spans="1:25" ht="17.649999999999999" customHeight="1" outlineLevel="1">
      <c r="A28" s="283" t="s">
        <v>375</v>
      </c>
      <c r="B28" s="282" t="s">
        <v>376</v>
      </c>
      <c r="C28" s="681"/>
      <c r="D28" s="286"/>
      <c r="E28" s="285"/>
      <c r="F28" s="280"/>
      <c r="G28" s="279"/>
      <c r="H28" s="279"/>
      <c r="I28" s="279"/>
      <c r="J28" s="279"/>
      <c r="K28" s="279"/>
      <c r="L28" s="279"/>
      <c r="M28" s="279"/>
      <c r="N28" s="279"/>
      <c r="O28" s="279"/>
      <c r="P28" s="279"/>
      <c r="Q28" s="278"/>
      <c r="R28" s="277">
        <f>SUM(F28:Q28)</f>
        <v>0</v>
      </c>
      <c r="S28" s="276"/>
      <c r="T28" s="713">
        <f t="shared" si="1"/>
        <v>0</v>
      </c>
      <c r="U28" s="303">
        <f>R28-E30*R29</f>
        <v>0</v>
      </c>
      <c r="V28" s="790">
        <f>IFERROR(R29/E29*E28-E28,0)</f>
        <v>0</v>
      </c>
      <c r="W28" s="793"/>
      <c r="X28" s="221"/>
      <c r="Y28" s="267"/>
    </row>
    <row r="29" spans="1:25" ht="17.649999999999999" customHeight="1" outlineLevel="1">
      <c r="A29" s="283" t="s">
        <v>377</v>
      </c>
      <c r="B29" s="282" t="str">
        <f>B28</f>
        <v>Area 8</v>
      </c>
      <c r="C29" s="281"/>
      <c r="D29" s="286"/>
      <c r="E29" s="285"/>
      <c r="F29" s="280"/>
      <c r="G29" s="279"/>
      <c r="H29" s="279"/>
      <c r="I29" s="279"/>
      <c r="J29" s="279"/>
      <c r="K29" s="279"/>
      <c r="L29" s="279"/>
      <c r="M29" s="279"/>
      <c r="N29" s="279"/>
      <c r="O29" s="279"/>
      <c r="P29" s="279"/>
      <c r="Q29" s="278"/>
      <c r="R29" s="277">
        <f>SUM(F29:Q29)</f>
        <v>0</v>
      </c>
      <c r="S29" s="276"/>
      <c r="T29" s="713">
        <f t="shared" si="1"/>
        <v>0</v>
      </c>
      <c r="U29" s="300">
        <f>IFERROR(-U28/(E28+V28),0)</f>
        <v>0</v>
      </c>
      <c r="V29" s="790"/>
      <c r="W29" s="793"/>
      <c r="X29" s="221"/>
      <c r="Y29" s="267"/>
    </row>
    <row r="30" spans="1:25" ht="17.649999999999999" customHeight="1" outlineLevel="1">
      <c r="A30" s="275" t="s">
        <v>378</v>
      </c>
      <c r="B30" s="274" t="str">
        <f>B28</f>
        <v>Area 8</v>
      </c>
      <c r="C30" s="272">
        <f t="shared" ref="C30:S30" si="37">IFERROR(C28/C29,0)</f>
        <v>0</v>
      </c>
      <c r="D30" s="270">
        <f t="shared" si="37"/>
        <v>0</v>
      </c>
      <c r="E30" s="273">
        <f t="shared" si="37"/>
        <v>0</v>
      </c>
      <c r="F30" s="272">
        <f t="shared" si="37"/>
        <v>0</v>
      </c>
      <c r="G30" s="270">
        <f t="shared" si="37"/>
        <v>0</v>
      </c>
      <c r="H30" s="270">
        <f t="shared" si="37"/>
        <v>0</v>
      </c>
      <c r="I30" s="270">
        <f t="shared" si="37"/>
        <v>0</v>
      </c>
      <c r="J30" s="270">
        <f t="shared" si="37"/>
        <v>0</v>
      </c>
      <c r="K30" s="270">
        <f t="shared" si="37"/>
        <v>0</v>
      </c>
      <c r="L30" s="270">
        <f t="shared" si="37"/>
        <v>0</v>
      </c>
      <c r="M30" s="270">
        <f t="shared" si="37"/>
        <v>0</v>
      </c>
      <c r="N30" s="270">
        <f t="shared" si="37"/>
        <v>0</v>
      </c>
      <c r="O30" s="270">
        <f t="shared" si="37"/>
        <v>0</v>
      </c>
      <c r="P30" s="270">
        <f t="shared" si="37"/>
        <v>0</v>
      </c>
      <c r="Q30" s="271">
        <f t="shared" si="37"/>
        <v>0</v>
      </c>
      <c r="R30" s="270">
        <f t="shared" si="37"/>
        <v>0</v>
      </c>
      <c r="S30" s="270">
        <f t="shared" si="37"/>
        <v>0</v>
      </c>
      <c r="T30" s="269">
        <f>R30-E30</f>
        <v>0</v>
      </c>
      <c r="U30" s="270"/>
      <c r="V30" s="270"/>
      <c r="W30" s="269"/>
      <c r="X30" s="221"/>
      <c r="Y30" s="267"/>
    </row>
    <row r="31" spans="1:25" ht="17.649999999999999" customHeight="1" outlineLevel="1">
      <c r="A31" s="283" t="s">
        <v>379</v>
      </c>
      <c r="B31" s="282" t="s">
        <v>380</v>
      </c>
      <c r="C31" s="681"/>
      <c r="D31" s="286"/>
      <c r="E31" s="285"/>
      <c r="F31" s="280"/>
      <c r="G31" s="279"/>
      <c r="H31" s="279"/>
      <c r="I31" s="279"/>
      <c r="J31" s="279"/>
      <c r="K31" s="279"/>
      <c r="L31" s="279"/>
      <c r="M31" s="279"/>
      <c r="N31" s="279"/>
      <c r="O31" s="279"/>
      <c r="P31" s="279"/>
      <c r="Q31" s="278"/>
      <c r="R31" s="277">
        <f>SUM(F31:Q31)</f>
        <v>0</v>
      </c>
      <c r="S31" s="276"/>
      <c r="T31" s="713">
        <f t="shared" si="1"/>
        <v>0</v>
      </c>
      <c r="U31" s="303">
        <f>R31-E33*R32</f>
        <v>0</v>
      </c>
      <c r="V31" s="790">
        <f>IFERROR(R32/E32*E31-E31,0)</f>
        <v>0</v>
      </c>
      <c r="W31" s="793"/>
      <c r="X31" s="221"/>
      <c r="Y31" s="267"/>
    </row>
    <row r="32" spans="1:25" ht="17.649999999999999" customHeight="1" outlineLevel="1">
      <c r="A32" s="283" t="s">
        <v>381</v>
      </c>
      <c r="B32" s="282" t="str">
        <f>B31</f>
        <v>Area 9</v>
      </c>
      <c r="C32" s="281"/>
      <c r="D32" s="286"/>
      <c r="E32" s="285"/>
      <c r="F32" s="280"/>
      <c r="G32" s="279"/>
      <c r="H32" s="279"/>
      <c r="I32" s="279"/>
      <c r="J32" s="279"/>
      <c r="K32" s="279"/>
      <c r="L32" s="279"/>
      <c r="M32" s="279"/>
      <c r="N32" s="279"/>
      <c r="O32" s="279"/>
      <c r="P32" s="279"/>
      <c r="Q32" s="278"/>
      <c r="R32" s="277">
        <f>SUM(F32:Q32)</f>
        <v>0</v>
      </c>
      <c r="S32" s="276"/>
      <c r="T32" s="713">
        <f t="shared" si="1"/>
        <v>0</v>
      </c>
      <c r="U32" s="300">
        <f>IFERROR(-U31/(E31+V31),0)</f>
        <v>0</v>
      </c>
      <c r="V32" s="790"/>
      <c r="W32" s="793"/>
      <c r="X32" s="221"/>
      <c r="Y32" s="267"/>
    </row>
    <row r="33" spans="1:25" ht="17.649999999999999" customHeight="1" outlineLevel="1">
      <c r="A33" s="275" t="s">
        <v>382</v>
      </c>
      <c r="B33" s="274" t="str">
        <f>B32</f>
        <v>Area 9</v>
      </c>
      <c r="C33" s="272">
        <f t="shared" ref="C33:S33" si="38">IFERROR(C31/C32,0)</f>
        <v>0</v>
      </c>
      <c r="D33" s="270">
        <f t="shared" si="38"/>
        <v>0</v>
      </c>
      <c r="E33" s="273">
        <f t="shared" si="38"/>
        <v>0</v>
      </c>
      <c r="F33" s="272">
        <f t="shared" si="38"/>
        <v>0</v>
      </c>
      <c r="G33" s="270">
        <f t="shared" si="38"/>
        <v>0</v>
      </c>
      <c r="H33" s="270">
        <f t="shared" si="38"/>
        <v>0</v>
      </c>
      <c r="I33" s="270">
        <f t="shared" si="38"/>
        <v>0</v>
      </c>
      <c r="J33" s="270">
        <f t="shared" si="38"/>
        <v>0</v>
      </c>
      <c r="K33" s="270">
        <f t="shared" si="38"/>
        <v>0</v>
      </c>
      <c r="L33" s="270">
        <f t="shared" si="38"/>
        <v>0</v>
      </c>
      <c r="M33" s="270">
        <f t="shared" si="38"/>
        <v>0</v>
      </c>
      <c r="N33" s="270">
        <f t="shared" si="38"/>
        <v>0</v>
      </c>
      <c r="O33" s="270">
        <f t="shared" si="38"/>
        <v>0</v>
      </c>
      <c r="P33" s="270">
        <f t="shared" si="38"/>
        <v>0</v>
      </c>
      <c r="Q33" s="271">
        <f t="shared" si="38"/>
        <v>0</v>
      </c>
      <c r="R33" s="270">
        <f t="shared" si="38"/>
        <v>0</v>
      </c>
      <c r="S33" s="270">
        <f t="shared" si="38"/>
        <v>0</v>
      </c>
      <c r="T33" s="269">
        <f>R33-E33</f>
        <v>0</v>
      </c>
      <c r="U33" s="270"/>
      <c r="V33" s="270"/>
      <c r="W33" s="269"/>
      <c r="X33" s="221"/>
      <c r="Y33" s="267"/>
    </row>
    <row r="34" spans="1:25" ht="17.649999999999999" customHeight="1" outlineLevel="1">
      <c r="A34" s="283" t="s">
        <v>383</v>
      </c>
      <c r="B34" s="282" t="s">
        <v>384</v>
      </c>
      <c r="C34" s="681"/>
      <c r="D34" s="286"/>
      <c r="E34" s="285"/>
      <c r="F34" s="280"/>
      <c r="G34" s="279"/>
      <c r="H34" s="279"/>
      <c r="I34" s="279"/>
      <c r="J34" s="279"/>
      <c r="K34" s="279"/>
      <c r="L34" s="279"/>
      <c r="M34" s="279"/>
      <c r="N34" s="279"/>
      <c r="O34" s="279"/>
      <c r="P34" s="279"/>
      <c r="Q34" s="278"/>
      <c r="R34" s="277">
        <f>SUM(F34:Q34)</f>
        <v>0</v>
      </c>
      <c r="S34" s="276"/>
      <c r="T34" s="713">
        <f t="shared" si="1"/>
        <v>0</v>
      </c>
      <c r="U34" s="303">
        <f>R34-E36*R35</f>
        <v>0</v>
      </c>
      <c r="V34" s="790">
        <f>IFERROR(R35/E35*E34-E34,0)</f>
        <v>0</v>
      </c>
      <c r="W34" s="793"/>
      <c r="X34" s="221"/>
      <c r="Y34" s="267"/>
    </row>
    <row r="35" spans="1:25" ht="17.649999999999999" customHeight="1" outlineLevel="1">
      <c r="A35" s="283" t="s">
        <v>385</v>
      </c>
      <c r="B35" s="282" t="str">
        <f>B34</f>
        <v>Area 10</v>
      </c>
      <c r="C35" s="281"/>
      <c r="D35" s="286"/>
      <c r="E35" s="285"/>
      <c r="F35" s="280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78"/>
      <c r="R35" s="277">
        <f>SUM(F35:Q35)</f>
        <v>0</v>
      </c>
      <c r="S35" s="276"/>
      <c r="T35" s="713">
        <f t="shared" si="1"/>
        <v>0</v>
      </c>
      <c r="U35" s="300">
        <f>IFERROR(-U34/(E34+V34),0)</f>
        <v>0</v>
      </c>
      <c r="V35" s="790"/>
      <c r="W35" s="793"/>
      <c r="X35" s="221"/>
      <c r="Y35" s="267"/>
    </row>
    <row r="36" spans="1:25" ht="17.649999999999999" customHeight="1" outlineLevel="1">
      <c r="A36" s="275" t="s">
        <v>386</v>
      </c>
      <c r="B36" s="274" t="str">
        <f>B34</f>
        <v>Area 10</v>
      </c>
      <c r="C36" s="272">
        <f t="shared" ref="C36:S36" si="39">IFERROR(C34/C35,0)</f>
        <v>0</v>
      </c>
      <c r="D36" s="270">
        <f t="shared" si="39"/>
        <v>0</v>
      </c>
      <c r="E36" s="273">
        <f t="shared" si="39"/>
        <v>0</v>
      </c>
      <c r="F36" s="272">
        <f t="shared" si="39"/>
        <v>0</v>
      </c>
      <c r="G36" s="270">
        <f t="shared" si="39"/>
        <v>0</v>
      </c>
      <c r="H36" s="270">
        <f t="shared" si="39"/>
        <v>0</v>
      </c>
      <c r="I36" s="270">
        <f t="shared" si="39"/>
        <v>0</v>
      </c>
      <c r="J36" s="270">
        <f t="shared" si="39"/>
        <v>0</v>
      </c>
      <c r="K36" s="270">
        <f t="shared" si="39"/>
        <v>0</v>
      </c>
      <c r="L36" s="270">
        <f t="shared" si="39"/>
        <v>0</v>
      </c>
      <c r="M36" s="270">
        <f t="shared" si="39"/>
        <v>0</v>
      </c>
      <c r="N36" s="270">
        <f t="shared" si="39"/>
        <v>0</v>
      </c>
      <c r="O36" s="270">
        <f t="shared" si="39"/>
        <v>0</v>
      </c>
      <c r="P36" s="270">
        <f t="shared" si="39"/>
        <v>0</v>
      </c>
      <c r="Q36" s="271">
        <f t="shared" si="39"/>
        <v>0</v>
      </c>
      <c r="R36" s="270">
        <f t="shared" si="39"/>
        <v>0</v>
      </c>
      <c r="S36" s="270">
        <f t="shared" si="39"/>
        <v>0</v>
      </c>
      <c r="T36" s="269">
        <f>R36-E36</f>
        <v>0</v>
      </c>
      <c r="U36" s="270"/>
      <c r="V36" s="270"/>
      <c r="W36" s="269"/>
      <c r="X36" s="221"/>
      <c r="Y36" s="267"/>
    </row>
    <row r="37" spans="1:25" ht="17.649999999999999" customHeight="1" outlineLevel="1">
      <c r="A37" s="283" t="s">
        <v>387</v>
      </c>
      <c r="B37" s="282" t="s">
        <v>388</v>
      </c>
      <c r="C37" s="682">
        <f>C80-SUM(C7,C10,C13,C16,C19,C22,C25,C28,C31,C34,C45,C46,C47,C50,C55,C60,C65)</f>
        <v>2111.5562409943959</v>
      </c>
      <c r="D37" s="286">
        <f>E37</f>
        <v>-27306.531000000017</v>
      </c>
      <c r="E37" s="324">
        <f t="shared" ref="E37:Q37" si="40">E80-SUM(E7,E10,E13,E16,E19,E22,E25,E28,E31,E34,E45,E46,E47,E50,E55,E60,E65)</f>
        <v>-27306.531000000017</v>
      </c>
      <c r="F37" s="682">
        <f t="shared" si="40"/>
        <v>-1833.3633330557022</v>
      </c>
      <c r="G37" s="683">
        <f t="shared" si="40"/>
        <v>-1833.3627328086604</v>
      </c>
      <c r="H37" s="683">
        <f t="shared" si="40"/>
        <v>-1833.363333364503</v>
      </c>
      <c r="I37" s="683">
        <f t="shared" si="40"/>
        <v>-1833.3626811548838</v>
      </c>
      <c r="J37" s="683">
        <f t="shared" si="40"/>
        <v>-1761.3162808748093</v>
      </c>
      <c r="K37" s="683">
        <f t="shared" si="40"/>
        <v>-1761.3162808748093</v>
      </c>
      <c r="L37" s="683">
        <f t="shared" si="40"/>
        <v>-1761.3162808748093</v>
      </c>
      <c r="M37" s="683">
        <f t="shared" si="40"/>
        <v>-1761.3162806414148</v>
      </c>
      <c r="N37" s="683">
        <f t="shared" si="40"/>
        <v>-1653.2455346996303</v>
      </c>
      <c r="O37" s="683">
        <f t="shared" si="40"/>
        <v>-1653.2451887546922</v>
      </c>
      <c r="P37" s="683">
        <f t="shared" si="40"/>
        <v>-1653.2449888480478</v>
      </c>
      <c r="Q37" s="684">
        <f t="shared" si="40"/>
        <v>-1653.2429888480492</v>
      </c>
      <c r="R37" s="277">
        <f>SUM(F37:Q37)</f>
        <v>-20991.695904800014</v>
      </c>
      <c r="S37" s="276">
        <f>R37</f>
        <v>-20991.695904800014</v>
      </c>
      <c r="T37" s="713">
        <f t="shared" si="1"/>
        <v>6314.8350952000037</v>
      </c>
      <c r="U37" s="303">
        <f>R37-E39*R38</f>
        <v>1651.9184799879331</v>
      </c>
      <c r="V37" s="790">
        <f>IFERROR(R38/E38*E37-E37,0)</f>
        <v>4662.9166152120706</v>
      </c>
      <c r="W37" s="793"/>
      <c r="X37" s="221"/>
      <c r="Y37" s="267"/>
    </row>
    <row r="38" spans="1:25" ht="17.649999999999999" customHeight="1" outlineLevel="1">
      <c r="A38" s="283" t="s">
        <v>389</v>
      </c>
      <c r="B38" s="282" t="s">
        <v>388</v>
      </c>
      <c r="C38" s="682">
        <f>C82-SUM(C8,C11,C14,C17,C20,C23,C26,C29,C32,C35,C52,C57,C62,C67)</f>
        <v>11496799.134723447</v>
      </c>
      <c r="D38" s="286">
        <f>E38</f>
        <v>22364844.594000012</v>
      </c>
      <c r="E38" s="324">
        <f t="shared" ref="E38:Q38" si="41">E82-SUM(E8,E11,E14,E17,E20,E23,E26,E29,E32,E35,E52,E57,E62,E67)</f>
        <v>22364844.594000012</v>
      </c>
      <c r="F38" s="682">
        <f t="shared" si="41"/>
        <v>1615527.40087975</v>
      </c>
      <c r="G38" s="683">
        <f t="shared" si="41"/>
        <v>1615527.4006738812</v>
      </c>
      <c r="H38" s="683">
        <f t="shared" si="41"/>
        <v>1615527.4011370838</v>
      </c>
      <c r="I38" s="683">
        <f t="shared" si="41"/>
        <v>1615527.4006290697</v>
      </c>
      <c r="J38" s="683">
        <f t="shared" si="41"/>
        <v>1555488.2003956735</v>
      </c>
      <c r="K38" s="683">
        <f t="shared" si="41"/>
        <v>1555488.2003956735</v>
      </c>
      <c r="L38" s="683">
        <f t="shared" si="41"/>
        <v>1555488.2003956735</v>
      </c>
      <c r="M38" s="683">
        <f t="shared" si="41"/>
        <v>1555488.2012011763</v>
      </c>
      <c r="N38" s="683">
        <f t="shared" si="41"/>
        <v>1465429.4002496917</v>
      </c>
      <c r="O38" s="683">
        <f t="shared" si="41"/>
        <v>1465429.4002955761</v>
      </c>
      <c r="P38" s="683">
        <f t="shared" si="41"/>
        <v>1465429.400373375</v>
      </c>
      <c r="Q38" s="684">
        <f t="shared" si="41"/>
        <v>1465429.4033733737</v>
      </c>
      <c r="R38" s="277">
        <f>SUM(F38:Q38)</f>
        <v>18545780.009999998</v>
      </c>
      <c r="S38" s="276">
        <f>R38</f>
        <v>18545780.009999998</v>
      </c>
      <c r="T38" s="713">
        <f>R38-E38</f>
        <v>-3819064.5840000138</v>
      </c>
      <c r="U38" s="300">
        <f>IFERROR(-U37/(E37+V37),0)</f>
        <v>7.2952950527973015E-2</v>
      </c>
      <c r="V38" s="790"/>
      <c r="W38" s="793"/>
      <c r="X38" s="221"/>
      <c r="Y38" s="267"/>
    </row>
    <row r="39" spans="1:25" ht="17.649999999999999" customHeight="1" outlineLevel="1">
      <c r="A39" s="275" t="s">
        <v>390</v>
      </c>
      <c r="B39" s="274" t="s">
        <v>388</v>
      </c>
      <c r="C39" s="272">
        <f t="shared" ref="C39:S39" si="42">IFERROR(C37/C38,0)</f>
        <v>1.8366470669361562E-4</v>
      </c>
      <c r="D39" s="270">
        <f t="shared" si="42"/>
        <v>-1.2209577797525027E-3</v>
      </c>
      <c r="E39" s="273">
        <f t="shared" si="42"/>
        <v>-1.2209577797525027E-3</v>
      </c>
      <c r="F39" s="272">
        <f t="shared" si="42"/>
        <v>-1.1348388966088273E-3</v>
      </c>
      <c r="G39" s="270">
        <f t="shared" si="42"/>
        <v>-1.1348385252047809E-3</v>
      </c>
      <c r="H39" s="270">
        <f t="shared" si="42"/>
        <v>-1.1348388966192068E-3</v>
      </c>
      <c r="I39" s="270">
        <f t="shared" si="42"/>
        <v>-1.1348384932629379E-3</v>
      </c>
      <c r="J39" s="270">
        <f t="shared" si="42"/>
        <v>-1.1323237813226604E-3</v>
      </c>
      <c r="K39" s="270">
        <f t="shared" si="42"/>
        <v>-1.1323237813226604E-3</v>
      </c>
      <c r="L39" s="270">
        <f t="shared" si="42"/>
        <v>-1.1323237813226604E-3</v>
      </c>
      <c r="M39" s="270">
        <f t="shared" si="42"/>
        <v>-1.1323237805862458E-3</v>
      </c>
      <c r="N39" s="270">
        <f t="shared" si="42"/>
        <v>-1.1281645737542436E-3</v>
      </c>
      <c r="O39" s="270">
        <f t="shared" si="42"/>
        <v>-1.1281643376482237E-3</v>
      </c>
      <c r="P39" s="270">
        <f t="shared" si="42"/>
        <v>-1.1281642011732667E-3</v>
      </c>
      <c r="Q39" s="271">
        <f t="shared" si="42"/>
        <v>-1.1281628340760288E-3</v>
      </c>
      <c r="R39" s="270">
        <f t="shared" si="42"/>
        <v>-1.1318853072494748E-3</v>
      </c>
      <c r="S39" s="270">
        <f t="shared" si="42"/>
        <v>-1.1318853072494748E-3</v>
      </c>
      <c r="T39" s="269">
        <f>R39-E39</f>
        <v>8.9072472503027959E-5</v>
      </c>
      <c r="U39" s="270"/>
      <c r="V39" s="270"/>
      <c r="W39" s="269"/>
      <c r="X39" s="221"/>
      <c r="Y39" s="267"/>
    </row>
    <row r="40" spans="1:25" ht="17.649999999999999" customHeight="1">
      <c r="A40" s="214" t="s">
        <v>391</v>
      </c>
      <c r="B40" s="215"/>
      <c r="C40" s="266">
        <f>C7+C10+C13+C16+C19+C22+C25+C28+C31+C34+C37</f>
        <v>-39055.754000000001</v>
      </c>
      <c r="D40" s="78">
        <f t="shared" ref="D40:Q40" si="43">D7+D10+D13+D16+D19+D22+D25+D28+D31+D34+D37</f>
        <v>-168609.79800000001</v>
      </c>
      <c r="E40" s="80">
        <f t="shared" si="43"/>
        <v>-168609.79800000001</v>
      </c>
      <c r="F40" s="266">
        <f t="shared" si="43"/>
        <v>-13248.212</v>
      </c>
      <c r="G40" s="78">
        <f t="shared" si="43"/>
        <v>-12415.996999999999</v>
      </c>
      <c r="H40" s="78">
        <f t="shared" si="43"/>
        <v>-14288.48</v>
      </c>
      <c r="I40" s="78">
        <f t="shared" si="43"/>
        <v>-13931.147000000001</v>
      </c>
      <c r="J40" s="78">
        <f t="shared" si="43"/>
        <v>-12610.779</v>
      </c>
      <c r="K40" s="78">
        <f t="shared" si="43"/>
        <v>-12610.779</v>
      </c>
      <c r="L40" s="78">
        <f t="shared" si="43"/>
        <v>-12610.779</v>
      </c>
      <c r="M40" s="78">
        <f t="shared" si="43"/>
        <v>-11570.511</v>
      </c>
      <c r="N40" s="78">
        <f t="shared" si="43"/>
        <v>-11611.718999999999</v>
      </c>
      <c r="O40" s="78">
        <f t="shared" si="43"/>
        <v>-11969.050999999999</v>
      </c>
      <c r="P40" s="78">
        <f t="shared" si="43"/>
        <v>-12385.157999999999</v>
      </c>
      <c r="Q40" s="265">
        <f t="shared" si="43"/>
        <v>-12385.156000000001</v>
      </c>
      <c r="R40" s="78">
        <f>R7+R10+R13+R16+R19+R22+R25+R28+R31+R34+R37</f>
        <v>-151637.76800000004</v>
      </c>
      <c r="S40" s="265"/>
      <c r="T40" s="287">
        <f t="shared" si="1"/>
        <v>16972.02999999997</v>
      </c>
      <c r="U40" s="259">
        <f>R40-E42*R41</f>
        <v>1222.1548638152308</v>
      </c>
      <c r="V40" s="78">
        <f>IFERROR(R41/E41*E40-E40,0)</f>
        <v>15749.875136184739</v>
      </c>
      <c r="W40" s="792"/>
      <c r="X40" s="221"/>
      <c r="Y40" s="267"/>
    </row>
    <row r="41" spans="1:25" ht="17.649999999999999" customHeight="1">
      <c r="A41" s="214" t="s">
        <v>392</v>
      </c>
      <c r="B41" s="215"/>
      <c r="C41" s="266">
        <f>C8+C11+C14+C17+C20+C23+C26+C29+C32+C35+C38</f>
        <v>78052717.702999994</v>
      </c>
      <c r="D41" s="78">
        <f t="shared" ref="D41:Q41" si="44">D8+D11+D14+D17+D20+D23+D26+D29+D32+D35+D38</f>
        <v>140545930.37400001</v>
      </c>
      <c r="E41" s="80">
        <f t="shared" si="44"/>
        <v>140545930.37400001</v>
      </c>
      <c r="F41" s="266">
        <f t="shared" si="44"/>
        <v>11127901.289999999</v>
      </c>
      <c r="G41" s="78">
        <f t="shared" si="44"/>
        <v>10434389.289999999</v>
      </c>
      <c r="H41" s="78">
        <f t="shared" si="44"/>
        <v>11994791.289999999</v>
      </c>
      <c r="I41" s="78">
        <f t="shared" si="44"/>
        <v>11697014.333000001</v>
      </c>
      <c r="J41" s="78">
        <f t="shared" si="44"/>
        <v>10596707.132999999</v>
      </c>
      <c r="K41" s="78">
        <f t="shared" si="44"/>
        <v>10596707.132999999</v>
      </c>
      <c r="L41" s="78">
        <f t="shared" si="44"/>
        <v>10596707.132999999</v>
      </c>
      <c r="M41" s="78">
        <f t="shared" si="44"/>
        <v>9729817.1339999996</v>
      </c>
      <c r="N41" s="78">
        <f t="shared" si="44"/>
        <v>9764157.2880000006</v>
      </c>
      <c r="O41" s="78">
        <f t="shared" si="44"/>
        <v>10061934.243000001</v>
      </c>
      <c r="P41" s="78">
        <f t="shared" si="44"/>
        <v>10408690.243000001</v>
      </c>
      <c r="Q41" s="265">
        <f t="shared" si="44"/>
        <v>10408690.245999999</v>
      </c>
      <c r="R41" s="78">
        <f>R8+R11+R14+R17+R20+R23+R26+R29+R32+R35+R38</f>
        <v>127417506.75599998</v>
      </c>
      <c r="S41" s="265"/>
      <c r="T41" s="287">
        <f t="shared" si="1"/>
        <v>-13128423.618000031</v>
      </c>
      <c r="U41" s="259">
        <f>U7+U10+U13+U16+U19+U22</f>
        <v>-473.58832603925111</v>
      </c>
      <c r="V41" s="78">
        <f>V7+V10+V13+V16+V19+V22</f>
        <v>11130.78323083925</v>
      </c>
      <c r="W41" s="792"/>
      <c r="X41" s="221"/>
      <c r="Y41" s="267"/>
    </row>
    <row r="42" spans="1:25" ht="17.649999999999999" customHeight="1">
      <c r="A42" s="214" t="s">
        <v>393</v>
      </c>
      <c r="B42" s="215"/>
      <c r="C42" s="263">
        <f t="shared" ref="C42" si="45">IFERROR(C40/C41,0)</f>
        <v>-5.0037660634203482E-4</v>
      </c>
      <c r="D42" s="262">
        <f t="shared" ref="D42:R42" si="46">IFERROR(D40/D41,0)</f>
        <v>-1.1996775541726508E-3</v>
      </c>
      <c r="E42" s="264">
        <f t="shared" si="46"/>
        <v>-1.1996775541726508E-3</v>
      </c>
      <c r="F42" s="263">
        <f t="shared" si="46"/>
        <v>-1.1905400357842318E-3</v>
      </c>
      <c r="G42" s="262">
        <f t="shared" si="46"/>
        <v>-1.1899112305402591E-3</v>
      </c>
      <c r="H42" s="262">
        <f t="shared" si="46"/>
        <v>-1.1912237282454626E-3</v>
      </c>
      <c r="I42" s="262">
        <f t="shared" si="46"/>
        <v>-1.1910002504397204E-3</v>
      </c>
      <c r="J42" s="262">
        <f t="shared" si="46"/>
        <v>-1.1900658234413055E-3</v>
      </c>
      <c r="K42" s="262">
        <f t="shared" si="46"/>
        <v>-1.1900658234413055E-3</v>
      </c>
      <c r="L42" s="262">
        <f t="shared" si="46"/>
        <v>-1.1900658234413055E-3</v>
      </c>
      <c r="M42" s="262">
        <f t="shared" si="46"/>
        <v>-1.1891807256652189E-3</v>
      </c>
      <c r="N42" s="262">
        <f t="shared" si="46"/>
        <v>-1.1892187576976688E-3</v>
      </c>
      <c r="O42" s="262">
        <f t="shared" si="46"/>
        <v>-1.1895377877595217E-3</v>
      </c>
      <c r="P42" s="262">
        <f t="shared" si="46"/>
        <v>-1.1898863075812255E-3</v>
      </c>
      <c r="Q42" s="261">
        <f t="shared" si="46"/>
        <v>-1.1898861150911419E-3</v>
      </c>
      <c r="R42" s="262">
        <f t="shared" si="46"/>
        <v>-1.1900858199209705E-3</v>
      </c>
      <c r="S42" s="299"/>
      <c r="T42" s="260">
        <f t="shared" si="1"/>
        <v>9.5917342516802732E-6</v>
      </c>
      <c r="U42" s="262">
        <f>IFERROR(-U41/(E40+V41),0)</f>
        <v>-3.0073106993554438E-3</v>
      </c>
      <c r="V42" s="262"/>
      <c r="W42" s="792"/>
      <c r="X42" s="221"/>
      <c r="Y42" s="267"/>
    </row>
    <row r="43" spans="1:25" s="2" customFormat="1" ht="17.649999999999999" customHeight="1">
      <c r="A43" s="258"/>
      <c r="B43" s="257"/>
      <c r="C43" s="297"/>
      <c r="D43" s="224"/>
      <c r="E43" s="298"/>
      <c r="F43" s="297"/>
      <c r="G43" s="224"/>
      <c r="H43" s="224"/>
      <c r="I43" s="224"/>
      <c r="J43" s="224"/>
      <c r="K43" s="224"/>
      <c r="L43" s="224"/>
      <c r="M43" s="224"/>
      <c r="N43" s="224"/>
      <c r="O43" s="224"/>
      <c r="P43" s="224"/>
      <c r="Q43" s="296"/>
      <c r="R43" s="224"/>
      <c r="S43" s="296"/>
      <c r="T43" s="295"/>
      <c r="U43" s="224"/>
      <c r="V43" s="224"/>
      <c r="W43" s="794"/>
      <c r="X43" s="243"/>
      <c r="Y43" s="293"/>
    </row>
    <row r="44" spans="1:25" ht="15.6" customHeight="1">
      <c r="A44" s="214" t="s">
        <v>394</v>
      </c>
      <c r="B44" s="215"/>
      <c r="C44" s="266">
        <f t="shared" ref="C44" si="47">SUM(C45:C47)</f>
        <v>0</v>
      </c>
      <c r="D44" s="78">
        <f t="shared" ref="D44:T44" si="48">SUM(D45:D47)</f>
        <v>0</v>
      </c>
      <c r="E44" s="80">
        <f t="shared" si="48"/>
        <v>0</v>
      </c>
      <c r="F44" s="266">
        <f t="shared" si="48"/>
        <v>0</v>
      </c>
      <c r="G44" s="78">
        <f t="shared" si="48"/>
        <v>0</v>
      </c>
      <c r="H44" s="78">
        <f t="shared" si="48"/>
        <v>0</v>
      </c>
      <c r="I44" s="78">
        <f t="shared" si="48"/>
        <v>0</v>
      </c>
      <c r="J44" s="78">
        <f t="shared" si="48"/>
        <v>0</v>
      </c>
      <c r="K44" s="78">
        <f t="shared" si="48"/>
        <v>0</v>
      </c>
      <c r="L44" s="78">
        <f t="shared" si="48"/>
        <v>0</v>
      </c>
      <c r="M44" s="78">
        <f t="shared" si="48"/>
        <v>0</v>
      </c>
      <c r="N44" s="78">
        <f t="shared" si="48"/>
        <v>0</v>
      </c>
      <c r="O44" s="78">
        <f t="shared" si="48"/>
        <v>0</v>
      </c>
      <c r="P44" s="78">
        <f t="shared" si="48"/>
        <v>0</v>
      </c>
      <c r="Q44" s="265">
        <f t="shared" si="48"/>
        <v>0</v>
      </c>
      <c r="R44" s="78">
        <f t="shared" si="48"/>
        <v>0</v>
      </c>
      <c r="S44" s="265">
        <f t="shared" si="48"/>
        <v>0</v>
      </c>
      <c r="T44" s="287">
        <f t="shared" si="48"/>
        <v>0</v>
      </c>
      <c r="U44" s="78"/>
      <c r="V44" s="78"/>
      <c r="W44" s="792"/>
      <c r="X44" s="221"/>
      <c r="Y44" s="267"/>
    </row>
    <row r="45" spans="1:25" ht="15.6" customHeight="1">
      <c r="A45" s="283" t="s">
        <v>395</v>
      </c>
      <c r="B45" s="282" t="s">
        <v>396</v>
      </c>
      <c r="C45" s="281"/>
      <c r="D45" s="286"/>
      <c r="E45" s="285"/>
      <c r="F45" s="280"/>
      <c r="G45" s="279"/>
      <c r="H45" s="279"/>
      <c r="I45" s="279"/>
      <c r="J45" s="279"/>
      <c r="K45" s="279"/>
      <c r="L45" s="279"/>
      <c r="M45" s="279"/>
      <c r="N45" s="279"/>
      <c r="O45" s="279"/>
      <c r="P45" s="279"/>
      <c r="Q45" s="278"/>
      <c r="R45" s="277">
        <f>SUM(F45:Q45)</f>
        <v>0</v>
      </c>
      <c r="S45" s="292"/>
      <c r="T45" s="713">
        <f>R45-E45</f>
        <v>0</v>
      </c>
      <c r="U45" s="268"/>
      <c r="V45" s="268"/>
      <c r="W45" s="793"/>
      <c r="X45" s="221"/>
      <c r="Y45" s="267"/>
    </row>
    <row r="46" spans="1:25" ht="15.6" customHeight="1">
      <c r="A46" s="283" t="s">
        <v>397</v>
      </c>
      <c r="B46" s="282" t="s">
        <v>396</v>
      </c>
      <c r="C46" s="281"/>
      <c r="D46" s="286"/>
      <c r="E46" s="285"/>
      <c r="F46" s="280"/>
      <c r="G46" s="279"/>
      <c r="H46" s="279"/>
      <c r="I46" s="279"/>
      <c r="J46" s="279"/>
      <c r="K46" s="279"/>
      <c r="L46" s="279"/>
      <c r="M46" s="279"/>
      <c r="N46" s="279"/>
      <c r="O46" s="279"/>
      <c r="P46" s="279"/>
      <c r="Q46" s="278"/>
      <c r="R46" s="277">
        <f>SUM(F46:Q46)</f>
        <v>0</v>
      </c>
      <c r="S46" s="292"/>
      <c r="T46" s="713">
        <f>R46-E46</f>
        <v>0</v>
      </c>
      <c r="U46" s="268"/>
      <c r="V46" s="268"/>
      <c r="W46" s="793"/>
      <c r="X46" s="221"/>
      <c r="Y46" s="267"/>
    </row>
    <row r="47" spans="1:25" ht="15.6" customHeight="1">
      <c r="A47" s="283" t="s">
        <v>315</v>
      </c>
      <c r="B47" s="282" t="s">
        <v>396</v>
      </c>
      <c r="C47" s="281"/>
      <c r="D47" s="286"/>
      <c r="E47" s="285"/>
      <c r="F47" s="280"/>
      <c r="G47" s="279"/>
      <c r="H47" s="279"/>
      <c r="I47" s="279"/>
      <c r="J47" s="279"/>
      <c r="K47" s="279"/>
      <c r="L47" s="279"/>
      <c r="M47" s="279"/>
      <c r="N47" s="279"/>
      <c r="O47" s="279"/>
      <c r="P47" s="279"/>
      <c r="Q47" s="278"/>
      <c r="R47" s="277">
        <f>SUM(F47:Q47)</f>
        <v>0</v>
      </c>
      <c r="S47" s="292"/>
      <c r="T47" s="713">
        <f>R47-E47</f>
        <v>0</v>
      </c>
      <c r="U47" s="268"/>
      <c r="V47" s="268"/>
      <c r="W47" s="793"/>
      <c r="X47" s="221"/>
      <c r="Y47" s="267"/>
    </row>
    <row r="48" spans="1:25" ht="15" customHeight="1">
      <c r="A48" s="258"/>
      <c r="B48" s="257"/>
      <c r="C48" s="255"/>
      <c r="D48" s="222"/>
      <c r="E48" s="256"/>
      <c r="F48" s="255"/>
      <c r="G48" s="222"/>
      <c r="H48" s="222"/>
      <c r="I48" s="222"/>
      <c r="J48" s="222"/>
      <c r="K48" s="222"/>
      <c r="L48" s="222"/>
      <c r="M48" s="222"/>
      <c r="N48" s="222"/>
      <c r="O48" s="222"/>
      <c r="P48" s="222"/>
      <c r="Q48" s="254"/>
      <c r="R48" s="291"/>
      <c r="S48" s="290"/>
      <c r="T48" s="289"/>
      <c r="U48" s="221"/>
      <c r="V48" s="221"/>
      <c r="W48" s="795"/>
      <c r="X48" s="221"/>
      <c r="Y48" s="267"/>
    </row>
    <row r="49" spans="1:25" ht="15.6" customHeight="1">
      <c r="A49" s="214" t="s">
        <v>398</v>
      </c>
      <c r="B49" s="215"/>
      <c r="C49" s="266"/>
      <c r="D49" s="78"/>
      <c r="E49" s="80"/>
      <c r="F49" s="266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265"/>
      <c r="R49" s="78"/>
      <c r="S49" s="265"/>
      <c r="T49" s="287"/>
      <c r="U49" s="78"/>
      <c r="V49" s="78"/>
      <c r="W49" s="792"/>
      <c r="X49" s="221"/>
      <c r="Y49" s="267"/>
    </row>
    <row r="50" spans="1:25" ht="15" customHeight="1" outlineLevel="1">
      <c r="A50" s="283" t="s">
        <v>345</v>
      </c>
      <c r="B50" s="282" t="s">
        <v>399</v>
      </c>
      <c r="C50" s="681"/>
      <c r="D50" s="286"/>
      <c r="E50" s="285"/>
      <c r="F50" s="280"/>
      <c r="G50" s="279"/>
      <c r="H50" s="279"/>
      <c r="I50" s="279"/>
      <c r="J50" s="279"/>
      <c r="K50" s="279"/>
      <c r="L50" s="279"/>
      <c r="M50" s="279"/>
      <c r="N50" s="279"/>
      <c r="O50" s="279"/>
      <c r="P50" s="279"/>
      <c r="Q50" s="278"/>
      <c r="R50" s="277">
        <f>SUM(F50:Q50)</f>
        <v>0</v>
      </c>
      <c r="S50" s="276"/>
      <c r="T50" s="713">
        <f t="shared" ref="T50:T69" si="49">R50-E50</f>
        <v>0</v>
      </c>
      <c r="U50" s="284"/>
      <c r="V50" s="790"/>
      <c r="W50" s="793"/>
      <c r="X50" s="221"/>
      <c r="Y50" s="267" t="s">
        <v>400</v>
      </c>
    </row>
    <row r="51" spans="1:25" ht="15.6" customHeight="1" outlineLevel="1">
      <c r="A51" s="283" t="s">
        <v>401</v>
      </c>
      <c r="B51" s="282" t="str">
        <f>+B50</f>
        <v>Area 1</v>
      </c>
      <c r="C51" s="681"/>
      <c r="D51" s="286"/>
      <c r="E51" s="285"/>
      <c r="F51" s="280"/>
      <c r="G51" s="279"/>
      <c r="H51" s="279"/>
      <c r="I51" s="279"/>
      <c r="J51" s="279"/>
      <c r="K51" s="279"/>
      <c r="L51" s="279"/>
      <c r="M51" s="279"/>
      <c r="N51" s="279"/>
      <c r="O51" s="279"/>
      <c r="P51" s="279"/>
      <c r="Q51" s="278"/>
      <c r="R51" s="277">
        <f>SUM(F51:Q51)</f>
        <v>0</v>
      </c>
      <c r="S51" s="276"/>
      <c r="T51" s="713">
        <f t="shared" si="49"/>
        <v>0</v>
      </c>
      <c r="U51" s="284"/>
      <c r="V51" s="790"/>
      <c r="W51" s="793"/>
      <c r="X51" s="221"/>
      <c r="Y51" s="267" t="s">
        <v>349</v>
      </c>
    </row>
    <row r="52" spans="1:25" ht="15.6" customHeight="1" outlineLevel="1">
      <c r="A52" s="283" t="s">
        <v>348</v>
      </c>
      <c r="B52" s="282" t="str">
        <f>+B50</f>
        <v>Area 1</v>
      </c>
      <c r="C52" s="281"/>
      <c r="D52" s="286"/>
      <c r="E52" s="285"/>
      <c r="F52" s="280"/>
      <c r="G52" s="279"/>
      <c r="H52" s="279"/>
      <c r="I52" s="279"/>
      <c r="J52" s="279"/>
      <c r="K52" s="279"/>
      <c r="L52" s="279"/>
      <c r="M52" s="279"/>
      <c r="N52" s="279"/>
      <c r="O52" s="279"/>
      <c r="P52" s="279"/>
      <c r="Q52" s="278"/>
      <c r="R52" s="277">
        <f>SUM(F52:Q52)</f>
        <v>0</v>
      </c>
      <c r="S52" s="276"/>
      <c r="T52" s="713">
        <f t="shared" si="49"/>
        <v>0</v>
      </c>
      <c r="U52" s="268"/>
      <c r="V52" s="268"/>
      <c r="W52" s="793"/>
      <c r="X52" s="221"/>
      <c r="Y52" s="267"/>
    </row>
    <row r="53" spans="1:25" ht="15.6" customHeight="1" outlineLevel="1">
      <c r="A53" s="275" t="s">
        <v>350</v>
      </c>
      <c r="B53" s="274" t="str">
        <f>+B50</f>
        <v>Area 1</v>
      </c>
      <c r="C53" s="272">
        <f t="shared" ref="C53" si="50">IFERROR(C50/C52,0)</f>
        <v>0</v>
      </c>
      <c r="D53" s="270">
        <f t="shared" ref="D53:R53" si="51">IFERROR(D50/D52,0)</f>
        <v>0</v>
      </c>
      <c r="E53" s="273">
        <f t="shared" si="51"/>
        <v>0</v>
      </c>
      <c r="F53" s="272">
        <f t="shared" si="51"/>
        <v>0</v>
      </c>
      <c r="G53" s="270">
        <f t="shared" si="51"/>
        <v>0</v>
      </c>
      <c r="H53" s="270">
        <f t="shared" si="51"/>
        <v>0</v>
      </c>
      <c r="I53" s="270">
        <f t="shared" si="51"/>
        <v>0</v>
      </c>
      <c r="J53" s="270">
        <f t="shared" si="51"/>
        <v>0</v>
      </c>
      <c r="K53" s="270">
        <f t="shared" si="51"/>
        <v>0</v>
      </c>
      <c r="L53" s="270">
        <f t="shared" si="51"/>
        <v>0</v>
      </c>
      <c r="M53" s="270">
        <f t="shared" si="51"/>
        <v>0</v>
      </c>
      <c r="N53" s="270">
        <f t="shared" si="51"/>
        <v>0</v>
      </c>
      <c r="O53" s="270">
        <f t="shared" si="51"/>
        <v>0</v>
      </c>
      <c r="P53" s="270">
        <f t="shared" si="51"/>
        <v>0</v>
      </c>
      <c r="Q53" s="271">
        <f t="shared" si="51"/>
        <v>0</v>
      </c>
      <c r="R53" s="270">
        <f t="shared" si="51"/>
        <v>0</v>
      </c>
      <c r="S53" s="270">
        <f t="shared" ref="S53" si="52">IFERROR(S50/S52,0)</f>
        <v>0</v>
      </c>
      <c r="T53" s="269">
        <f t="shared" si="49"/>
        <v>0</v>
      </c>
      <c r="U53" s="270"/>
      <c r="V53" s="270"/>
      <c r="W53" s="269"/>
      <c r="X53" s="221"/>
      <c r="Y53" s="267"/>
    </row>
    <row r="54" spans="1:25" ht="15.6" customHeight="1" outlineLevel="1">
      <c r="A54" s="275" t="s">
        <v>402</v>
      </c>
      <c r="B54" s="274" t="str">
        <f>+B50</f>
        <v>Area 1</v>
      </c>
      <c r="C54" s="272">
        <f t="shared" ref="C54" si="53">IFERROR((C50+C51)/C52,0)</f>
        <v>0</v>
      </c>
      <c r="D54" s="270">
        <f t="shared" ref="D54:R54" si="54">IFERROR((D50+D51)/D52,0)</f>
        <v>0</v>
      </c>
      <c r="E54" s="273">
        <f t="shared" si="54"/>
        <v>0</v>
      </c>
      <c r="F54" s="272">
        <f t="shared" si="54"/>
        <v>0</v>
      </c>
      <c r="G54" s="270">
        <f t="shared" si="54"/>
        <v>0</v>
      </c>
      <c r="H54" s="270">
        <f t="shared" si="54"/>
        <v>0</v>
      </c>
      <c r="I54" s="270">
        <f t="shared" si="54"/>
        <v>0</v>
      </c>
      <c r="J54" s="270">
        <f t="shared" si="54"/>
        <v>0</v>
      </c>
      <c r="K54" s="270">
        <f t="shared" si="54"/>
        <v>0</v>
      </c>
      <c r="L54" s="270">
        <f t="shared" si="54"/>
        <v>0</v>
      </c>
      <c r="M54" s="270">
        <f t="shared" si="54"/>
        <v>0</v>
      </c>
      <c r="N54" s="270">
        <f t="shared" si="54"/>
        <v>0</v>
      </c>
      <c r="O54" s="270">
        <f t="shared" si="54"/>
        <v>0</v>
      </c>
      <c r="P54" s="270">
        <f t="shared" si="54"/>
        <v>0</v>
      </c>
      <c r="Q54" s="271">
        <f t="shared" si="54"/>
        <v>0</v>
      </c>
      <c r="R54" s="270">
        <f t="shared" si="54"/>
        <v>0</v>
      </c>
      <c r="S54" s="270">
        <f t="shared" ref="S54" si="55">IFERROR((S50+S51)/S52,0)</f>
        <v>0</v>
      </c>
      <c r="T54" s="269">
        <f t="shared" si="49"/>
        <v>0</v>
      </c>
      <c r="U54" s="270"/>
      <c r="V54" s="270"/>
      <c r="W54" s="269"/>
      <c r="X54" s="221"/>
      <c r="Y54" s="267"/>
    </row>
    <row r="55" spans="1:25" ht="15.6" customHeight="1" outlineLevel="1">
      <c r="A55" s="283" t="s">
        <v>351</v>
      </c>
      <c r="B55" s="282" t="s">
        <v>403</v>
      </c>
      <c r="C55" s="681"/>
      <c r="D55" s="286"/>
      <c r="E55" s="285"/>
      <c r="F55" s="280"/>
      <c r="G55" s="279"/>
      <c r="H55" s="279"/>
      <c r="I55" s="279"/>
      <c r="J55" s="279"/>
      <c r="K55" s="279"/>
      <c r="L55" s="279"/>
      <c r="M55" s="279"/>
      <c r="N55" s="279"/>
      <c r="O55" s="279"/>
      <c r="P55" s="279"/>
      <c r="Q55" s="278"/>
      <c r="R55" s="277">
        <f>SUM(F55:Q55)</f>
        <v>0</v>
      </c>
      <c r="S55" s="276"/>
      <c r="T55" s="713">
        <f t="shared" si="49"/>
        <v>0</v>
      </c>
      <c r="U55" s="284"/>
      <c r="V55" s="790"/>
      <c r="W55" s="793"/>
      <c r="X55" s="221"/>
      <c r="Y55" s="267"/>
    </row>
    <row r="56" spans="1:25" ht="15.6" customHeight="1" outlineLevel="1">
      <c r="A56" s="283" t="s">
        <v>404</v>
      </c>
      <c r="B56" s="282" t="str">
        <f>+B55</f>
        <v>Area 2</v>
      </c>
      <c r="C56" s="681"/>
      <c r="D56" s="286"/>
      <c r="E56" s="285"/>
      <c r="F56" s="280"/>
      <c r="G56" s="279"/>
      <c r="H56" s="279"/>
      <c r="I56" s="279"/>
      <c r="J56" s="279"/>
      <c r="K56" s="279"/>
      <c r="L56" s="279"/>
      <c r="M56" s="279"/>
      <c r="N56" s="279"/>
      <c r="O56" s="279"/>
      <c r="P56" s="279"/>
      <c r="Q56" s="278"/>
      <c r="R56" s="277">
        <f>SUM(F56:Q56)</f>
        <v>0</v>
      </c>
      <c r="S56" s="276"/>
      <c r="T56" s="713">
        <f t="shared" si="49"/>
        <v>0</v>
      </c>
      <c r="U56" s="284"/>
      <c r="V56" s="790"/>
      <c r="W56" s="793"/>
      <c r="X56" s="221"/>
      <c r="Y56" s="267"/>
    </row>
    <row r="57" spans="1:25" ht="15.6" customHeight="1" outlineLevel="1">
      <c r="A57" s="283" t="s">
        <v>353</v>
      </c>
      <c r="B57" s="282" t="str">
        <f>+B55</f>
        <v>Area 2</v>
      </c>
      <c r="C57" s="281"/>
      <c r="D57" s="286"/>
      <c r="E57" s="285"/>
      <c r="F57" s="280"/>
      <c r="G57" s="279"/>
      <c r="H57" s="279"/>
      <c r="I57" s="279"/>
      <c r="J57" s="279"/>
      <c r="K57" s="279"/>
      <c r="L57" s="279"/>
      <c r="M57" s="279"/>
      <c r="N57" s="279"/>
      <c r="O57" s="279"/>
      <c r="P57" s="279"/>
      <c r="Q57" s="278"/>
      <c r="R57" s="277">
        <f>SUM(F57:Q57)</f>
        <v>0</v>
      </c>
      <c r="S57" s="276"/>
      <c r="T57" s="713">
        <f t="shared" si="49"/>
        <v>0</v>
      </c>
      <c r="U57" s="268"/>
      <c r="V57" s="268"/>
      <c r="W57" s="793"/>
      <c r="X57" s="221"/>
      <c r="Y57" s="267"/>
    </row>
    <row r="58" spans="1:25" ht="15.6" customHeight="1" outlineLevel="1">
      <c r="A58" s="275" t="s">
        <v>405</v>
      </c>
      <c r="B58" s="274" t="str">
        <f>+B55</f>
        <v>Area 2</v>
      </c>
      <c r="C58" s="272">
        <f t="shared" ref="C58" si="56">IFERROR(C55/C57,0)</f>
        <v>0</v>
      </c>
      <c r="D58" s="270">
        <f t="shared" ref="D58:S58" si="57">IFERROR(D55/D57,0)</f>
        <v>0</v>
      </c>
      <c r="E58" s="273">
        <f t="shared" si="57"/>
        <v>0</v>
      </c>
      <c r="F58" s="272">
        <f t="shared" si="57"/>
        <v>0</v>
      </c>
      <c r="G58" s="270">
        <f t="shared" si="57"/>
        <v>0</v>
      </c>
      <c r="H58" s="270">
        <f t="shared" si="57"/>
        <v>0</v>
      </c>
      <c r="I58" s="270">
        <f t="shared" si="57"/>
        <v>0</v>
      </c>
      <c r="J58" s="270">
        <f t="shared" si="57"/>
        <v>0</v>
      </c>
      <c r="K58" s="270">
        <f t="shared" si="57"/>
        <v>0</v>
      </c>
      <c r="L58" s="270">
        <f t="shared" si="57"/>
        <v>0</v>
      </c>
      <c r="M58" s="270">
        <f t="shared" si="57"/>
        <v>0</v>
      </c>
      <c r="N58" s="270">
        <f t="shared" si="57"/>
        <v>0</v>
      </c>
      <c r="O58" s="270">
        <f t="shared" si="57"/>
        <v>0</v>
      </c>
      <c r="P58" s="270">
        <f t="shared" si="57"/>
        <v>0</v>
      </c>
      <c r="Q58" s="271">
        <f t="shared" si="57"/>
        <v>0</v>
      </c>
      <c r="R58" s="270">
        <f t="shared" si="57"/>
        <v>0</v>
      </c>
      <c r="S58" s="270">
        <f t="shared" si="57"/>
        <v>0</v>
      </c>
      <c r="T58" s="269">
        <f t="shared" si="49"/>
        <v>0</v>
      </c>
      <c r="U58" s="270"/>
      <c r="V58" s="270"/>
      <c r="W58" s="269"/>
      <c r="X58" s="221"/>
      <c r="Y58" s="267"/>
    </row>
    <row r="59" spans="1:25" ht="15.6" customHeight="1" outlineLevel="1">
      <c r="A59" s="275" t="s">
        <v>406</v>
      </c>
      <c r="B59" s="274" t="str">
        <f>+B55</f>
        <v>Area 2</v>
      </c>
      <c r="C59" s="272">
        <f t="shared" ref="C59" si="58">IFERROR((C55+C56)/C57,0)</f>
        <v>0</v>
      </c>
      <c r="D59" s="270">
        <f t="shared" ref="D59:S59" si="59">IFERROR((D55+D56)/D57,0)</f>
        <v>0</v>
      </c>
      <c r="E59" s="273">
        <f t="shared" si="59"/>
        <v>0</v>
      </c>
      <c r="F59" s="272">
        <f t="shared" si="59"/>
        <v>0</v>
      </c>
      <c r="G59" s="270">
        <f t="shared" si="59"/>
        <v>0</v>
      </c>
      <c r="H59" s="270">
        <f t="shared" si="59"/>
        <v>0</v>
      </c>
      <c r="I59" s="270">
        <f t="shared" si="59"/>
        <v>0</v>
      </c>
      <c r="J59" s="270">
        <f t="shared" si="59"/>
        <v>0</v>
      </c>
      <c r="K59" s="270">
        <f t="shared" si="59"/>
        <v>0</v>
      </c>
      <c r="L59" s="270">
        <f t="shared" si="59"/>
        <v>0</v>
      </c>
      <c r="M59" s="270">
        <f t="shared" si="59"/>
        <v>0</v>
      </c>
      <c r="N59" s="270">
        <f t="shared" si="59"/>
        <v>0</v>
      </c>
      <c r="O59" s="270">
        <f t="shared" si="59"/>
        <v>0</v>
      </c>
      <c r="P59" s="270">
        <f t="shared" si="59"/>
        <v>0</v>
      </c>
      <c r="Q59" s="271">
        <f t="shared" si="59"/>
        <v>0</v>
      </c>
      <c r="R59" s="270">
        <f t="shared" si="59"/>
        <v>0</v>
      </c>
      <c r="S59" s="270">
        <f t="shared" si="59"/>
        <v>0</v>
      </c>
      <c r="T59" s="269">
        <f t="shared" si="49"/>
        <v>0</v>
      </c>
      <c r="U59" s="270"/>
      <c r="V59" s="270"/>
      <c r="W59" s="269"/>
      <c r="X59" s="221"/>
      <c r="Y59" s="267"/>
    </row>
    <row r="60" spans="1:25" ht="15.6" customHeight="1" outlineLevel="1">
      <c r="A60" s="283" t="s">
        <v>355</v>
      </c>
      <c r="B60" s="282" t="s">
        <v>407</v>
      </c>
      <c r="C60" s="681"/>
      <c r="D60" s="286"/>
      <c r="E60" s="285"/>
      <c r="F60" s="280"/>
      <c r="G60" s="279"/>
      <c r="H60" s="279"/>
      <c r="I60" s="279"/>
      <c r="J60" s="279"/>
      <c r="K60" s="279"/>
      <c r="L60" s="279"/>
      <c r="M60" s="279"/>
      <c r="N60" s="279"/>
      <c r="O60" s="279"/>
      <c r="P60" s="279"/>
      <c r="Q60" s="278"/>
      <c r="R60" s="277">
        <f>SUM(F60:Q60)</f>
        <v>0</v>
      </c>
      <c r="S60" s="276"/>
      <c r="T60" s="713">
        <f t="shared" si="49"/>
        <v>0</v>
      </c>
      <c r="U60" s="284"/>
      <c r="V60" s="790"/>
      <c r="W60" s="793"/>
      <c r="X60" s="221"/>
      <c r="Y60" s="267"/>
    </row>
    <row r="61" spans="1:25" ht="15.6" customHeight="1" outlineLevel="1">
      <c r="A61" s="283" t="s">
        <v>408</v>
      </c>
      <c r="B61" s="282" t="str">
        <f>+B60</f>
        <v>Area 3</v>
      </c>
      <c r="C61" s="681"/>
      <c r="D61" s="286"/>
      <c r="E61" s="285"/>
      <c r="F61" s="280"/>
      <c r="G61" s="279"/>
      <c r="H61" s="279"/>
      <c r="I61" s="279"/>
      <c r="J61" s="279"/>
      <c r="K61" s="279"/>
      <c r="L61" s="279"/>
      <c r="M61" s="279"/>
      <c r="N61" s="279"/>
      <c r="O61" s="279"/>
      <c r="P61" s="279"/>
      <c r="Q61" s="278"/>
      <c r="R61" s="277">
        <f>SUM(F61:Q61)</f>
        <v>0</v>
      </c>
      <c r="S61" s="276"/>
      <c r="T61" s="713">
        <f t="shared" si="49"/>
        <v>0</v>
      </c>
      <c r="U61" s="284"/>
      <c r="V61" s="790"/>
      <c r="W61" s="793"/>
      <c r="X61" s="221"/>
      <c r="Y61" s="267"/>
    </row>
    <row r="62" spans="1:25" ht="15.6" customHeight="1" outlineLevel="1">
      <c r="A62" s="283" t="s">
        <v>357</v>
      </c>
      <c r="B62" s="282" t="str">
        <f>+B60</f>
        <v>Area 3</v>
      </c>
      <c r="C62" s="281"/>
      <c r="D62" s="286"/>
      <c r="E62" s="285"/>
      <c r="F62" s="280"/>
      <c r="G62" s="279"/>
      <c r="H62" s="279"/>
      <c r="I62" s="279"/>
      <c r="J62" s="279"/>
      <c r="K62" s="279"/>
      <c r="L62" s="279"/>
      <c r="M62" s="279"/>
      <c r="N62" s="279"/>
      <c r="O62" s="279"/>
      <c r="P62" s="279"/>
      <c r="Q62" s="278"/>
      <c r="R62" s="277">
        <f>SUM(F62:Q62)</f>
        <v>0</v>
      </c>
      <c r="S62" s="276"/>
      <c r="T62" s="713">
        <f t="shared" si="49"/>
        <v>0</v>
      </c>
      <c r="U62" s="268"/>
      <c r="V62" s="268"/>
      <c r="W62" s="793"/>
      <c r="X62" s="221"/>
      <c r="Y62" s="267"/>
    </row>
    <row r="63" spans="1:25" ht="15.6" customHeight="1" outlineLevel="1">
      <c r="A63" s="275" t="s">
        <v>409</v>
      </c>
      <c r="B63" s="274" t="str">
        <f>+B60</f>
        <v>Area 3</v>
      </c>
      <c r="C63" s="272">
        <f t="shared" ref="C63" si="60">IFERROR(C60/C62,0)</f>
        <v>0</v>
      </c>
      <c r="D63" s="270">
        <f t="shared" ref="D63:S63" si="61">IFERROR(D60/D62,0)</f>
        <v>0</v>
      </c>
      <c r="E63" s="273">
        <f t="shared" si="61"/>
        <v>0</v>
      </c>
      <c r="F63" s="272">
        <f t="shared" si="61"/>
        <v>0</v>
      </c>
      <c r="G63" s="270">
        <f t="shared" si="61"/>
        <v>0</v>
      </c>
      <c r="H63" s="270">
        <f t="shared" si="61"/>
        <v>0</v>
      </c>
      <c r="I63" s="270">
        <f t="shared" si="61"/>
        <v>0</v>
      </c>
      <c r="J63" s="270">
        <f t="shared" si="61"/>
        <v>0</v>
      </c>
      <c r="K63" s="270">
        <f t="shared" si="61"/>
        <v>0</v>
      </c>
      <c r="L63" s="270">
        <f t="shared" si="61"/>
        <v>0</v>
      </c>
      <c r="M63" s="270">
        <f t="shared" si="61"/>
        <v>0</v>
      </c>
      <c r="N63" s="270">
        <f t="shared" si="61"/>
        <v>0</v>
      </c>
      <c r="O63" s="270">
        <f t="shared" si="61"/>
        <v>0</v>
      </c>
      <c r="P63" s="270">
        <f t="shared" si="61"/>
        <v>0</v>
      </c>
      <c r="Q63" s="271">
        <f t="shared" si="61"/>
        <v>0</v>
      </c>
      <c r="R63" s="270">
        <f t="shared" si="61"/>
        <v>0</v>
      </c>
      <c r="S63" s="270">
        <f t="shared" si="61"/>
        <v>0</v>
      </c>
      <c r="T63" s="269">
        <f t="shared" si="49"/>
        <v>0</v>
      </c>
      <c r="U63" s="270"/>
      <c r="V63" s="270"/>
      <c r="W63" s="269"/>
      <c r="X63" s="221"/>
      <c r="Y63" s="267"/>
    </row>
    <row r="64" spans="1:25" ht="15.6" customHeight="1" outlineLevel="1">
      <c r="A64" s="275" t="s">
        <v>410</v>
      </c>
      <c r="B64" s="274" t="str">
        <f>+B60</f>
        <v>Area 3</v>
      </c>
      <c r="C64" s="272">
        <f t="shared" ref="C64" si="62">IFERROR((C60+C61)/C62,0)</f>
        <v>0</v>
      </c>
      <c r="D64" s="270">
        <f t="shared" ref="D64:S64" si="63">IFERROR((D60+D61)/D62,0)</f>
        <v>0</v>
      </c>
      <c r="E64" s="273">
        <f t="shared" si="63"/>
        <v>0</v>
      </c>
      <c r="F64" s="272">
        <f t="shared" si="63"/>
        <v>0</v>
      </c>
      <c r="G64" s="270">
        <f t="shared" si="63"/>
        <v>0</v>
      </c>
      <c r="H64" s="270">
        <f t="shared" si="63"/>
        <v>0</v>
      </c>
      <c r="I64" s="270">
        <f t="shared" si="63"/>
        <v>0</v>
      </c>
      <c r="J64" s="270">
        <f t="shared" si="63"/>
        <v>0</v>
      </c>
      <c r="K64" s="270">
        <f t="shared" si="63"/>
        <v>0</v>
      </c>
      <c r="L64" s="270">
        <f t="shared" si="63"/>
        <v>0</v>
      </c>
      <c r="M64" s="270">
        <f t="shared" si="63"/>
        <v>0</v>
      </c>
      <c r="N64" s="270">
        <f t="shared" si="63"/>
        <v>0</v>
      </c>
      <c r="O64" s="270">
        <f t="shared" si="63"/>
        <v>0</v>
      </c>
      <c r="P64" s="270">
        <f t="shared" si="63"/>
        <v>0</v>
      </c>
      <c r="Q64" s="271">
        <f t="shared" si="63"/>
        <v>0</v>
      </c>
      <c r="R64" s="270">
        <f t="shared" si="63"/>
        <v>0</v>
      </c>
      <c r="S64" s="270">
        <f t="shared" si="63"/>
        <v>0</v>
      </c>
      <c r="T64" s="269">
        <f t="shared" si="49"/>
        <v>0</v>
      </c>
      <c r="U64" s="270"/>
      <c r="V64" s="270"/>
      <c r="W64" s="269"/>
      <c r="X64" s="221"/>
      <c r="Y64" s="267"/>
    </row>
    <row r="65" spans="1:25" ht="15.6" customHeight="1" outlineLevel="1">
      <c r="A65" s="283" t="s">
        <v>359</v>
      </c>
      <c r="B65" s="282" t="s">
        <v>388</v>
      </c>
      <c r="C65" s="681"/>
      <c r="D65" s="286"/>
      <c r="E65" s="285"/>
      <c r="F65" s="280"/>
      <c r="G65" s="279"/>
      <c r="H65" s="279"/>
      <c r="I65" s="279"/>
      <c r="J65" s="279"/>
      <c r="K65" s="279"/>
      <c r="L65" s="279"/>
      <c r="M65" s="279"/>
      <c r="N65" s="279"/>
      <c r="O65" s="279"/>
      <c r="P65" s="279"/>
      <c r="Q65" s="278"/>
      <c r="R65" s="277">
        <f>SUM(F65:Q65)</f>
        <v>0</v>
      </c>
      <c r="S65" s="276"/>
      <c r="T65" s="713">
        <f t="shared" si="49"/>
        <v>0</v>
      </c>
      <c r="U65" s="284"/>
      <c r="V65" s="790"/>
      <c r="W65" s="793"/>
      <c r="X65" s="221"/>
      <c r="Y65" s="267"/>
    </row>
    <row r="66" spans="1:25" ht="15.6" customHeight="1" outlineLevel="1">
      <c r="A66" s="283" t="s">
        <v>411</v>
      </c>
      <c r="B66" s="282" t="s">
        <v>388</v>
      </c>
      <c r="C66" s="325">
        <f>C81-SUM(C61,C56,C51)</f>
        <v>0</v>
      </c>
      <c r="D66" s="286"/>
      <c r="E66" s="324">
        <f>E81-SUM(E61,E56,E51)</f>
        <v>0</v>
      </c>
      <c r="F66" s="682">
        <f t="shared" ref="F66:Q66" si="64">F81-SUM(F61,F56,F51)</f>
        <v>0</v>
      </c>
      <c r="G66" s="683">
        <f t="shared" si="64"/>
        <v>0</v>
      </c>
      <c r="H66" s="683">
        <f t="shared" si="64"/>
        <v>0</v>
      </c>
      <c r="I66" s="683">
        <f t="shared" si="64"/>
        <v>0</v>
      </c>
      <c r="J66" s="683">
        <f t="shared" si="64"/>
        <v>0</v>
      </c>
      <c r="K66" s="683">
        <f t="shared" si="64"/>
        <v>0</v>
      </c>
      <c r="L66" s="683">
        <f t="shared" si="64"/>
        <v>0</v>
      </c>
      <c r="M66" s="683">
        <f t="shared" si="64"/>
        <v>0</v>
      </c>
      <c r="N66" s="683">
        <f t="shared" si="64"/>
        <v>0</v>
      </c>
      <c r="O66" s="683">
        <f t="shared" si="64"/>
        <v>0</v>
      </c>
      <c r="P66" s="683">
        <f t="shared" si="64"/>
        <v>0</v>
      </c>
      <c r="Q66" s="684">
        <f t="shared" si="64"/>
        <v>0</v>
      </c>
      <c r="R66" s="277">
        <f>SUM(F66:Q66)</f>
        <v>0</v>
      </c>
      <c r="S66" s="276"/>
      <c r="T66" s="713">
        <f>R66-E66</f>
        <v>0</v>
      </c>
      <c r="U66" s="284"/>
      <c r="V66" s="790"/>
      <c r="W66" s="793"/>
      <c r="X66" s="221"/>
      <c r="Y66" s="267"/>
    </row>
    <row r="67" spans="1:25" ht="15.6" customHeight="1" outlineLevel="1">
      <c r="A67" s="283" t="s">
        <v>361</v>
      </c>
      <c r="B67" s="282" t="s">
        <v>388</v>
      </c>
      <c r="C67" s="281"/>
      <c r="D67" s="286"/>
      <c r="E67" s="285"/>
      <c r="F67" s="280"/>
      <c r="G67" s="279"/>
      <c r="H67" s="279"/>
      <c r="I67" s="279"/>
      <c r="J67" s="279"/>
      <c r="K67" s="279"/>
      <c r="L67" s="279"/>
      <c r="M67" s="279"/>
      <c r="N67" s="279"/>
      <c r="O67" s="279"/>
      <c r="P67" s="279"/>
      <c r="Q67" s="278"/>
      <c r="R67" s="277">
        <f>SUM(F67:Q67)</f>
        <v>0</v>
      </c>
      <c r="S67" s="276"/>
      <c r="T67" s="713">
        <f t="shared" si="49"/>
        <v>0</v>
      </c>
      <c r="U67" s="268"/>
      <c r="V67" s="268"/>
      <c r="W67" s="793"/>
      <c r="X67" s="221"/>
      <c r="Y67" s="267"/>
    </row>
    <row r="68" spans="1:25" ht="15.6" customHeight="1" outlineLevel="1">
      <c r="A68" s="275" t="s">
        <v>412</v>
      </c>
      <c r="B68" s="274" t="s">
        <v>388</v>
      </c>
      <c r="C68" s="272">
        <f t="shared" ref="C68" si="65">IFERROR(C65/C67,0)</f>
        <v>0</v>
      </c>
      <c r="D68" s="270">
        <f t="shared" ref="D68:S68" si="66">IFERROR(D65/D67,0)</f>
        <v>0</v>
      </c>
      <c r="E68" s="273">
        <f t="shared" si="66"/>
        <v>0</v>
      </c>
      <c r="F68" s="272">
        <f t="shared" si="66"/>
        <v>0</v>
      </c>
      <c r="G68" s="270">
        <f t="shared" si="66"/>
        <v>0</v>
      </c>
      <c r="H68" s="270">
        <f t="shared" si="66"/>
        <v>0</v>
      </c>
      <c r="I68" s="270">
        <f t="shared" si="66"/>
        <v>0</v>
      </c>
      <c r="J68" s="270">
        <f t="shared" si="66"/>
        <v>0</v>
      </c>
      <c r="K68" s="270">
        <f t="shared" si="66"/>
        <v>0</v>
      </c>
      <c r="L68" s="270">
        <f t="shared" si="66"/>
        <v>0</v>
      </c>
      <c r="M68" s="270">
        <f t="shared" si="66"/>
        <v>0</v>
      </c>
      <c r="N68" s="270">
        <f t="shared" si="66"/>
        <v>0</v>
      </c>
      <c r="O68" s="270">
        <f t="shared" si="66"/>
        <v>0</v>
      </c>
      <c r="P68" s="270">
        <f t="shared" si="66"/>
        <v>0</v>
      </c>
      <c r="Q68" s="271">
        <f t="shared" si="66"/>
        <v>0</v>
      </c>
      <c r="R68" s="270">
        <f t="shared" si="66"/>
        <v>0</v>
      </c>
      <c r="S68" s="270">
        <f t="shared" si="66"/>
        <v>0</v>
      </c>
      <c r="T68" s="269">
        <f t="shared" si="49"/>
        <v>0</v>
      </c>
      <c r="U68" s="270"/>
      <c r="V68" s="270"/>
      <c r="W68" s="269"/>
      <c r="X68" s="221"/>
      <c r="Y68" s="267"/>
    </row>
    <row r="69" spans="1:25" ht="15.6" customHeight="1" outlineLevel="1">
      <c r="A69" s="275" t="s">
        <v>413</v>
      </c>
      <c r="B69" s="274" t="s">
        <v>388</v>
      </c>
      <c r="C69" s="272">
        <f t="shared" ref="C69" si="67">IFERROR((C65+C66)/C67,0)</f>
        <v>0</v>
      </c>
      <c r="D69" s="270">
        <f t="shared" ref="D69:S69" si="68">IFERROR((D65+D66)/D67,0)</f>
        <v>0</v>
      </c>
      <c r="E69" s="273">
        <f t="shared" si="68"/>
        <v>0</v>
      </c>
      <c r="F69" s="272">
        <f t="shared" si="68"/>
        <v>0</v>
      </c>
      <c r="G69" s="270">
        <f t="shared" si="68"/>
        <v>0</v>
      </c>
      <c r="H69" s="270">
        <f t="shared" si="68"/>
        <v>0</v>
      </c>
      <c r="I69" s="270">
        <f t="shared" si="68"/>
        <v>0</v>
      </c>
      <c r="J69" s="270">
        <f t="shared" si="68"/>
        <v>0</v>
      </c>
      <c r="K69" s="270">
        <f t="shared" si="68"/>
        <v>0</v>
      </c>
      <c r="L69" s="270">
        <f t="shared" si="68"/>
        <v>0</v>
      </c>
      <c r="M69" s="270">
        <f t="shared" si="68"/>
        <v>0</v>
      </c>
      <c r="N69" s="270">
        <f t="shared" si="68"/>
        <v>0</v>
      </c>
      <c r="O69" s="270">
        <f t="shared" si="68"/>
        <v>0</v>
      </c>
      <c r="P69" s="270">
        <f t="shared" si="68"/>
        <v>0</v>
      </c>
      <c r="Q69" s="271">
        <f t="shared" si="68"/>
        <v>0</v>
      </c>
      <c r="R69" s="270">
        <f t="shared" si="68"/>
        <v>0</v>
      </c>
      <c r="S69" s="270">
        <f t="shared" si="68"/>
        <v>0</v>
      </c>
      <c r="T69" s="269">
        <f t="shared" si="49"/>
        <v>0</v>
      </c>
      <c r="U69" s="270"/>
      <c r="V69" s="270"/>
      <c r="W69" s="269"/>
      <c r="X69" s="221"/>
      <c r="Y69" s="267"/>
    </row>
    <row r="70" spans="1:25" ht="15.6" customHeight="1">
      <c r="A70" s="214" t="s">
        <v>414</v>
      </c>
      <c r="B70" s="215"/>
      <c r="C70" s="266">
        <f t="shared" ref="C70:C71" si="69">+C51+C56+C61+C66</f>
        <v>0</v>
      </c>
      <c r="D70" s="78">
        <f t="shared" ref="D70:S70" si="70">+D51+D56+D61+D66</f>
        <v>0</v>
      </c>
      <c r="E70" s="80">
        <f t="shared" si="70"/>
        <v>0</v>
      </c>
      <c r="F70" s="266">
        <f t="shared" si="70"/>
        <v>0</v>
      </c>
      <c r="G70" s="78">
        <f t="shared" si="70"/>
        <v>0</v>
      </c>
      <c r="H70" s="78">
        <f t="shared" si="70"/>
        <v>0</v>
      </c>
      <c r="I70" s="78">
        <f t="shared" si="70"/>
        <v>0</v>
      </c>
      <c r="J70" s="78">
        <f t="shared" si="70"/>
        <v>0</v>
      </c>
      <c r="K70" s="78">
        <f t="shared" si="70"/>
        <v>0</v>
      </c>
      <c r="L70" s="78">
        <f t="shared" si="70"/>
        <v>0</v>
      </c>
      <c r="M70" s="78">
        <f t="shared" si="70"/>
        <v>0</v>
      </c>
      <c r="N70" s="78">
        <f t="shared" si="70"/>
        <v>0</v>
      </c>
      <c r="O70" s="78">
        <f t="shared" si="70"/>
        <v>0</v>
      </c>
      <c r="P70" s="78">
        <f t="shared" si="70"/>
        <v>0</v>
      </c>
      <c r="Q70" s="265">
        <f t="shared" si="70"/>
        <v>0</v>
      </c>
      <c r="R70" s="78">
        <f t="shared" si="70"/>
        <v>0</v>
      </c>
      <c r="S70" s="265">
        <f t="shared" si="70"/>
        <v>0</v>
      </c>
      <c r="T70" s="287">
        <f>+T51+T56+T61+T66</f>
        <v>0</v>
      </c>
      <c r="U70" s="259"/>
      <c r="V70" s="259"/>
      <c r="W70" s="792"/>
      <c r="X70" s="250"/>
      <c r="Y70" s="220"/>
    </row>
    <row r="71" spans="1:25" ht="15.6" customHeight="1">
      <c r="A71" s="214" t="s">
        <v>392</v>
      </c>
      <c r="B71" s="215"/>
      <c r="C71" s="266">
        <f t="shared" si="69"/>
        <v>0</v>
      </c>
      <c r="D71" s="78">
        <f t="shared" ref="D71:S71" si="71">+D52+D57+D62+D67</f>
        <v>0</v>
      </c>
      <c r="E71" s="80">
        <f t="shared" si="71"/>
        <v>0</v>
      </c>
      <c r="F71" s="266">
        <f t="shared" si="71"/>
        <v>0</v>
      </c>
      <c r="G71" s="78">
        <f t="shared" si="71"/>
        <v>0</v>
      </c>
      <c r="H71" s="78">
        <f t="shared" si="71"/>
        <v>0</v>
      </c>
      <c r="I71" s="78">
        <f t="shared" si="71"/>
        <v>0</v>
      </c>
      <c r="J71" s="78">
        <f t="shared" si="71"/>
        <v>0</v>
      </c>
      <c r="K71" s="78">
        <f t="shared" si="71"/>
        <v>0</v>
      </c>
      <c r="L71" s="78">
        <f t="shared" si="71"/>
        <v>0</v>
      </c>
      <c r="M71" s="78">
        <f t="shared" si="71"/>
        <v>0</v>
      </c>
      <c r="N71" s="78">
        <f t="shared" si="71"/>
        <v>0</v>
      </c>
      <c r="O71" s="78">
        <f t="shared" si="71"/>
        <v>0</v>
      </c>
      <c r="P71" s="78">
        <f t="shared" si="71"/>
        <v>0</v>
      </c>
      <c r="Q71" s="265">
        <f t="shared" si="71"/>
        <v>0</v>
      </c>
      <c r="R71" s="78">
        <f t="shared" si="71"/>
        <v>0</v>
      </c>
      <c r="S71" s="265">
        <f t="shared" si="71"/>
        <v>0</v>
      </c>
      <c r="T71" s="287">
        <f>+T52+T57+T62+T67</f>
        <v>0</v>
      </c>
      <c r="U71" s="259"/>
      <c r="V71" s="259"/>
      <c r="W71" s="792"/>
      <c r="X71" s="250"/>
      <c r="Y71" s="220"/>
    </row>
    <row r="72" spans="1:25" ht="15" customHeight="1">
      <c r="A72" s="214" t="s">
        <v>415</v>
      </c>
      <c r="B72" s="215"/>
      <c r="C72" s="263">
        <f t="shared" ref="C72" si="72">+IFERROR(C70/C71,0)</f>
        <v>0</v>
      </c>
      <c r="D72" s="262">
        <f t="shared" ref="D72:S72" si="73">+IFERROR(D70/D71,0)</f>
        <v>0</v>
      </c>
      <c r="E72" s="264">
        <f t="shared" si="73"/>
        <v>0</v>
      </c>
      <c r="F72" s="263">
        <f t="shared" si="73"/>
        <v>0</v>
      </c>
      <c r="G72" s="262">
        <f t="shared" si="73"/>
        <v>0</v>
      </c>
      <c r="H72" s="262">
        <f t="shared" si="73"/>
        <v>0</v>
      </c>
      <c r="I72" s="262">
        <f t="shared" si="73"/>
        <v>0</v>
      </c>
      <c r="J72" s="262">
        <f t="shared" si="73"/>
        <v>0</v>
      </c>
      <c r="K72" s="262">
        <f t="shared" si="73"/>
        <v>0</v>
      </c>
      <c r="L72" s="262">
        <f t="shared" si="73"/>
        <v>0</v>
      </c>
      <c r="M72" s="262">
        <f t="shared" si="73"/>
        <v>0</v>
      </c>
      <c r="N72" s="262">
        <f t="shared" si="73"/>
        <v>0</v>
      </c>
      <c r="O72" s="262">
        <f t="shared" si="73"/>
        <v>0</v>
      </c>
      <c r="P72" s="262">
        <f t="shared" si="73"/>
        <v>0</v>
      </c>
      <c r="Q72" s="261">
        <f t="shared" si="73"/>
        <v>0</v>
      </c>
      <c r="R72" s="262">
        <f t="shared" si="73"/>
        <v>0</v>
      </c>
      <c r="S72" s="261">
        <f t="shared" si="73"/>
        <v>0</v>
      </c>
      <c r="T72" s="260">
        <f>+-E72</f>
        <v>0</v>
      </c>
      <c r="U72" s="259"/>
      <c r="V72" s="259"/>
      <c r="W72" s="792"/>
      <c r="X72" s="250"/>
      <c r="Y72" s="220"/>
    </row>
    <row r="73" spans="1:25" ht="15" customHeight="1">
      <c r="A73" s="258"/>
      <c r="B73" s="257"/>
      <c r="C73" s="255"/>
      <c r="D73" s="222"/>
      <c r="E73" s="256"/>
      <c r="F73" s="255"/>
      <c r="G73" s="222"/>
      <c r="H73" s="222"/>
      <c r="I73" s="222"/>
      <c r="J73" s="222"/>
      <c r="K73" s="222"/>
      <c r="L73" s="222"/>
      <c r="M73" s="222"/>
      <c r="N73" s="222"/>
      <c r="O73" s="222"/>
      <c r="P73" s="222"/>
      <c r="Q73" s="254"/>
      <c r="R73" s="222"/>
      <c r="S73" s="253"/>
      <c r="T73" s="252"/>
      <c r="U73" s="222"/>
      <c r="V73" s="222"/>
      <c r="W73" s="796"/>
      <c r="X73" s="250"/>
      <c r="Y73" s="220"/>
    </row>
    <row r="74" spans="1:25" s="2" customFormat="1" ht="15" customHeight="1">
      <c r="A74" s="249"/>
      <c r="B74" s="164"/>
      <c r="C74" s="247"/>
      <c r="D74" s="244"/>
      <c r="E74" s="248"/>
      <c r="F74" s="247"/>
      <c r="G74" s="244"/>
      <c r="H74" s="244"/>
      <c r="I74" s="244"/>
      <c r="J74" s="244"/>
      <c r="K74" s="244"/>
      <c r="L74" s="244"/>
      <c r="M74" s="244"/>
      <c r="N74" s="244"/>
      <c r="O74" s="244"/>
      <c r="P74" s="244"/>
      <c r="Q74" s="246"/>
      <c r="R74" s="244"/>
      <c r="S74" s="246"/>
      <c r="T74" s="245"/>
      <c r="U74" s="244"/>
      <c r="V74" s="244"/>
      <c r="W74" s="797"/>
      <c r="X74" s="243"/>
      <c r="Y74" s="242"/>
    </row>
    <row r="75" spans="1:25" s="62" customFormat="1" ht="15" customHeight="1">
      <c r="A75" s="241" t="s">
        <v>391</v>
      </c>
      <c r="B75" s="233"/>
      <c r="C75" s="238">
        <f t="shared" ref="C75:Q75" si="74">C7+C10+C13+C16+C19+C22+C50+C55+C60+C65+C45+C46+C47+C25+C28+C31+C34+C37</f>
        <v>-39055.754000000001</v>
      </c>
      <c r="D75" s="237">
        <f t="shared" si="74"/>
        <v>-168609.79800000001</v>
      </c>
      <c r="E75" s="239">
        <f t="shared" si="74"/>
        <v>-168609.79800000001</v>
      </c>
      <c r="F75" s="238">
        <f t="shared" si="74"/>
        <v>-13248.212</v>
      </c>
      <c r="G75" s="237">
        <f t="shared" si="74"/>
        <v>-12415.996999999999</v>
      </c>
      <c r="H75" s="237">
        <f t="shared" si="74"/>
        <v>-14288.48</v>
      </c>
      <c r="I75" s="237">
        <f t="shared" si="74"/>
        <v>-13931.147000000001</v>
      </c>
      <c r="J75" s="237">
        <f t="shared" si="74"/>
        <v>-12610.779</v>
      </c>
      <c r="K75" s="237">
        <f t="shared" si="74"/>
        <v>-12610.779</v>
      </c>
      <c r="L75" s="237">
        <f t="shared" si="74"/>
        <v>-12610.779</v>
      </c>
      <c r="M75" s="237">
        <f t="shared" si="74"/>
        <v>-11570.511</v>
      </c>
      <c r="N75" s="237">
        <f t="shared" si="74"/>
        <v>-11611.718999999999</v>
      </c>
      <c r="O75" s="237">
        <f t="shared" si="74"/>
        <v>-11969.050999999999</v>
      </c>
      <c r="P75" s="237">
        <f t="shared" si="74"/>
        <v>-12385.157999999999</v>
      </c>
      <c r="Q75" s="236">
        <f t="shared" si="74"/>
        <v>-12385.156000000001</v>
      </c>
      <c r="R75" s="237">
        <f>R7+R10+R13+R16+R19+R22+R50+R55+R60+R65+R45+R46+R47+R25+R28+R31+R34+R37</f>
        <v>-151637.76800000004</v>
      </c>
      <c r="S75" s="236">
        <f>S7+S10+S13+S16+S19+S22+S50+S55+S60+S65+S45+S46+S47</f>
        <v>-130646.07209520001</v>
      </c>
      <c r="T75" s="235">
        <f>T7+T10+T13+T16+T19+T22+T50+T55+T60+T65+T45+T46+T47+T25+T28+T31+T34+T37</f>
        <v>16972.03</v>
      </c>
      <c r="U75" s="228"/>
      <c r="V75" s="237"/>
      <c r="W75" s="798"/>
      <c r="X75" s="226"/>
      <c r="Y75" s="225"/>
    </row>
    <row r="76" spans="1:25" s="62" customFormat="1" ht="15" customHeight="1">
      <c r="A76" s="234" t="s">
        <v>392</v>
      </c>
      <c r="B76" s="233"/>
      <c r="C76" s="238">
        <f>C8+C11+C14+C17+C20+C23+C52+C57+C62+C67+C26+C29+C32+C35+C38</f>
        <v>78052717.702999994</v>
      </c>
      <c r="D76" s="237">
        <f t="shared" ref="D76:R76" si="75">D8+D11+D14+D17+D20+D23+D52+D57+D62+D67+D26+D29+D32+D35+D38</f>
        <v>140545930.37400001</v>
      </c>
      <c r="E76" s="239">
        <f t="shared" si="75"/>
        <v>140545930.37400001</v>
      </c>
      <c r="F76" s="238">
        <f t="shared" si="75"/>
        <v>11127901.289999999</v>
      </c>
      <c r="G76" s="237">
        <f t="shared" si="75"/>
        <v>10434389.289999999</v>
      </c>
      <c r="H76" s="237">
        <f t="shared" si="75"/>
        <v>11994791.289999999</v>
      </c>
      <c r="I76" s="237">
        <f t="shared" si="75"/>
        <v>11697014.333000001</v>
      </c>
      <c r="J76" s="237">
        <f t="shared" si="75"/>
        <v>10596707.132999999</v>
      </c>
      <c r="K76" s="237">
        <f t="shared" si="75"/>
        <v>10596707.132999999</v>
      </c>
      <c r="L76" s="237">
        <f t="shared" si="75"/>
        <v>10596707.132999999</v>
      </c>
      <c r="M76" s="237">
        <f t="shared" si="75"/>
        <v>9729817.1339999996</v>
      </c>
      <c r="N76" s="237">
        <f t="shared" si="75"/>
        <v>9764157.2880000006</v>
      </c>
      <c r="O76" s="237">
        <f t="shared" si="75"/>
        <v>10061934.243000001</v>
      </c>
      <c r="P76" s="237">
        <f t="shared" si="75"/>
        <v>10408690.243000001</v>
      </c>
      <c r="Q76" s="236">
        <f t="shared" si="75"/>
        <v>10408690.245999999</v>
      </c>
      <c r="R76" s="237">
        <f t="shared" si="75"/>
        <v>127417506.75599998</v>
      </c>
      <c r="S76" s="236">
        <f>S8+S11+S14+S17+S20+S23+S52+S57+S62+S67</f>
        <v>108871726.74599999</v>
      </c>
      <c r="T76" s="235">
        <f>T8+T11+T14+T17+T20+T23+T52+T57+T62+T67+T26+T29+T32+T35+T38</f>
        <v>-13128423.618000016</v>
      </c>
      <c r="U76" s="228"/>
      <c r="V76" s="228"/>
      <c r="W76" s="799"/>
      <c r="X76" s="226"/>
      <c r="Y76" s="225"/>
    </row>
    <row r="77" spans="1:25" s="62" customFormat="1" ht="15" customHeight="1">
      <c r="A77" s="234" t="s">
        <v>393</v>
      </c>
      <c r="B77" s="233"/>
      <c r="C77" s="231">
        <f t="shared" ref="C77:D77" si="76">IFERROR(C75/C76,0)</f>
        <v>-5.0037660634203482E-4</v>
      </c>
      <c r="D77" s="228">
        <f t="shared" si="76"/>
        <v>-1.1996775541726508E-3</v>
      </c>
      <c r="E77" s="232">
        <f t="shared" ref="E77:T77" si="77">IFERROR(E75/E76,0)</f>
        <v>-1.1996775541726508E-3</v>
      </c>
      <c r="F77" s="231">
        <f t="shared" si="77"/>
        <v>-1.1905400357842318E-3</v>
      </c>
      <c r="G77" s="228">
        <f t="shared" si="77"/>
        <v>-1.1899112305402591E-3</v>
      </c>
      <c r="H77" s="228">
        <f t="shared" si="77"/>
        <v>-1.1912237282454626E-3</v>
      </c>
      <c r="I77" s="228">
        <f t="shared" si="77"/>
        <v>-1.1910002504397204E-3</v>
      </c>
      <c r="J77" s="228">
        <f t="shared" si="77"/>
        <v>-1.1900658234413055E-3</v>
      </c>
      <c r="K77" s="228">
        <f t="shared" si="77"/>
        <v>-1.1900658234413055E-3</v>
      </c>
      <c r="L77" s="228">
        <f t="shared" si="77"/>
        <v>-1.1900658234413055E-3</v>
      </c>
      <c r="M77" s="228">
        <f t="shared" si="77"/>
        <v>-1.1891807256652189E-3</v>
      </c>
      <c r="N77" s="228">
        <f t="shared" si="77"/>
        <v>-1.1892187576976688E-3</v>
      </c>
      <c r="O77" s="228">
        <f t="shared" si="77"/>
        <v>-1.1895377877595217E-3</v>
      </c>
      <c r="P77" s="228">
        <f t="shared" si="77"/>
        <v>-1.1898863075812255E-3</v>
      </c>
      <c r="Q77" s="230">
        <f t="shared" si="77"/>
        <v>-1.1898861150911419E-3</v>
      </c>
      <c r="R77" s="228">
        <f t="shared" si="77"/>
        <v>-1.1900858199209705E-3</v>
      </c>
      <c r="S77" s="230">
        <f t="shared" si="77"/>
        <v>-1.2000000000000001E-3</v>
      </c>
      <c r="T77" s="229">
        <f t="shared" si="77"/>
        <v>-1.2927698323757714E-3</v>
      </c>
      <c r="U77" s="228"/>
      <c r="V77" s="228"/>
      <c r="W77" s="799"/>
      <c r="X77" s="226"/>
      <c r="Y77" s="225"/>
    </row>
    <row r="78" spans="1:25" ht="15" customHeight="1">
      <c r="B78" s="947"/>
      <c r="C78" s="948"/>
      <c r="D78" s="224"/>
      <c r="E78" s="223"/>
      <c r="F78" s="224"/>
      <c r="G78" s="224"/>
      <c r="H78" s="224"/>
      <c r="I78" s="224"/>
      <c r="J78" s="224"/>
      <c r="K78" s="224"/>
      <c r="L78" s="224"/>
      <c r="M78" s="224"/>
      <c r="N78" s="224"/>
      <c r="O78" s="224"/>
      <c r="P78" s="224"/>
      <c r="Q78" s="296"/>
      <c r="R78" s="224"/>
      <c r="S78" s="296"/>
      <c r="T78" s="224"/>
      <c r="U78" s="222"/>
      <c r="V78" s="296"/>
      <c r="W78" s="224"/>
      <c r="X78" s="221"/>
      <c r="Y78" s="220"/>
    </row>
    <row r="79" spans="1:25" ht="15" customHeight="1">
      <c r="A79" s="645" t="s">
        <v>416</v>
      </c>
      <c r="B79" s="648"/>
      <c r="C79" s="948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96"/>
      <c r="R79" s="224"/>
      <c r="S79" s="296"/>
      <c r="T79" s="224"/>
      <c r="U79" s="2"/>
      <c r="V79" s="296"/>
      <c r="W79" s="224"/>
    </row>
    <row r="80" spans="1:25" ht="15" customHeight="1">
      <c r="A80" s="646" t="s">
        <v>417</v>
      </c>
      <c r="B80" s="648"/>
      <c r="C80" s="649">
        <f>'P&amp;L'!F44</f>
        <v>-39055.754000000001</v>
      </c>
      <c r="D80" s="648"/>
      <c r="E80" s="648">
        <f>'P&amp;L'!H44</f>
        <v>-168609.79800000001</v>
      </c>
      <c r="F80" s="649">
        <f>'P&amp;L_seasonal'!D44</f>
        <v>-13248.212</v>
      </c>
      <c r="G80" s="648">
        <f>'P&amp;L_seasonal'!E44</f>
        <v>-12415.996999999999</v>
      </c>
      <c r="H80" s="648">
        <f>'P&amp;L_seasonal'!F44</f>
        <v>-14288.48</v>
      </c>
      <c r="I80" s="648">
        <f>'P&amp;L_seasonal'!G44</f>
        <v>-13931.147000000001</v>
      </c>
      <c r="J80" s="648">
        <f>'P&amp;L_seasonal'!H44</f>
        <v>-12610.779</v>
      </c>
      <c r="K80" s="648">
        <f>'P&amp;L_seasonal'!I44</f>
        <v>-12610.779</v>
      </c>
      <c r="L80" s="648">
        <f>'P&amp;L_seasonal'!J44</f>
        <v>-12610.779</v>
      </c>
      <c r="M80" s="648">
        <f>'P&amp;L_seasonal'!K44</f>
        <v>-11570.511</v>
      </c>
      <c r="N80" s="648">
        <f>'P&amp;L_seasonal'!L44</f>
        <v>-11611.718999999999</v>
      </c>
      <c r="O80" s="648">
        <f>'P&amp;L_seasonal'!M44</f>
        <v>-11969.050999999999</v>
      </c>
      <c r="P80" s="648">
        <f>'P&amp;L_seasonal'!N44</f>
        <v>-12385.157999999999</v>
      </c>
      <c r="Q80" s="648">
        <f>'P&amp;L_seasonal'!O44</f>
        <v>-12385.156000000001</v>
      </c>
      <c r="R80" s="649">
        <f>'P&amp;L'!I44</f>
        <v>-151637.76800000001</v>
      </c>
      <c r="S80" s="648"/>
      <c r="T80" s="649">
        <f t="shared" ref="T80:T82" si="78">R80-E80</f>
        <v>16972.03</v>
      </c>
      <c r="U80" s="647"/>
      <c r="V80" s="648"/>
      <c r="W80" s="800"/>
    </row>
    <row r="81" spans="1:23" ht="15" customHeight="1">
      <c r="A81" s="650" t="s">
        <v>418</v>
      </c>
      <c r="B81" s="648"/>
      <c r="C81" s="649">
        <f>'P&amp;L'!F46</f>
        <v>0</v>
      </c>
      <c r="D81" s="648"/>
      <c r="E81" s="648">
        <f>'P&amp;L'!H46</f>
        <v>0</v>
      </c>
      <c r="F81" s="649">
        <f>'P&amp;L_seasonal'!D46</f>
        <v>0</v>
      </c>
      <c r="G81" s="648">
        <f>'P&amp;L_seasonal'!E46</f>
        <v>0</v>
      </c>
      <c r="H81" s="648">
        <f>'P&amp;L_seasonal'!F46</f>
        <v>0</v>
      </c>
      <c r="I81" s="648">
        <f>'P&amp;L_seasonal'!G46</f>
        <v>0</v>
      </c>
      <c r="J81" s="648">
        <f>'P&amp;L_seasonal'!H46</f>
        <v>0</v>
      </c>
      <c r="K81" s="648">
        <f>'P&amp;L_seasonal'!I46</f>
        <v>0</v>
      </c>
      <c r="L81" s="648">
        <f>'P&amp;L_seasonal'!J46</f>
        <v>0</v>
      </c>
      <c r="M81" s="648">
        <f>'P&amp;L_seasonal'!K46</f>
        <v>0</v>
      </c>
      <c r="N81" s="648">
        <f>'P&amp;L_seasonal'!L46</f>
        <v>0</v>
      </c>
      <c r="O81" s="648">
        <f>'P&amp;L_seasonal'!M46</f>
        <v>0</v>
      </c>
      <c r="P81" s="648">
        <f>'P&amp;L_seasonal'!N46</f>
        <v>0</v>
      </c>
      <c r="Q81" s="648">
        <f>'P&amp;L_seasonal'!O46</f>
        <v>0</v>
      </c>
      <c r="R81" s="649">
        <f>'P&amp;L'!I46</f>
        <v>0</v>
      </c>
      <c r="S81" s="648"/>
      <c r="T81" s="649">
        <f t="shared" si="78"/>
        <v>0</v>
      </c>
      <c r="U81" s="647"/>
      <c r="V81" s="647"/>
      <c r="W81" s="801"/>
    </row>
    <row r="82" spans="1:23" ht="15" customHeight="1">
      <c r="A82" s="650" t="s">
        <v>419</v>
      </c>
      <c r="B82" s="648"/>
      <c r="C82" s="649">
        <f>'P&amp;L'!F8</f>
        <v>78052717.702999994</v>
      </c>
      <c r="D82" s="648"/>
      <c r="E82" s="648">
        <f>'P&amp;L'!H8</f>
        <v>140545930.37400001</v>
      </c>
      <c r="F82" s="649">
        <f>'P&amp;L_seasonal'!D8</f>
        <v>11127901.289999999</v>
      </c>
      <c r="G82" s="648">
        <f>'P&amp;L_seasonal'!E8</f>
        <v>10434389.289999999</v>
      </c>
      <c r="H82" s="648">
        <f>'P&amp;L_seasonal'!F8</f>
        <v>11994791.289999999</v>
      </c>
      <c r="I82" s="648">
        <f>'P&amp;L_seasonal'!G8</f>
        <v>11697014.333000001</v>
      </c>
      <c r="J82" s="648">
        <f>'P&amp;L_seasonal'!H8</f>
        <v>10596707.132999999</v>
      </c>
      <c r="K82" s="648">
        <f>'P&amp;L_seasonal'!I8</f>
        <v>10596707.132999999</v>
      </c>
      <c r="L82" s="648">
        <f>'P&amp;L_seasonal'!J8</f>
        <v>10596707.132999999</v>
      </c>
      <c r="M82" s="648">
        <f>'P&amp;L_seasonal'!K8</f>
        <v>9729817.1339999996</v>
      </c>
      <c r="N82" s="648">
        <f>'P&amp;L_seasonal'!L8</f>
        <v>9764157.2880000006</v>
      </c>
      <c r="O82" s="648">
        <f>'P&amp;L_seasonal'!M8</f>
        <v>10061934.243000001</v>
      </c>
      <c r="P82" s="648">
        <f>'P&amp;L_seasonal'!N8</f>
        <v>10408690.243000001</v>
      </c>
      <c r="Q82" s="648">
        <f>'P&amp;L_seasonal'!O8</f>
        <v>10408690.245999999</v>
      </c>
      <c r="R82" s="649">
        <f>'P&amp;L'!I8</f>
        <v>127417506.756</v>
      </c>
      <c r="S82" s="647"/>
      <c r="T82" s="649">
        <f t="shared" si="78"/>
        <v>-13128423.618000016</v>
      </c>
      <c r="U82" s="647"/>
      <c r="V82" s="647"/>
      <c r="W82" s="801"/>
    </row>
    <row r="83" spans="1:23" ht="15" customHeight="1">
      <c r="B83" s="5" t="s">
        <v>420</v>
      </c>
      <c r="C83" s="766">
        <f>C75-C80</f>
        <v>0</v>
      </c>
      <c r="D83" s="96"/>
      <c r="E83" s="96">
        <f>E75-E80</f>
        <v>0</v>
      </c>
      <c r="F83" s="766">
        <f t="shared" ref="F83:Q83" si="79">F75-F80</f>
        <v>0</v>
      </c>
      <c r="G83" s="96">
        <f t="shared" si="79"/>
        <v>0</v>
      </c>
      <c r="H83" s="96">
        <f t="shared" si="79"/>
        <v>0</v>
      </c>
      <c r="I83" s="96">
        <f t="shared" si="79"/>
        <v>0</v>
      </c>
      <c r="J83" s="96">
        <f t="shared" si="79"/>
        <v>0</v>
      </c>
      <c r="K83" s="96">
        <f t="shared" si="79"/>
        <v>0</v>
      </c>
      <c r="L83" s="96">
        <f t="shared" si="79"/>
        <v>0</v>
      </c>
      <c r="M83" s="96">
        <f t="shared" si="79"/>
        <v>0</v>
      </c>
      <c r="N83" s="96">
        <f t="shared" si="79"/>
        <v>0</v>
      </c>
      <c r="O83" s="96">
        <f t="shared" si="79"/>
        <v>0</v>
      </c>
      <c r="P83" s="96">
        <f t="shared" si="79"/>
        <v>0</v>
      </c>
      <c r="Q83" s="96">
        <f t="shared" si="79"/>
        <v>0</v>
      </c>
      <c r="R83" s="766">
        <f>R75-R80</f>
        <v>0</v>
      </c>
      <c r="S83" s="96"/>
      <c r="T83" s="766">
        <f>T80-T75</f>
        <v>0</v>
      </c>
      <c r="W83" s="802"/>
    </row>
    <row r="84" spans="1:23" ht="15" customHeight="1">
      <c r="B84" s="5" t="s">
        <v>421</v>
      </c>
      <c r="C84" s="766">
        <f>C70-C81</f>
        <v>0</v>
      </c>
      <c r="D84" s="96"/>
      <c r="E84" s="96">
        <f>E70-E81</f>
        <v>0</v>
      </c>
      <c r="F84" s="766">
        <f t="shared" ref="F84:Q84" si="80">F70-F81</f>
        <v>0</v>
      </c>
      <c r="G84" s="96">
        <f t="shared" si="80"/>
        <v>0</v>
      </c>
      <c r="H84" s="96">
        <f t="shared" si="80"/>
        <v>0</v>
      </c>
      <c r="I84" s="96">
        <f t="shared" si="80"/>
        <v>0</v>
      </c>
      <c r="J84" s="96">
        <f t="shared" si="80"/>
        <v>0</v>
      </c>
      <c r="K84" s="96">
        <f t="shared" si="80"/>
        <v>0</v>
      </c>
      <c r="L84" s="96">
        <f t="shared" si="80"/>
        <v>0</v>
      </c>
      <c r="M84" s="96">
        <f t="shared" si="80"/>
        <v>0</v>
      </c>
      <c r="N84" s="96">
        <f t="shared" si="80"/>
        <v>0</v>
      </c>
      <c r="O84" s="96">
        <f t="shared" si="80"/>
        <v>0</v>
      </c>
      <c r="P84" s="96">
        <f t="shared" si="80"/>
        <v>0</v>
      </c>
      <c r="Q84" s="96">
        <f t="shared" si="80"/>
        <v>0</v>
      </c>
      <c r="R84" s="766">
        <f>R70-R81</f>
        <v>0</v>
      </c>
      <c r="S84" s="96"/>
      <c r="T84" s="766">
        <f>T70-T81</f>
        <v>0</v>
      </c>
      <c r="W84" s="802"/>
    </row>
    <row r="85" spans="1:23" ht="15" customHeight="1">
      <c r="B85" s="5" t="s">
        <v>422</v>
      </c>
      <c r="C85" s="766">
        <f>C76-C82</f>
        <v>0</v>
      </c>
      <c r="D85" s="96"/>
      <c r="E85" s="96">
        <f>E76-E82</f>
        <v>0</v>
      </c>
      <c r="F85" s="766">
        <f t="shared" ref="F85:Q85" si="81">F76-F82</f>
        <v>0</v>
      </c>
      <c r="G85" s="96">
        <f t="shared" si="81"/>
        <v>0</v>
      </c>
      <c r="H85" s="96">
        <f t="shared" si="81"/>
        <v>0</v>
      </c>
      <c r="I85" s="96">
        <f t="shared" si="81"/>
        <v>0</v>
      </c>
      <c r="J85" s="96">
        <f t="shared" si="81"/>
        <v>0</v>
      </c>
      <c r="K85" s="96">
        <f t="shared" si="81"/>
        <v>0</v>
      </c>
      <c r="L85" s="96">
        <f t="shared" si="81"/>
        <v>0</v>
      </c>
      <c r="M85" s="96">
        <f t="shared" si="81"/>
        <v>0</v>
      </c>
      <c r="N85" s="96">
        <f t="shared" si="81"/>
        <v>0</v>
      </c>
      <c r="O85" s="96">
        <f t="shared" si="81"/>
        <v>0</v>
      </c>
      <c r="P85" s="96">
        <f t="shared" si="81"/>
        <v>0</v>
      </c>
      <c r="Q85" s="96">
        <f t="shared" si="81"/>
        <v>0</v>
      </c>
      <c r="R85" s="766">
        <f>R76-R82</f>
        <v>0</v>
      </c>
      <c r="S85" s="96"/>
      <c r="T85" s="766">
        <f>T76-T82</f>
        <v>0</v>
      </c>
      <c r="W85" s="802"/>
    </row>
    <row r="86" spans="1:23" ht="15" customHeight="1"/>
    <row r="87" spans="1:23" ht="15" customHeight="1"/>
    <row r="88" spans="1:23" ht="15" customHeight="1"/>
  </sheetData>
  <mergeCells count="6">
    <mergeCell ref="T4:V4"/>
    <mergeCell ref="A4:B4"/>
    <mergeCell ref="A5:B5"/>
    <mergeCell ref="F4:Q4"/>
    <mergeCell ref="R4:S4"/>
    <mergeCell ref="C4:E4"/>
  </mergeCells>
  <phoneticPr fontId="65" type="noConversion"/>
  <conditionalFormatting sqref="C83:T85">
    <cfRule type="cellIs" dxfId="8" priority="1" operator="notEqual">
      <formula>0</formula>
    </cfRule>
  </conditionalFormatting>
  <hyperlinks>
    <hyperlink ref="D1" location="Content!A1" display="Budget 2021" xr:uid="{29F1EB91-403C-44D7-870B-09A2AFFD71A0}"/>
  </hyperlinks>
  <pageMargins left="0.70866141732283472" right="0.70866141732283472" top="0.74803149606299213" bottom="0.74803149606299213" header="0.31496062992125984" footer="0.31496062992125984"/>
  <pageSetup paperSize="9" scale="46" orientation="landscape" r:id="rId1"/>
  <customProperties>
    <customPr name="_pios_id" r:id="rId2"/>
  </customProperties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EE14B-EC49-4CA3-9C34-7ED7D7ACC3C8}">
  <sheetPr>
    <pageSetUpPr fitToPage="1"/>
  </sheetPr>
  <dimension ref="A1:Y78"/>
  <sheetViews>
    <sheetView showGridLines="0" zoomScale="90" zoomScaleNormal="90" workbookViewId="0">
      <pane xSplit="2" ySplit="5" topLeftCell="C6" activePane="bottomRight" state="frozen"/>
      <selection pane="topRight" activeCell="A30" sqref="A30:G30"/>
      <selection pane="bottomLeft" activeCell="A30" sqref="A30:G30"/>
      <selection pane="bottomRight" activeCell="G42" sqref="G42"/>
    </sheetView>
  </sheetViews>
  <sheetFormatPr defaultColWidth="8.7109375" defaultRowHeight="12.75" customHeight="1" outlineLevelRow="1"/>
  <cols>
    <col min="1" max="1" width="41.28515625" style="221" customWidth="1"/>
    <col min="2" max="2" width="20.28515625" style="221" customWidth="1"/>
    <col min="3" max="3" width="13.28515625" style="221" customWidth="1"/>
    <col min="4" max="5" width="11.7109375" style="221" customWidth="1"/>
    <col min="6" max="16" width="8.7109375" style="221" customWidth="1"/>
    <col min="17" max="17" width="12.28515625" style="221" bestFit="1" customWidth="1"/>
    <col min="18" max="18" width="11" style="221" customWidth="1"/>
    <col min="19" max="19" width="11.7109375" style="221" customWidth="1"/>
    <col min="20" max="20" width="12.28515625" style="221" customWidth="1"/>
    <col min="21" max="21" width="15.28515625" style="221" customWidth="1"/>
    <col min="22" max="22" width="10.7109375" style="221" customWidth="1"/>
    <col min="23" max="23" width="48.7109375" style="221" bestFit="1" customWidth="1"/>
    <col min="24" max="24" width="5.28515625" style="221" customWidth="1"/>
    <col min="25" max="25" width="66.7109375" style="221" customWidth="1"/>
    <col min="26" max="16384" width="8.7109375" style="221"/>
  </cols>
  <sheetData>
    <row r="1" spans="1:25" ht="20.100000000000001" customHeight="1">
      <c r="A1" s="60" t="str">
        <f>+'0. Instructions'!A1</f>
        <v>Budget 2024</v>
      </c>
      <c r="D1" s="307"/>
      <c r="F1" s="219"/>
      <c r="G1" s="219"/>
      <c r="H1" s="58"/>
      <c r="I1" s="60"/>
      <c r="J1" s="60"/>
      <c r="K1" s="60"/>
      <c r="L1" s="219"/>
      <c r="M1" s="219"/>
      <c r="N1" s="219"/>
      <c r="O1" s="58"/>
      <c r="P1" s="60"/>
      <c r="Q1" s="60"/>
      <c r="R1" s="60"/>
      <c r="S1" s="219"/>
      <c r="T1" s="219"/>
      <c r="U1" s="219"/>
      <c r="V1" s="58"/>
      <c r="W1" s="60" t="str">
        <f>'Input-FX Rates'!$H$1</f>
        <v>Plant ICH Icheon (242)</v>
      </c>
      <c r="X1" s="306"/>
      <c r="Y1" s="56" t="s">
        <v>154</v>
      </c>
    </row>
    <row r="2" spans="1:25" ht="20.100000000000001" customHeight="1" thickBot="1">
      <c r="A2" s="55" t="s">
        <v>326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 t="str">
        <f>'Input-FX Rates'!$H$2</f>
        <v>7821 PL Drivetrain Controls (&amp; Electrification)</v>
      </c>
      <c r="Y2" s="95" t="s">
        <v>156</v>
      </c>
    </row>
    <row r="3" spans="1:25" ht="13.5" customHeight="1"/>
    <row r="4" spans="1:25" ht="36.75" customHeight="1">
      <c r="A4" s="1035" t="str">
        <f>"in '000 "&amp;"EUR"</f>
        <v>in '000 EUR</v>
      </c>
      <c r="B4" s="1038"/>
      <c r="C4" s="1037">
        <v>2023</v>
      </c>
      <c r="D4" s="1035"/>
      <c r="E4" s="1038"/>
      <c r="F4" s="1037">
        <v>2024</v>
      </c>
      <c r="G4" s="1035"/>
      <c r="H4" s="1035"/>
      <c r="I4" s="1035"/>
      <c r="J4" s="1035"/>
      <c r="K4" s="1035"/>
      <c r="L4" s="1035"/>
      <c r="M4" s="1035"/>
      <c r="N4" s="1035"/>
      <c r="O4" s="1035"/>
      <c r="P4" s="1035"/>
      <c r="Q4" s="1036"/>
      <c r="R4" s="1039">
        <v>2024</v>
      </c>
      <c r="S4" s="1036" t="s">
        <v>257</v>
      </c>
      <c r="T4" s="1039" t="s">
        <v>327</v>
      </c>
      <c r="U4" s="1035"/>
      <c r="V4" s="1036"/>
      <c r="W4" s="187" t="s">
        <v>208</v>
      </c>
    </row>
    <row r="5" spans="1:25" ht="45" customHeight="1">
      <c r="A5" s="1035"/>
      <c r="B5" s="1038"/>
      <c r="C5" s="659" t="s">
        <v>248</v>
      </c>
      <c r="D5" s="187" t="s">
        <v>423</v>
      </c>
      <c r="E5" s="188" t="s">
        <v>19</v>
      </c>
      <c r="F5" s="659" t="s">
        <v>329</v>
      </c>
      <c r="G5" s="187" t="s">
        <v>330</v>
      </c>
      <c r="H5" s="187" t="s">
        <v>331</v>
      </c>
      <c r="I5" s="187" t="s">
        <v>332</v>
      </c>
      <c r="J5" s="187" t="s">
        <v>333</v>
      </c>
      <c r="K5" s="187" t="s">
        <v>334</v>
      </c>
      <c r="L5" s="187" t="s">
        <v>335</v>
      </c>
      <c r="M5" s="187" t="s">
        <v>336</v>
      </c>
      <c r="N5" s="187" t="s">
        <v>337</v>
      </c>
      <c r="O5" s="187" t="s">
        <v>338</v>
      </c>
      <c r="P5" s="187" t="s">
        <v>339</v>
      </c>
      <c r="Q5" s="658" t="s">
        <v>340</v>
      </c>
      <c r="R5" s="187" t="s">
        <v>15</v>
      </c>
      <c r="S5" s="658" t="s">
        <v>257</v>
      </c>
      <c r="T5" s="187" t="s">
        <v>341</v>
      </c>
      <c r="U5" s="187" t="s">
        <v>342</v>
      </c>
      <c r="V5" s="658" t="s">
        <v>343</v>
      </c>
      <c r="W5" s="187"/>
    </row>
    <row r="6" spans="1:25" ht="17.649999999999999" customHeight="1" outlineLevel="1">
      <c r="A6" s="214" t="s">
        <v>344</v>
      </c>
      <c r="B6" s="215"/>
      <c r="C6" s="266"/>
      <c r="D6" s="78"/>
      <c r="E6" s="80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80"/>
      <c r="R6" s="266"/>
      <c r="S6" s="80"/>
      <c r="T6" s="78"/>
      <c r="U6" s="78"/>
      <c r="V6" s="265"/>
      <c r="W6" s="214" t="str">
        <f>IF(ISBLANK('3. Scrap (LC)'!W6),"",'3. Scrap (LC)'!W6)</f>
        <v/>
      </c>
      <c r="Y6" s="267"/>
    </row>
    <row r="7" spans="1:25" s="243" customFormat="1" ht="17.649999999999999" customHeight="1" outlineLevel="1">
      <c r="A7" s="327" t="s">
        <v>345</v>
      </c>
      <c r="B7" s="326" t="str">
        <f>+'3. Scrap (LC)'!B7</f>
        <v>GAD701 Gen2 GA</v>
      </c>
      <c r="C7" s="325">
        <f>IFERROR('3. Scrap (LC)'!C7/'Input-FX Rates'!$E$16,0)</f>
        <v>-12.477960400777173</v>
      </c>
      <c r="D7" s="323">
        <f>IFERROR('3. Scrap (LC)'!D7/'Input-FX Rates'!$G$16,0)</f>
        <v>-30.740601630226102</v>
      </c>
      <c r="E7" s="324">
        <f>IFERROR('3. Scrap (LC)'!E7/'Input-FX Rates'!$G$16,0)</f>
        <v>-30.740601630226102</v>
      </c>
      <c r="F7" s="323">
        <f>IFERROR('3. Scrap (LC)'!F7/'Input-FX Rates'!$H$16,0)</f>
        <v>-2.3656286891076928</v>
      </c>
      <c r="G7" s="323">
        <f>IFERROR('3. Scrap (LC)'!G7/'Input-FX Rates'!$H$16,0)</f>
        <v>-2.1455702064</v>
      </c>
      <c r="H7" s="323">
        <f>IFERROR('3. Scrap (LC)'!H7/'Input-FX Rates'!$H$16,0)</f>
        <v>-2.6407017924923073</v>
      </c>
      <c r="I7" s="323">
        <f>IFERROR('3. Scrap (LC)'!I7/'Input-FX Rates'!$H$16,0)</f>
        <v>-2.5306725516169015</v>
      </c>
      <c r="J7" s="323">
        <f>IFERROR('3. Scrap (LC)'!J7/'Input-FX Rates'!$H$16,0)</f>
        <v>-2.2005848274929578</v>
      </c>
      <c r="K7" s="323">
        <f>IFERROR('3. Scrap (LC)'!K7/'Input-FX Rates'!$H$16,0)</f>
        <v>-2.2005848274929578</v>
      </c>
      <c r="L7" s="323">
        <f>IFERROR('3. Scrap (LC)'!L7/'Input-FX Rates'!$H$16,0)</f>
        <v>-2.2005848274929578</v>
      </c>
      <c r="M7" s="323">
        <f>IFERROR('3. Scrap (LC)'!M7/'Input-FX Rates'!$H$16,0)</f>
        <v>-1.925511724056338</v>
      </c>
      <c r="N7" s="323">
        <f>IFERROR('3. Scrap (LC)'!N7/'Input-FX Rates'!$H$16,0)</f>
        <v>-1.9805263447436616</v>
      </c>
      <c r="O7" s="323">
        <f>IFERROR('3. Scrap (LC)'!O7/'Input-FX Rates'!$H$16,0)</f>
        <v>-2.0905555861183092</v>
      </c>
      <c r="P7" s="323">
        <f>IFERROR('3. Scrap (LC)'!P7/'Input-FX Rates'!$H$16,0)</f>
        <v>-2.2005848274929578</v>
      </c>
      <c r="Q7" s="324">
        <f>IFERROR('3. Scrap (LC)'!Q7/'Input-FX Rates'!$H$16,0)</f>
        <v>-2.2005848274929578</v>
      </c>
      <c r="R7" s="325">
        <f>SUM(F7:Q7)</f>
        <v>-26.682091031999999</v>
      </c>
      <c r="S7" s="324">
        <f>IFERROR('3. Scrap (LC)'!S7/'Input-FX Rates'!$H$16,0)</f>
        <v>-26.682091031999999</v>
      </c>
      <c r="T7" s="323">
        <f t="shared" ref="T7:T42" si="0">R7-E7</f>
        <v>4.0585105982261034</v>
      </c>
      <c r="U7" s="329">
        <f>R7-E9*R8</f>
        <v>-9.6571890094750756E-2</v>
      </c>
      <c r="V7" s="328">
        <f>IFERROR(R8/E8*E7-E7,0)</f>
        <v>4.1550824883208577</v>
      </c>
      <c r="W7" s="320" t="str">
        <f>IF(ISBLANK('3. Scrap (LC)'!W7),"",'3. Scrap (LC)'!W7)</f>
        <v/>
      </c>
      <c r="Y7" s="267" t="s">
        <v>347</v>
      </c>
    </row>
    <row r="8" spans="1:25" s="243" customFormat="1" ht="17.649999999999999" customHeight="1" outlineLevel="1">
      <c r="A8" s="327" t="s">
        <v>348</v>
      </c>
      <c r="B8" s="326" t="str">
        <f>+'3. Scrap (LC)'!B8</f>
        <v>GAD701 Gen2 GA</v>
      </c>
      <c r="C8" s="325">
        <f>IFERROR('3. Scrap (LC)'!C8/'Input-FX Rates'!$E$16,0)</f>
        <v>14644.000470347792</v>
      </c>
      <c r="D8" s="323">
        <f>IFERROR('3. Scrap (LC)'!D8/'Input-FX Rates'!$G$16,0)</f>
        <v>25710.222380149942</v>
      </c>
      <c r="E8" s="324">
        <f>IFERROR('3. Scrap (LC)'!E8/'Input-FX Rates'!$G$16,0)</f>
        <v>25710.222380149942</v>
      </c>
      <c r="F8" s="323">
        <f>IFERROR('3. Scrap (LC)'!F8/'Input-FX Rates'!$H$16,0)</f>
        <v>1971.3572409230771</v>
      </c>
      <c r="G8" s="323">
        <f>IFERROR('3. Scrap (LC)'!G8/'Input-FX Rates'!$H$16,0)</f>
        <v>1787.9751720000002</v>
      </c>
      <c r="H8" s="323">
        <f>IFERROR('3. Scrap (LC)'!H8/'Input-FX Rates'!$H$16,0)</f>
        <v>2200.5848270769229</v>
      </c>
      <c r="I8" s="323">
        <f>IFERROR('3. Scrap (LC)'!I8/'Input-FX Rates'!$H$16,0)</f>
        <v>2108.8937930140846</v>
      </c>
      <c r="J8" s="323">
        <f>IFERROR('3. Scrap (LC)'!J8/'Input-FX Rates'!$H$16,0)</f>
        <v>1833.8206895774647</v>
      </c>
      <c r="K8" s="323">
        <f>IFERROR('3. Scrap (LC)'!K8/'Input-FX Rates'!$H$16,0)</f>
        <v>1833.8206895774647</v>
      </c>
      <c r="L8" s="323">
        <f>IFERROR('3. Scrap (LC)'!L8/'Input-FX Rates'!$H$16,0)</f>
        <v>1833.8206895774647</v>
      </c>
      <c r="M8" s="323">
        <f>IFERROR('3. Scrap (LC)'!M8/'Input-FX Rates'!$H$16,0)</f>
        <v>1604.5931033802817</v>
      </c>
      <c r="N8" s="323">
        <f>IFERROR('3. Scrap (LC)'!N8/'Input-FX Rates'!$H$16,0)</f>
        <v>1650.4386206197182</v>
      </c>
      <c r="O8" s="323">
        <f>IFERROR('3. Scrap (LC)'!O8/'Input-FX Rates'!$H$16,0)</f>
        <v>1742.1296550985915</v>
      </c>
      <c r="P8" s="323">
        <f>IFERROR('3. Scrap (LC)'!P8/'Input-FX Rates'!$H$16,0)</f>
        <v>1833.8206895774647</v>
      </c>
      <c r="Q8" s="324">
        <f>IFERROR('3. Scrap (LC)'!Q8/'Input-FX Rates'!$H$16,0)</f>
        <v>1833.8206895774647</v>
      </c>
      <c r="R8" s="325">
        <f>SUM(F8:Q8)</f>
        <v>22235.075859999997</v>
      </c>
      <c r="S8" s="324">
        <f>IFERROR('3. Scrap (LC)'!S8/'Input-FX Rates'!$H$16,0)</f>
        <v>22235.075860000001</v>
      </c>
      <c r="T8" s="323">
        <f t="shared" si="0"/>
        <v>-3475.146520149945</v>
      </c>
      <c r="U8" s="322">
        <f>IFERROR(-U7/(E7+V7),0)</f>
        <v>-3.6324996920045084E-3</v>
      </c>
      <c r="V8" s="321"/>
      <c r="W8" s="320" t="str">
        <f>IF(ISBLANK('3. Scrap (LC)'!W8),"",'3. Scrap (LC)'!W8)</f>
        <v/>
      </c>
      <c r="Y8" s="267" t="s">
        <v>349</v>
      </c>
    </row>
    <row r="9" spans="1:25" ht="17.649999999999999" customHeight="1" outlineLevel="1">
      <c r="A9" s="319" t="s">
        <v>350</v>
      </c>
      <c r="B9" s="318" t="str">
        <f>+'3. Scrap (LC)'!B9</f>
        <v>GAD701 Gen2 GA</v>
      </c>
      <c r="C9" s="272">
        <f t="shared" ref="C9" si="1">IFERROR(C7/C8,0)</f>
        <v>-8.5208686151324773E-4</v>
      </c>
      <c r="D9" s="270">
        <f t="shared" ref="D9:P9" si="2">IFERROR(D7/D8,0)</f>
        <v>-1.1956567771253491E-3</v>
      </c>
      <c r="E9" s="273">
        <f t="shared" si="2"/>
        <v>-1.1956567771253491E-3</v>
      </c>
      <c r="F9" s="270">
        <f t="shared" si="2"/>
        <v>-1.2000000000000001E-3</v>
      </c>
      <c r="G9" s="270">
        <f t="shared" si="2"/>
        <v>-1.1999999999999999E-3</v>
      </c>
      <c r="H9" s="270">
        <f t="shared" si="2"/>
        <v>-1.1999999999999999E-3</v>
      </c>
      <c r="I9" s="270">
        <f t="shared" si="2"/>
        <v>-1.1999999999999999E-3</v>
      </c>
      <c r="J9" s="270">
        <f t="shared" si="2"/>
        <v>-1.2000000000000001E-3</v>
      </c>
      <c r="K9" s="270">
        <f t="shared" si="2"/>
        <v>-1.2000000000000001E-3</v>
      </c>
      <c r="L9" s="270">
        <f t="shared" si="2"/>
        <v>-1.2000000000000001E-3</v>
      </c>
      <c r="M9" s="270">
        <f t="shared" si="2"/>
        <v>-1.1999999999999999E-3</v>
      </c>
      <c r="N9" s="270">
        <f t="shared" si="2"/>
        <v>-1.1999999999999999E-3</v>
      </c>
      <c r="O9" s="270">
        <f t="shared" si="2"/>
        <v>-1.1999999999999997E-3</v>
      </c>
      <c r="P9" s="270">
        <f t="shared" si="2"/>
        <v>-1.2000000000000001E-3</v>
      </c>
      <c r="Q9" s="273">
        <f>IFERROR(Q7/Q8,0)</f>
        <v>-1.2000000000000001E-3</v>
      </c>
      <c r="R9" s="272">
        <f>IFERROR(R7/R8,0)</f>
        <v>-1.2000000000000001E-3</v>
      </c>
      <c r="S9" s="273">
        <f>+'3. Scrap (LC)'!S9</f>
        <v>-1.1999999999999999E-3</v>
      </c>
      <c r="T9" s="270">
        <f t="shared" si="0"/>
        <v>-4.3432228746509947E-6</v>
      </c>
      <c r="U9" s="334"/>
      <c r="V9" s="271"/>
      <c r="W9" s="317" t="str">
        <f>IF(ISBLANK('3. Scrap (LC)'!W9),"",'3. Scrap (LC)'!W9)</f>
        <v/>
      </c>
      <c r="Y9" s="267"/>
    </row>
    <row r="10" spans="1:25" s="243" customFormat="1" ht="17.649999999999999" customHeight="1" outlineLevel="1">
      <c r="A10" s="327" t="s">
        <v>351</v>
      </c>
      <c r="B10" s="326" t="str">
        <f>+'3. Scrap (LC)'!B10</f>
        <v>TAD701 Gen2 TCU</v>
      </c>
      <c r="C10" s="325">
        <f>IFERROR('3. Scrap (LC)'!C10/'Input-FX Rates'!$E$16,0)</f>
        <v>-12.136590389812778</v>
      </c>
      <c r="D10" s="323">
        <f>IFERROR('3. Scrap (LC)'!D10/'Input-FX Rates'!$G$16,0)</f>
        <v>-49.052600402254029</v>
      </c>
      <c r="E10" s="324">
        <f>IFERROR('3. Scrap (LC)'!E10/'Input-FX Rates'!$G$16,0)</f>
        <v>-49.052600402254029</v>
      </c>
      <c r="F10" s="323">
        <f>IFERROR('3. Scrap (LC)'!F10/'Input-FX Rates'!$H$16,0)</f>
        <v>-3.8042366883711329</v>
      </c>
      <c r="G10" s="323">
        <f>IFERROR('3. Scrap (LC)'!G10/'Input-FX Rates'!$H$16,0)</f>
        <v>-3.4503542057319585</v>
      </c>
      <c r="H10" s="323">
        <f>IFERROR('3. Scrap (LC)'!H10/'Input-FX Rates'!$H$16,0)</f>
        <v>-4.2465897916701039</v>
      </c>
      <c r="I10" s="323">
        <f>IFERROR('3. Scrap (LC)'!I10/'Input-FX Rates'!$H$16,0)</f>
        <v>-4.0696485503505153</v>
      </c>
      <c r="J10" s="323">
        <f>IFERROR('3. Scrap (LC)'!J10/'Input-FX Rates'!$H$16,0)</f>
        <v>-3.5388248263917519</v>
      </c>
      <c r="K10" s="323">
        <f>IFERROR('3. Scrap (LC)'!K10/'Input-FX Rates'!$H$16,0)</f>
        <v>-3.5388248263917519</v>
      </c>
      <c r="L10" s="323">
        <f>IFERROR('3. Scrap (LC)'!L10/'Input-FX Rates'!$H$16,0)</f>
        <v>-3.5388248263917519</v>
      </c>
      <c r="M10" s="323">
        <f>IFERROR('3. Scrap (LC)'!M10/'Input-FX Rates'!$H$16,0)</f>
        <v>-3.0964717230927823</v>
      </c>
      <c r="N10" s="323">
        <f>IFERROR('3. Scrap (LC)'!N10/'Input-FX Rates'!$H$16,0)</f>
        <v>-3.1849423437525766</v>
      </c>
      <c r="O10" s="323">
        <f>IFERROR('3. Scrap (LC)'!O10/'Input-FX Rates'!$H$16,0)</f>
        <v>-3.3618835850721642</v>
      </c>
      <c r="P10" s="323">
        <f>IFERROR('3. Scrap (LC)'!P10/'Input-FX Rates'!$H$16,0)</f>
        <v>-3.5388248263917519</v>
      </c>
      <c r="Q10" s="324">
        <f>IFERROR('3. Scrap (LC)'!Q10/'Input-FX Rates'!$H$16,0)</f>
        <v>-3.5388248263917519</v>
      </c>
      <c r="R10" s="325">
        <f>SUM(F10:Q10)</f>
        <v>-42.908251020000002</v>
      </c>
      <c r="S10" s="324">
        <f>IFERROR('3. Scrap (LC)'!S10/'Input-FX Rates'!$H$16,0)</f>
        <v>-42.908251019999994</v>
      </c>
      <c r="T10" s="323">
        <f t="shared" si="0"/>
        <v>6.1443493822540276</v>
      </c>
      <c r="U10" s="329">
        <f>R10-E12*R11</f>
        <v>-0.15543149019198665</v>
      </c>
      <c r="V10" s="328">
        <f>IFERROR(R11/E11*E10-E10,0)</f>
        <v>6.2997808724460143</v>
      </c>
      <c r="W10" s="320" t="str">
        <f>IF(ISBLANK('3. Scrap (LC)'!W10),"",'3. Scrap (LC)'!W10)</f>
        <v/>
      </c>
      <c r="Y10" s="267"/>
    </row>
    <row r="11" spans="1:25" s="243" customFormat="1" ht="17.649999999999999" customHeight="1" outlineLevel="1">
      <c r="A11" s="327" t="s">
        <v>353</v>
      </c>
      <c r="B11" s="326" t="str">
        <f>+'3. Scrap (LC)'!B11</f>
        <v>TAD701 Gen2 TCU</v>
      </c>
      <c r="C11" s="325">
        <f>IFERROR('3. Scrap (LC)'!C11/'Input-FX Rates'!$E$16,0)</f>
        <v>23408.000751837008</v>
      </c>
      <c r="D11" s="323">
        <f>IFERROR('3. Scrap (LC)'!D11/'Input-FX Rates'!$G$16,0)</f>
        <v>41025.779398716862</v>
      </c>
      <c r="E11" s="324">
        <f>IFERROR('3. Scrap (LC)'!E11/'Input-FX Rates'!$G$16,0)</f>
        <v>41025.779398716862</v>
      </c>
      <c r="F11" s="323">
        <f>IFERROR('3. Scrap (LC)'!F11/'Input-FX Rates'!$H$16,0)</f>
        <v>3170.1972403092777</v>
      </c>
      <c r="G11" s="323">
        <f>IFERROR('3. Scrap (LC)'!G11/'Input-FX Rates'!$H$16,0)</f>
        <v>2875.2951714432993</v>
      </c>
      <c r="H11" s="323">
        <f>IFERROR('3. Scrap (LC)'!H11/'Input-FX Rates'!$H$16,0)</f>
        <v>3538.8248263917535</v>
      </c>
      <c r="I11" s="323">
        <f>IFERROR('3. Scrap (LC)'!I11/'Input-FX Rates'!$H$16,0)</f>
        <v>3391.3737919587629</v>
      </c>
      <c r="J11" s="323">
        <f>IFERROR('3. Scrap (LC)'!J11/'Input-FX Rates'!$H$16,0)</f>
        <v>2949.0206886597934</v>
      </c>
      <c r="K11" s="323">
        <f>IFERROR('3. Scrap (LC)'!K11/'Input-FX Rates'!$H$16,0)</f>
        <v>2949.0206886597934</v>
      </c>
      <c r="L11" s="323">
        <f>IFERROR('3. Scrap (LC)'!L11/'Input-FX Rates'!$H$16,0)</f>
        <v>2949.0206886597934</v>
      </c>
      <c r="M11" s="323">
        <f>IFERROR('3. Scrap (LC)'!M11/'Input-FX Rates'!$H$16,0)</f>
        <v>2580.393102577319</v>
      </c>
      <c r="N11" s="323">
        <f>IFERROR('3. Scrap (LC)'!N11/'Input-FX Rates'!$H$16,0)</f>
        <v>2654.1186197938146</v>
      </c>
      <c r="O11" s="323">
        <f>IFERROR('3. Scrap (LC)'!O11/'Input-FX Rates'!$H$16,0)</f>
        <v>2801.5696542268038</v>
      </c>
      <c r="P11" s="323">
        <f>IFERROR('3. Scrap (LC)'!P11/'Input-FX Rates'!$H$16,0)</f>
        <v>2949.0206886597934</v>
      </c>
      <c r="Q11" s="324">
        <f>IFERROR('3. Scrap (LC)'!Q11/'Input-FX Rates'!$H$16,0)</f>
        <v>2949.0206886597934</v>
      </c>
      <c r="R11" s="325">
        <f>SUM(F11:Q11)</f>
        <v>35756.875850000004</v>
      </c>
      <c r="S11" s="324">
        <f>IFERROR('3. Scrap (LC)'!S11/'Input-FX Rates'!$H$16,0)</f>
        <v>35756.875849999997</v>
      </c>
      <c r="T11" s="323">
        <f t="shared" si="0"/>
        <v>-5268.9035487168585</v>
      </c>
      <c r="U11" s="322">
        <f>-IFERROR(U10/(E10+V10),0)</f>
        <v>-3.6355845509468002E-3</v>
      </c>
      <c r="V11" s="321"/>
      <c r="W11" s="320" t="str">
        <f>IF(ISBLANK('3. Scrap (LC)'!W11),"",'3. Scrap (LC)'!W11)</f>
        <v/>
      </c>
      <c r="Y11" s="267"/>
    </row>
    <row r="12" spans="1:25" ht="17.649999999999999" customHeight="1" outlineLevel="1">
      <c r="A12" s="319" t="s">
        <v>354</v>
      </c>
      <c r="B12" s="318" t="str">
        <f>+'3. Scrap (LC)'!B12</f>
        <v>TAD701 Gen2 TCU</v>
      </c>
      <c r="C12" s="272">
        <f t="shared" ref="C12" si="3">IFERROR(C10/C11,0)</f>
        <v>-5.1848043403964459E-4</v>
      </c>
      <c r="D12" s="270">
        <f t="shared" ref="D12:R12" si="4">IFERROR(D10/D11,0)</f>
        <v>-1.1956531020538813E-3</v>
      </c>
      <c r="E12" s="273">
        <f t="shared" si="4"/>
        <v>-1.1956531020538813E-3</v>
      </c>
      <c r="F12" s="270">
        <f t="shared" si="4"/>
        <v>-1.1999999999999999E-3</v>
      </c>
      <c r="G12" s="270">
        <f t="shared" si="4"/>
        <v>-1.1999999999999997E-3</v>
      </c>
      <c r="H12" s="270">
        <f t="shared" si="4"/>
        <v>-1.1999999999999999E-3</v>
      </c>
      <c r="I12" s="270">
        <f t="shared" si="4"/>
        <v>-1.1999999999999999E-3</v>
      </c>
      <c r="J12" s="270">
        <f t="shared" si="4"/>
        <v>-1.1999999999999999E-3</v>
      </c>
      <c r="K12" s="270">
        <f t="shared" si="4"/>
        <v>-1.1999999999999999E-3</v>
      </c>
      <c r="L12" s="270">
        <f t="shared" si="4"/>
        <v>-1.1999999999999999E-3</v>
      </c>
      <c r="M12" s="270">
        <f t="shared" si="4"/>
        <v>-1.1999999999999997E-3</v>
      </c>
      <c r="N12" s="270">
        <f t="shared" si="4"/>
        <v>-1.1999999999999997E-3</v>
      </c>
      <c r="O12" s="270">
        <f t="shared" si="4"/>
        <v>-1.1999999999999999E-3</v>
      </c>
      <c r="P12" s="270">
        <f t="shared" si="4"/>
        <v>-1.1999999999999999E-3</v>
      </c>
      <c r="Q12" s="273">
        <f t="shared" si="4"/>
        <v>-1.1999999999999999E-3</v>
      </c>
      <c r="R12" s="272">
        <f t="shared" si="4"/>
        <v>-1.1999999999999999E-3</v>
      </c>
      <c r="S12" s="273">
        <f>+'3. Scrap (LC)'!S12</f>
        <v>-1.1999999999999999E-3</v>
      </c>
      <c r="T12" s="270">
        <f t="shared" si="0"/>
        <v>-4.3468979461186268E-6</v>
      </c>
      <c r="U12" s="334"/>
      <c r="V12" s="271"/>
      <c r="W12" s="317" t="str">
        <f>IF(ISBLANK('3. Scrap (LC)'!W12),"",'3. Scrap (LC)'!W12)</f>
        <v/>
      </c>
      <c r="Y12" s="267"/>
    </row>
    <row r="13" spans="1:25" s="243" customFormat="1" ht="17.649999999999999" customHeight="1" outlineLevel="1">
      <c r="A13" s="327" t="s">
        <v>355</v>
      </c>
      <c r="B13" s="326" t="str">
        <f>+'3. Scrap (LC)'!B13</f>
        <v>TAD801 WET TCU</v>
      </c>
      <c r="C13" s="325">
        <f>IFERROR('3. Scrap (LC)'!C13/'Input-FX Rates'!$E$16,0)</f>
        <v>-4.7727701532956726</v>
      </c>
      <c r="D13" s="323">
        <f>IFERROR('3. Scrap (LC)'!D13/'Input-FX Rates'!$G$16,0)</f>
        <v>-20.873084376615886</v>
      </c>
      <c r="E13" s="324">
        <f>IFERROR('3. Scrap (LC)'!E13/'Input-FX Rates'!$G$16,0)</f>
        <v>-20.873084376615886</v>
      </c>
      <c r="F13" s="323">
        <f>IFERROR('3. Scrap (LC)'!F13/'Input-FX Rates'!$H$16,0)</f>
        <v>-1.702444048</v>
      </c>
      <c r="G13" s="323">
        <f>IFERROR('3. Scrap (LC)'!G13/'Input-FX Rates'!$H$16,0)</f>
        <v>-1.702444048</v>
      </c>
      <c r="H13" s="323">
        <f>IFERROR('3. Scrap (LC)'!H13/'Input-FX Rates'!$H$16,0)</f>
        <v>-1.702444048</v>
      </c>
      <c r="I13" s="323">
        <f>IFERROR('3. Scrap (LC)'!I13/'Input-FX Rates'!$H$16,0)</f>
        <v>-1.7429784282705947</v>
      </c>
      <c r="J13" s="323">
        <f>IFERROR('3. Scrap (LC)'!J13/'Input-FX Rates'!$H$16,0)</f>
        <v>-1.7429784282705947</v>
      </c>
      <c r="K13" s="323">
        <f>IFERROR('3. Scrap (LC)'!K13/'Input-FX Rates'!$H$16,0)</f>
        <v>-1.7429784282705947</v>
      </c>
      <c r="L13" s="323">
        <f>IFERROR('3. Scrap (LC)'!L13/'Input-FX Rates'!$H$16,0)</f>
        <v>-1.7429784282705947</v>
      </c>
      <c r="M13" s="323">
        <f>IFERROR('3. Scrap (LC)'!M13/'Input-FX Rates'!$H$16,0)</f>
        <v>-1.7429784282705947</v>
      </c>
      <c r="N13" s="323">
        <f>IFERROR('3. Scrap (LC)'!N13/'Input-FX Rates'!$H$16,0)</f>
        <v>-1.7024440461936714</v>
      </c>
      <c r="O13" s="323">
        <f>IFERROR('3. Scrap (LC)'!O13/'Input-FX Rates'!$H$16,0)</f>
        <v>-1.6619096641511182</v>
      </c>
      <c r="P13" s="323">
        <f>IFERROR('3. Scrap (LC)'!P13/'Input-FX Rates'!$H$16,0)</f>
        <v>-1.6619096641511182</v>
      </c>
      <c r="Q13" s="324">
        <f>IFERROR('3. Scrap (LC)'!Q13/'Input-FX Rates'!$H$16,0)</f>
        <v>-1.6619096641511182</v>
      </c>
      <c r="R13" s="325">
        <f>SUM(F13:Q13)</f>
        <v>-20.510397323999999</v>
      </c>
      <c r="S13" s="324">
        <f>IFERROR('3. Scrap (LC)'!S13/'Input-FX Rates'!$H$16,0)</f>
        <v>-20.510397324000003</v>
      </c>
      <c r="T13" s="323">
        <f t="shared" si="0"/>
        <v>0.36268705261588607</v>
      </c>
      <c r="U13" s="329">
        <f>R13-E15*R14</f>
        <v>-7.4609258361029163E-2</v>
      </c>
      <c r="V13" s="328">
        <f>IFERROR(R14/E14*E13-E13,0)</f>
        <v>0.43729631097691524</v>
      </c>
      <c r="W13" s="320" t="str">
        <f>IF(ISBLANK('3. Scrap (LC)'!W13),"",'3. Scrap (LC)'!W13)</f>
        <v/>
      </c>
      <c r="Y13" s="267"/>
    </row>
    <row r="14" spans="1:25" s="243" customFormat="1" ht="17.649999999999999" customHeight="1" outlineLevel="1">
      <c r="A14" s="327" t="s">
        <v>357</v>
      </c>
      <c r="B14" s="326" t="str">
        <f>+'3. Scrap (LC)'!B14</f>
        <v>TAD801 WET TCU</v>
      </c>
      <c r="C14" s="325">
        <f>IFERROR('3. Scrap (LC)'!C14/'Input-FX Rates'!$E$16,0)</f>
        <v>9459.0003038117829</v>
      </c>
      <c r="D14" s="323">
        <f>IFERROR('3. Scrap (LC)'!D14/'Input-FX Rates'!$G$16,0)</f>
        <v>17457.741804340127</v>
      </c>
      <c r="E14" s="324">
        <f>IFERROR('3. Scrap (LC)'!E14/'Input-FX Rates'!$G$16,0)</f>
        <v>17457.741804340127</v>
      </c>
      <c r="F14" s="323">
        <f>IFERROR('3. Scrap (LC)'!F14/'Input-FX Rates'!$H$16,0)</f>
        <v>1418.7033733333335</v>
      </c>
      <c r="G14" s="323">
        <f>IFERROR('3. Scrap (LC)'!G14/'Input-FX Rates'!$H$16,0)</f>
        <v>1418.7033733333335</v>
      </c>
      <c r="H14" s="323">
        <f>IFERROR('3. Scrap (LC)'!H14/'Input-FX Rates'!$H$16,0)</f>
        <v>1418.7033733333335</v>
      </c>
      <c r="I14" s="323">
        <f>IFERROR('3. Scrap (LC)'!I14/'Input-FX Rates'!$H$16,0)</f>
        <v>1452.4820235588288</v>
      </c>
      <c r="J14" s="323">
        <f>IFERROR('3. Scrap (LC)'!J14/'Input-FX Rates'!$H$16,0)</f>
        <v>1452.4820235588288</v>
      </c>
      <c r="K14" s="323">
        <f>IFERROR('3. Scrap (LC)'!K14/'Input-FX Rates'!$H$16,0)</f>
        <v>1452.4820235588288</v>
      </c>
      <c r="L14" s="323">
        <f>IFERROR('3. Scrap (LC)'!L14/'Input-FX Rates'!$H$16,0)</f>
        <v>1452.4820235588288</v>
      </c>
      <c r="M14" s="323">
        <f>IFERROR('3. Scrap (LC)'!M14/'Input-FX Rates'!$H$16,0)</f>
        <v>1452.4820235588288</v>
      </c>
      <c r="N14" s="323">
        <f>IFERROR('3. Scrap (LC)'!N14/'Input-FX Rates'!$H$16,0)</f>
        <v>1418.7033718280597</v>
      </c>
      <c r="O14" s="323">
        <f>IFERROR('3. Scrap (LC)'!O14/'Input-FX Rates'!$H$16,0)</f>
        <v>1384.9247201259318</v>
      </c>
      <c r="P14" s="323">
        <f>IFERROR('3. Scrap (LC)'!P14/'Input-FX Rates'!$H$16,0)</f>
        <v>1384.9247201259318</v>
      </c>
      <c r="Q14" s="324">
        <f>IFERROR('3. Scrap (LC)'!Q14/'Input-FX Rates'!$H$16,0)</f>
        <v>1384.9247201259318</v>
      </c>
      <c r="R14" s="325">
        <f>SUM(F14:Q14)</f>
        <v>17091.997769999998</v>
      </c>
      <c r="S14" s="324">
        <f>IFERROR('3. Scrap (LC)'!S14/'Input-FX Rates'!$H$16,0)</f>
        <v>17091.997770000002</v>
      </c>
      <c r="T14" s="323">
        <f t="shared" si="0"/>
        <v>-365.74403434012856</v>
      </c>
      <c r="U14" s="322">
        <f>IFERROR(-U13/(E13+V13),0)</f>
        <v>-3.6509117300192718E-3</v>
      </c>
      <c r="V14" s="321"/>
      <c r="W14" s="320" t="str">
        <f>IF(ISBLANK('3. Scrap (LC)'!W14),"",'3. Scrap (LC)'!W14)</f>
        <v/>
      </c>
      <c r="Y14" s="267"/>
    </row>
    <row r="15" spans="1:25" ht="17.649999999999999" customHeight="1" outlineLevel="1">
      <c r="A15" s="319" t="s">
        <v>358</v>
      </c>
      <c r="B15" s="318" t="str">
        <f>+'3. Scrap (LC)'!B15</f>
        <v>TAD801 WET TCU</v>
      </c>
      <c r="C15" s="272">
        <f t="shared" ref="C15" si="5">IFERROR(C13/C14,0)</f>
        <v>-5.0457447933185333E-4</v>
      </c>
      <c r="D15" s="270">
        <f t="shared" ref="D15:R15" si="6">IFERROR(D13/D14,0)</f>
        <v>-1.1956348427278652E-3</v>
      </c>
      <c r="E15" s="273">
        <f t="shared" si="6"/>
        <v>-1.1956348427278652E-3</v>
      </c>
      <c r="F15" s="270">
        <f t="shared" si="6"/>
        <v>-1.1999999999999999E-3</v>
      </c>
      <c r="G15" s="270">
        <f t="shared" si="6"/>
        <v>-1.1999999999999999E-3</v>
      </c>
      <c r="H15" s="270">
        <f t="shared" si="6"/>
        <v>-1.1999999999999999E-3</v>
      </c>
      <c r="I15" s="270">
        <f t="shared" si="6"/>
        <v>-1.2000000000000001E-3</v>
      </c>
      <c r="J15" s="270">
        <f t="shared" si="6"/>
        <v>-1.2000000000000001E-3</v>
      </c>
      <c r="K15" s="270">
        <f t="shared" si="6"/>
        <v>-1.2000000000000001E-3</v>
      </c>
      <c r="L15" s="270">
        <f t="shared" si="6"/>
        <v>-1.2000000000000001E-3</v>
      </c>
      <c r="M15" s="270">
        <f t="shared" si="6"/>
        <v>-1.2000000000000001E-3</v>
      </c>
      <c r="N15" s="270">
        <f t="shared" si="6"/>
        <v>-1.1999999999999999E-3</v>
      </c>
      <c r="O15" s="270">
        <f t="shared" si="6"/>
        <v>-1.2000000000000001E-3</v>
      </c>
      <c r="P15" s="270">
        <f t="shared" si="6"/>
        <v>-1.2000000000000001E-3</v>
      </c>
      <c r="Q15" s="273">
        <f t="shared" si="6"/>
        <v>-1.2000000000000001E-3</v>
      </c>
      <c r="R15" s="272">
        <f t="shared" si="6"/>
        <v>-1.2000000000000001E-3</v>
      </c>
      <c r="S15" s="273">
        <f>+'3. Scrap (LC)'!S15</f>
        <v>-1.1999999999999999E-3</v>
      </c>
      <c r="T15" s="270">
        <f t="shared" si="0"/>
        <v>-4.3651572721348664E-6</v>
      </c>
      <c r="U15" s="334"/>
      <c r="V15" s="271"/>
      <c r="W15" s="317" t="str">
        <f>IF(ISBLANK('3. Scrap (LC)'!W15),"",'3. Scrap (LC)'!W15)</f>
        <v/>
      </c>
      <c r="Y15" s="267"/>
    </row>
    <row r="16" spans="1:25" s="243" customFormat="1" ht="17.649999999999999" customHeight="1" outlineLevel="1">
      <c r="A16" s="327" t="s">
        <v>359</v>
      </c>
      <c r="B16" s="326" t="str">
        <f>+'3. Scrap (LC)'!B16</f>
        <v>Area 4</v>
      </c>
      <c r="C16" s="325">
        <f>IFERROR('3. Scrap (LC)'!C16/'Input-FX Rates'!$E$16,0)</f>
        <v>0</v>
      </c>
      <c r="D16" s="323">
        <f>IFERROR('3. Scrap (LC)'!D16/'Input-FX Rates'!$G$16,0)</f>
        <v>0</v>
      </c>
      <c r="E16" s="324">
        <f>IFERROR('3. Scrap (LC)'!E16/'Input-FX Rates'!$G$16,0)</f>
        <v>0</v>
      </c>
      <c r="F16" s="323">
        <f>IFERROR('3. Scrap (LC)'!F16/'Input-FX Rates'!$H$16,0)</f>
        <v>0</v>
      </c>
      <c r="G16" s="323">
        <f>IFERROR('3. Scrap (LC)'!G16/'Input-FX Rates'!$H$16,0)</f>
        <v>0</v>
      </c>
      <c r="H16" s="323">
        <f>IFERROR('3. Scrap (LC)'!H16/'Input-FX Rates'!$H$16,0)</f>
        <v>0</v>
      </c>
      <c r="I16" s="323">
        <f>IFERROR('3. Scrap (LC)'!I16/'Input-FX Rates'!$H$16,0)</f>
        <v>0</v>
      </c>
      <c r="J16" s="323">
        <f>IFERROR('3. Scrap (LC)'!J16/'Input-FX Rates'!$H$16,0)</f>
        <v>0</v>
      </c>
      <c r="K16" s="323">
        <f>IFERROR('3. Scrap (LC)'!K16/'Input-FX Rates'!$H$16,0)</f>
        <v>0</v>
      </c>
      <c r="L16" s="323">
        <f>IFERROR('3. Scrap (LC)'!L16/'Input-FX Rates'!$H$16,0)</f>
        <v>0</v>
      </c>
      <c r="M16" s="323">
        <f>IFERROR('3. Scrap (LC)'!M16/'Input-FX Rates'!$H$16,0)</f>
        <v>0</v>
      </c>
      <c r="N16" s="323">
        <f>IFERROR('3. Scrap (LC)'!N16/'Input-FX Rates'!$H$16,0)</f>
        <v>0</v>
      </c>
      <c r="O16" s="323">
        <f>IFERROR('3. Scrap (LC)'!O16/'Input-FX Rates'!$H$16,0)</f>
        <v>0</v>
      </c>
      <c r="P16" s="323">
        <f>IFERROR('3. Scrap (LC)'!P16/'Input-FX Rates'!$H$16,0)</f>
        <v>0</v>
      </c>
      <c r="Q16" s="324">
        <f>IFERROR('3. Scrap (LC)'!Q16/'Input-FX Rates'!$H$16,0)</f>
        <v>0</v>
      </c>
      <c r="R16" s="325">
        <f>SUM(F16:Q16)</f>
        <v>0</v>
      </c>
      <c r="S16" s="324">
        <f>IFERROR('3. Scrap (LC)'!S16/'Input-FX Rates'!$H$16,0)</f>
        <v>0</v>
      </c>
      <c r="T16" s="323">
        <f t="shared" si="0"/>
        <v>0</v>
      </c>
      <c r="U16" s="329">
        <f>R16-E18*R17</f>
        <v>0</v>
      </c>
      <c r="V16" s="328">
        <f>IFERROR(R17/E17*E16-E16,0)</f>
        <v>0</v>
      </c>
      <c r="W16" s="320" t="str">
        <f>IF(ISBLANK('3. Scrap (LC)'!W16),"",'3. Scrap (LC)'!W16)</f>
        <v/>
      </c>
      <c r="Y16" s="267"/>
    </row>
    <row r="17" spans="1:25" s="243" customFormat="1" ht="17.649999999999999" customHeight="1" outlineLevel="1">
      <c r="A17" s="327" t="s">
        <v>361</v>
      </c>
      <c r="B17" s="326" t="str">
        <f>+'3. Scrap (LC)'!B17</f>
        <v>Area 4</v>
      </c>
      <c r="C17" s="325">
        <f>IFERROR('3. Scrap (LC)'!C17/'Input-FX Rates'!$E$16,0)</f>
        <v>0</v>
      </c>
      <c r="D17" s="323">
        <f>IFERROR('3. Scrap (LC)'!D17/'Input-FX Rates'!$G$16,0)</f>
        <v>0</v>
      </c>
      <c r="E17" s="324">
        <f>IFERROR('3. Scrap (LC)'!E17/'Input-FX Rates'!$G$16,0)</f>
        <v>0</v>
      </c>
      <c r="F17" s="323">
        <f>IFERROR('3. Scrap (LC)'!F17/'Input-FX Rates'!$H$16,0)</f>
        <v>0</v>
      </c>
      <c r="G17" s="323">
        <f>IFERROR('3. Scrap (LC)'!G17/'Input-FX Rates'!$H$16,0)</f>
        <v>0</v>
      </c>
      <c r="H17" s="323">
        <f>IFERROR('3. Scrap (LC)'!H17/'Input-FX Rates'!$H$16,0)</f>
        <v>0</v>
      </c>
      <c r="I17" s="323">
        <f>IFERROR('3. Scrap (LC)'!I17/'Input-FX Rates'!$H$16,0)</f>
        <v>0</v>
      </c>
      <c r="J17" s="323">
        <f>IFERROR('3. Scrap (LC)'!J17/'Input-FX Rates'!$H$16,0)</f>
        <v>0</v>
      </c>
      <c r="K17" s="323">
        <f>IFERROR('3. Scrap (LC)'!K17/'Input-FX Rates'!$H$16,0)</f>
        <v>0</v>
      </c>
      <c r="L17" s="323">
        <f>IFERROR('3. Scrap (LC)'!L17/'Input-FX Rates'!$H$16,0)</f>
        <v>0</v>
      </c>
      <c r="M17" s="323">
        <f>IFERROR('3. Scrap (LC)'!M17/'Input-FX Rates'!$H$16,0)</f>
        <v>0</v>
      </c>
      <c r="N17" s="323">
        <f>IFERROR('3. Scrap (LC)'!N17/'Input-FX Rates'!$H$16,0)</f>
        <v>0</v>
      </c>
      <c r="O17" s="323">
        <f>IFERROR('3. Scrap (LC)'!O17/'Input-FX Rates'!$H$16,0)</f>
        <v>0</v>
      </c>
      <c r="P17" s="323">
        <f>IFERROR('3. Scrap (LC)'!P17/'Input-FX Rates'!$H$16,0)</f>
        <v>0</v>
      </c>
      <c r="Q17" s="324">
        <f>IFERROR('3. Scrap (LC)'!Q17/'Input-FX Rates'!$H$16,0)</f>
        <v>0</v>
      </c>
      <c r="R17" s="325">
        <f>SUM(F17:Q17)</f>
        <v>0</v>
      </c>
      <c r="S17" s="324">
        <f>IFERROR('3. Scrap (LC)'!S17/'Input-FX Rates'!$H$16,0)</f>
        <v>0</v>
      </c>
      <c r="T17" s="323">
        <f t="shared" si="0"/>
        <v>0</v>
      </c>
      <c r="U17" s="322">
        <f>IFERROR(-U16/(E16+V16),0)</f>
        <v>0</v>
      </c>
      <c r="V17" s="321"/>
      <c r="W17" s="320" t="str">
        <f>IF(ISBLANK('3. Scrap (LC)'!W17),"",'3. Scrap (LC)'!W17)</f>
        <v/>
      </c>
      <c r="Y17" s="267"/>
    </row>
    <row r="18" spans="1:25" ht="17.649999999999999" customHeight="1" outlineLevel="1">
      <c r="A18" s="319" t="s">
        <v>362</v>
      </c>
      <c r="B18" s="318" t="str">
        <f>+'3. Scrap (LC)'!B18</f>
        <v>Area 4</v>
      </c>
      <c r="C18" s="272">
        <f t="shared" ref="C18" si="7">IFERROR(C16/C17,0)</f>
        <v>0</v>
      </c>
      <c r="D18" s="270">
        <f t="shared" ref="D18:R18" si="8">IFERROR(D16/D17,0)</f>
        <v>0</v>
      </c>
      <c r="E18" s="273">
        <f t="shared" si="8"/>
        <v>0</v>
      </c>
      <c r="F18" s="270">
        <f t="shared" si="8"/>
        <v>0</v>
      </c>
      <c r="G18" s="270">
        <f t="shared" si="8"/>
        <v>0</v>
      </c>
      <c r="H18" s="270">
        <f t="shared" si="8"/>
        <v>0</v>
      </c>
      <c r="I18" s="270">
        <f t="shared" si="8"/>
        <v>0</v>
      </c>
      <c r="J18" s="270">
        <f t="shared" si="8"/>
        <v>0</v>
      </c>
      <c r="K18" s="270">
        <f t="shared" si="8"/>
        <v>0</v>
      </c>
      <c r="L18" s="270">
        <f t="shared" si="8"/>
        <v>0</v>
      </c>
      <c r="M18" s="270">
        <f t="shared" si="8"/>
        <v>0</v>
      </c>
      <c r="N18" s="270">
        <f t="shared" si="8"/>
        <v>0</v>
      </c>
      <c r="O18" s="270">
        <f t="shared" si="8"/>
        <v>0</v>
      </c>
      <c r="P18" s="270">
        <f t="shared" si="8"/>
        <v>0</v>
      </c>
      <c r="Q18" s="273">
        <f t="shared" si="8"/>
        <v>0</v>
      </c>
      <c r="R18" s="272">
        <f t="shared" si="8"/>
        <v>0</v>
      </c>
      <c r="S18" s="273">
        <f>+'3. Scrap (LC)'!S18</f>
        <v>0</v>
      </c>
      <c r="T18" s="270">
        <f t="shared" si="0"/>
        <v>0</v>
      </c>
      <c r="U18" s="334"/>
      <c r="V18" s="271"/>
      <c r="W18" s="317" t="str">
        <f>IF(ISBLANK('3. Scrap (LC)'!W18),"",'3. Scrap (LC)'!W18)</f>
        <v/>
      </c>
      <c r="Y18" s="267"/>
    </row>
    <row r="19" spans="1:25" s="243" customFormat="1" ht="17.649999999999999" customHeight="1" outlineLevel="1">
      <c r="A19" s="327" t="s">
        <v>363</v>
      </c>
      <c r="B19" s="326" t="str">
        <f>+'3. Scrap (LC)'!B19</f>
        <v>Area 5</v>
      </c>
      <c r="C19" s="325">
        <f>IFERROR('3. Scrap (LC)'!C19/'Input-FX Rates'!$E$16,0)</f>
        <v>0</v>
      </c>
      <c r="D19" s="323">
        <f>IFERROR('3. Scrap (LC)'!D19/'Input-FX Rates'!$G$16,0)</f>
        <v>0</v>
      </c>
      <c r="E19" s="324">
        <f>IFERROR('3. Scrap (LC)'!E19/'Input-FX Rates'!$G$16,0)</f>
        <v>0</v>
      </c>
      <c r="F19" s="323">
        <f>IFERROR('3. Scrap (LC)'!F19/'Input-FX Rates'!$H$16,0)</f>
        <v>0</v>
      </c>
      <c r="G19" s="323">
        <f>IFERROR('3. Scrap (LC)'!G19/'Input-FX Rates'!$H$16,0)</f>
        <v>0</v>
      </c>
      <c r="H19" s="323">
        <f>IFERROR('3. Scrap (LC)'!H19/'Input-FX Rates'!$H$16,0)</f>
        <v>0</v>
      </c>
      <c r="I19" s="323">
        <f>IFERROR('3. Scrap (LC)'!I19/'Input-FX Rates'!$H$16,0)</f>
        <v>0</v>
      </c>
      <c r="J19" s="323">
        <f>IFERROR('3. Scrap (LC)'!J19/'Input-FX Rates'!$H$16,0)</f>
        <v>0</v>
      </c>
      <c r="K19" s="323">
        <f>IFERROR('3. Scrap (LC)'!K19/'Input-FX Rates'!$H$16,0)</f>
        <v>0</v>
      </c>
      <c r="L19" s="323">
        <f>IFERROR('3. Scrap (LC)'!L19/'Input-FX Rates'!$H$16,0)</f>
        <v>0</v>
      </c>
      <c r="M19" s="323">
        <f>IFERROR('3. Scrap (LC)'!M19/'Input-FX Rates'!$H$16,0)</f>
        <v>0</v>
      </c>
      <c r="N19" s="323">
        <f>IFERROR('3. Scrap (LC)'!N19/'Input-FX Rates'!$H$16,0)</f>
        <v>0</v>
      </c>
      <c r="O19" s="323">
        <f>IFERROR('3. Scrap (LC)'!O19/'Input-FX Rates'!$H$16,0)</f>
        <v>0</v>
      </c>
      <c r="P19" s="323">
        <f>IFERROR('3. Scrap (LC)'!P19/'Input-FX Rates'!$H$16,0)</f>
        <v>0</v>
      </c>
      <c r="Q19" s="324">
        <f>IFERROR('3. Scrap (LC)'!Q19/'Input-FX Rates'!$H$16,0)</f>
        <v>0</v>
      </c>
      <c r="R19" s="325">
        <f>SUM(F19:Q19)</f>
        <v>0</v>
      </c>
      <c r="S19" s="324">
        <f>IFERROR('3. Scrap (LC)'!S19/'Input-FX Rates'!$H$16,0)</f>
        <v>0</v>
      </c>
      <c r="T19" s="323">
        <f t="shared" si="0"/>
        <v>0</v>
      </c>
      <c r="U19" s="329">
        <f>R19-E21*R20</f>
        <v>0</v>
      </c>
      <c r="V19" s="328">
        <f>IFERROR(R20/E20*E19-E19,0)</f>
        <v>0</v>
      </c>
      <c r="W19" s="320" t="str">
        <f>IF(ISBLANK('3. Scrap (LC)'!W19),"",'3. Scrap (LC)'!W19)</f>
        <v/>
      </c>
      <c r="Y19" s="267"/>
    </row>
    <row r="20" spans="1:25" s="243" customFormat="1" ht="17.649999999999999" customHeight="1" outlineLevel="1">
      <c r="A20" s="327" t="s">
        <v>365</v>
      </c>
      <c r="B20" s="326" t="str">
        <f>+'3. Scrap (LC)'!B20</f>
        <v>Area 5</v>
      </c>
      <c r="C20" s="325">
        <f>IFERROR('3. Scrap (LC)'!C20/'Input-FX Rates'!$E$16,0)</f>
        <v>0</v>
      </c>
      <c r="D20" s="323">
        <f>IFERROR('3. Scrap (LC)'!D20/'Input-FX Rates'!$G$16,0)</f>
        <v>0</v>
      </c>
      <c r="E20" s="324">
        <f>IFERROR('3. Scrap (LC)'!E20/'Input-FX Rates'!$G$16,0)</f>
        <v>0</v>
      </c>
      <c r="F20" s="323">
        <f>IFERROR('3. Scrap (LC)'!F20/'Input-FX Rates'!$H$16,0)</f>
        <v>0</v>
      </c>
      <c r="G20" s="323">
        <f>IFERROR('3. Scrap (LC)'!G20/'Input-FX Rates'!$H$16,0)</f>
        <v>0</v>
      </c>
      <c r="H20" s="323">
        <f>IFERROR('3. Scrap (LC)'!H20/'Input-FX Rates'!$H$16,0)</f>
        <v>0</v>
      </c>
      <c r="I20" s="323">
        <f>IFERROR('3. Scrap (LC)'!I20/'Input-FX Rates'!$H$16,0)</f>
        <v>0</v>
      </c>
      <c r="J20" s="323">
        <f>IFERROR('3. Scrap (LC)'!J20/'Input-FX Rates'!$H$16,0)</f>
        <v>0</v>
      </c>
      <c r="K20" s="323">
        <f>IFERROR('3. Scrap (LC)'!K20/'Input-FX Rates'!$H$16,0)</f>
        <v>0</v>
      </c>
      <c r="L20" s="323">
        <f>IFERROR('3. Scrap (LC)'!L20/'Input-FX Rates'!$H$16,0)</f>
        <v>0</v>
      </c>
      <c r="M20" s="323">
        <f>IFERROR('3. Scrap (LC)'!M20/'Input-FX Rates'!$H$16,0)</f>
        <v>0</v>
      </c>
      <c r="N20" s="323">
        <f>IFERROR('3. Scrap (LC)'!N20/'Input-FX Rates'!$H$16,0)</f>
        <v>0</v>
      </c>
      <c r="O20" s="323">
        <f>IFERROR('3. Scrap (LC)'!O20/'Input-FX Rates'!$H$16,0)</f>
        <v>0</v>
      </c>
      <c r="P20" s="323">
        <f>IFERROR('3. Scrap (LC)'!P20/'Input-FX Rates'!$H$16,0)</f>
        <v>0</v>
      </c>
      <c r="Q20" s="324">
        <f>IFERROR('3. Scrap (LC)'!Q20/'Input-FX Rates'!$H$16,0)</f>
        <v>0</v>
      </c>
      <c r="R20" s="325">
        <f>SUM(F20:Q20)</f>
        <v>0</v>
      </c>
      <c r="S20" s="324">
        <f>IFERROR('3. Scrap (LC)'!S20/'Input-FX Rates'!$H$16,0)</f>
        <v>0</v>
      </c>
      <c r="T20" s="323">
        <f t="shared" si="0"/>
        <v>0</v>
      </c>
      <c r="U20" s="322">
        <f>IFERROR(-U19/(E19+V19),0)</f>
        <v>0</v>
      </c>
      <c r="V20" s="321"/>
      <c r="W20" s="320" t="str">
        <f>IF(ISBLANK('3. Scrap (LC)'!W20),"",'3. Scrap (LC)'!W20)</f>
        <v/>
      </c>
      <c r="Y20" s="267"/>
    </row>
    <row r="21" spans="1:25" ht="17.649999999999999" customHeight="1" outlineLevel="1">
      <c r="A21" s="319" t="s">
        <v>366</v>
      </c>
      <c r="B21" s="318" t="str">
        <f>+'3. Scrap (LC)'!B21</f>
        <v>Area 5</v>
      </c>
      <c r="C21" s="272">
        <f t="shared" ref="C21" si="9">IFERROR(C19/C20,0)</f>
        <v>0</v>
      </c>
      <c r="D21" s="270">
        <f t="shared" ref="D21:R21" si="10">IFERROR(D19/D20,0)</f>
        <v>0</v>
      </c>
      <c r="E21" s="273">
        <f t="shared" si="10"/>
        <v>0</v>
      </c>
      <c r="F21" s="270">
        <f t="shared" si="10"/>
        <v>0</v>
      </c>
      <c r="G21" s="270">
        <f t="shared" si="10"/>
        <v>0</v>
      </c>
      <c r="H21" s="270">
        <f t="shared" si="10"/>
        <v>0</v>
      </c>
      <c r="I21" s="270">
        <f t="shared" si="10"/>
        <v>0</v>
      </c>
      <c r="J21" s="270">
        <f t="shared" si="10"/>
        <v>0</v>
      </c>
      <c r="K21" s="270">
        <f t="shared" si="10"/>
        <v>0</v>
      </c>
      <c r="L21" s="270">
        <f t="shared" si="10"/>
        <v>0</v>
      </c>
      <c r="M21" s="270">
        <f t="shared" si="10"/>
        <v>0</v>
      </c>
      <c r="N21" s="270">
        <f t="shared" si="10"/>
        <v>0</v>
      </c>
      <c r="O21" s="270">
        <f t="shared" si="10"/>
        <v>0</v>
      </c>
      <c r="P21" s="270">
        <f t="shared" si="10"/>
        <v>0</v>
      </c>
      <c r="Q21" s="273">
        <f t="shared" si="10"/>
        <v>0</v>
      </c>
      <c r="R21" s="272">
        <f t="shared" si="10"/>
        <v>0</v>
      </c>
      <c r="S21" s="273">
        <f>+'3. Scrap (LC)'!S21</f>
        <v>0</v>
      </c>
      <c r="T21" s="270">
        <f t="shared" si="0"/>
        <v>0</v>
      </c>
      <c r="U21" s="334"/>
      <c r="V21" s="271"/>
      <c r="W21" s="317" t="str">
        <f>IF(ISBLANK('3. Scrap (LC)'!W21),"",'3. Scrap (LC)'!W21)</f>
        <v/>
      </c>
      <c r="Y21" s="267"/>
    </row>
    <row r="22" spans="1:25" s="243" customFormat="1" ht="17.649999999999999" customHeight="1" outlineLevel="1">
      <c r="A22" s="283" t="s">
        <v>367</v>
      </c>
      <c r="B22" s="326" t="str">
        <f>+'3. Scrap (LC)'!B22</f>
        <v>Area 6</v>
      </c>
      <c r="C22" s="325">
        <f>IFERROR('3. Scrap (LC)'!C22/'Input-FX Rates'!$E$16,0)</f>
        <v>0</v>
      </c>
      <c r="D22" s="323">
        <f>IFERROR('3. Scrap (LC)'!D22/'Input-FX Rates'!$G$16,0)</f>
        <v>0</v>
      </c>
      <c r="E22" s="324">
        <f>IFERROR('3. Scrap (LC)'!E22/'Input-FX Rates'!$G$16,0)</f>
        <v>0</v>
      </c>
      <c r="F22" s="323">
        <f>IFERROR('3. Scrap (LC)'!F22/'Input-FX Rates'!$H$16,0)</f>
        <v>0</v>
      </c>
      <c r="G22" s="323">
        <f>IFERROR('3. Scrap (LC)'!G22/'Input-FX Rates'!$H$16,0)</f>
        <v>0</v>
      </c>
      <c r="H22" s="323">
        <f>IFERROR('3. Scrap (LC)'!H22/'Input-FX Rates'!$H$16,0)</f>
        <v>0</v>
      </c>
      <c r="I22" s="323">
        <f>IFERROR('3. Scrap (LC)'!I22/'Input-FX Rates'!$H$16,0)</f>
        <v>0</v>
      </c>
      <c r="J22" s="323">
        <f>IFERROR('3. Scrap (LC)'!J22/'Input-FX Rates'!$H$16,0)</f>
        <v>0</v>
      </c>
      <c r="K22" s="323">
        <f>IFERROR('3. Scrap (LC)'!K22/'Input-FX Rates'!$H$16,0)</f>
        <v>0</v>
      </c>
      <c r="L22" s="323">
        <f>IFERROR('3. Scrap (LC)'!L22/'Input-FX Rates'!$H$16,0)</f>
        <v>0</v>
      </c>
      <c r="M22" s="323">
        <f>IFERROR('3. Scrap (LC)'!M22/'Input-FX Rates'!$H$16,0)</f>
        <v>0</v>
      </c>
      <c r="N22" s="323">
        <f>IFERROR('3. Scrap (LC)'!N22/'Input-FX Rates'!$H$16,0)</f>
        <v>0</v>
      </c>
      <c r="O22" s="323">
        <f>IFERROR('3. Scrap (LC)'!O22/'Input-FX Rates'!$H$16,0)</f>
        <v>0</v>
      </c>
      <c r="P22" s="323">
        <f>IFERROR('3. Scrap (LC)'!P22/'Input-FX Rates'!$H$16,0)</f>
        <v>0</v>
      </c>
      <c r="Q22" s="324">
        <f>IFERROR('3. Scrap (LC)'!Q22/'Input-FX Rates'!$H$16,0)</f>
        <v>0</v>
      </c>
      <c r="R22" s="325">
        <f>SUM(F22:Q22)</f>
        <v>0</v>
      </c>
      <c r="S22" s="324">
        <f>IFERROR('3. Scrap (LC)'!S22/'Input-FX Rates'!$H$16,0)</f>
        <v>0</v>
      </c>
      <c r="T22" s="323">
        <f t="shared" si="0"/>
        <v>0</v>
      </c>
      <c r="U22" s="329">
        <f>R22-E24*R23</f>
        <v>0</v>
      </c>
      <c r="V22" s="328">
        <f>IFERROR(R23/E23*E22-E22,0)</f>
        <v>0</v>
      </c>
      <c r="W22" s="320" t="str">
        <f>IF(ISBLANK('3. Scrap (LC)'!W22),"",'3. Scrap (LC)'!W22)</f>
        <v/>
      </c>
      <c r="Y22" s="267"/>
    </row>
    <row r="23" spans="1:25" s="243" customFormat="1" ht="17.649999999999999" customHeight="1" outlineLevel="1">
      <c r="A23" s="283" t="s">
        <v>369</v>
      </c>
      <c r="B23" s="326" t="str">
        <f>+'3. Scrap (LC)'!B23</f>
        <v>Area 6</v>
      </c>
      <c r="C23" s="325">
        <f>IFERROR('3. Scrap (LC)'!C23/'Input-FX Rates'!$E$16,0)</f>
        <v>0</v>
      </c>
      <c r="D23" s="323">
        <f>IFERROR('3. Scrap (LC)'!D23/'Input-FX Rates'!$G$16,0)</f>
        <v>0</v>
      </c>
      <c r="E23" s="324">
        <f>IFERROR('3. Scrap (LC)'!E23/'Input-FX Rates'!$G$16,0)</f>
        <v>0</v>
      </c>
      <c r="F23" s="323">
        <f>IFERROR('3. Scrap (LC)'!F23/'Input-FX Rates'!$H$16,0)</f>
        <v>0</v>
      </c>
      <c r="G23" s="323">
        <f>IFERROR('3. Scrap (LC)'!G23/'Input-FX Rates'!$H$16,0)</f>
        <v>0</v>
      </c>
      <c r="H23" s="323">
        <f>IFERROR('3. Scrap (LC)'!H23/'Input-FX Rates'!$H$16,0)</f>
        <v>0</v>
      </c>
      <c r="I23" s="323">
        <f>IFERROR('3. Scrap (LC)'!I23/'Input-FX Rates'!$H$16,0)</f>
        <v>0</v>
      </c>
      <c r="J23" s="323">
        <f>IFERROR('3. Scrap (LC)'!J23/'Input-FX Rates'!$H$16,0)</f>
        <v>0</v>
      </c>
      <c r="K23" s="323">
        <f>IFERROR('3. Scrap (LC)'!K23/'Input-FX Rates'!$H$16,0)</f>
        <v>0</v>
      </c>
      <c r="L23" s="323">
        <f>IFERROR('3. Scrap (LC)'!L23/'Input-FX Rates'!$H$16,0)</f>
        <v>0</v>
      </c>
      <c r="M23" s="323">
        <f>IFERROR('3. Scrap (LC)'!M23/'Input-FX Rates'!$H$16,0)</f>
        <v>0</v>
      </c>
      <c r="N23" s="323">
        <f>IFERROR('3. Scrap (LC)'!N23/'Input-FX Rates'!$H$16,0)</f>
        <v>0</v>
      </c>
      <c r="O23" s="323">
        <f>IFERROR('3. Scrap (LC)'!O23/'Input-FX Rates'!$H$16,0)</f>
        <v>0</v>
      </c>
      <c r="P23" s="323">
        <f>IFERROR('3. Scrap (LC)'!P23/'Input-FX Rates'!$H$16,0)</f>
        <v>0</v>
      </c>
      <c r="Q23" s="324">
        <f>IFERROR('3. Scrap (LC)'!Q23/'Input-FX Rates'!$H$16,0)</f>
        <v>0</v>
      </c>
      <c r="R23" s="325">
        <f>SUM(F23:Q23)</f>
        <v>0</v>
      </c>
      <c r="S23" s="324">
        <f>IFERROR('3. Scrap (LC)'!S23/'Input-FX Rates'!$H$16,0)</f>
        <v>0</v>
      </c>
      <c r="T23" s="323">
        <f t="shared" si="0"/>
        <v>0</v>
      </c>
      <c r="U23" s="322">
        <f>IFERROR(-U22/(E22+V22),0)</f>
        <v>0</v>
      </c>
      <c r="V23" s="321"/>
      <c r="W23" s="320" t="str">
        <f>IF(ISBLANK('3. Scrap (LC)'!W23),"",'3. Scrap (LC)'!W23)</f>
        <v/>
      </c>
      <c r="Y23" s="267"/>
    </row>
    <row r="24" spans="1:25" ht="17.649999999999999" customHeight="1" outlineLevel="1">
      <c r="A24" s="275" t="s">
        <v>370</v>
      </c>
      <c r="B24" s="275" t="str">
        <f>+'3. Scrap (LC)'!B24</f>
        <v>Area 6</v>
      </c>
      <c r="C24" s="272">
        <f>IFERROR(C22/C23,0)</f>
        <v>0</v>
      </c>
      <c r="D24" s="270">
        <f t="shared" ref="D24:R24" si="11">IFERROR(D22/D23,0)</f>
        <v>0</v>
      </c>
      <c r="E24" s="273">
        <f t="shared" si="11"/>
        <v>0</v>
      </c>
      <c r="F24" s="270">
        <f t="shared" si="11"/>
        <v>0</v>
      </c>
      <c r="G24" s="270">
        <f t="shared" si="11"/>
        <v>0</v>
      </c>
      <c r="H24" s="270">
        <f t="shared" si="11"/>
        <v>0</v>
      </c>
      <c r="I24" s="270">
        <f t="shared" si="11"/>
        <v>0</v>
      </c>
      <c r="J24" s="270">
        <f t="shared" si="11"/>
        <v>0</v>
      </c>
      <c r="K24" s="270">
        <f t="shared" si="11"/>
        <v>0</v>
      </c>
      <c r="L24" s="270">
        <f t="shared" si="11"/>
        <v>0</v>
      </c>
      <c r="M24" s="270">
        <f t="shared" si="11"/>
        <v>0</v>
      </c>
      <c r="N24" s="270">
        <f t="shared" si="11"/>
        <v>0</v>
      </c>
      <c r="O24" s="270">
        <f t="shared" si="11"/>
        <v>0</v>
      </c>
      <c r="P24" s="270">
        <f t="shared" si="11"/>
        <v>0</v>
      </c>
      <c r="Q24" s="273">
        <f t="shared" si="11"/>
        <v>0</v>
      </c>
      <c r="R24" s="272">
        <f t="shared" si="11"/>
        <v>0</v>
      </c>
      <c r="S24" s="273">
        <f>+'3. Scrap (LC)'!S24</f>
        <v>0</v>
      </c>
      <c r="T24" s="270">
        <f t="shared" si="0"/>
        <v>0</v>
      </c>
      <c r="U24" s="334"/>
      <c r="V24" s="271"/>
      <c r="W24" s="317" t="str">
        <f>IF(ISBLANK('3. Scrap (LC)'!W24),"",'3. Scrap (LC)'!W24)</f>
        <v/>
      </c>
      <c r="Y24" s="267"/>
    </row>
    <row r="25" spans="1:25" ht="17.649999999999999" customHeight="1" outlineLevel="1">
      <c r="A25" s="283" t="s">
        <v>371</v>
      </c>
      <c r="B25" s="283" t="str">
        <f>+'3. Scrap (LC)'!B25</f>
        <v>Area 7</v>
      </c>
      <c r="C25" s="325">
        <f>IFERROR('3. Scrap (LC)'!C25/'Input-FX Rates'!$E$16,0)</f>
        <v>0</v>
      </c>
      <c r="D25" s="323">
        <f>IFERROR('3. Scrap (LC)'!D25/'Input-FX Rates'!$G$16,0)</f>
        <v>0</v>
      </c>
      <c r="E25" s="324">
        <f>IFERROR('3. Scrap (LC)'!E25/'Input-FX Rates'!$G$16,0)</f>
        <v>0</v>
      </c>
      <c r="F25" s="323">
        <f>IFERROR('3. Scrap (LC)'!F25/'Input-FX Rates'!$H$16,0)</f>
        <v>0</v>
      </c>
      <c r="G25" s="323">
        <f>IFERROR('3. Scrap (LC)'!G25/'Input-FX Rates'!$H$16,0)</f>
        <v>0</v>
      </c>
      <c r="H25" s="323">
        <f>IFERROR('3. Scrap (LC)'!H25/'Input-FX Rates'!$H$16,0)</f>
        <v>0</v>
      </c>
      <c r="I25" s="323">
        <f>IFERROR('3. Scrap (LC)'!I25/'Input-FX Rates'!$H$16,0)</f>
        <v>0</v>
      </c>
      <c r="J25" s="323">
        <f>IFERROR('3. Scrap (LC)'!J25/'Input-FX Rates'!$H$16,0)</f>
        <v>0</v>
      </c>
      <c r="K25" s="323">
        <f>IFERROR('3. Scrap (LC)'!K25/'Input-FX Rates'!$H$16,0)</f>
        <v>0</v>
      </c>
      <c r="L25" s="323">
        <f>IFERROR('3. Scrap (LC)'!L25/'Input-FX Rates'!$H$16,0)</f>
        <v>0</v>
      </c>
      <c r="M25" s="323">
        <f>IFERROR('3. Scrap (LC)'!M25/'Input-FX Rates'!$H$16,0)</f>
        <v>0</v>
      </c>
      <c r="N25" s="323">
        <f>IFERROR('3. Scrap (LC)'!N25/'Input-FX Rates'!$H$16,0)</f>
        <v>0</v>
      </c>
      <c r="O25" s="323">
        <f>IFERROR('3. Scrap (LC)'!O25/'Input-FX Rates'!$H$16,0)</f>
        <v>0</v>
      </c>
      <c r="P25" s="323">
        <f>IFERROR('3. Scrap (LC)'!P25/'Input-FX Rates'!$H$16,0)</f>
        <v>0</v>
      </c>
      <c r="Q25" s="324">
        <f>IFERROR('3. Scrap (LC)'!Q25/'Input-FX Rates'!$H$16,0)</f>
        <v>0</v>
      </c>
      <c r="R25" s="325">
        <f>SUM(F25:Q25)</f>
        <v>0</v>
      </c>
      <c r="S25" s="324">
        <f>IFERROR('3. Scrap (LC)'!S19/'Input-FX Rates'!$H$16,0)</f>
        <v>0</v>
      </c>
      <c r="T25" s="323">
        <f t="shared" si="0"/>
        <v>0</v>
      </c>
      <c r="U25" s="329">
        <f>R25-E27*R26</f>
        <v>0</v>
      </c>
      <c r="V25" s="328">
        <f>IFERROR(R26/E26*E25-E25,0)</f>
        <v>0</v>
      </c>
      <c r="W25" s="320" t="str">
        <f>IF(ISBLANK('3. Scrap (LC)'!W25),"",'3. Scrap (LC)'!W25)</f>
        <v/>
      </c>
      <c r="Y25" s="267"/>
    </row>
    <row r="26" spans="1:25" ht="17.649999999999999" customHeight="1" outlineLevel="1">
      <c r="A26" s="283" t="s">
        <v>373</v>
      </c>
      <c r="B26" s="283" t="str">
        <f>+'3. Scrap (LC)'!B26</f>
        <v>Area 7</v>
      </c>
      <c r="C26" s="325">
        <f>IFERROR('3. Scrap (LC)'!C26/'Input-FX Rates'!$E$16,0)</f>
        <v>0</v>
      </c>
      <c r="D26" s="323">
        <f>IFERROR('3. Scrap (LC)'!D26/'Input-FX Rates'!$G$16,0)</f>
        <v>0</v>
      </c>
      <c r="E26" s="324">
        <f>IFERROR('3. Scrap (LC)'!E26/'Input-FX Rates'!$G$16,0)</f>
        <v>0</v>
      </c>
      <c r="F26" s="323">
        <f>IFERROR('3. Scrap (LC)'!F26/'Input-FX Rates'!$H$16,0)</f>
        <v>0</v>
      </c>
      <c r="G26" s="323">
        <f>IFERROR('3. Scrap (LC)'!G26/'Input-FX Rates'!$H$16,0)</f>
        <v>0</v>
      </c>
      <c r="H26" s="323">
        <f>IFERROR('3. Scrap (LC)'!H26/'Input-FX Rates'!$H$16,0)</f>
        <v>0</v>
      </c>
      <c r="I26" s="323">
        <f>IFERROR('3. Scrap (LC)'!I26/'Input-FX Rates'!$H$16,0)</f>
        <v>0</v>
      </c>
      <c r="J26" s="323">
        <f>IFERROR('3. Scrap (LC)'!J26/'Input-FX Rates'!$H$16,0)</f>
        <v>0</v>
      </c>
      <c r="K26" s="323">
        <f>IFERROR('3. Scrap (LC)'!K26/'Input-FX Rates'!$H$16,0)</f>
        <v>0</v>
      </c>
      <c r="L26" s="323">
        <f>IFERROR('3. Scrap (LC)'!L26/'Input-FX Rates'!$H$16,0)</f>
        <v>0</v>
      </c>
      <c r="M26" s="323">
        <f>IFERROR('3. Scrap (LC)'!M26/'Input-FX Rates'!$H$16,0)</f>
        <v>0</v>
      </c>
      <c r="N26" s="323">
        <f>IFERROR('3. Scrap (LC)'!N26/'Input-FX Rates'!$H$16,0)</f>
        <v>0</v>
      </c>
      <c r="O26" s="323">
        <f>IFERROR('3. Scrap (LC)'!O26/'Input-FX Rates'!$H$16,0)</f>
        <v>0</v>
      </c>
      <c r="P26" s="323">
        <f>IFERROR('3. Scrap (LC)'!P26/'Input-FX Rates'!$H$16,0)</f>
        <v>0</v>
      </c>
      <c r="Q26" s="324">
        <f>IFERROR('3. Scrap (LC)'!Q26/'Input-FX Rates'!$H$16,0)</f>
        <v>0</v>
      </c>
      <c r="R26" s="325">
        <f>SUM(F26:Q26)</f>
        <v>0</v>
      </c>
      <c r="S26" s="324">
        <f>IFERROR('3. Scrap (LC)'!S19/'Input-FX Rates'!$H$16,0)</f>
        <v>0</v>
      </c>
      <c r="T26" s="323">
        <f t="shared" si="0"/>
        <v>0</v>
      </c>
      <c r="U26" s="322">
        <f>IFERROR(-U25/(E25+V25),0)</f>
        <v>0</v>
      </c>
      <c r="V26" s="321"/>
      <c r="W26" s="320" t="str">
        <f>IF(ISBLANK('3. Scrap (LC)'!W26),"",'3. Scrap (LC)'!W26)</f>
        <v/>
      </c>
      <c r="Y26" s="267"/>
    </row>
    <row r="27" spans="1:25" ht="17.649999999999999" customHeight="1" outlineLevel="1">
      <c r="A27" s="275" t="s">
        <v>374</v>
      </c>
      <c r="B27" s="275" t="str">
        <f>+'3. Scrap (LC)'!B27</f>
        <v>Area 7</v>
      </c>
      <c r="C27" s="272">
        <f>IFERROR(C25/C26,0)</f>
        <v>0</v>
      </c>
      <c r="D27" s="270">
        <f t="shared" ref="D27:Q27" si="12">IFERROR(D25/D26,0)</f>
        <v>0</v>
      </c>
      <c r="E27" s="273">
        <f t="shared" si="12"/>
        <v>0</v>
      </c>
      <c r="F27" s="270">
        <f t="shared" si="12"/>
        <v>0</v>
      </c>
      <c r="G27" s="270">
        <f t="shared" si="12"/>
        <v>0</v>
      </c>
      <c r="H27" s="270">
        <f t="shared" si="12"/>
        <v>0</v>
      </c>
      <c r="I27" s="270">
        <f t="shared" si="12"/>
        <v>0</v>
      </c>
      <c r="J27" s="270">
        <f t="shared" si="12"/>
        <v>0</v>
      </c>
      <c r="K27" s="270">
        <f t="shared" si="12"/>
        <v>0</v>
      </c>
      <c r="L27" s="270">
        <f t="shared" si="12"/>
        <v>0</v>
      </c>
      <c r="M27" s="270">
        <f t="shared" si="12"/>
        <v>0</v>
      </c>
      <c r="N27" s="270">
        <f t="shared" si="12"/>
        <v>0</v>
      </c>
      <c r="O27" s="270">
        <f t="shared" si="12"/>
        <v>0</v>
      </c>
      <c r="P27" s="270">
        <f t="shared" si="12"/>
        <v>0</v>
      </c>
      <c r="Q27" s="273">
        <f t="shared" si="12"/>
        <v>0</v>
      </c>
      <c r="R27" s="272">
        <f t="shared" ref="R27" si="13">IFERROR(R25/R26,0)</f>
        <v>0</v>
      </c>
      <c r="S27" s="273">
        <f>+'3. Scrap (LC)'!S27</f>
        <v>0</v>
      </c>
      <c r="T27" s="270">
        <f t="shared" si="0"/>
        <v>0</v>
      </c>
      <c r="U27" s="334"/>
      <c r="V27" s="271"/>
      <c r="W27" s="317"/>
      <c r="Y27" s="267"/>
    </row>
    <row r="28" spans="1:25" ht="17.649999999999999" customHeight="1" outlineLevel="1">
      <c r="A28" s="283" t="s">
        <v>375</v>
      </c>
      <c r="B28" s="283" t="str">
        <f>+'3. Scrap (LC)'!B28</f>
        <v>Area 8</v>
      </c>
      <c r="C28" s="325">
        <f>IFERROR('3. Scrap (LC)'!C28/'Input-FX Rates'!$E$16,0)</f>
        <v>0</v>
      </c>
      <c r="D28" s="323">
        <f>IFERROR('3. Scrap (LC)'!D28/'Input-FX Rates'!$G$16,0)</f>
        <v>0</v>
      </c>
      <c r="E28" s="324">
        <f>IFERROR('3. Scrap (LC)'!E28/'Input-FX Rates'!$G$16,0)</f>
        <v>0</v>
      </c>
      <c r="F28" s="323">
        <f>IFERROR('3. Scrap (LC)'!F28/'Input-FX Rates'!$H$16,0)</f>
        <v>0</v>
      </c>
      <c r="G28" s="323">
        <f>IFERROR('3. Scrap (LC)'!G28/'Input-FX Rates'!$H$16,0)</f>
        <v>0</v>
      </c>
      <c r="H28" s="323">
        <f>IFERROR('3. Scrap (LC)'!H28/'Input-FX Rates'!$H$16,0)</f>
        <v>0</v>
      </c>
      <c r="I28" s="323">
        <f>IFERROR('3. Scrap (LC)'!I28/'Input-FX Rates'!$H$16,0)</f>
        <v>0</v>
      </c>
      <c r="J28" s="323">
        <f>IFERROR('3. Scrap (LC)'!J28/'Input-FX Rates'!$H$16,0)</f>
        <v>0</v>
      </c>
      <c r="K28" s="323">
        <f>IFERROR('3. Scrap (LC)'!K28/'Input-FX Rates'!$H$16,0)</f>
        <v>0</v>
      </c>
      <c r="L28" s="323">
        <f>IFERROR('3. Scrap (LC)'!L28/'Input-FX Rates'!$H$16,0)</f>
        <v>0</v>
      </c>
      <c r="M28" s="323">
        <f>IFERROR('3. Scrap (LC)'!M28/'Input-FX Rates'!$H$16,0)</f>
        <v>0</v>
      </c>
      <c r="N28" s="323">
        <f>IFERROR('3. Scrap (LC)'!N28/'Input-FX Rates'!$H$16,0)</f>
        <v>0</v>
      </c>
      <c r="O28" s="323">
        <f>IFERROR('3. Scrap (LC)'!O28/'Input-FX Rates'!$H$16,0)</f>
        <v>0</v>
      </c>
      <c r="P28" s="323">
        <f>IFERROR('3. Scrap (LC)'!P28/'Input-FX Rates'!$H$16,0)</f>
        <v>0</v>
      </c>
      <c r="Q28" s="324">
        <f>IFERROR('3. Scrap (LC)'!Q28/'Input-FX Rates'!$H$16,0)</f>
        <v>0</v>
      </c>
      <c r="R28" s="325">
        <f>SUM(F28:Q28)</f>
        <v>0</v>
      </c>
      <c r="S28" s="324">
        <f>IFERROR('3. Scrap (LC)'!S19/'Input-FX Rates'!$H$16,0)</f>
        <v>0</v>
      </c>
      <c r="T28" s="323">
        <f t="shared" si="0"/>
        <v>0</v>
      </c>
      <c r="U28" s="329">
        <f>R28-E30*R29</f>
        <v>0</v>
      </c>
      <c r="V28" s="328">
        <f>IFERROR(R29/E29*E28-E28,0)</f>
        <v>0</v>
      </c>
      <c r="W28" s="320" t="str">
        <f>IF(ISBLANK('3. Scrap (LC)'!W28),"",'3. Scrap (LC)'!W28)</f>
        <v/>
      </c>
      <c r="Y28" s="267"/>
    </row>
    <row r="29" spans="1:25" ht="17.649999999999999" customHeight="1" outlineLevel="1">
      <c r="A29" s="283" t="s">
        <v>377</v>
      </c>
      <c r="B29" s="283" t="str">
        <f>+'3. Scrap (LC)'!B29</f>
        <v>Area 8</v>
      </c>
      <c r="C29" s="325">
        <f>IFERROR('3. Scrap (LC)'!C29/'Input-FX Rates'!$E$16,0)</f>
        <v>0</v>
      </c>
      <c r="D29" s="323">
        <f>IFERROR('3. Scrap (LC)'!D29/'Input-FX Rates'!$G$16,0)</f>
        <v>0</v>
      </c>
      <c r="E29" s="324">
        <f>IFERROR('3. Scrap (LC)'!E29/'Input-FX Rates'!$G$16,0)</f>
        <v>0</v>
      </c>
      <c r="F29" s="323">
        <f>IFERROR('3. Scrap (LC)'!F29/'Input-FX Rates'!$H$16,0)</f>
        <v>0</v>
      </c>
      <c r="G29" s="323">
        <f>IFERROR('3. Scrap (LC)'!G29/'Input-FX Rates'!$H$16,0)</f>
        <v>0</v>
      </c>
      <c r="H29" s="323">
        <f>IFERROR('3. Scrap (LC)'!H29/'Input-FX Rates'!$H$16,0)</f>
        <v>0</v>
      </c>
      <c r="I29" s="323">
        <f>IFERROR('3. Scrap (LC)'!I29/'Input-FX Rates'!$H$16,0)</f>
        <v>0</v>
      </c>
      <c r="J29" s="323">
        <f>IFERROR('3. Scrap (LC)'!J29/'Input-FX Rates'!$H$16,0)</f>
        <v>0</v>
      </c>
      <c r="K29" s="323">
        <f>IFERROR('3. Scrap (LC)'!K29/'Input-FX Rates'!$H$16,0)</f>
        <v>0</v>
      </c>
      <c r="L29" s="323">
        <f>IFERROR('3. Scrap (LC)'!L29/'Input-FX Rates'!$H$16,0)</f>
        <v>0</v>
      </c>
      <c r="M29" s="323">
        <f>IFERROR('3. Scrap (LC)'!M29/'Input-FX Rates'!$H$16,0)</f>
        <v>0</v>
      </c>
      <c r="N29" s="323">
        <f>IFERROR('3. Scrap (LC)'!N29/'Input-FX Rates'!$H$16,0)</f>
        <v>0</v>
      </c>
      <c r="O29" s="323">
        <f>IFERROR('3. Scrap (LC)'!O29/'Input-FX Rates'!$H$16,0)</f>
        <v>0</v>
      </c>
      <c r="P29" s="323">
        <f>IFERROR('3. Scrap (LC)'!P29/'Input-FX Rates'!$H$16,0)</f>
        <v>0</v>
      </c>
      <c r="Q29" s="324">
        <f>IFERROR('3. Scrap (LC)'!Q29/'Input-FX Rates'!$H$16,0)</f>
        <v>0</v>
      </c>
      <c r="R29" s="325">
        <f>SUM(F29:Q29)</f>
        <v>0</v>
      </c>
      <c r="S29" s="324">
        <f>IFERROR('3. Scrap (LC)'!S19/'Input-FX Rates'!$H$16,0)</f>
        <v>0</v>
      </c>
      <c r="T29" s="323">
        <f t="shared" si="0"/>
        <v>0</v>
      </c>
      <c r="U29" s="322">
        <f>IFERROR(-U28/(E28+V28),0)</f>
        <v>0</v>
      </c>
      <c r="V29" s="321"/>
      <c r="W29" s="320" t="str">
        <f>IF(ISBLANK('3. Scrap (LC)'!W29),"",'3. Scrap (LC)'!W29)</f>
        <v/>
      </c>
      <c r="Y29" s="267"/>
    </row>
    <row r="30" spans="1:25" ht="17.649999999999999" customHeight="1" outlineLevel="1">
      <c r="A30" s="275" t="s">
        <v>378</v>
      </c>
      <c r="B30" s="275" t="str">
        <f>+'3. Scrap (LC)'!B30</f>
        <v>Area 8</v>
      </c>
      <c r="C30" s="272">
        <f>IFERROR(C28/C29,0)</f>
        <v>0</v>
      </c>
      <c r="D30" s="270">
        <f t="shared" ref="D30:Q30" si="14">IFERROR(D28/D29,0)</f>
        <v>0</v>
      </c>
      <c r="E30" s="273">
        <f t="shared" si="14"/>
        <v>0</v>
      </c>
      <c r="F30" s="270">
        <f t="shared" si="14"/>
        <v>0</v>
      </c>
      <c r="G30" s="270">
        <f t="shared" si="14"/>
        <v>0</v>
      </c>
      <c r="H30" s="270">
        <f t="shared" si="14"/>
        <v>0</v>
      </c>
      <c r="I30" s="270">
        <f t="shared" si="14"/>
        <v>0</v>
      </c>
      <c r="J30" s="270">
        <f t="shared" si="14"/>
        <v>0</v>
      </c>
      <c r="K30" s="270">
        <f t="shared" si="14"/>
        <v>0</v>
      </c>
      <c r="L30" s="270">
        <f t="shared" si="14"/>
        <v>0</v>
      </c>
      <c r="M30" s="270">
        <f t="shared" si="14"/>
        <v>0</v>
      </c>
      <c r="N30" s="270">
        <f t="shared" si="14"/>
        <v>0</v>
      </c>
      <c r="O30" s="270">
        <f t="shared" si="14"/>
        <v>0</v>
      </c>
      <c r="P30" s="270">
        <f t="shared" si="14"/>
        <v>0</v>
      </c>
      <c r="Q30" s="273">
        <f t="shared" si="14"/>
        <v>0</v>
      </c>
      <c r="R30" s="272">
        <f t="shared" ref="R30" si="15">IFERROR(R28/R29,0)</f>
        <v>0</v>
      </c>
      <c r="S30" s="273">
        <f>+'3. Scrap (LC)'!S30</f>
        <v>0</v>
      </c>
      <c r="T30" s="270">
        <f>R30-E30</f>
        <v>0</v>
      </c>
      <c r="U30" s="334"/>
      <c r="V30" s="271"/>
      <c r="W30" s="317"/>
      <c r="Y30" s="267"/>
    </row>
    <row r="31" spans="1:25" ht="17.649999999999999" customHeight="1" outlineLevel="1">
      <c r="A31" s="283" t="s">
        <v>379</v>
      </c>
      <c r="B31" s="283" t="str">
        <f>+'3. Scrap (LC)'!B31</f>
        <v>Area 9</v>
      </c>
      <c r="C31" s="325">
        <f>IFERROR('3. Scrap (LC)'!C31/'Input-FX Rates'!$E$16,0)</f>
        <v>0</v>
      </c>
      <c r="D31" s="323">
        <f>IFERROR('3. Scrap (LC)'!D31/'Input-FX Rates'!$G$16,0)</f>
        <v>0</v>
      </c>
      <c r="E31" s="324">
        <f>IFERROR('3. Scrap (LC)'!E31/'Input-FX Rates'!$G$16,0)</f>
        <v>0</v>
      </c>
      <c r="F31" s="323">
        <f>IFERROR('3. Scrap (LC)'!F31/'Input-FX Rates'!$H$16,0)</f>
        <v>0</v>
      </c>
      <c r="G31" s="323">
        <f>IFERROR('3. Scrap (LC)'!G31/'Input-FX Rates'!$H$16,0)</f>
        <v>0</v>
      </c>
      <c r="H31" s="323">
        <f>IFERROR('3. Scrap (LC)'!H31/'Input-FX Rates'!$H$16,0)</f>
        <v>0</v>
      </c>
      <c r="I31" s="323">
        <f>IFERROR('3. Scrap (LC)'!I31/'Input-FX Rates'!$H$16,0)</f>
        <v>0</v>
      </c>
      <c r="J31" s="323">
        <f>IFERROR('3. Scrap (LC)'!J31/'Input-FX Rates'!$H$16,0)</f>
        <v>0</v>
      </c>
      <c r="K31" s="323">
        <f>IFERROR('3. Scrap (LC)'!K31/'Input-FX Rates'!$H$16,0)</f>
        <v>0</v>
      </c>
      <c r="L31" s="323">
        <f>IFERROR('3. Scrap (LC)'!L31/'Input-FX Rates'!$H$16,0)</f>
        <v>0</v>
      </c>
      <c r="M31" s="323">
        <f>IFERROR('3. Scrap (LC)'!M31/'Input-FX Rates'!$H$16,0)</f>
        <v>0</v>
      </c>
      <c r="N31" s="323">
        <f>IFERROR('3. Scrap (LC)'!N31/'Input-FX Rates'!$H$16,0)</f>
        <v>0</v>
      </c>
      <c r="O31" s="323">
        <f>IFERROR('3. Scrap (LC)'!O31/'Input-FX Rates'!$H$16,0)</f>
        <v>0</v>
      </c>
      <c r="P31" s="323">
        <f>IFERROR('3. Scrap (LC)'!P31/'Input-FX Rates'!$H$16,0)</f>
        <v>0</v>
      </c>
      <c r="Q31" s="324">
        <f>IFERROR('3. Scrap (LC)'!Q31/'Input-FX Rates'!$H$16,0)</f>
        <v>0</v>
      </c>
      <c r="R31" s="325">
        <f>SUM(F31:Q31)</f>
        <v>0</v>
      </c>
      <c r="S31" s="324">
        <f>IFERROR('3. Scrap (LC)'!S19/'Input-FX Rates'!$H$16,0)</f>
        <v>0</v>
      </c>
      <c r="T31" s="323">
        <f t="shared" si="0"/>
        <v>0</v>
      </c>
      <c r="U31" s="329">
        <f>R31-E33*R32</f>
        <v>0</v>
      </c>
      <c r="V31" s="328">
        <f>IFERROR(R32/E32*E31-E31,0)</f>
        <v>0</v>
      </c>
      <c r="W31" s="320" t="str">
        <f>IF(ISBLANK('3. Scrap (LC)'!W31),"",'3. Scrap (LC)'!W31)</f>
        <v/>
      </c>
      <c r="Y31" s="267"/>
    </row>
    <row r="32" spans="1:25" ht="17.649999999999999" customHeight="1" outlineLevel="1">
      <c r="A32" s="283" t="s">
        <v>381</v>
      </c>
      <c r="B32" s="283" t="str">
        <f>+'3. Scrap (LC)'!B32</f>
        <v>Area 9</v>
      </c>
      <c r="C32" s="325">
        <f>IFERROR('3. Scrap (LC)'!C32/'Input-FX Rates'!$E$16,0)</f>
        <v>0</v>
      </c>
      <c r="D32" s="323">
        <f>IFERROR('3. Scrap (LC)'!D32/'Input-FX Rates'!$G$16,0)</f>
        <v>0</v>
      </c>
      <c r="E32" s="324">
        <f>IFERROR('3. Scrap (LC)'!E32/'Input-FX Rates'!$G$16,0)</f>
        <v>0</v>
      </c>
      <c r="F32" s="323">
        <f>IFERROR('3. Scrap (LC)'!F32/'Input-FX Rates'!$H$16,0)</f>
        <v>0</v>
      </c>
      <c r="G32" s="323">
        <f>IFERROR('3. Scrap (LC)'!G32/'Input-FX Rates'!$H$16,0)</f>
        <v>0</v>
      </c>
      <c r="H32" s="323">
        <f>IFERROR('3. Scrap (LC)'!H32/'Input-FX Rates'!$H$16,0)</f>
        <v>0</v>
      </c>
      <c r="I32" s="323">
        <f>IFERROR('3. Scrap (LC)'!I32/'Input-FX Rates'!$H$16,0)</f>
        <v>0</v>
      </c>
      <c r="J32" s="323">
        <f>IFERROR('3. Scrap (LC)'!J32/'Input-FX Rates'!$H$16,0)</f>
        <v>0</v>
      </c>
      <c r="K32" s="323">
        <f>IFERROR('3. Scrap (LC)'!K32/'Input-FX Rates'!$H$16,0)</f>
        <v>0</v>
      </c>
      <c r="L32" s="323">
        <f>IFERROR('3. Scrap (LC)'!L32/'Input-FX Rates'!$H$16,0)</f>
        <v>0</v>
      </c>
      <c r="M32" s="323">
        <f>IFERROR('3. Scrap (LC)'!M32/'Input-FX Rates'!$H$16,0)</f>
        <v>0</v>
      </c>
      <c r="N32" s="323">
        <f>IFERROR('3. Scrap (LC)'!N32/'Input-FX Rates'!$H$16,0)</f>
        <v>0</v>
      </c>
      <c r="O32" s="323">
        <f>IFERROR('3. Scrap (LC)'!O32/'Input-FX Rates'!$H$16,0)</f>
        <v>0</v>
      </c>
      <c r="P32" s="323">
        <f>IFERROR('3. Scrap (LC)'!P32/'Input-FX Rates'!$H$16,0)</f>
        <v>0</v>
      </c>
      <c r="Q32" s="324">
        <f>IFERROR('3. Scrap (LC)'!Q32/'Input-FX Rates'!$H$16,0)</f>
        <v>0</v>
      </c>
      <c r="R32" s="325">
        <f>SUM(F32:Q32)</f>
        <v>0</v>
      </c>
      <c r="S32" s="324">
        <f>IFERROR('3. Scrap (LC)'!S19/'Input-FX Rates'!$H$16,0)</f>
        <v>0</v>
      </c>
      <c r="T32" s="323">
        <f t="shared" si="0"/>
        <v>0</v>
      </c>
      <c r="U32" s="322">
        <f>IFERROR(-U31/(E31+V31),0)</f>
        <v>0</v>
      </c>
      <c r="V32" s="321"/>
      <c r="W32" s="320" t="str">
        <f>IF(ISBLANK('3. Scrap (LC)'!W32),"",'3. Scrap (LC)'!W32)</f>
        <v/>
      </c>
      <c r="Y32" s="267"/>
    </row>
    <row r="33" spans="1:25" ht="17.649999999999999" customHeight="1" outlineLevel="1">
      <c r="A33" s="275" t="s">
        <v>382</v>
      </c>
      <c r="B33" s="275" t="str">
        <f>+'3. Scrap (LC)'!B33</f>
        <v>Area 9</v>
      </c>
      <c r="C33" s="272">
        <f>IFERROR(C31/C32,0)</f>
        <v>0</v>
      </c>
      <c r="D33" s="270">
        <f t="shared" ref="D33:Q33" si="16">IFERROR(D31/D32,0)</f>
        <v>0</v>
      </c>
      <c r="E33" s="273">
        <f t="shared" si="16"/>
        <v>0</v>
      </c>
      <c r="F33" s="270">
        <f t="shared" si="16"/>
        <v>0</v>
      </c>
      <c r="G33" s="270">
        <f t="shared" si="16"/>
        <v>0</v>
      </c>
      <c r="H33" s="270">
        <f t="shared" si="16"/>
        <v>0</v>
      </c>
      <c r="I33" s="270">
        <f t="shared" si="16"/>
        <v>0</v>
      </c>
      <c r="J33" s="270">
        <f t="shared" si="16"/>
        <v>0</v>
      </c>
      <c r="K33" s="270">
        <f t="shared" si="16"/>
        <v>0</v>
      </c>
      <c r="L33" s="270">
        <f t="shared" si="16"/>
        <v>0</v>
      </c>
      <c r="M33" s="270">
        <f t="shared" si="16"/>
        <v>0</v>
      </c>
      <c r="N33" s="270">
        <f t="shared" si="16"/>
        <v>0</v>
      </c>
      <c r="O33" s="270">
        <f t="shared" si="16"/>
        <v>0</v>
      </c>
      <c r="P33" s="270">
        <f t="shared" si="16"/>
        <v>0</v>
      </c>
      <c r="Q33" s="273">
        <f t="shared" si="16"/>
        <v>0</v>
      </c>
      <c r="R33" s="272">
        <f t="shared" ref="R33" si="17">IFERROR(R31/R32,0)</f>
        <v>0</v>
      </c>
      <c r="S33" s="273">
        <f>+'3. Scrap (LC)'!S33</f>
        <v>0</v>
      </c>
      <c r="T33" s="270">
        <f t="shared" si="0"/>
        <v>0</v>
      </c>
      <c r="U33" s="334"/>
      <c r="V33" s="271"/>
      <c r="W33" s="317"/>
      <c r="Y33" s="267"/>
    </row>
    <row r="34" spans="1:25" ht="17.649999999999999" customHeight="1" outlineLevel="1">
      <c r="A34" s="283" t="s">
        <v>383</v>
      </c>
      <c r="B34" s="283" t="str">
        <f>+'3. Scrap (LC)'!B34</f>
        <v>Area 10</v>
      </c>
      <c r="C34" s="325">
        <f>IFERROR('3. Scrap (LC)'!C34/'Input-FX Rates'!$E$16,0)</f>
        <v>0</v>
      </c>
      <c r="D34" s="323">
        <f>IFERROR('3. Scrap (LC)'!D34/'Input-FX Rates'!$G$16,0)</f>
        <v>0</v>
      </c>
      <c r="E34" s="324">
        <f>IFERROR('3. Scrap (LC)'!E34/'Input-FX Rates'!$G$16,0)</f>
        <v>0</v>
      </c>
      <c r="F34" s="323">
        <f>IFERROR('3. Scrap (LC)'!F34/'Input-FX Rates'!$H$16,0)</f>
        <v>0</v>
      </c>
      <c r="G34" s="323">
        <f>IFERROR('3. Scrap (LC)'!G34/'Input-FX Rates'!$H$16,0)</f>
        <v>0</v>
      </c>
      <c r="H34" s="323">
        <f>IFERROR('3. Scrap (LC)'!H34/'Input-FX Rates'!$H$16,0)</f>
        <v>0</v>
      </c>
      <c r="I34" s="323">
        <f>IFERROR('3. Scrap (LC)'!I34/'Input-FX Rates'!$H$16,0)</f>
        <v>0</v>
      </c>
      <c r="J34" s="323">
        <f>IFERROR('3. Scrap (LC)'!J34/'Input-FX Rates'!$H$16,0)</f>
        <v>0</v>
      </c>
      <c r="K34" s="323">
        <f>IFERROR('3. Scrap (LC)'!K34/'Input-FX Rates'!$H$16,0)</f>
        <v>0</v>
      </c>
      <c r="L34" s="323">
        <f>IFERROR('3. Scrap (LC)'!L34/'Input-FX Rates'!$H$16,0)</f>
        <v>0</v>
      </c>
      <c r="M34" s="323">
        <f>IFERROR('3. Scrap (LC)'!M34/'Input-FX Rates'!$H$16,0)</f>
        <v>0</v>
      </c>
      <c r="N34" s="323">
        <f>IFERROR('3. Scrap (LC)'!N34/'Input-FX Rates'!$H$16,0)</f>
        <v>0</v>
      </c>
      <c r="O34" s="323">
        <f>IFERROR('3. Scrap (LC)'!O34/'Input-FX Rates'!$H$16,0)</f>
        <v>0</v>
      </c>
      <c r="P34" s="323">
        <f>IFERROR('3. Scrap (LC)'!P34/'Input-FX Rates'!$H$16,0)</f>
        <v>0</v>
      </c>
      <c r="Q34" s="324">
        <f>IFERROR('3. Scrap (LC)'!Q34/'Input-FX Rates'!$H$16,0)</f>
        <v>0</v>
      </c>
      <c r="R34" s="325">
        <f>SUM(F34:Q34)</f>
        <v>0</v>
      </c>
      <c r="S34" s="324">
        <f>IFERROR('3. Scrap (LC)'!S19/'Input-FX Rates'!$H$16,0)</f>
        <v>0</v>
      </c>
      <c r="T34" s="323">
        <f t="shared" si="0"/>
        <v>0</v>
      </c>
      <c r="U34" s="329">
        <f>R34-E36*R35</f>
        <v>0</v>
      </c>
      <c r="V34" s="328">
        <f>IFERROR(R35/E35*E34-E34,0)</f>
        <v>0</v>
      </c>
      <c r="W34" s="320" t="str">
        <f>IF(ISBLANK('3. Scrap (LC)'!W34),"",'3. Scrap (LC)'!W34)</f>
        <v/>
      </c>
      <c r="Y34" s="267"/>
    </row>
    <row r="35" spans="1:25" ht="17.649999999999999" customHeight="1" outlineLevel="1">
      <c r="A35" s="283" t="s">
        <v>385</v>
      </c>
      <c r="B35" s="283" t="str">
        <f>+'3. Scrap (LC)'!B35</f>
        <v>Area 10</v>
      </c>
      <c r="C35" s="325">
        <f>IFERROR('3. Scrap (LC)'!C35/'Input-FX Rates'!$E$16,0)</f>
        <v>0</v>
      </c>
      <c r="D35" s="323">
        <f>IFERROR('3. Scrap (LC)'!D35/'Input-FX Rates'!$G$16,0)</f>
        <v>0</v>
      </c>
      <c r="E35" s="324">
        <f>IFERROR('3. Scrap (LC)'!E35/'Input-FX Rates'!$G$16,0)</f>
        <v>0</v>
      </c>
      <c r="F35" s="323">
        <f>IFERROR('3. Scrap (LC)'!F35/'Input-FX Rates'!$H$16,0)</f>
        <v>0</v>
      </c>
      <c r="G35" s="323">
        <f>IFERROR('3. Scrap (LC)'!G35/'Input-FX Rates'!$H$16,0)</f>
        <v>0</v>
      </c>
      <c r="H35" s="323">
        <f>IFERROR('3. Scrap (LC)'!H35/'Input-FX Rates'!$H$16,0)</f>
        <v>0</v>
      </c>
      <c r="I35" s="323">
        <f>IFERROR('3. Scrap (LC)'!I35/'Input-FX Rates'!$H$16,0)</f>
        <v>0</v>
      </c>
      <c r="J35" s="323">
        <f>IFERROR('3. Scrap (LC)'!J35/'Input-FX Rates'!$H$16,0)</f>
        <v>0</v>
      </c>
      <c r="K35" s="323">
        <f>IFERROR('3. Scrap (LC)'!K35/'Input-FX Rates'!$H$16,0)</f>
        <v>0</v>
      </c>
      <c r="L35" s="323">
        <f>IFERROR('3. Scrap (LC)'!L35/'Input-FX Rates'!$H$16,0)</f>
        <v>0</v>
      </c>
      <c r="M35" s="323">
        <f>IFERROR('3. Scrap (LC)'!M35/'Input-FX Rates'!$H$16,0)</f>
        <v>0</v>
      </c>
      <c r="N35" s="323">
        <f>IFERROR('3. Scrap (LC)'!N35/'Input-FX Rates'!$H$16,0)</f>
        <v>0</v>
      </c>
      <c r="O35" s="323">
        <f>IFERROR('3. Scrap (LC)'!O35/'Input-FX Rates'!$H$16,0)</f>
        <v>0</v>
      </c>
      <c r="P35" s="323">
        <f>IFERROR('3. Scrap (LC)'!P35/'Input-FX Rates'!$H$16,0)</f>
        <v>0</v>
      </c>
      <c r="Q35" s="324">
        <f>IFERROR('3. Scrap (LC)'!Q35/'Input-FX Rates'!$H$16,0)</f>
        <v>0</v>
      </c>
      <c r="R35" s="325">
        <f>SUM(F35:Q35)</f>
        <v>0</v>
      </c>
      <c r="S35" s="324">
        <f>IFERROR('3. Scrap (LC)'!S19/'Input-FX Rates'!$H$16,0)</f>
        <v>0</v>
      </c>
      <c r="T35" s="323">
        <f t="shared" si="0"/>
        <v>0</v>
      </c>
      <c r="U35" s="322">
        <f>IFERROR(-U34/(E34+V34),0)</f>
        <v>0</v>
      </c>
      <c r="V35" s="321"/>
      <c r="W35" s="320" t="str">
        <f>IF(ISBLANK('3. Scrap (LC)'!W35),"",'3. Scrap (LC)'!W35)</f>
        <v/>
      </c>
      <c r="Y35" s="267"/>
    </row>
    <row r="36" spans="1:25" ht="17.649999999999999" customHeight="1" outlineLevel="1">
      <c r="A36" s="275" t="s">
        <v>386</v>
      </c>
      <c r="B36" s="275" t="str">
        <f>+'3. Scrap (LC)'!B36</f>
        <v>Area 10</v>
      </c>
      <c r="C36" s="272">
        <f>IFERROR(C34/C35,0)</f>
        <v>0</v>
      </c>
      <c r="D36" s="270">
        <f t="shared" ref="D36:Q36" si="18">IFERROR(D34/D35,0)</f>
        <v>0</v>
      </c>
      <c r="E36" s="273">
        <f t="shared" si="18"/>
        <v>0</v>
      </c>
      <c r="F36" s="270">
        <f t="shared" si="18"/>
        <v>0</v>
      </c>
      <c r="G36" s="270">
        <f t="shared" si="18"/>
        <v>0</v>
      </c>
      <c r="H36" s="270">
        <f t="shared" si="18"/>
        <v>0</v>
      </c>
      <c r="I36" s="270">
        <f t="shared" si="18"/>
        <v>0</v>
      </c>
      <c r="J36" s="270">
        <f t="shared" si="18"/>
        <v>0</v>
      </c>
      <c r="K36" s="270">
        <f t="shared" si="18"/>
        <v>0</v>
      </c>
      <c r="L36" s="270">
        <f t="shared" si="18"/>
        <v>0</v>
      </c>
      <c r="M36" s="270">
        <f t="shared" si="18"/>
        <v>0</v>
      </c>
      <c r="N36" s="270">
        <f t="shared" si="18"/>
        <v>0</v>
      </c>
      <c r="O36" s="270">
        <f t="shared" si="18"/>
        <v>0</v>
      </c>
      <c r="P36" s="270">
        <f t="shared" si="18"/>
        <v>0</v>
      </c>
      <c r="Q36" s="273">
        <f t="shared" si="18"/>
        <v>0</v>
      </c>
      <c r="R36" s="272">
        <f>IFERROR(R34/R35,0)</f>
        <v>0</v>
      </c>
      <c r="S36" s="273">
        <f>+'3. Scrap (LC)'!S36</f>
        <v>0</v>
      </c>
      <c r="T36" s="270">
        <f t="shared" si="0"/>
        <v>0</v>
      </c>
      <c r="U36" s="334"/>
      <c r="V36" s="271"/>
      <c r="W36" s="317"/>
      <c r="Y36" s="267"/>
    </row>
    <row r="37" spans="1:25" ht="17.649999999999999" customHeight="1" outlineLevel="1">
      <c r="A37" s="283" t="s">
        <v>387</v>
      </c>
      <c r="B37" s="283" t="str">
        <f>+'3. Scrap (LC)'!B37</f>
        <v>All Other</v>
      </c>
      <c r="C37" s="325">
        <f>IFERROR('3. Scrap (LC)'!C37/'Input-FX Rates'!$E$16,0)</f>
        <v>1.5073362962483439</v>
      </c>
      <c r="D37" s="323">
        <f>IFERROR('3. Scrap (LC)'!D37/'Input-FX Rates'!$G$16,0)</f>
        <v>-19.453528066586465</v>
      </c>
      <c r="E37" s="324">
        <f>IFERROR('3. Scrap (LC)'!E37/'Input-FX Rates'!$G$16,0)</f>
        <v>-19.453528066586465</v>
      </c>
      <c r="F37" s="323">
        <f>IFERROR('3. Scrap (LC)'!F37/'Input-FX Rates'!$H$16,0)</f>
        <v>-1.2643885055556567</v>
      </c>
      <c r="G37" s="323">
        <f>IFERROR('3. Scrap (LC)'!G37/'Input-FX Rates'!$H$16,0)</f>
        <v>-1.2643880915921797</v>
      </c>
      <c r="H37" s="323">
        <f>IFERROR('3. Scrap (LC)'!H37/'Input-FX Rates'!$H$16,0)</f>
        <v>-1.2643885057686228</v>
      </c>
      <c r="I37" s="323">
        <f>IFERROR('3. Scrap (LC)'!I37/'Input-FX Rates'!$H$16,0)</f>
        <v>-1.2643880559688854</v>
      </c>
      <c r="J37" s="323">
        <f>IFERROR('3. Scrap (LC)'!J37/'Input-FX Rates'!$H$16,0)</f>
        <v>-1.2147008833619375</v>
      </c>
      <c r="K37" s="323">
        <f>IFERROR('3. Scrap (LC)'!K37/'Input-FX Rates'!$H$16,0)</f>
        <v>-1.2147008833619375</v>
      </c>
      <c r="L37" s="323">
        <f>IFERROR('3. Scrap (LC)'!L37/'Input-FX Rates'!$H$16,0)</f>
        <v>-1.2147008833619375</v>
      </c>
      <c r="M37" s="323">
        <f>IFERROR('3. Scrap (LC)'!M37/'Input-FX Rates'!$H$16,0)</f>
        <v>-1.2147008832009758</v>
      </c>
      <c r="N37" s="323">
        <f>IFERROR('3. Scrap (LC)'!N37/'Input-FX Rates'!$H$16,0)</f>
        <v>-1.1401693342756072</v>
      </c>
      <c r="O37" s="323">
        <f>IFERROR('3. Scrap (LC)'!O37/'Input-FX Rates'!$H$16,0)</f>
        <v>-1.1401690956928912</v>
      </c>
      <c r="P37" s="323">
        <f>IFERROR('3. Scrap (LC)'!P37/'Input-FX Rates'!$H$16,0)</f>
        <v>-1.1401689578262399</v>
      </c>
      <c r="Q37" s="324">
        <f>IFERROR('3. Scrap (LC)'!Q37/'Input-FX Rates'!$H$16,0)</f>
        <v>-1.140167578515896</v>
      </c>
      <c r="R37" s="325">
        <f>SUM(F37:Q37)</f>
        <v>-14.477031658482765</v>
      </c>
      <c r="S37" s="324">
        <f>IFERROR('3. Scrap (LC)'!S19/'Input-FX Rates'!$H$16,0)</f>
        <v>0</v>
      </c>
      <c r="T37" s="323">
        <f t="shared" si="0"/>
        <v>4.9764964081036993</v>
      </c>
      <c r="U37" s="329">
        <f>R37-E39*R38</f>
        <v>1.1392541241296108</v>
      </c>
      <c r="V37" s="328">
        <f>IFERROR(R38/E38*E37-E37,0)</f>
        <v>3.8372422839740903</v>
      </c>
      <c r="W37" s="320" t="str">
        <f>IF(ISBLANK('3. Scrap (LC)'!W37),"",'3. Scrap (LC)'!W37)</f>
        <v/>
      </c>
      <c r="Y37" s="267"/>
    </row>
    <row r="38" spans="1:25" ht="17.649999999999999" customHeight="1" outlineLevel="1">
      <c r="A38" s="283" t="s">
        <v>389</v>
      </c>
      <c r="B38" s="283" t="str">
        <f>+'3. Scrap (LC)'!B38</f>
        <v>All Other</v>
      </c>
      <c r="C38" s="325">
        <f>IFERROR('3. Scrap (LC)'!C38/'Input-FX Rates'!$E$16,0)</f>
        <v>8207.0002635990404</v>
      </c>
      <c r="D38" s="323">
        <f>IFERROR('3. Scrap (LC)'!D38/'Input-FX Rates'!$G$16,0)</f>
        <v>15933.006357132055</v>
      </c>
      <c r="E38" s="324">
        <f>IFERROR('3. Scrap (LC)'!E38/'Input-FX Rates'!$G$16,0)</f>
        <v>15933.006357132055</v>
      </c>
      <c r="F38" s="323">
        <f>IFERROR('3. Scrap (LC)'!F38/'Input-FX Rates'!$H$16,0)</f>
        <v>1114.156828192931</v>
      </c>
      <c r="G38" s="323">
        <f>IFERROR('3. Scrap (LC)'!G38/'Input-FX Rates'!$H$16,0)</f>
        <v>1114.1568280509525</v>
      </c>
      <c r="H38" s="323">
        <f>IFERROR('3. Scrap (LC)'!H38/'Input-FX Rates'!$H$16,0)</f>
        <v>1114.1568283704025</v>
      </c>
      <c r="I38" s="323">
        <f>IFERROR('3. Scrap (LC)'!I38/'Input-FX Rates'!$H$16,0)</f>
        <v>1114.1568280200481</v>
      </c>
      <c r="J38" s="323">
        <f>IFERROR('3. Scrap (LC)'!J38/'Input-FX Rates'!$H$16,0)</f>
        <v>1072.750483031499</v>
      </c>
      <c r="K38" s="323">
        <f>IFERROR('3. Scrap (LC)'!K38/'Input-FX Rates'!$H$16,0)</f>
        <v>1072.750483031499</v>
      </c>
      <c r="L38" s="323">
        <f>IFERROR('3. Scrap (LC)'!L38/'Input-FX Rates'!$H$16,0)</f>
        <v>1072.750483031499</v>
      </c>
      <c r="M38" s="323">
        <f>IFERROR('3. Scrap (LC)'!M38/'Input-FX Rates'!$H$16,0)</f>
        <v>1072.7504835870182</v>
      </c>
      <c r="N38" s="323">
        <f>IFERROR('3. Scrap (LC)'!N38/'Input-FX Rates'!$H$16,0)</f>
        <v>1010.6409656894425</v>
      </c>
      <c r="O38" s="323">
        <f>IFERROR('3. Scrap (LC)'!O38/'Input-FX Rates'!$H$16,0)</f>
        <v>1010.6409657210869</v>
      </c>
      <c r="P38" s="323">
        <f>IFERROR('3. Scrap (LC)'!P38/'Input-FX Rates'!$H$16,0)</f>
        <v>1010.6409657747414</v>
      </c>
      <c r="Q38" s="324">
        <f>IFERROR('3. Scrap (LC)'!Q38/'Input-FX Rates'!$H$16,0)</f>
        <v>1010.640967843706</v>
      </c>
      <c r="R38" s="325">
        <f>SUM(F38:Q38)</f>
        <v>12790.193110344826</v>
      </c>
      <c r="S38" s="324">
        <f>IFERROR('3. Scrap (LC)'!S19/'Input-FX Rates'!$H$16,0)</f>
        <v>0</v>
      </c>
      <c r="T38" s="323">
        <f t="shared" si="0"/>
        <v>-3142.8132467872292</v>
      </c>
      <c r="U38" s="322">
        <f>IFERROR(-U37/(E37+V37),0)</f>
        <v>7.295295052797314E-2</v>
      </c>
      <c r="V38" s="321"/>
      <c r="W38" s="320" t="str">
        <f>IF(ISBLANK('3. Scrap (LC)'!W38),"",'3. Scrap (LC)'!W38)</f>
        <v/>
      </c>
      <c r="Y38" s="267"/>
    </row>
    <row r="39" spans="1:25" ht="17.649999999999999" customHeight="1" outlineLevel="1">
      <c r="A39" s="275" t="s">
        <v>390</v>
      </c>
      <c r="B39" s="275" t="str">
        <f>+'3. Scrap (LC)'!B39</f>
        <v>All Other</v>
      </c>
      <c r="C39" s="272">
        <f>IFERROR(C37/C38,0)</f>
        <v>1.8366470669361562E-4</v>
      </c>
      <c r="D39" s="270">
        <f t="shared" ref="D39:Q39" si="19">IFERROR(D37/D38,0)</f>
        <v>-1.2209577797525027E-3</v>
      </c>
      <c r="E39" s="273">
        <f t="shared" si="19"/>
        <v>-1.2209577797525027E-3</v>
      </c>
      <c r="F39" s="270">
        <f t="shared" si="19"/>
        <v>-1.1348388966088273E-3</v>
      </c>
      <c r="G39" s="270">
        <f t="shared" si="19"/>
        <v>-1.1348385252047809E-3</v>
      </c>
      <c r="H39" s="270">
        <f t="shared" si="19"/>
        <v>-1.134838896619207E-3</v>
      </c>
      <c r="I39" s="270">
        <f t="shared" si="19"/>
        <v>-1.1348384932629376E-3</v>
      </c>
      <c r="J39" s="270">
        <f t="shared" si="19"/>
        <v>-1.1323237813226604E-3</v>
      </c>
      <c r="K39" s="270">
        <f t="shared" si="19"/>
        <v>-1.1323237813226604E-3</v>
      </c>
      <c r="L39" s="270">
        <f t="shared" si="19"/>
        <v>-1.1323237813226604E-3</v>
      </c>
      <c r="M39" s="270">
        <f t="shared" si="19"/>
        <v>-1.1323237805862458E-3</v>
      </c>
      <c r="N39" s="270">
        <f t="shared" si="19"/>
        <v>-1.1281645737542438E-3</v>
      </c>
      <c r="O39" s="270">
        <f t="shared" si="19"/>
        <v>-1.1281643376482237E-3</v>
      </c>
      <c r="P39" s="270">
        <f t="shared" si="19"/>
        <v>-1.1281642011732667E-3</v>
      </c>
      <c r="Q39" s="273">
        <f t="shared" si="19"/>
        <v>-1.1281628340760288E-3</v>
      </c>
      <c r="R39" s="272">
        <f t="shared" ref="R39" si="20">IFERROR(R37/R38,0)</f>
        <v>-1.1318853072494746E-3</v>
      </c>
      <c r="S39" s="273">
        <f>+'3. Scrap (LC)'!S39</f>
        <v>-1.1318853072494748E-3</v>
      </c>
      <c r="T39" s="270">
        <f t="shared" si="0"/>
        <v>8.9072472503028176E-5</v>
      </c>
      <c r="U39" s="334"/>
      <c r="V39" s="271"/>
      <c r="W39" s="317"/>
      <c r="Y39" s="267"/>
    </row>
    <row r="40" spans="1:25" ht="17.649999999999999" customHeight="1">
      <c r="A40" s="214" t="s">
        <v>391</v>
      </c>
      <c r="B40" s="215"/>
      <c r="C40" s="266">
        <f>IFERROR('3. Scrap (LC)'!C40/'Input-FX Rates'!$E$16,0)</f>
        <v>-27.879984647637279</v>
      </c>
      <c r="D40" s="78">
        <f>IFERROR('3. Scrap (LC)'!D40/'Input-FX Rates'!$G$16,0)</f>
        <v>-120.11981447568249</v>
      </c>
      <c r="E40" s="80">
        <f>IFERROR('3. Scrap (LC)'!E40/'Input-FX Rates'!$G$16,0)</f>
        <v>-120.11981447568249</v>
      </c>
      <c r="F40" s="78">
        <f>IFERROR('3. Scrap (LC)'!F40/'Input-FX Rates'!$H$16,0)</f>
        <v>-9.1366979310344831</v>
      </c>
      <c r="G40" s="78">
        <f>IFERROR('3. Scrap (LC)'!G40/'Input-FX Rates'!$H$16,0)</f>
        <v>-8.5627565517241369</v>
      </c>
      <c r="H40" s="78">
        <f>IFERROR('3. Scrap (LC)'!H40/'Input-FX Rates'!$H$16,0)</f>
        <v>-9.8541241379310343</v>
      </c>
      <c r="I40" s="78">
        <f>IFERROR('3. Scrap (LC)'!I40/'Input-FX Rates'!$H$16,0)</f>
        <v>-9.6076875862068967</v>
      </c>
      <c r="J40" s="78">
        <f>IFERROR('3. Scrap (LC)'!J40/'Input-FX Rates'!$H$16,0)</f>
        <v>-8.6970889655172421</v>
      </c>
      <c r="K40" s="78">
        <f>IFERROR('3. Scrap (LC)'!K40/'Input-FX Rates'!$H$16,0)</f>
        <v>-8.6970889655172421</v>
      </c>
      <c r="L40" s="78">
        <f>IFERROR('3. Scrap (LC)'!L40/'Input-FX Rates'!$H$16,0)</f>
        <v>-8.6970889655172421</v>
      </c>
      <c r="M40" s="78">
        <f>IFERROR('3. Scrap (LC)'!M40/'Input-FX Rates'!$H$16,0)</f>
        <v>-7.9796627586206901</v>
      </c>
      <c r="N40" s="78">
        <f>IFERROR('3. Scrap (LC)'!N40/'Input-FX Rates'!$H$16,0)</f>
        <v>-8.0080820689655159</v>
      </c>
      <c r="O40" s="78">
        <f>IFERROR('3. Scrap (LC)'!O40/'Input-FX Rates'!$H$16,0)</f>
        <v>-8.2545179310344832</v>
      </c>
      <c r="P40" s="78">
        <f>IFERROR('3. Scrap (LC)'!P40/'Input-FX Rates'!$H$16,0)</f>
        <v>-8.5414882758620685</v>
      </c>
      <c r="Q40" s="80">
        <f>IFERROR('3. Scrap (LC)'!Q40/'Input-FX Rates'!$H$16,0)</f>
        <v>-8.5414868965517243</v>
      </c>
      <c r="R40" s="266">
        <f>IFERROR('3. Scrap (LC)'!R40/'Input-FX Rates'!$H$16,0)</f>
        <v>-104.57777103448278</v>
      </c>
      <c r="S40" s="80">
        <f>IFERROR('3. Scrap (LC)'!S40/'Input-FX Rates'!$H$16,0)</f>
        <v>0</v>
      </c>
      <c r="T40" s="78">
        <f t="shared" si="0"/>
        <v>15.542043441199709</v>
      </c>
      <c r="U40" s="78">
        <f>R40-E42*R41</f>
        <v>0.8428654233208448</v>
      </c>
      <c r="V40" s="265">
        <f>IFERROR(R41/E41*E40-E40,0)</f>
        <v>14.69917801787885</v>
      </c>
      <c r="W40" s="214" t="str">
        <f>IF(ISBLANK('3. Scrap (LC)'!W40),"",'3. Scrap (LC)'!W40)</f>
        <v/>
      </c>
      <c r="Y40" s="267"/>
    </row>
    <row r="41" spans="1:25" ht="17.649999999999999" customHeight="1">
      <c r="A41" s="214" t="s">
        <v>392</v>
      </c>
      <c r="B41" s="215"/>
      <c r="C41" s="266">
        <f>IFERROR('3. Scrap (LC)'!C41/'Input-FX Rates'!$E$16,0)</f>
        <v>55718.001789595619</v>
      </c>
      <c r="D41" s="78">
        <f>IFERROR('3. Scrap (LC)'!D41/'Input-FX Rates'!$G$16,0)</f>
        <v>100126.74994033898</v>
      </c>
      <c r="E41" s="80">
        <f>IFERROR('3. Scrap (LC)'!E41/'Input-FX Rates'!$G$16,0)</f>
        <v>100126.74994033898</v>
      </c>
      <c r="F41" s="78">
        <f>IFERROR('3. Scrap (LC)'!F41/'Input-FX Rates'!$H$16,0)</f>
        <v>7674.4146827586201</v>
      </c>
      <c r="G41" s="78">
        <f>IFERROR('3. Scrap (LC)'!G41/'Input-FX Rates'!$H$16,0)</f>
        <v>7196.1305448275853</v>
      </c>
      <c r="H41" s="78">
        <f>IFERROR('3. Scrap (LC)'!H41/'Input-FX Rates'!$H$16,0)</f>
        <v>8272.2698551724134</v>
      </c>
      <c r="I41" s="78">
        <f>IFERROR('3. Scrap (LC)'!I41/'Input-FX Rates'!$H$16,0)</f>
        <v>8066.9064365517243</v>
      </c>
      <c r="J41" s="78">
        <f>IFERROR('3. Scrap (LC)'!J41/'Input-FX Rates'!$H$16,0)</f>
        <v>7308.073884827586</v>
      </c>
      <c r="K41" s="78">
        <f>IFERROR('3. Scrap (LC)'!K41/'Input-FX Rates'!$H$16,0)</f>
        <v>7308.073884827586</v>
      </c>
      <c r="L41" s="78">
        <f>IFERROR('3. Scrap (LC)'!L41/'Input-FX Rates'!$H$16,0)</f>
        <v>7308.073884827586</v>
      </c>
      <c r="M41" s="78">
        <f>IFERROR('3. Scrap (LC)'!M41/'Input-FX Rates'!$H$16,0)</f>
        <v>6710.218713103448</v>
      </c>
      <c r="N41" s="78">
        <f>IFERROR('3. Scrap (LC)'!N41/'Input-FX Rates'!$H$16,0)</f>
        <v>6733.9015779310348</v>
      </c>
      <c r="O41" s="78">
        <f>IFERROR('3. Scrap (LC)'!O41/'Input-FX Rates'!$H$16,0)</f>
        <v>6939.2649951724143</v>
      </c>
      <c r="P41" s="78">
        <f>IFERROR('3. Scrap (LC)'!P41/'Input-FX Rates'!$H$16,0)</f>
        <v>7178.4070641379312</v>
      </c>
      <c r="Q41" s="80">
        <f>IFERROR('3. Scrap (LC)'!Q41/'Input-FX Rates'!$H$16,0)</f>
        <v>7178.4070662068962</v>
      </c>
      <c r="R41" s="266">
        <f>IFERROR('3. Scrap (LC)'!R41/'Input-FX Rates'!$H$16,0)</f>
        <v>87874.142590344811</v>
      </c>
      <c r="S41" s="80">
        <f>IFERROR('3. Scrap (LC)'!S41/'Input-FX Rates'!$H$16,0)</f>
        <v>0</v>
      </c>
      <c r="T41" s="78">
        <f t="shared" si="0"/>
        <v>-12252.60734999417</v>
      </c>
      <c r="U41" s="78">
        <f>U7+U10+U13+U16+U19+U22+U25+U28+U31+U34+U37</f>
        <v>0.81264148548184423</v>
      </c>
      <c r="V41" s="265">
        <f>V7+V10+V13+V16+V19+V22+V25+V28+V31+V34+V37</f>
        <v>14.729401955717877</v>
      </c>
      <c r="W41" s="214" t="str">
        <f>IF(ISBLANK('3. Scrap (LC)'!W41),"",'3. Scrap (LC)'!W41)</f>
        <v/>
      </c>
      <c r="Y41" s="267"/>
    </row>
    <row r="42" spans="1:25" ht="17.649999999999999" customHeight="1">
      <c r="A42" s="214" t="s">
        <v>393</v>
      </c>
      <c r="B42" s="215"/>
      <c r="C42" s="263">
        <f t="shared" ref="C42" si="21">IFERROR(C40/C41,0)</f>
        <v>-5.0037660634203482E-4</v>
      </c>
      <c r="D42" s="262">
        <f t="shared" ref="D42:S42" si="22">IFERROR(D40/D41,0)</f>
        <v>-1.1996775541726508E-3</v>
      </c>
      <c r="E42" s="264">
        <f t="shared" si="22"/>
        <v>-1.1996775541726508E-3</v>
      </c>
      <c r="F42" s="262">
        <f t="shared" si="22"/>
        <v>-1.190540035784232E-3</v>
      </c>
      <c r="G42" s="262">
        <f t="shared" si="22"/>
        <v>-1.1899112305402591E-3</v>
      </c>
      <c r="H42" s="262">
        <f t="shared" si="22"/>
        <v>-1.1912237282454626E-3</v>
      </c>
      <c r="I42" s="262">
        <f t="shared" si="22"/>
        <v>-1.1910002504397204E-3</v>
      </c>
      <c r="J42" s="262">
        <f t="shared" si="22"/>
        <v>-1.1900658234413055E-3</v>
      </c>
      <c r="K42" s="262">
        <f t="shared" si="22"/>
        <v>-1.1900658234413055E-3</v>
      </c>
      <c r="L42" s="262">
        <f t="shared" si="22"/>
        <v>-1.1900658234413055E-3</v>
      </c>
      <c r="M42" s="262">
        <f t="shared" si="22"/>
        <v>-1.1891807256652191E-3</v>
      </c>
      <c r="N42" s="262">
        <f t="shared" si="22"/>
        <v>-1.1892187576976686E-3</v>
      </c>
      <c r="O42" s="262">
        <f t="shared" si="22"/>
        <v>-1.189537787759522E-3</v>
      </c>
      <c r="P42" s="262">
        <f t="shared" si="22"/>
        <v>-1.1898863075812255E-3</v>
      </c>
      <c r="Q42" s="264">
        <f t="shared" si="22"/>
        <v>-1.1898861150911417E-3</v>
      </c>
      <c r="R42" s="263">
        <f t="shared" si="22"/>
        <v>-1.1900858199209705E-3</v>
      </c>
      <c r="S42" s="264">
        <f t="shared" si="22"/>
        <v>0</v>
      </c>
      <c r="T42" s="262">
        <f t="shared" si="0"/>
        <v>9.5917342516802732E-6</v>
      </c>
      <c r="U42" s="262">
        <f>IFERROR(-U41/(E40+V41),0)</f>
        <v>7.7107724132676834E-3</v>
      </c>
      <c r="V42" s="261"/>
      <c r="W42" s="214"/>
      <c r="Y42" s="267"/>
    </row>
    <row r="43" spans="1:25" s="243" customFormat="1" ht="17.649999999999999" customHeight="1">
      <c r="A43" s="315"/>
      <c r="B43" s="314"/>
      <c r="C43" s="297"/>
      <c r="D43" s="224"/>
      <c r="E43" s="298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24"/>
      <c r="Q43" s="298"/>
      <c r="R43" s="297"/>
      <c r="S43" s="298"/>
      <c r="T43" s="223"/>
      <c r="U43" s="224"/>
      <c r="V43" s="296"/>
      <c r="W43" s="294"/>
      <c r="Y43" s="293"/>
    </row>
    <row r="44" spans="1:25" ht="15.6" customHeight="1">
      <c r="A44" s="214" t="s">
        <v>394</v>
      </c>
      <c r="B44" s="215"/>
      <c r="C44" s="266">
        <f>IFERROR('3. Scrap (LC)'!C44/'Input-FX Rates'!$E$16,0)</f>
        <v>0</v>
      </c>
      <c r="D44" s="78">
        <f>IFERROR('3. Scrap (LC)'!D44/'Input-FX Rates'!$G$16,0)</f>
        <v>0</v>
      </c>
      <c r="E44" s="80">
        <f>IFERROR('3. Scrap (LC)'!E44/'Input-FX Rates'!$G$16,0)</f>
        <v>0</v>
      </c>
      <c r="F44" s="78">
        <f>IFERROR('3. Scrap (LC)'!F44/'Input-FX Rates'!$H$16,0)</f>
        <v>0</v>
      </c>
      <c r="G44" s="78">
        <f>IFERROR('3. Scrap (LC)'!G44/'Input-FX Rates'!$H$16,0)</f>
        <v>0</v>
      </c>
      <c r="H44" s="78">
        <f>IFERROR('3. Scrap (LC)'!H44/'Input-FX Rates'!$H$16,0)</f>
        <v>0</v>
      </c>
      <c r="I44" s="78">
        <f>IFERROR('3. Scrap (LC)'!I44/'Input-FX Rates'!$H$16,0)</f>
        <v>0</v>
      </c>
      <c r="J44" s="78">
        <f>IFERROR('3. Scrap (LC)'!J44/'Input-FX Rates'!$H$16,0)</f>
        <v>0</v>
      </c>
      <c r="K44" s="78">
        <f>IFERROR('3. Scrap (LC)'!K44/'Input-FX Rates'!$H$16,0)</f>
        <v>0</v>
      </c>
      <c r="L44" s="78">
        <f>IFERROR('3. Scrap (LC)'!L44/'Input-FX Rates'!$H$16,0)</f>
        <v>0</v>
      </c>
      <c r="M44" s="78">
        <f>IFERROR('3. Scrap (LC)'!M44/'Input-FX Rates'!$H$16,0)</f>
        <v>0</v>
      </c>
      <c r="N44" s="78">
        <f>IFERROR('3. Scrap (LC)'!N44/'Input-FX Rates'!$H$16,0)</f>
        <v>0</v>
      </c>
      <c r="O44" s="78">
        <f>IFERROR('3. Scrap (LC)'!O44/'Input-FX Rates'!$H$16,0)</f>
        <v>0</v>
      </c>
      <c r="P44" s="78">
        <f>IFERROR('3. Scrap (LC)'!P44/'Input-FX Rates'!$H$16,0)</f>
        <v>0</v>
      </c>
      <c r="Q44" s="80">
        <f>IFERROR('3. Scrap (LC)'!Q44/'Input-FX Rates'!$H$16,0)</f>
        <v>0</v>
      </c>
      <c r="R44" s="266">
        <f>IFERROR('3. Scrap (LC)'!R44/'Input-FX Rates'!$H$16,0)</f>
        <v>0</v>
      </c>
      <c r="S44" s="80">
        <f>IFERROR('3. Scrap (LC)'!S44/'Input-FX Rates'!$H$16,0)</f>
        <v>0</v>
      </c>
      <c r="T44" s="78">
        <f t="shared" ref="T44" si="23">SUM(T45:T47)</f>
        <v>0</v>
      </c>
      <c r="U44" s="78"/>
      <c r="V44" s="265"/>
      <c r="W44" s="214" t="str">
        <f>IF(ISBLANK('3. Scrap (LC)'!W44),"",'3. Scrap (LC)'!W44)</f>
        <v/>
      </c>
      <c r="Y44" s="267"/>
    </row>
    <row r="45" spans="1:25" s="243" customFormat="1" ht="15.6" customHeight="1">
      <c r="A45" s="315" t="s">
        <v>395</v>
      </c>
      <c r="B45" s="314" t="str">
        <f>+'3. Scrap (LC)'!B45</f>
        <v>xxx</v>
      </c>
      <c r="C45" s="333">
        <f>IFERROR('3. Scrap (LC)'!C45/'Input-FX Rates'!$E$16,0)</f>
        <v>0</v>
      </c>
      <c r="D45" s="223">
        <f>IFERROR('3. Scrap (LC)'!D45/'Input-FX Rates'!$G$16,0)</f>
        <v>0</v>
      </c>
      <c r="E45" s="332">
        <f>IFERROR('3. Scrap (LC)'!E45/'Input-FX Rates'!$G$16,0)</f>
        <v>0</v>
      </c>
      <c r="F45" s="223">
        <f>IFERROR('3. Scrap (LC)'!F45/'Input-FX Rates'!$H$16,0)</f>
        <v>0</v>
      </c>
      <c r="G45" s="223">
        <f>IFERROR('3. Scrap (LC)'!G45/'Input-FX Rates'!$H$16,0)</f>
        <v>0</v>
      </c>
      <c r="H45" s="223">
        <f>IFERROR('3. Scrap (LC)'!H45/'Input-FX Rates'!$H$16,0)</f>
        <v>0</v>
      </c>
      <c r="I45" s="223">
        <f>IFERROR('3. Scrap (LC)'!I45/'Input-FX Rates'!$H$16,0)</f>
        <v>0</v>
      </c>
      <c r="J45" s="223">
        <f>IFERROR('3. Scrap (LC)'!J45/'Input-FX Rates'!$H$16,0)</f>
        <v>0</v>
      </c>
      <c r="K45" s="223">
        <f>IFERROR('3. Scrap (LC)'!K45/'Input-FX Rates'!$H$16,0)</f>
        <v>0</v>
      </c>
      <c r="L45" s="223">
        <f>IFERROR('3. Scrap (LC)'!L45/'Input-FX Rates'!$H$16,0)</f>
        <v>0</v>
      </c>
      <c r="M45" s="223">
        <f>IFERROR('3. Scrap (LC)'!M45/'Input-FX Rates'!$H$16,0)</f>
        <v>0</v>
      </c>
      <c r="N45" s="223">
        <f>IFERROR('3. Scrap (LC)'!N45/'Input-FX Rates'!$H$16,0)</f>
        <v>0</v>
      </c>
      <c r="O45" s="223">
        <f>IFERROR('3. Scrap (LC)'!O45/'Input-FX Rates'!$H$16,0)</f>
        <v>0</v>
      </c>
      <c r="P45" s="223">
        <f>IFERROR('3. Scrap (LC)'!P45/'Input-FX Rates'!$H$16,0)</f>
        <v>0</v>
      </c>
      <c r="Q45" s="332">
        <f>IFERROR('3. Scrap (LC)'!Q45/'Input-FX Rates'!$H$16,0)</f>
        <v>0</v>
      </c>
      <c r="R45" s="333">
        <f>SUM(F45:Q45)</f>
        <v>0</v>
      </c>
      <c r="S45" s="332">
        <f>IFERROR('3. Scrap (LC)'!S45/'Input-FX Rates'!$H$16,0)</f>
        <v>0</v>
      </c>
      <c r="T45" s="223">
        <f>R45-E45</f>
        <v>0</v>
      </c>
      <c r="U45" s="224"/>
      <c r="V45" s="296"/>
      <c r="W45" s="294" t="str">
        <f>IF(ISBLANK('3. Scrap (LC)'!W45),"",'3. Scrap (LC)'!W45)</f>
        <v/>
      </c>
      <c r="Y45" s="267"/>
    </row>
    <row r="46" spans="1:25" s="243" customFormat="1" ht="15.6" customHeight="1">
      <c r="A46" s="315" t="s">
        <v>397</v>
      </c>
      <c r="B46" s="314" t="str">
        <f>+'3. Scrap (LC)'!B46</f>
        <v>xxx</v>
      </c>
      <c r="C46" s="333">
        <f>IFERROR('3. Scrap (LC)'!C46/'Input-FX Rates'!$E$16,0)</f>
        <v>0</v>
      </c>
      <c r="D46" s="223">
        <f>IFERROR('3. Scrap (LC)'!D46/'Input-FX Rates'!$G$16,0)</f>
        <v>0</v>
      </c>
      <c r="E46" s="332">
        <f>IFERROR('3. Scrap (LC)'!E46/'Input-FX Rates'!$G$16,0)</f>
        <v>0</v>
      </c>
      <c r="F46" s="223">
        <f>IFERROR('3. Scrap (LC)'!F46/'Input-FX Rates'!$H$16,0)</f>
        <v>0</v>
      </c>
      <c r="G46" s="223">
        <f>IFERROR('3. Scrap (LC)'!G46/'Input-FX Rates'!$H$16,0)</f>
        <v>0</v>
      </c>
      <c r="H46" s="223">
        <f>IFERROR('3. Scrap (LC)'!H46/'Input-FX Rates'!$H$16,0)</f>
        <v>0</v>
      </c>
      <c r="I46" s="223">
        <f>IFERROR('3. Scrap (LC)'!I46/'Input-FX Rates'!$H$16,0)</f>
        <v>0</v>
      </c>
      <c r="J46" s="223">
        <f>IFERROR('3. Scrap (LC)'!J46/'Input-FX Rates'!$H$16,0)</f>
        <v>0</v>
      </c>
      <c r="K46" s="223">
        <f>IFERROR('3. Scrap (LC)'!K46/'Input-FX Rates'!$H$16,0)</f>
        <v>0</v>
      </c>
      <c r="L46" s="223">
        <f>IFERROR('3. Scrap (LC)'!L46/'Input-FX Rates'!$H$16,0)</f>
        <v>0</v>
      </c>
      <c r="M46" s="223">
        <f>IFERROR('3. Scrap (LC)'!M46/'Input-FX Rates'!$H$16,0)</f>
        <v>0</v>
      </c>
      <c r="N46" s="223">
        <f>IFERROR('3. Scrap (LC)'!N46/'Input-FX Rates'!$H$16,0)</f>
        <v>0</v>
      </c>
      <c r="O46" s="223">
        <f>IFERROR('3. Scrap (LC)'!O46/'Input-FX Rates'!$H$16,0)</f>
        <v>0</v>
      </c>
      <c r="P46" s="223">
        <f>IFERROR('3. Scrap (LC)'!P46/'Input-FX Rates'!$H$16,0)</f>
        <v>0</v>
      </c>
      <c r="Q46" s="332">
        <f>IFERROR('3. Scrap (LC)'!Q46/'Input-FX Rates'!$H$16,0)</f>
        <v>0</v>
      </c>
      <c r="R46" s="223">
        <f>SUM(F46:Q46)</f>
        <v>0</v>
      </c>
      <c r="S46" s="332">
        <f>IFERROR('3. Scrap (LC)'!S46/'Input-FX Rates'!$H$16,0)</f>
        <v>0</v>
      </c>
      <c r="T46" s="223">
        <f>R46-E46</f>
        <v>0</v>
      </c>
      <c r="U46" s="224"/>
      <c r="V46" s="296"/>
      <c r="W46" s="294" t="str">
        <f>IF(ISBLANK('3. Scrap (LC)'!W46),"",'3. Scrap (LC)'!W46)</f>
        <v/>
      </c>
      <c r="Y46" s="267"/>
    </row>
    <row r="47" spans="1:25" s="243" customFormat="1" ht="15.6" customHeight="1">
      <c r="A47" s="315" t="s">
        <v>315</v>
      </c>
      <c r="B47" s="314" t="str">
        <f>+'3. Scrap (LC)'!B47</f>
        <v>xxx</v>
      </c>
      <c r="C47" s="333">
        <f>IFERROR('3. Scrap (LC)'!C47/'Input-FX Rates'!$E$16,0)</f>
        <v>0</v>
      </c>
      <c r="D47" s="223">
        <f>IFERROR('3. Scrap (LC)'!D47/'Input-FX Rates'!$G$16,0)</f>
        <v>0</v>
      </c>
      <c r="E47" s="332">
        <f>IFERROR('3. Scrap (LC)'!E47/'Input-FX Rates'!$G$16,0)</f>
        <v>0</v>
      </c>
      <c r="F47" s="223">
        <f>IFERROR('3. Scrap (LC)'!F47/'Input-FX Rates'!$H$16,0)</f>
        <v>0</v>
      </c>
      <c r="G47" s="223">
        <f>IFERROR('3. Scrap (LC)'!G47/'Input-FX Rates'!$H$16,0)</f>
        <v>0</v>
      </c>
      <c r="H47" s="223">
        <f>IFERROR('3. Scrap (LC)'!H47/'Input-FX Rates'!$H$16,0)</f>
        <v>0</v>
      </c>
      <c r="I47" s="223">
        <f>IFERROR('3. Scrap (LC)'!I47/'Input-FX Rates'!$H$16,0)</f>
        <v>0</v>
      </c>
      <c r="J47" s="223">
        <f>IFERROR('3. Scrap (LC)'!J47/'Input-FX Rates'!$H$16,0)</f>
        <v>0</v>
      </c>
      <c r="K47" s="223">
        <f>IFERROR('3. Scrap (LC)'!K47/'Input-FX Rates'!$H$16,0)</f>
        <v>0</v>
      </c>
      <c r="L47" s="223">
        <f>IFERROR('3. Scrap (LC)'!L47/'Input-FX Rates'!$H$16,0)</f>
        <v>0</v>
      </c>
      <c r="M47" s="223">
        <f>IFERROR('3. Scrap (LC)'!M47/'Input-FX Rates'!$H$16,0)</f>
        <v>0</v>
      </c>
      <c r="N47" s="223">
        <f>IFERROR('3. Scrap (LC)'!N47/'Input-FX Rates'!$H$16,0)</f>
        <v>0</v>
      </c>
      <c r="O47" s="223">
        <f>IFERROR('3. Scrap (LC)'!O47/'Input-FX Rates'!$H$16,0)</f>
        <v>0</v>
      </c>
      <c r="P47" s="223">
        <f>IFERROR('3. Scrap (LC)'!P47/'Input-FX Rates'!$H$16,0)</f>
        <v>0</v>
      </c>
      <c r="Q47" s="332">
        <f>IFERROR('3. Scrap (LC)'!Q47/'Input-FX Rates'!$H$16,0)</f>
        <v>0</v>
      </c>
      <c r="R47" s="223">
        <f>SUM(F47:Q47)</f>
        <v>0</v>
      </c>
      <c r="S47" s="332">
        <f>IFERROR('3. Scrap (LC)'!S47/'Input-FX Rates'!$H$16,0)</f>
        <v>0</v>
      </c>
      <c r="T47" s="223">
        <f>R47-E47</f>
        <v>0</v>
      </c>
      <c r="U47" s="224"/>
      <c r="V47" s="296"/>
      <c r="W47" s="294" t="str">
        <f>IF(ISBLANK('3. Scrap (LC)'!W47),"",'3. Scrap (LC)'!W47)</f>
        <v/>
      </c>
      <c r="Y47" s="267"/>
    </row>
    <row r="48" spans="1:25" ht="15" customHeight="1">
      <c r="A48" s="315"/>
      <c r="B48" s="331"/>
      <c r="C48" s="315"/>
      <c r="D48" s="315"/>
      <c r="E48" s="331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31"/>
      <c r="R48" s="315"/>
      <c r="S48" s="331"/>
      <c r="T48" s="315"/>
      <c r="U48" s="315"/>
      <c r="V48" s="331"/>
      <c r="W48" s="330" t="str">
        <f>IF(ISBLANK('3. Scrap (LC)'!W48),"",'3. Scrap (LC)'!W48)</f>
        <v/>
      </c>
      <c r="X48" s="315"/>
      <c r="Y48" s="267"/>
    </row>
    <row r="49" spans="1:25" ht="15.6" customHeight="1">
      <c r="A49" s="214" t="s">
        <v>398</v>
      </c>
      <c r="B49" s="215"/>
      <c r="C49" s="266"/>
      <c r="D49" s="78"/>
      <c r="E49" s="80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80"/>
      <c r="R49" s="78"/>
      <c r="S49" s="80"/>
      <c r="T49" s="78"/>
      <c r="U49" s="78"/>
      <c r="V49" s="265"/>
      <c r="W49" s="214" t="str">
        <f>IF(ISBLANK('3. Scrap (LC)'!W49),"",'3. Scrap (LC)'!W49)</f>
        <v/>
      </c>
      <c r="Y49" s="267"/>
    </row>
    <row r="50" spans="1:25" s="243" customFormat="1" ht="15.6" customHeight="1" outlineLevel="1">
      <c r="A50" s="327" t="s">
        <v>345</v>
      </c>
      <c r="B50" s="326" t="str">
        <f>+'3. Scrap (LC)'!B50</f>
        <v>Area 1</v>
      </c>
      <c r="C50" s="325">
        <f>IFERROR('3. Scrap (LC)'!C50/'Input-FX Rates'!$E$16,0)</f>
        <v>0</v>
      </c>
      <c r="D50" s="323">
        <f>IFERROR('3. Scrap (LC)'!D50/'Input-FX Rates'!$G$16,0)</f>
        <v>0</v>
      </c>
      <c r="E50" s="324">
        <f>IFERROR('3. Scrap (LC)'!E50/'Input-FX Rates'!$G$16,0)</f>
        <v>0</v>
      </c>
      <c r="F50" s="323">
        <f>IFERROR('3. Scrap (LC)'!F50/'Input-FX Rates'!$H$16,0)</f>
        <v>0</v>
      </c>
      <c r="G50" s="323">
        <f>IFERROR('3. Scrap (LC)'!G50/'Input-FX Rates'!$H$16,0)</f>
        <v>0</v>
      </c>
      <c r="H50" s="323">
        <f>IFERROR('3. Scrap (LC)'!H50/'Input-FX Rates'!$H$16,0)</f>
        <v>0</v>
      </c>
      <c r="I50" s="323">
        <f>IFERROR('3. Scrap (LC)'!I50/'Input-FX Rates'!$H$16,0)</f>
        <v>0</v>
      </c>
      <c r="J50" s="323">
        <f>IFERROR('3. Scrap (LC)'!J50/'Input-FX Rates'!$H$16,0)</f>
        <v>0</v>
      </c>
      <c r="K50" s="323">
        <f>IFERROR('3. Scrap (LC)'!K50/'Input-FX Rates'!$H$16,0)</f>
        <v>0</v>
      </c>
      <c r="L50" s="323">
        <f>IFERROR('3. Scrap (LC)'!L50/'Input-FX Rates'!$H$16,0)</f>
        <v>0</v>
      </c>
      <c r="M50" s="323">
        <f>IFERROR('3. Scrap (LC)'!M50/'Input-FX Rates'!$H$16,0)</f>
        <v>0</v>
      </c>
      <c r="N50" s="323">
        <f>IFERROR('3. Scrap (LC)'!N50/'Input-FX Rates'!$H$16,0)</f>
        <v>0</v>
      </c>
      <c r="O50" s="323">
        <f>IFERROR('3. Scrap (LC)'!O50/'Input-FX Rates'!$H$16,0)</f>
        <v>0</v>
      </c>
      <c r="P50" s="323">
        <f>IFERROR('3. Scrap (LC)'!P50/'Input-FX Rates'!$H$16,0)</f>
        <v>0</v>
      </c>
      <c r="Q50" s="324">
        <f>IFERROR('3. Scrap (LC)'!Q50/'Input-FX Rates'!$H$16,0)</f>
        <v>0</v>
      </c>
      <c r="R50" s="323">
        <f>SUM(F50:Q50)</f>
        <v>0</v>
      </c>
      <c r="S50" s="324">
        <f>IFERROR('3. Scrap (LC)'!S50/'Input-FX Rates'!$H$16,0)</f>
        <v>0</v>
      </c>
      <c r="T50" s="323">
        <f t="shared" ref="T50:T69" si="24">R50-E50</f>
        <v>0</v>
      </c>
      <c r="U50" s="329"/>
      <c r="V50" s="328"/>
      <c r="W50" s="320" t="str">
        <f>IF(ISBLANK('3. Scrap (LC)'!W50),"",'3. Scrap (LC)'!W50)</f>
        <v/>
      </c>
      <c r="Y50" s="267" t="s">
        <v>400</v>
      </c>
    </row>
    <row r="51" spans="1:25" s="243" customFormat="1" ht="15.6" customHeight="1" outlineLevel="1">
      <c r="A51" s="327" t="s">
        <v>424</v>
      </c>
      <c r="B51" s="326" t="str">
        <f>+'3. Scrap (LC)'!B51</f>
        <v>Area 1</v>
      </c>
      <c r="C51" s="325">
        <f>IFERROR('3. Scrap (LC)'!C51/'Input-FX Rates'!$E$16,0)</f>
        <v>0</v>
      </c>
      <c r="D51" s="323">
        <f>IFERROR('3. Scrap (LC)'!D51/'Input-FX Rates'!$G$16,0)</f>
        <v>0</v>
      </c>
      <c r="E51" s="324">
        <f>IFERROR('3. Scrap (LC)'!E51/'Input-FX Rates'!$G$16,0)</f>
        <v>0</v>
      </c>
      <c r="F51" s="323">
        <f>IFERROR('3. Scrap (LC)'!F51/'Input-FX Rates'!$H$16,0)</f>
        <v>0</v>
      </c>
      <c r="G51" s="323">
        <f>IFERROR('3. Scrap (LC)'!G51/'Input-FX Rates'!$H$16,0)</f>
        <v>0</v>
      </c>
      <c r="H51" s="323">
        <f>IFERROR('3. Scrap (LC)'!H51/'Input-FX Rates'!$H$16,0)</f>
        <v>0</v>
      </c>
      <c r="I51" s="323">
        <f>IFERROR('3. Scrap (LC)'!I51/'Input-FX Rates'!$H$16,0)</f>
        <v>0</v>
      </c>
      <c r="J51" s="323">
        <f>IFERROR('3. Scrap (LC)'!J51/'Input-FX Rates'!$H$16,0)</f>
        <v>0</v>
      </c>
      <c r="K51" s="323">
        <f>IFERROR('3. Scrap (LC)'!K51/'Input-FX Rates'!$H$16,0)</f>
        <v>0</v>
      </c>
      <c r="L51" s="323">
        <f>IFERROR('3. Scrap (LC)'!L51/'Input-FX Rates'!$H$16,0)</f>
        <v>0</v>
      </c>
      <c r="M51" s="323">
        <f>IFERROR('3. Scrap (LC)'!M51/'Input-FX Rates'!$H$16,0)</f>
        <v>0</v>
      </c>
      <c r="N51" s="323">
        <f>IFERROR('3. Scrap (LC)'!N51/'Input-FX Rates'!$H$16,0)</f>
        <v>0</v>
      </c>
      <c r="O51" s="323">
        <f>IFERROR('3. Scrap (LC)'!O51/'Input-FX Rates'!$H$16,0)</f>
        <v>0</v>
      </c>
      <c r="P51" s="323">
        <f>IFERROR('3. Scrap (LC)'!P51/'Input-FX Rates'!$H$16,0)</f>
        <v>0</v>
      </c>
      <c r="Q51" s="324">
        <f>IFERROR('3. Scrap (LC)'!Q51/'Input-FX Rates'!$H$16,0)</f>
        <v>0</v>
      </c>
      <c r="R51" s="323">
        <f>SUM(F51:Q51)</f>
        <v>0</v>
      </c>
      <c r="S51" s="324">
        <f>IFERROR('3. Scrap (LC)'!S51/'Input-FX Rates'!$H$16,0)</f>
        <v>0</v>
      </c>
      <c r="T51" s="323">
        <f t="shared" si="24"/>
        <v>0</v>
      </c>
      <c r="U51" s="329"/>
      <c r="V51" s="328"/>
      <c r="W51" s="320" t="str">
        <f>IF(ISBLANK('3. Scrap (LC)'!W51),"",'3. Scrap (LC)'!W51)</f>
        <v/>
      </c>
      <c r="Y51" s="267" t="s">
        <v>349</v>
      </c>
    </row>
    <row r="52" spans="1:25" s="243" customFormat="1" ht="15.6" customHeight="1" outlineLevel="1">
      <c r="A52" s="327" t="s">
        <v>348</v>
      </c>
      <c r="B52" s="326" t="str">
        <f>+'3. Scrap (LC)'!B52</f>
        <v>Area 1</v>
      </c>
      <c r="C52" s="325">
        <f>IFERROR('3. Scrap (LC)'!C52/'Input-FX Rates'!$E$16,0)</f>
        <v>0</v>
      </c>
      <c r="D52" s="323">
        <f>IFERROR('3. Scrap (LC)'!D52/'Input-FX Rates'!$G$16,0)</f>
        <v>0</v>
      </c>
      <c r="E52" s="324">
        <f>IFERROR('3. Scrap (LC)'!E52/'Input-FX Rates'!$G$16,0)</f>
        <v>0</v>
      </c>
      <c r="F52" s="323">
        <f>IFERROR('3. Scrap (LC)'!F52/'Input-FX Rates'!$H$16,0)</f>
        <v>0</v>
      </c>
      <c r="G52" s="323">
        <f>IFERROR('3. Scrap (LC)'!G52/'Input-FX Rates'!$H$16,0)</f>
        <v>0</v>
      </c>
      <c r="H52" s="323">
        <f>IFERROR('3. Scrap (LC)'!H52/'Input-FX Rates'!$H$16,0)</f>
        <v>0</v>
      </c>
      <c r="I52" s="323">
        <f>IFERROR('3. Scrap (LC)'!I52/'Input-FX Rates'!$H$16,0)</f>
        <v>0</v>
      </c>
      <c r="J52" s="323">
        <f>IFERROR('3. Scrap (LC)'!J52/'Input-FX Rates'!$H$16,0)</f>
        <v>0</v>
      </c>
      <c r="K52" s="323">
        <f>IFERROR('3. Scrap (LC)'!K52/'Input-FX Rates'!$H$16,0)</f>
        <v>0</v>
      </c>
      <c r="L52" s="323">
        <f>IFERROR('3. Scrap (LC)'!L52/'Input-FX Rates'!$H$16,0)</f>
        <v>0</v>
      </c>
      <c r="M52" s="323">
        <f>IFERROR('3. Scrap (LC)'!M52/'Input-FX Rates'!$H$16,0)</f>
        <v>0</v>
      </c>
      <c r="N52" s="323">
        <f>IFERROR('3. Scrap (LC)'!N52/'Input-FX Rates'!$H$16,0)</f>
        <v>0</v>
      </c>
      <c r="O52" s="323">
        <f>IFERROR('3. Scrap (LC)'!O52/'Input-FX Rates'!$H$16,0)</f>
        <v>0</v>
      </c>
      <c r="P52" s="323">
        <f>IFERROR('3. Scrap (LC)'!P52/'Input-FX Rates'!$H$16,0)</f>
        <v>0</v>
      </c>
      <c r="Q52" s="324">
        <f>IFERROR('3. Scrap (LC)'!Q52/'Input-FX Rates'!$H$16,0)</f>
        <v>0</v>
      </c>
      <c r="R52" s="323">
        <f>SUM(F52:Q52)</f>
        <v>0</v>
      </c>
      <c r="S52" s="324">
        <f>IFERROR('3. Scrap (LC)'!S52/'Input-FX Rates'!$H$16,0)</f>
        <v>0</v>
      </c>
      <c r="T52" s="323">
        <f t="shared" si="24"/>
        <v>0</v>
      </c>
      <c r="U52" s="322"/>
      <c r="V52" s="321"/>
      <c r="W52" s="320" t="str">
        <f>IF(ISBLANK('3. Scrap (LC)'!W52),"",'3. Scrap (LC)'!W52)</f>
        <v/>
      </c>
      <c r="Y52" s="267"/>
    </row>
    <row r="53" spans="1:25" ht="15.6" customHeight="1" outlineLevel="1">
      <c r="A53" s="319" t="s">
        <v>350</v>
      </c>
      <c r="B53" s="318" t="str">
        <f>+'3. Scrap (LC)'!B53</f>
        <v>Area 1</v>
      </c>
      <c r="C53" s="272">
        <f t="shared" ref="C53" si="25">IFERROR(C50/C52,0)</f>
        <v>0</v>
      </c>
      <c r="D53" s="270">
        <f t="shared" ref="D53:R53" si="26">IFERROR(D50/D52,0)</f>
        <v>0</v>
      </c>
      <c r="E53" s="273">
        <f t="shared" si="26"/>
        <v>0</v>
      </c>
      <c r="F53" s="270">
        <f t="shared" si="26"/>
        <v>0</v>
      </c>
      <c r="G53" s="270">
        <f t="shared" si="26"/>
        <v>0</v>
      </c>
      <c r="H53" s="270">
        <f t="shared" si="26"/>
        <v>0</v>
      </c>
      <c r="I53" s="270">
        <f t="shared" si="26"/>
        <v>0</v>
      </c>
      <c r="J53" s="270">
        <f t="shared" si="26"/>
        <v>0</v>
      </c>
      <c r="K53" s="270">
        <f t="shared" si="26"/>
        <v>0</v>
      </c>
      <c r="L53" s="270">
        <f t="shared" si="26"/>
        <v>0</v>
      </c>
      <c r="M53" s="270">
        <f t="shared" si="26"/>
        <v>0</v>
      </c>
      <c r="N53" s="270">
        <f t="shared" si="26"/>
        <v>0</v>
      </c>
      <c r="O53" s="270">
        <f t="shared" si="26"/>
        <v>0</v>
      </c>
      <c r="P53" s="270">
        <f t="shared" si="26"/>
        <v>0</v>
      </c>
      <c r="Q53" s="273">
        <f t="shared" si="26"/>
        <v>0</v>
      </c>
      <c r="R53" s="270">
        <f t="shared" si="26"/>
        <v>0</v>
      </c>
      <c r="S53" s="273">
        <f>+'3. Scrap (LC)'!S53</f>
        <v>0</v>
      </c>
      <c r="T53" s="270">
        <f t="shared" si="24"/>
        <v>0</v>
      </c>
      <c r="U53" s="270"/>
      <c r="V53" s="271"/>
      <c r="W53" s="317" t="str">
        <f>IF(ISBLANK('3. Scrap (LC)'!W53),"",'3. Scrap (LC)'!W53)</f>
        <v/>
      </c>
      <c r="Y53" s="267"/>
    </row>
    <row r="54" spans="1:25" ht="15.6" customHeight="1" outlineLevel="1">
      <c r="A54" s="319" t="s">
        <v>402</v>
      </c>
      <c r="B54" s="318" t="str">
        <f>+'3. Scrap (LC)'!B54</f>
        <v>Area 1</v>
      </c>
      <c r="C54" s="272">
        <f t="shared" ref="C54" si="27">IFERROR((C50+C51)/C52,0)</f>
        <v>0</v>
      </c>
      <c r="D54" s="270">
        <f t="shared" ref="D54:R54" si="28">IFERROR((D50+D51)/D52,0)</f>
        <v>0</v>
      </c>
      <c r="E54" s="273">
        <f t="shared" si="28"/>
        <v>0</v>
      </c>
      <c r="F54" s="270">
        <f t="shared" si="28"/>
        <v>0</v>
      </c>
      <c r="G54" s="270">
        <f t="shared" si="28"/>
        <v>0</v>
      </c>
      <c r="H54" s="270">
        <f t="shared" si="28"/>
        <v>0</v>
      </c>
      <c r="I54" s="270">
        <f t="shared" si="28"/>
        <v>0</v>
      </c>
      <c r="J54" s="270">
        <f t="shared" si="28"/>
        <v>0</v>
      </c>
      <c r="K54" s="270">
        <f t="shared" si="28"/>
        <v>0</v>
      </c>
      <c r="L54" s="270">
        <f t="shared" si="28"/>
        <v>0</v>
      </c>
      <c r="M54" s="270">
        <f t="shared" si="28"/>
        <v>0</v>
      </c>
      <c r="N54" s="270">
        <f t="shared" si="28"/>
        <v>0</v>
      </c>
      <c r="O54" s="270">
        <f t="shared" si="28"/>
        <v>0</v>
      </c>
      <c r="P54" s="270">
        <f t="shared" si="28"/>
        <v>0</v>
      </c>
      <c r="Q54" s="273">
        <f t="shared" si="28"/>
        <v>0</v>
      </c>
      <c r="R54" s="270">
        <f t="shared" si="28"/>
        <v>0</v>
      </c>
      <c r="S54" s="273">
        <f>+'3. Scrap (LC)'!S54</f>
        <v>0</v>
      </c>
      <c r="T54" s="270">
        <f t="shared" si="24"/>
        <v>0</v>
      </c>
      <c r="U54" s="270"/>
      <c r="V54" s="271"/>
      <c r="W54" s="317" t="str">
        <f>IF(ISBLANK('3. Scrap (LC)'!W54),"",'3. Scrap (LC)'!W54)</f>
        <v/>
      </c>
      <c r="Y54" s="267"/>
    </row>
    <row r="55" spans="1:25" s="243" customFormat="1" ht="15.6" customHeight="1" outlineLevel="1">
      <c r="A55" s="327" t="s">
        <v>351</v>
      </c>
      <c r="B55" s="326" t="str">
        <f>+'3. Scrap (LC)'!B55</f>
        <v>Area 2</v>
      </c>
      <c r="C55" s="325">
        <f>IFERROR('3. Scrap (LC)'!C55/'Input-FX Rates'!$E$16,0)</f>
        <v>0</v>
      </c>
      <c r="D55" s="323">
        <f>IFERROR('3. Scrap (LC)'!D55/'Input-FX Rates'!$G$16,0)</f>
        <v>0</v>
      </c>
      <c r="E55" s="324">
        <f>IFERROR('3. Scrap (LC)'!E55/'Input-FX Rates'!$G$16,0)</f>
        <v>0</v>
      </c>
      <c r="F55" s="323">
        <f>IFERROR('3. Scrap (LC)'!F55/'Input-FX Rates'!$H$16,0)</f>
        <v>0</v>
      </c>
      <c r="G55" s="323">
        <f>IFERROR('3. Scrap (LC)'!G55/'Input-FX Rates'!$H$16,0)</f>
        <v>0</v>
      </c>
      <c r="H55" s="323">
        <f>IFERROR('3. Scrap (LC)'!H55/'Input-FX Rates'!$H$16,0)</f>
        <v>0</v>
      </c>
      <c r="I55" s="323">
        <f>IFERROR('3. Scrap (LC)'!I55/'Input-FX Rates'!$H$16,0)</f>
        <v>0</v>
      </c>
      <c r="J55" s="323">
        <f>IFERROR('3. Scrap (LC)'!J55/'Input-FX Rates'!$H$16,0)</f>
        <v>0</v>
      </c>
      <c r="K55" s="323">
        <f>IFERROR('3. Scrap (LC)'!K55/'Input-FX Rates'!$H$16,0)</f>
        <v>0</v>
      </c>
      <c r="L55" s="323">
        <f>IFERROR('3. Scrap (LC)'!L55/'Input-FX Rates'!$H$16,0)</f>
        <v>0</v>
      </c>
      <c r="M55" s="323">
        <f>IFERROR('3. Scrap (LC)'!M55/'Input-FX Rates'!$H$16,0)</f>
        <v>0</v>
      </c>
      <c r="N55" s="323">
        <f>IFERROR('3. Scrap (LC)'!N55/'Input-FX Rates'!$H$16,0)</f>
        <v>0</v>
      </c>
      <c r="O55" s="323">
        <f>IFERROR('3. Scrap (LC)'!O55/'Input-FX Rates'!$H$16,0)</f>
        <v>0</v>
      </c>
      <c r="P55" s="323">
        <f>IFERROR('3. Scrap (LC)'!P55/'Input-FX Rates'!$H$16,0)</f>
        <v>0</v>
      </c>
      <c r="Q55" s="324">
        <f>IFERROR('3. Scrap (LC)'!Q55/'Input-FX Rates'!$H$16,0)</f>
        <v>0</v>
      </c>
      <c r="R55" s="323">
        <f>SUM(F55:Q55)</f>
        <v>0</v>
      </c>
      <c r="S55" s="324">
        <f>IFERROR('3. Scrap (LC)'!S55/'Input-FX Rates'!$H$16,0)</f>
        <v>0</v>
      </c>
      <c r="T55" s="323">
        <f t="shared" si="24"/>
        <v>0</v>
      </c>
      <c r="U55" s="329"/>
      <c r="V55" s="328"/>
      <c r="W55" s="320" t="str">
        <f>IF(ISBLANK('3. Scrap (LC)'!W55),"",'3. Scrap (LC)'!W55)</f>
        <v/>
      </c>
      <c r="Y55" s="267"/>
    </row>
    <row r="56" spans="1:25" s="243" customFormat="1" ht="15.6" customHeight="1" outlineLevel="1">
      <c r="A56" s="327" t="s">
        <v>425</v>
      </c>
      <c r="B56" s="326" t="str">
        <f>+'3. Scrap (LC)'!B56</f>
        <v>Area 2</v>
      </c>
      <c r="C56" s="325">
        <f>IFERROR('3. Scrap (LC)'!C56/'Input-FX Rates'!$E$16,0)</f>
        <v>0</v>
      </c>
      <c r="D56" s="323">
        <f>IFERROR('3. Scrap (LC)'!D56/'Input-FX Rates'!$G$16,0)</f>
        <v>0</v>
      </c>
      <c r="E56" s="324">
        <f>IFERROR('3. Scrap (LC)'!E56/'Input-FX Rates'!$G$16,0)</f>
        <v>0</v>
      </c>
      <c r="F56" s="323">
        <f>IFERROR('3. Scrap (LC)'!F56/'Input-FX Rates'!$H$16,0)</f>
        <v>0</v>
      </c>
      <c r="G56" s="323">
        <f>IFERROR('3. Scrap (LC)'!G56/'Input-FX Rates'!$H$16,0)</f>
        <v>0</v>
      </c>
      <c r="H56" s="323">
        <f>IFERROR('3. Scrap (LC)'!H56/'Input-FX Rates'!$H$16,0)</f>
        <v>0</v>
      </c>
      <c r="I56" s="323">
        <f>IFERROR('3. Scrap (LC)'!I56/'Input-FX Rates'!$H$16,0)</f>
        <v>0</v>
      </c>
      <c r="J56" s="323">
        <f>IFERROR('3. Scrap (LC)'!J56/'Input-FX Rates'!$H$16,0)</f>
        <v>0</v>
      </c>
      <c r="K56" s="323">
        <f>IFERROR('3. Scrap (LC)'!K56/'Input-FX Rates'!$H$16,0)</f>
        <v>0</v>
      </c>
      <c r="L56" s="323">
        <f>IFERROR('3. Scrap (LC)'!L56/'Input-FX Rates'!$H$16,0)</f>
        <v>0</v>
      </c>
      <c r="M56" s="323">
        <f>IFERROR('3. Scrap (LC)'!M56/'Input-FX Rates'!$H$16,0)</f>
        <v>0</v>
      </c>
      <c r="N56" s="323">
        <f>IFERROR('3. Scrap (LC)'!N56/'Input-FX Rates'!$H$16,0)</f>
        <v>0</v>
      </c>
      <c r="O56" s="323">
        <f>IFERROR('3. Scrap (LC)'!O56/'Input-FX Rates'!$H$16,0)</f>
        <v>0</v>
      </c>
      <c r="P56" s="323">
        <f>IFERROR('3. Scrap (LC)'!P56/'Input-FX Rates'!$H$16,0)</f>
        <v>0</v>
      </c>
      <c r="Q56" s="324">
        <f>IFERROR('3. Scrap (LC)'!Q56/'Input-FX Rates'!$H$16,0)</f>
        <v>0</v>
      </c>
      <c r="R56" s="323">
        <f>SUM(F56:Q56)</f>
        <v>0</v>
      </c>
      <c r="S56" s="324">
        <f>IFERROR('3. Scrap (LC)'!S56/'Input-FX Rates'!$H$16,0)</f>
        <v>0</v>
      </c>
      <c r="T56" s="323">
        <f t="shared" si="24"/>
        <v>0</v>
      </c>
      <c r="U56" s="329"/>
      <c r="V56" s="328"/>
      <c r="W56" s="320" t="str">
        <f>IF(ISBLANK('3. Scrap (LC)'!W56),"",'3. Scrap (LC)'!W56)</f>
        <v/>
      </c>
      <c r="Y56" s="267"/>
    </row>
    <row r="57" spans="1:25" s="243" customFormat="1" ht="15.6" customHeight="1" outlineLevel="1">
      <c r="A57" s="327" t="s">
        <v>353</v>
      </c>
      <c r="B57" s="326" t="str">
        <f>+'3. Scrap (LC)'!B57</f>
        <v>Area 2</v>
      </c>
      <c r="C57" s="325">
        <f>IFERROR('3. Scrap (LC)'!C57/'Input-FX Rates'!$E$16,0)</f>
        <v>0</v>
      </c>
      <c r="D57" s="323">
        <f>IFERROR('3. Scrap (LC)'!D57/'Input-FX Rates'!$G$16,0)</f>
        <v>0</v>
      </c>
      <c r="E57" s="324">
        <f>IFERROR('3. Scrap (LC)'!E57/'Input-FX Rates'!$G$16,0)</f>
        <v>0</v>
      </c>
      <c r="F57" s="323">
        <f>IFERROR('3. Scrap (LC)'!F57/'Input-FX Rates'!$H$16,0)</f>
        <v>0</v>
      </c>
      <c r="G57" s="323">
        <f>IFERROR('3. Scrap (LC)'!G57/'Input-FX Rates'!$H$16,0)</f>
        <v>0</v>
      </c>
      <c r="H57" s="323">
        <f>IFERROR('3. Scrap (LC)'!H57/'Input-FX Rates'!$H$16,0)</f>
        <v>0</v>
      </c>
      <c r="I57" s="323">
        <f>IFERROR('3. Scrap (LC)'!I57/'Input-FX Rates'!$H$16,0)</f>
        <v>0</v>
      </c>
      <c r="J57" s="323">
        <f>IFERROR('3. Scrap (LC)'!J57/'Input-FX Rates'!$H$16,0)</f>
        <v>0</v>
      </c>
      <c r="K57" s="323">
        <f>IFERROR('3. Scrap (LC)'!K57/'Input-FX Rates'!$H$16,0)</f>
        <v>0</v>
      </c>
      <c r="L57" s="323">
        <f>IFERROR('3. Scrap (LC)'!L57/'Input-FX Rates'!$H$16,0)</f>
        <v>0</v>
      </c>
      <c r="M57" s="323">
        <f>IFERROR('3. Scrap (LC)'!M57/'Input-FX Rates'!$H$16,0)</f>
        <v>0</v>
      </c>
      <c r="N57" s="323">
        <f>IFERROR('3. Scrap (LC)'!N57/'Input-FX Rates'!$H$16,0)</f>
        <v>0</v>
      </c>
      <c r="O57" s="323">
        <f>IFERROR('3. Scrap (LC)'!O57/'Input-FX Rates'!$H$16,0)</f>
        <v>0</v>
      </c>
      <c r="P57" s="323">
        <f>IFERROR('3. Scrap (LC)'!P57/'Input-FX Rates'!$H$16,0)</f>
        <v>0</v>
      </c>
      <c r="Q57" s="324">
        <f>IFERROR('3. Scrap (LC)'!Q57/'Input-FX Rates'!$H$16,0)</f>
        <v>0</v>
      </c>
      <c r="R57" s="323">
        <f>SUM(F57:Q57)</f>
        <v>0</v>
      </c>
      <c r="S57" s="324">
        <f>IFERROR('3. Scrap (LC)'!S57/'Input-FX Rates'!$H$16,0)</f>
        <v>0</v>
      </c>
      <c r="T57" s="323">
        <f t="shared" si="24"/>
        <v>0</v>
      </c>
      <c r="U57" s="322"/>
      <c r="V57" s="321"/>
      <c r="W57" s="320" t="str">
        <f>IF(ISBLANK('3. Scrap (LC)'!W57),"",'3. Scrap (LC)'!W57)</f>
        <v/>
      </c>
      <c r="Y57" s="267"/>
    </row>
    <row r="58" spans="1:25" ht="15.6" customHeight="1" outlineLevel="1">
      <c r="A58" s="319" t="s">
        <v>405</v>
      </c>
      <c r="B58" s="318" t="str">
        <f>+'3. Scrap (LC)'!B58</f>
        <v>Area 2</v>
      </c>
      <c r="C58" s="272">
        <f t="shared" ref="C58" si="29">IFERROR(C55/C57,0)</f>
        <v>0</v>
      </c>
      <c r="D58" s="270">
        <f t="shared" ref="D58:R58" si="30">IFERROR(D55/D57,0)</f>
        <v>0</v>
      </c>
      <c r="E58" s="273">
        <f t="shared" si="30"/>
        <v>0</v>
      </c>
      <c r="F58" s="270">
        <f t="shared" si="30"/>
        <v>0</v>
      </c>
      <c r="G58" s="270">
        <f t="shared" si="30"/>
        <v>0</v>
      </c>
      <c r="H58" s="270">
        <f t="shared" si="30"/>
        <v>0</v>
      </c>
      <c r="I58" s="270">
        <f t="shared" si="30"/>
        <v>0</v>
      </c>
      <c r="J58" s="270">
        <f t="shared" si="30"/>
        <v>0</v>
      </c>
      <c r="K58" s="270">
        <f t="shared" si="30"/>
        <v>0</v>
      </c>
      <c r="L58" s="270">
        <f t="shared" si="30"/>
        <v>0</v>
      </c>
      <c r="M58" s="270">
        <f t="shared" si="30"/>
        <v>0</v>
      </c>
      <c r="N58" s="270">
        <f t="shared" si="30"/>
        <v>0</v>
      </c>
      <c r="O58" s="270">
        <f t="shared" si="30"/>
        <v>0</v>
      </c>
      <c r="P58" s="270">
        <f t="shared" si="30"/>
        <v>0</v>
      </c>
      <c r="Q58" s="273">
        <f t="shared" si="30"/>
        <v>0</v>
      </c>
      <c r="R58" s="270">
        <f t="shared" si="30"/>
        <v>0</v>
      </c>
      <c r="S58" s="273">
        <f>+'3. Scrap (LC)'!S58</f>
        <v>0</v>
      </c>
      <c r="T58" s="270">
        <f t="shared" si="24"/>
        <v>0</v>
      </c>
      <c r="U58" s="270"/>
      <c r="V58" s="271"/>
      <c r="W58" s="317" t="str">
        <f>IF(ISBLANK('3. Scrap (LC)'!W58),"",'3. Scrap (LC)'!W58)</f>
        <v/>
      </c>
      <c r="Y58" s="267"/>
    </row>
    <row r="59" spans="1:25" ht="15.6" customHeight="1" outlineLevel="1">
      <c r="A59" s="319" t="s">
        <v>406</v>
      </c>
      <c r="B59" s="318" t="str">
        <f>+'3. Scrap (LC)'!B59</f>
        <v>Area 2</v>
      </c>
      <c r="C59" s="272">
        <f t="shared" ref="C59" si="31">IFERROR((C55+C56)/C57,0)</f>
        <v>0</v>
      </c>
      <c r="D59" s="270">
        <f t="shared" ref="D59:R59" si="32">IFERROR((D55+D56)/D57,0)</f>
        <v>0</v>
      </c>
      <c r="E59" s="273">
        <f t="shared" si="32"/>
        <v>0</v>
      </c>
      <c r="F59" s="270">
        <f t="shared" si="32"/>
        <v>0</v>
      </c>
      <c r="G59" s="270">
        <f t="shared" si="32"/>
        <v>0</v>
      </c>
      <c r="H59" s="270">
        <f t="shared" si="32"/>
        <v>0</v>
      </c>
      <c r="I59" s="270">
        <f t="shared" si="32"/>
        <v>0</v>
      </c>
      <c r="J59" s="270">
        <f t="shared" si="32"/>
        <v>0</v>
      </c>
      <c r="K59" s="270">
        <f t="shared" si="32"/>
        <v>0</v>
      </c>
      <c r="L59" s="270">
        <f t="shared" si="32"/>
        <v>0</v>
      </c>
      <c r="M59" s="270">
        <f t="shared" si="32"/>
        <v>0</v>
      </c>
      <c r="N59" s="270">
        <f t="shared" si="32"/>
        <v>0</v>
      </c>
      <c r="O59" s="270">
        <f t="shared" si="32"/>
        <v>0</v>
      </c>
      <c r="P59" s="270">
        <f t="shared" si="32"/>
        <v>0</v>
      </c>
      <c r="Q59" s="273">
        <f t="shared" si="32"/>
        <v>0</v>
      </c>
      <c r="R59" s="270">
        <f t="shared" si="32"/>
        <v>0</v>
      </c>
      <c r="S59" s="273">
        <f>+'3. Scrap (LC)'!S59</f>
        <v>0</v>
      </c>
      <c r="T59" s="270">
        <f t="shared" si="24"/>
        <v>0</v>
      </c>
      <c r="U59" s="270"/>
      <c r="V59" s="271"/>
      <c r="W59" s="317" t="str">
        <f>IF(ISBLANK('3. Scrap (LC)'!W59),"",'3. Scrap (LC)'!W59)</f>
        <v/>
      </c>
      <c r="Y59" s="267"/>
    </row>
    <row r="60" spans="1:25" s="243" customFormat="1" ht="15.6" customHeight="1" outlineLevel="1">
      <c r="A60" s="327" t="s">
        <v>355</v>
      </c>
      <c r="B60" s="326" t="str">
        <f>+'3. Scrap (LC)'!B60</f>
        <v>Area 3</v>
      </c>
      <c r="C60" s="325">
        <f>IFERROR('3. Scrap (LC)'!C60/'Input-FX Rates'!$E$16,0)</f>
        <v>0</v>
      </c>
      <c r="D60" s="323">
        <f>IFERROR('3. Scrap (LC)'!D60/'Input-FX Rates'!$G$16,0)</f>
        <v>0</v>
      </c>
      <c r="E60" s="324">
        <f>IFERROR('3. Scrap (LC)'!E60/'Input-FX Rates'!$G$16,0)</f>
        <v>0</v>
      </c>
      <c r="F60" s="323">
        <f>IFERROR('3. Scrap (LC)'!F60/'Input-FX Rates'!$H$16,0)</f>
        <v>0</v>
      </c>
      <c r="G60" s="323">
        <f>IFERROR('3. Scrap (LC)'!G60/'Input-FX Rates'!$H$16,0)</f>
        <v>0</v>
      </c>
      <c r="H60" s="323">
        <f>IFERROR('3. Scrap (LC)'!H60/'Input-FX Rates'!$H$16,0)</f>
        <v>0</v>
      </c>
      <c r="I60" s="323">
        <f>IFERROR('3. Scrap (LC)'!I60/'Input-FX Rates'!$H$16,0)</f>
        <v>0</v>
      </c>
      <c r="J60" s="323">
        <f>IFERROR('3. Scrap (LC)'!J60/'Input-FX Rates'!$H$16,0)</f>
        <v>0</v>
      </c>
      <c r="K60" s="323">
        <f>IFERROR('3. Scrap (LC)'!K60/'Input-FX Rates'!$H$16,0)</f>
        <v>0</v>
      </c>
      <c r="L60" s="323">
        <f>IFERROR('3. Scrap (LC)'!L60/'Input-FX Rates'!$H$16,0)</f>
        <v>0</v>
      </c>
      <c r="M60" s="323">
        <f>IFERROR('3. Scrap (LC)'!M60/'Input-FX Rates'!$H$16,0)</f>
        <v>0</v>
      </c>
      <c r="N60" s="323">
        <f>IFERROR('3. Scrap (LC)'!N60/'Input-FX Rates'!$H$16,0)</f>
        <v>0</v>
      </c>
      <c r="O60" s="323">
        <f>IFERROR('3. Scrap (LC)'!O60/'Input-FX Rates'!$H$16,0)</f>
        <v>0</v>
      </c>
      <c r="P60" s="323">
        <f>IFERROR('3. Scrap (LC)'!P60/'Input-FX Rates'!$H$16,0)</f>
        <v>0</v>
      </c>
      <c r="Q60" s="324">
        <f>IFERROR('3. Scrap (LC)'!Q60/'Input-FX Rates'!$H$16,0)</f>
        <v>0</v>
      </c>
      <c r="R60" s="323">
        <f>SUM(F60:Q60)</f>
        <v>0</v>
      </c>
      <c r="S60" s="324">
        <f>IFERROR('3. Scrap (LC)'!S60/'Input-FX Rates'!$H$16,0)</f>
        <v>0</v>
      </c>
      <c r="T60" s="323">
        <f t="shared" si="24"/>
        <v>0</v>
      </c>
      <c r="U60" s="329"/>
      <c r="V60" s="328"/>
      <c r="W60" s="320" t="str">
        <f>IF(ISBLANK('3. Scrap (LC)'!W60),"",'3. Scrap (LC)'!W60)</f>
        <v/>
      </c>
      <c r="Y60" s="267"/>
    </row>
    <row r="61" spans="1:25" s="243" customFormat="1" ht="15.6" customHeight="1" outlineLevel="1">
      <c r="A61" s="327" t="s">
        <v>426</v>
      </c>
      <c r="B61" s="326" t="str">
        <f>+'3. Scrap (LC)'!B61</f>
        <v>Area 3</v>
      </c>
      <c r="C61" s="325">
        <f>IFERROR('3. Scrap (LC)'!C61/'Input-FX Rates'!$E$16,0)</f>
        <v>0</v>
      </c>
      <c r="D61" s="323">
        <f>IFERROR('3. Scrap (LC)'!D61/'Input-FX Rates'!$G$16,0)</f>
        <v>0</v>
      </c>
      <c r="E61" s="324">
        <f>IFERROR('3. Scrap (LC)'!E61/'Input-FX Rates'!$G$16,0)</f>
        <v>0</v>
      </c>
      <c r="F61" s="323">
        <f>IFERROR('3. Scrap (LC)'!F61/'Input-FX Rates'!$H$16,0)</f>
        <v>0</v>
      </c>
      <c r="G61" s="323">
        <f>IFERROR('3. Scrap (LC)'!G61/'Input-FX Rates'!$H$16,0)</f>
        <v>0</v>
      </c>
      <c r="H61" s="323">
        <f>IFERROR('3. Scrap (LC)'!H61/'Input-FX Rates'!$H$16,0)</f>
        <v>0</v>
      </c>
      <c r="I61" s="323">
        <f>IFERROR('3. Scrap (LC)'!I61/'Input-FX Rates'!$H$16,0)</f>
        <v>0</v>
      </c>
      <c r="J61" s="323">
        <f>IFERROR('3. Scrap (LC)'!J61/'Input-FX Rates'!$H$16,0)</f>
        <v>0</v>
      </c>
      <c r="K61" s="323">
        <f>IFERROR('3. Scrap (LC)'!K61/'Input-FX Rates'!$H$16,0)</f>
        <v>0</v>
      </c>
      <c r="L61" s="323">
        <f>IFERROR('3. Scrap (LC)'!L61/'Input-FX Rates'!$H$16,0)</f>
        <v>0</v>
      </c>
      <c r="M61" s="323">
        <f>IFERROR('3. Scrap (LC)'!M61/'Input-FX Rates'!$H$16,0)</f>
        <v>0</v>
      </c>
      <c r="N61" s="323">
        <f>IFERROR('3. Scrap (LC)'!N61/'Input-FX Rates'!$H$16,0)</f>
        <v>0</v>
      </c>
      <c r="O61" s="323">
        <f>IFERROR('3. Scrap (LC)'!O61/'Input-FX Rates'!$H$16,0)</f>
        <v>0</v>
      </c>
      <c r="P61" s="323">
        <f>IFERROR('3. Scrap (LC)'!P61/'Input-FX Rates'!$H$16,0)</f>
        <v>0</v>
      </c>
      <c r="Q61" s="324">
        <f>IFERROR('3. Scrap (LC)'!Q61/'Input-FX Rates'!$H$16,0)</f>
        <v>0</v>
      </c>
      <c r="R61" s="323">
        <f>SUM(F61:Q61)</f>
        <v>0</v>
      </c>
      <c r="S61" s="324">
        <f>IFERROR('3. Scrap (LC)'!S61/'Input-FX Rates'!$H$16,0)</f>
        <v>0</v>
      </c>
      <c r="T61" s="323">
        <f t="shared" si="24"/>
        <v>0</v>
      </c>
      <c r="U61" s="329"/>
      <c r="V61" s="328"/>
      <c r="W61" s="320" t="str">
        <f>IF(ISBLANK('3. Scrap (LC)'!W61),"",'3. Scrap (LC)'!W61)</f>
        <v/>
      </c>
      <c r="Y61" s="267"/>
    </row>
    <row r="62" spans="1:25" s="243" customFormat="1" ht="15.6" customHeight="1" outlineLevel="1">
      <c r="A62" s="327" t="s">
        <v>357</v>
      </c>
      <c r="B62" s="326" t="str">
        <f>+'3. Scrap (LC)'!B62</f>
        <v>Area 3</v>
      </c>
      <c r="C62" s="325">
        <f>IFERROR('3. Scrap (LC)'!C62/'Input-FX Rates'!$E$16,0)</f>
        <v>0</v>
      </c>
      <c r="D62" s="323">
        <f>IFERROR('3. Scrap (LC)'!D62/'Input-FX Rates'!$G$16,0)</f>
        <v>0</v>
      </c>
      <c r="E62" s="324">
        <f>IFERROR('3. Scrap (LC)'!E62/'Input-FX Rates'!$G$16,0)</f>
        <v>0</v>
      </c>
      <c r="F62" s="323">
        <f>IFERROR('3. Scrap (LC)'!F62/'Input-FX Rates'!$H$16,0)</f>
        <v>0</v>
      </c>
      <c r="G62" s="323">
        <f>IFERROR('3. Scrap (LC)'!G62/'Input-FX Rates'!$H$16,0)</f>
        <v>0</v>
      </c>
      <c r="H62" s="323">
        <f>IFERROR('3. Scrap (LC)'!H62/'Input-FX Rates'!$H$16,0)</f>
        <v>0</v>
      </c>
      <c r="I62" s="323">
        <f>IFERROR('3. Scrap (LC)'!I62/'Input-FX Rates'!$H$16,0)</f>
        <v>0</v>
      </c>
      <c r="J62" s="323">
        <f>IFERROR('3. Scrap (LC)'!J62/'Input-FX Rates'!$H$16,0)</f>
        <v>0</v>
      </c>
      <c r="K62" s="323">
        <f>IFERROR('3. Scrap (LC)'!K62/'Input-FX Rates'!$H$16,0)</f>
        <v>0</v>
      </c>
      <c r="L62" s="323">
        <f>IFERROR('3. Scrap (LC)'!L62/'Input-FX Rates'!$H$16,0)</f>
        <v>0</v>
      </c>
      <c r="M62" s="323">
        <f>IFERROR('3. Scrap (LC)'!M62/'Input-FX Rates'!$H$16,0)</f>
        <v>0</v>
      </c>
      <c r="N62" s="323">
        <f>IFERROR('3. Scrap (LC)'!N62/'Input-FX Rates'!$H$16,0)</f>
        <v>0</v>
      </c>
      <c r="O62" s="323">
        <f>IFERROR('3. Scrap (LC)'!O62/'Input-FX Rates'!$H$16,0)</f>
        <v>0</v>
      </c>
      <c r="P62" s="323">
        <f>IFERROR('3. Scrap (LC)'!P62/'Input-FX Rates'!$H$16,0)</f>
        <v>0</v>
      </c>
      <c r="Q62" s="324">
        <f>IFERROR('3. Scrap (LC)'!Q62/'Input-FX Rates'!$H$16,0)</f>
        <v>0</v>
      </c>
      <c r="R62" s="323">
        <f>SUM(F62:Q62)</f>
        <v>0</v>
      </c>
      <c r="S62" s="324">
        <f>IFERROR('3. Scrap (LC)'!S62/'Input-FX Rates'!$H$16,0)</f>
        <v>0</v>
      </c>
      <c r="T62" s="323">
        <f t="shared" si="24"/>
        <v>0</v>
      </c>
      <c r="U62" s="322"/>
      <c r="V62" s="321"/>
      <c r="W62" s="320" t="str">
        <f>IF(ISBLANK('3. Scrap (LC)'!W62),"",'3. Scrap (LC)'!W62)</f>
        <v/>
      </c>
      <c r="Y62" s="267"/>
    </row>
    <row r="63" spans="1:25" ht="15.6" customHeight="1" outlineLevel="1">
      <c r="A63" s="319" t="s">
        <v>409</v>
      </c>
      <c r="B63" s="318" t="str">
        <f>+'3. Scrap (LC)'!B63</f>
        <v>Area 3</v>
      </c>
      <c r="C63" s="272">
        <f t="shared" ref="C63" si="33">IFERROR(C60/C62,0)</f>
        <v>0</v>
      </c>
      <c r="D63" s="270">
        <f t="shared" ref="D63:R63" si="34">IFERROR(D60/D62,0)</f>
        <v>0</v>
      </c>
      <c r="E63" s="273">
        <f t="shared" si="34"/>
        <v>0</v>
      </c>
      <c r="F63" s="270">
        <f t="shared" si="34"/>
        <v>0</v>
      </c>
      <c r="G63" s="270">
        <f t="shared" si="34"/>
        <v>0</v>
      </c>
      <c r="H63" s="270">
        <f t="shared" si="34"/>
        <v>0</v>
      </c>
      <c r="I63" s="270">
        <f t="shared" si="34"/>
        <v>0</v>
      </c>
      <c r="J63" s="270">
        <f t="shared" si="34"/>
        <v>0</v>
      </c>
      <c r="K63" s="270">
        <f t="shared" si="34"/>
        <v>0</v>
      </c>
      <c r="L63" s="270">
        <f t="shared" si="34"/>
        <v>0</v>
      </c>
      <c r="M63" s="270">
        <f t="shared" si="34"/>
        <v>0</v>
      </c>
      <c r="N63" s="270">
        <f t="shared" si="34"/>
        <v>0</v>
      </c>
      <c r="O63" s="270">
        <f t="shared" si="34"/>
        <v>0</v>
      </c>
      <c r="P63" s="270">
        <f t="shared" si="34"/>
        <v>0</v>
      </c>
      <c r="Q63" s="273">
        <f t="shared" si="34"/>
        <v>0</v>
      </c>
      <c r="R63" s="270">
        <f t="shared" si="34"/>
        <v>0</v>
      </c>
      <c r="S63" s="273">
        <f>+'3. Scrap (LC)'!S63</f>
        <v>0</v>
      </c>
      <c r="T63" s="270">
        <f t="shared" si="24"/>
        <v>0</v>
      </c>
      <c r="U63" s="270"/>
      <c r="V63" s="271"/>
      <c r="W63" s="317" t="str">
        <f>IF(ISBLANK('3. Scrap (LC)'!W63),"",'3. Scrap (LC)'!W63)</f>
        <v/>
      </c>
      <c r="Y63" s="267"/>
    </row>
    <row r="64" spans="1:25" ht="15.6" customHeight="1" outlineLevel="1">
      <c r="A64" s="319" t="s">
        <v>410</v>
      </c>
      <c r="B64" s="318" t="str">
        <f>+'3. Scrap (LC)'!B64</f>
        <v>Area 3</v>
      </c>
      <c r="C64" s="272">
        <f t="shared" ref="C64" si="35">IFERROR((C60+C61)/C62,0)</f>
        <v>0</v>
      </c>
      <c r="D64" s="270">
        <f t="shared" ref="D64:R64" si="36">IFERROR((D60+D61)/D62,0)</f>
        <v>0</v>
      </c>
      <c r="E64" s="273">
        <f t="shared" si="36"/>
        <v>0</v>
      </c>
      <c r="F64" s="270">
        <f t="shared" si="36"/>
        <v>0</v>
      </c>
      <c r="G64" s="270">
        <f t="shared" si="36"/>
        <v>0</v>
      </c>
      <c r="H64" s="270">
        <f t="shared" si="36"/>
        <v>0</v>
      </c>
      <c r="I64" s="270">
        <f t="shared" si="36"/>
        <v>0</v>
      </c>
      <c r="J64" s="270">
        <f t="shared" si="36"/>
        <v>0</v>
      </c>
      <c r="K64" s="270">
        <f t="shared" si="36"/>
        <v>0</v>
      </c>
      <c r="L64" s="270">
        <f t="shared" si="36"/>
        <v>0</v>
      </c>
      <c r="M64" s="270">
        <f t="shared" si="36"/>
        <v>0</v>
      </c>
      <c r="N64" s="270">
        <f t="shared" si="36"/>
        <v>0</v>
      </c>
      <c r="O64" s="270">
        <f t="shared" si="36"/>
        <v>0</v>
      </c>
      <c r="P64" s="270">
        <f t="shared" si="36"/>
        <v>0</v>
      </c>
      <c r="Q64" s="273">
        <f t="shared" si="36"/>
        <v>0</v>
      </c>
      <c r="R64" s="270">
        <f t="shared" si="36"/>
        <v>0</v>
      </c>
      <c r="S64" s="273">
        <f>+'3. Scrap (LC)'!S64</f>
        <v>0</v>
      </c>
      <c r="T64" s="270">
        <f t="shared" si="24"/>
        <v>0</v>
      </c>
      <c r="U64" s="270"/>
      <c r="V64" s="271"/>
      <c r="W64" s="317" t="str">
        <f>IF(ISBLANK('3. Scrap (LC)'!W64),"",'3. Scrap (LC)'!W64)</f>
        <v/>
      </c>
      <c r="Y64" s="267"/>
    </row>
    <row r="65" spans="1:25" s="243" customFormat="1" ht="15.6" customHeight="1" outlineLevel="1">
      <c r="A65" s="327" t="s">
        <v>359</v>
      </c>
      <c r="B65" s="326" t="str">
        <f>+'3. Scrap (LC)'!B65</f>
        <v>All Other</v>
      </c>
      <c r="C65" s="325">
        <f>IFERROR('3. Scrap (LC)'!C65/'Input-FX Rates'!$E$16,0)</f>
        <v>0</v>
      </c>
      <c r="D65" s="323">
        <f>IFERROR('3. Scrap (LC)'!D65/'Input-FX Rates'!$G$16,0)</f>
        <v>0</v>
      </c>
      <c r="E65" s="324">
        <f>IFERROR('3. Scrap (LC)'!E65/'Input-FX Rates'!$G$16,0)</f>
        <v>0</v>
      </c>
      <c r="F65" s="323">
        <f>IFERROR('3. Scrap (LC)'!F65/'Input-FX Rates'!$H$16,0)</f>
        <v>0</v>
      </c>
      <c r="G65" s="323">
        <f>IFERROR('3. Scrap (LC)'!G65/'Input-FX Rates'!$H$16,0)</f>
        <v>0</v>
      </c>
      <c r="H65" s="323">
        <f>IFERROR('3. Scrap (LC)'!H65/'Input-FX Rates'!$H$16,0)</f>
        <v>0</v>
      </c>
      <c r="I65" s="323">
        <f>IFERROR('3. Scrap (LC)'!I65/'Input-FX Rates'!$H$16,0)</f>
        <v>0</v>
      </c>
      <c r="J65" s="323">
        <f>IFERROR('3. Scrap (LC)'!J65/'Input-FX Rates'!$H$16,0)</f>
        <v>0</v>
      </c>
      <c r="K65" s="323">
        <f>IFERROR('3. Scrap (LC)'!K65/'Input-FX Rates'!$H$16,0)</f>
        <v>0</v>
      </c>
      <c r="L65" s="323">
        <f>IFERROR('3. Scrap (LC)'!L65/'Input-FX Rates'!$H$16,0)</f>
        <v>0</v>
      </c>
      <c r="M65" s="323">
        <f>IFERROR('3. Scrap (LC)'!M65/'Input-FX Rates'!$H$16,0)</f>
        <v>0</v>
      </c>
      <c r="N65" s="323">
        <f>IFERROR('3. Scrap (LC)'!N65/'Input-FX Rates'!$H$16,0)</f>
        <v>0</v>
      </c>
      <c r="O65" s="323">
        <f>IFERROR('3. Scrap (LC)'!O65/'Input-FX Rates'!$H$16,0)</f>
        <v>0</v>
      </c>
      <c r="P65" s="323">
        <f>IFERROR('3. Scrap (LC)'!P65/'Input-FX Rates'!$H$16,0)</f>
        <v>0</v>
      </c>
      <c r="Q65" s="324">
        <f>IFERROR('3. Scrap (LC)'!Q65/'Input-FX Rates'!$H$16,0)</f>
        <v>0</v>
      </c>
      <c r="R65" s="323">
        <f>SUM(F65:Q65)</f>
        <v>0</v>
      </c>
      <c r="S65" s="324">
        <f>IFERROR('3. Scrap (LC)'!S65/'Input-FX Rates'!$H$16,0)</f>
        <v>0</v>
      </c>
      <c r="T65" s="323">
        <f t="shared" si="24"/>
        <v>0</v>
      </c>
      <c r="U65" s="329"/>
      <c r="V65" s="328"/>
      <c r="W65" s="320" t="str">
        <f>IF(ISBLANK('3. Scrap (LC)'!W65),"",'3. Scrap (LC)'!W65)</f>
        <v/>
      </c>
      <c r="Y65" s="267"/>
    </row>
    <row r="66" spans="1:25" s="243" customFormat="1" ht="15.6" customHeight="1" outlineLevel="1">
      <c r="A66" s="327" t="s">
        <v>427</v>
      </c>
      <c r="B66" s="326" t="str">
        <f>+'3. Scrap (LC)'!B66</f>
        <v>All Other</v>
      </c>
      <c r="C66" s="325">
        <f>IFERROR('3. Scrap (LC)'!C66/'Input-FX Rates'!$E$16,0)</f>
        <v>0</v>
      </c>
      <c r="D66" s="323">
        <f>IFERROR('3. Scrap (LC)'!D66/'Input-FX Rates'!$G$16,0)</f>
        <v>0</v>
      </c>
      <c r="E66" s="324">
        <f>IFERROR('3. Scrap (LC)'!E66/'Input-FX Rates'!$G$16,0)</f>
        <v>0</v>
      </c>
      <c r="F66" s="323">
        <f>IFERROR('3. Scrap (LC)'!F66/'Input-FX Rates'!$H$16,0)</f>
        <v>0</v>
      </c>
      <c r="G66" s="323">
        <f>IFERROR('3. Scrap (LC)'!G66/'Input-FX Rates'!$H$16,0)</f>
        <v>0</v>
      </c>
      <c r="H66" s="323">
        <f>IFERROR('3. Scrap (LC)'!H66/'Input-FX Rates'!$H$16,0)</f>
        <v>0</v>
      </c>
      <c r="I66" s="323">
        <f>IFERROR('3. Scrap (LC)'!I66/'Input-FX Rates'!$H$16,0)</f>
        <v>0</v>
      </c>
      <c r="J66" s="323">
        <f>IFERROR('3. Scrap (LC)'!J66/'Input-FX Rates'!$H$16,0)</f>
        <v>0</v>
      </c>
      <c r="K66" s="323">
        <f>IFERROR('3. Scrap (LC)'!K66/'Input-FX Rates'!$H$16,0)</f>
        <v>0</v>
      </c>
      <c r="L66" s="323">
        <f>IFERROR('3. Scrap (LC)'!L66/'Input-FX Rates'!$H$16,0)</f>
        <v>0</v>
      </c>
      <c r="M66" s="323">
        <f>IFERROR('3. Scrap (LC)'!M66/'Input-FX Rates'!$H$16,0)</f>
        <v>0</v>
      </c>
      <c r="N66" s="323">
        <f>IFERROR('3. Scrap (LC)'!N66/'Input-FX Rates'!$H$16,0)</f>
        <v>0</v>
      </c>
      <c r="O66" s="323">
        <f>IFERROR('3. Scrap (LC)'!O66/'Input-FX Rates'!$H$16,0)</f>
        <v>0</v>
      </c>
      <c r="P66" s="323">
        <f>IFERROR('3. Scrap (LC)'!P66/'Input-FX Rates'!$H$16,0)</f>
        <v>0</v>
      </c>
      <c r="Q66" s="324">
        <f>IFERROR('3. Scrap (LC)'!Q66/'Input-FX Rates'!$H$16,0)</f>
        <v>0</v>
      </c>
      <c r="R66" s="323">
        <f>SUM(F66:Q66)</f>
        <v>0</v>
      </c>
      <c r="S66" s="324">
        <f>IFERROR('3. Scrap (LC)'!S66/'Input-FX Rates'!$H$16,0)</f>
        <v>0</v>
      </c>
      <c r="T66" s="323">
        <f t="shared" si="24"/>
        <v>0</v>
      </c>
      <c r="U66" s="329"/>
      <c r="V66" s="328"/>
      <c r="W66" s="320" t="str">
        <f>IF(ISBLANK('3. Scrap (LC)'!W66),"",'3. Scrap (LC)'!W66)</f>
        <v/>
      </c>
      <c r="Y66" s="267"/>
    </row>
    <row r="67" spans="1:25" s="243" customFormat="1" ht="15.6" customHeight="1" outlineLevel="1">
      <c r="A67" s="327" t="s">
        <v>361</v>
      </c>
      <c r="B67" s="326" t="str">
        <f>+'3. Scrap (LC)'!B67</f>
        <v>All Other</v>
      </c>
      <c r="C67" s="325">
        <f>IFERROR('3. Scrap (LC)'!C67/'Input-FX Rates'!$E$16,0)</f>
        <v>0</v>
      </c>
      <c r="D67" s="323">
        <f>IFERROR('3. Scrap (LC)'!D67/'Input-FX Rates'!$G$16,0)</f>
        <v>0</v>
      </c>
      <c r="E67" s="324">
        <f>IFERROR('3. Scrap (LC)'!E67/'Input-FX Rates'!$G$16,0)</f>
        <v>0</v>
      </c>
      <c r="F67" s="323">
        <f>IFERROR('3. Scrap (LC)'!F67/'Input-FX Rates'!$H$16,0)</f>
        <v>0</v>
      </c>
      <c r="G67" s="323">
        <f>IFERROR('3. Scrap (LC)'!G67/'Input-FX Rates'!$H$16,0)</f>
        <v>0</v>
      </c>
      <c r="H67" s="323">
        <f>IFERROR('3. Scrap (LC)'!H67/'Input-FX Rates'!$H$16,0)</f>
        <v>0</v>
      </c>
      <c r="I67" s="323">
        <f>IFERROR('3. Scrap (LC)'!I67/'Input-FX Rates'!$H$16,0)</f>
        <v>0</v>
      </c>
      <c r="J67" s="323">
        <f>IFERROR('3. Scrap (LC)'!J67/'Input-FX Rates'!$H$16,0)</f>
        <v>0</v>
      </c>
      <c r="K67" s="323">
        <f>IFERROR('3. Scrap (LC)'!K67/'Input-FX Rates'!$H$16,0)</f>
        <v>0</v>
      </c>
      <c r="L67" s="323">
        <f>IFERROR('3. Scrap (LC)'!L67/'Input-FX Rates'!$H$16,0)</f>
        <v>0</v>
      </c>
      <c r="M67" s="323">
        <f>IFERROR('3. Scrap (LC)'!M67/'Input-FX Rates'!$H$16,0)</f>
        <v>0</v>
      </c>
      <c r="N67" s="323">
        <f>IFERROR('3. Scrap (LC)'!N67/'Input-FX Rates'!$H$16,0)</f>
        <v>0</v>
      </c>
      <c r="O67" s="323">
        <f>IFERROR('3. Scrap (LC)'!O67/'Input-FX Rates'!$H$16,0)</f>
        <v>0</v>
      </c>
      <c r="P67" s="323">
        <f>IFERROR('3. Scrap (LC)'!P67/'Input-FX Rates'!$H$16,0)</f>
        <v>0</v>
      </c>
      <c r="Q67" s="324">
        <f>IFERROR('3. Scrap (LC)'!Q67/'Input-FX Rates'!$H$16,0)</f>
        <v>0</v>
      </c>
      <c r="R67" s="323">
        <f>SUM(F67:Q67)</f>
        <v>0</v>
      </c>
      <c r="S67" s="324">
        <f>IFERROR('3. Scrap (LC)'!S67/'Input-FX Rates'!$H$16,0)</f>
        <v>0</v>
      </c>
      <c r="T67" s="323">
        <f t="shared" si="24"/>
        <v>0</v>
      </c>
      <c r="U67" s="322"/>
      <c r="V67" s="321"/>
      <c r="W67" s="320" t="str">
        <f>IF(ISBLANK('3. Scrap (LC)'!W67),"",'3. Scrap (LC)'!W67)</f>
        <v/>
      </c>
      <c r="Y67" s="267"/>
    </row>
    <row r="68" spans="1:25" ht="15.6" customHeight="1" outlineLevel="1">
      <c r="A68" s="319" t="s">
        <v>412</v>
      </c>
      <c r="B68" s="318" t="str">
        <f>+'3. Scrap (LC)'!B68</f>
        <v>All Other</v>
      </c>
      <c r="C68" s="272">
        <f t="shared" ref="C68" si="37">IFERROR(C65/C67,0)</f>
        <v>0</v>
      </c>
      <c r="D68" s="270">
        <f t="shared" ref="D68:R68" si="38">IFERROR(D65/D67,0)</f>
        <v>0</v>
      </c>
      <c r="E68" s="273">
        <f t="shared" si="38"/>
        <v>0</v>
      </c>
      <c r="F68" s="270">
        <f t="shared" si="38"/>
        <v>0</v>
      </c>
      <c r="G68" s="270">
        <f t="shared" si="38"/>
        <v>0</v>
      </c>
      <c r="H68" s="270">
        <f t="shared" si="38"/>
        <v>0</v>
      </c>
      <c r="I68" s="270">
        <f t="shared" si="38"/>
        <v>0</v>
      </c>
      <c r="J68" s="270">
        <f t="shared" si="38"/>
        <v>0</v>
      </c>
      <c r="K68" s="270">
        <f t="shared" si="38"/>
        <v>0</v>
      </c>
      <c r="L68" s="270">
        <f t="shared" si="38"/>
        <v>0</v>
      </c>
      <c r="M68" s="270">
        <f t="shared" si="38"/>
        <v>0</v>
      </c>
      <c r="N68" s="270">
        <f t="shared" si="38"/>
        <v>0</v>
      </c>
      <c r="O68" s="270">
        <f t="shared" si="38"/>
        <v>0</v>
      </c>
      <c r="P68" s="270">
        <f t="shared" si="38"/>
        <v>0</v>
      </c>
      <c r="Q68" s="273">
        <f t="shared" si="38"/>
        <v>0</v>
      </c>
      <c r="R68" s="270">
        <f t="shared" si="38"/>
        <v>0</v>
      </c>
      <c r="S68" s="273">
        <f>+'3. Scrap (LC)'!S68</f>
        <v>0</v>
      </c>
      <c r="T68" s="270">
        <f t="shared" si="24"/>
        <v>0</v>
      </c>
      <c r="U68" s="270"/>
      <c r="V68" s="271"/>
      <c r="W68" s="317" t="str">
        <f>IF(ISBLANK('3. Scrap (LC)'!W68),"",'3. Scrap (LC)'!W68)</f>
        <v/>
      </c>
      <c r="Y68" s="267"/>
    </row>
    <row r="69" spans="1:25" ht="15.6" customHeight="1" outlineLevel="1">
      <c r="A69" s="319" t="s">
        <v>413</v>
      </c>
      <c r="B69" s="318" t="str">
        <f>+'3. Scrap (LC)'!B69</f>
        <v>All Other</v>
      </c>
      <c r="C69" s="272">
        <f t="shared" ref="C69" si="39">IFERROR((C65+C66)/C67,0)</f>
        <v>0</v>
      </c>
      <c r="D69" s="270">
        <f t="shared" ref="D69:R69" si="40">IFERROR((D65+D66)/D67,0)</f>
        <v>0</v>
      </c>
      <c r="E69" s="273">
        <f t="shared" si="40"/>
        <v>0</v>
      </c>
      <c r="F69" s="270">
        <f t="shared" si="40"/>
        <v>0</v>
      </c>
      <c r="G69" s="270">
        <f t="shared" si="40"/>
        <v>0</v>
      </c>
      <c r="H69" s="270">
        <f t="shared" si="40"/>
        <v>0</v>
      </c>
      <c r="I69" s="270">
        <f t="shared" si="40"/>
        <v>0</v>
      </c>
      <c r="J69" s="270">
        <f t="shared" si="40"/>
        <v>0</v>
      </c>
      <c r="K69" s="270">
        <f t="shared" si="40"/>
        <v>0</v>
      </c>
      <c r="L69" s="270">
        <f t="shared" si="40"/>
        <v>0</v>
      </c>
      <c r="M69" s="270">
        <f t="shared" si="40"/>
        <v>0</v>
      </c>
      <c r="N69" s="270">
        <f t="shared" si="40"/>
        <v>0</v>
      </c>
      <c r="O69" s="270">
        <f t="shared" si="40"/>
        <v>0</v>
      </c>
      <c r="P69" s="270">
        <f t="shared" si="40"/>
        <v>0</v>
      </c>
      <c r="Q69" s="273">
        <f t="shared" si="40"/>
        <v>0</v>
      </c>
      <c r="R69" s="270">
        <f t="shared" si="40"/>
        <v>0</v>
      </c>
      <c r="S69" s="273">
        <f>+'3. Scrap (LC)'!S69</f>
        <v>0</v>
      </c>
      <c r="T69" s="270">
        <f t="shared" si="24"/>
        <v>0</v>
      </c>
      <c r="U69" s="270"/>
      <c r="V69" s="271"/>
      <c r="W69" s="317" t="str">
        <f>IF(ISBLANK('3. Scrap (LC)'!W69),"",'3. Scrap (LC)'!W69)</f>
        <v/>
      </c>
      <c r="Y69" s="267"/>
    </row>
    <row r="70" spans="1:25" ht="15.6" customHeight="1">
      <c r="A70" s="214" t="s">
        <v>414</v>
      </c>
      <c r="B70" s="215"/>
      <c r="C70" s="266">
        <f>IFERROR('3. Scrap (LC)'!C70/'Input-FX Rates'!$E$16,0)</f>
        <v>0</v>
      </c>
      <c r="D70" s="78">
        <f>IFERROR('3. Scrap (LC)'!D70/'Input-FX Rates'!$G$16,0)</f>
        <v>0</v>
      </c>
      <c r="E70" s="80">
        <f>IFERROR('3. Scrap (LC)'!E70/'Input-FX Rates'!$G$16,0)</f>
        <v>0</v>
      </c>
      <c r="F70" s="78">
        <f>IFERROR('3. Scrap (LC)'!F70/'Input-FX Rates'!$H$16,0)</f>
        <v>0</v>
      </c>
      <c r="G70" s="78">
        <f>IFERROR('3. Scrap (LC)'!G70/'Input-FX Rates'!$H$16,0)</f>
        <v>0</v>
      </c>
      <c r="H70" s="78">
        <f>IFERROR('3. Scrap (LC)'!H70/'Input-FX Rates'!$H$16,0)</f>
        <v>0</v>
      </c>
      <c r="I70" s="78">
        <f>IFERROR('3. Scrap (LC)'!I70/'Input-FX Rates'!$H$16,0)</f>
        <v>0</v>
      </c>
      <c r="J70" s="78">
        <f>IFERROR('3. Scrap (LC)'!J70/'Input-FX Rates'!$H$16,0)</f>
        <v>0</v>
      </c>
      <c r="K70" s="78">
        <f>IFERROR('3. Scrap (LC)'!K70/'Input-FX Rates'!$H$16,0)</f>
        <v>0</v>
      </c>
      <c r="L70" s="78">
        <f>IFERROR('3. Scrap (LC)'!L70/'Input-FX Rates'!$H$16,0)</f>
        <v>0</v>
      </c>
      <c r="M70" s="78">
        <f>IFERROR('3. Scrap (LC)'!M70/'Input-FX Rates'!$H$16,0)</f>
        <v>0</v>
      </c>
      <c r="N70" s="78">
        <f>IFERROR('3. Scrap (LC)'!N70/'Input-FX Rates'!$H$16,0)</f>
        <v>0</v>
      </c>
      <c r="O70" s="78">
        <f>IFERROR('3. Scrap (LC)'!O70/'Input-FX Rates'!$H$16,0)</f>
        <v>0</v>
      </c>
      <c r="P70" s="78">
        <f>IFERROR('3. Scrap (LC)'!P70/'Input-FX Rates'!$H$16,0)</f>
        <v>0</v>
      </c>
      <c r="Q70" s="80">
        <f>IFERROR('3. Scrap (LC)'!Q70/'Input-FX Rates'!$H$16,0)</f>
        <v>0</v>
      </c>
      <c r="R70" s="78">
        <f>IFERROR('3. Scrap (LC)'!R70/'Input-FX Rates'!$H$16,0)</f>
        <v>0</v>
      </c>
      <c r="S70" s="80">
        <f>IFERROR('3. Scrap (LC)'!S70/'Input-FX Rates'!$H$16,0)</f>
        <v>0</v>
      </c>
      <c r="T70" s="78">
        <f t="shared" ref="T70" si="41">+T51+T56+T61+T66</f>
        <v>0</v>
      </c>
      <c r="U70" s="259"/>
      <c r="V70" s="316"/>
      <c r="W70" s="214" t="str">
        <f>IF(ISBLANK('3. Scrap (LC)'!W70),"",'3. Scrap (LC)'!W70)</f>
        <v/>
      </c>
      <c r="X70" s="250"/>
      <c r="Y70" s="220"/>
    </row>
    <row r="71" spans="1:25" ht="15.6" customHeight="1">
      <c r="A71" s="214" t="s">
        <v>392</v>
      </c>
      <c r="B71" s="215"/>
      <c r="C71" s="266">
        <f>IFERROR('3. Scrap (LC)'!C71/'Input-FX Rates'!$E$16,0)</f>
        <v>0</v>
      </c>
      <c r="D71" s="78">
        <f>IFERROR('3. Scrap (LC)'!D71/'Input-FX Rates'!$G$16,0)</f>
        <v>0</v>
      </c>
      <c r="E71" s="80">
        <f>IFERROR('3. Scrap (LC)'!E71/'Input-FX Rates'!$G$16,0)</f>
        <v>0</v>
      </c>
      <c r="F71" s="78">
        <f>IFERROR('3. Scrap (LC)'!F71/'Input-FX Rates'!$H$16,0)</f>
        <v>0</v>
      </c>
      <c r="G71" s="78">
        <f>IFERROR('3. Scrap (LC)'!G71/'Input-FX Rates'!$H$16,0)</f>
        <v>0</v>
      </c>
      <c r="H71" s="78">
        <f>IFERROR('3. Scrap (LC)'!H71/'Input-FX Rates'!$H$16,0)</f>
        <v>0</v>
      </c>
      <c r="I71" s="78">
        <f>IFERROR('3. Scrap (LC)'!I71/'Input-FX Rates'!$H$16,0)</f>
        <v>0</v>
      </c>
      <c r="J71" s="78">
        <f>IFERROR('3. Scrap (LC)'!J71/'Input-FX Rates'!$H$16,0)</f>
        <v>0</v>
      </c>
      <c r="K71" s="78">
        <f>IFERROR('3. Scrap (LC)'!K71/'Input-FX Rates'!$H$16,0)</f>
        <v>0</v>
      </c>
      <c r="L71" s="78">
        <f>IFERROR('3. Scrap (LC)'!L71/'Input-FX Rates'!$H$16,0)</f>
        <v>0</v>
      </c>
      <c r="M71" s="78">
        <f>IFERROR('3. Scrap (LC)'!M71/'Input-FX Rates'!$H$16,0)</f>
        <v>0</v>
      </c>
      <c r="N71" s="78">
        <f>IFERROR('3. Scrap (LC)'!N71/'Input-FX Rates'!$H$16,0)</f>
        <v>0</v>
      </c>
      <c r="O71" s="78">
        <f>IFERROR('3. Scrap (LC)'!O71/'Input-FX Rates'!$H$16,0)</f>
        <v>0</v>
      </c>
      <c r="P71" s="78">
        <f>IFERROR('3. Scrap (LC)'!P71/'Input-FX Rates'!$H$16,0)</f>
        <v>0</v>
      </c>
      <c r="Q71" s="80">
        <f>IFERROR('3. Scrap (LC)'!Q71/'Input-FX Rates'!$H$16,0)</f>
        <v>0</v>
      </c>
      <c r="R71" s="78">
        <f>IFERROR('3. Scrap (LC)'!R71/'Input-FX Rates'!$H$16,0)</f>
        <v>0</v>
      </c>
      <c r="S71" s="80">
        <f>IFERROR('3. Scrap (LC)'!S71/'Input-FX Rates'!$H$16,0)</f>
        <v>0</v>
      </c>
      <c r="T71" s="78">
        <f t="shared" ref="T71" si="42">+T52+T57+T62+T67</f>
        <v>0</v>
      </c>
      <c r="U71" s="259"/>
      <c r="V71" s="316"/>
      <c r="W71" s="214" t="str">
        <f>IF(ISBLANK('3. Scrap (LC)'!W71),"",'3. Scrap (LC)'!W71)</f>
        <v/>
      </c>
      <c r="X71" s="250"/>
      <c r="Y71" s="220"/>
    </row>
    <row r="72" spans="1:25" ht="15.6" customHeight="1">
      <c r="A72" s="214" t="s">
        <v>415</v>
      </c>
      <c r="B72" s="215"/>
      <c r="C72" s="263">
        <f>+IFERROR(C70/C71,0)</f>
        <v>0</v>
      </c>
      <c r="D72" s="262">
        <f t="shared" ref="D72:S72" si="43">+IFERROR(D70/D71,0)</f>
        <v>0</v>
      </c>
      <c r="E72" s="264">
        <f t="shared" si="43"/>
        <v>0</v>
      </c>
      <c r="F72" s="262">
        <f t="shared" si="43"/>
        <v>0</v>
      </c>
      <c r="G72" s="262">
        <f t="shared" si="43"/>
        <v>0</v>
      </c>
      <c r="H72" s="262">
        <f t="shared" si="43"/>
        <v>0</v>
      </c>
      <c r="I72" s="262">
        <f t="shared" si="43"/>
        <v>0</v>
      </c>
      <c r="J72" s="262">
        <f t="shared" si="43"/>
        <v>0</v>
      </c>
      <c r="K72" s="262">
        <f t="shared" si="43"/>
        <v>0</v>
      </c>
      <c r="L72" s="262">
        <f t="shared" si="43"/>
        <v>0</v>
      </c>
      <c r="M72" s="262">
        <f t="shared" si="43"/>
        <v>0</v>
      </c>
      <c r="N72" s="262">
        <f t="shared" si="43"/>
        <v>0</v>
      </c>
      <c r="O72" s="262">
        <f t="shared" si="43"/>
        <v>0</v>
      </c>
      <c r="P72" s="262">
        <f t="shared" si="43"/>
        <v>0</v>
      </c>
      <c r="Q72" s="264">
        <f t="shared" si="43"/>
        <v>0</v>
      </c>
      <c r="R72" s="262">
        <f t="shared" si="43"/>
        <v>0</v>
      </c>
      <c r="S72" s="264">
        <f t="shared" si="43"/>
        <v>0</v>
      </c>
      <c r="T72" s="262">
        <f>+R72-E72</f>
        <v>0</v>
      </c>
      <c r="U72" s="259"/>
      <c r="V72" s="316"/>
      <c r="W72" s="214" t="str">
        <f>IF(ISBLANK('3. Scrap (LC)'!W72),"",'3. Scrap (LC)'!W72)</f>
        <v/>
      </c>
      <c r="X72" s="250"/>
      <c r="Y72" s="220"/>
    </row>
    <row r="73" spans="1:25" ht="15.6" customHeight="1">
      <c r="A73" s="315"/>
      <c r="B73" s="314"/>
      <c r="C73" s="255"/>
      <c r="D73" s="222"/>
      <c r="E73" s="256"/>
      <c r="F73" s="222"/>
      <c r="G73" s="222"/>
      <c r="H73" s="222"/>
      <c r="I73" s="222"/>
      <c r="J73" s="222"/>
      <c r="K73" s="222"/>
      <c r="L73" s="222"/>
      <c r="M73" s="222"/>
      <c r="N73" s="222"/>
      <c r="O73" s="222"/>
      <c r="P73" s="222"/>
      <c r="Q73" s="256"/>
      <c r="R73" s="222"/>
      <c r="S73" s="256"/>
      <c r="T73" s="222"/>
      <c r="U73" s="222"/>
      <c r="V73" s="254"/>
      <c r="W73" s="251" t="str">
        <f>IF(ISBLANK('3. Scrap (LC)'!W73),"",'3. Scrap (LC)'!W73)</f>
        <v/>
      </c>
      <c r="X73" s="250"/>
      <c r="Y73" s="220"/>
    </row>
    <row r="74" spans="1:25" ht="15.6" customHeight="1">
      <c r="A74" s="315"/>
      <c r="B74" s="314"/>
      <c r="C74" s="255"/>
      <c r="D74" s="222"/>
      <c r="E74" s="256"/>
      <c r="F74" s="222"/>
      <c r="G74" s="222"/>
      <c r="H74" s="222"/>
      <c r="I74" s="222"/>
      <c r="J74" s="222"/>
      <c r="K74" s="222"/>
      <c r="L74" s="222"/>
      <c r="M74" s="222"/>
      <c r="N74" s="222"/>
      <c r="O74" s="222"/>
      <c r="P74" s="222"/>
      <c r="Q74" s="256"/>
      <c r="R74" s="222"/>
      <c r="S74" s="256"/>
      <c r="T74" s="291"/>
      <c r="U74" s="222"/>
      <c r="V74" s="254"/>
      <c r="W74" s="313" t="str">
        <f>IF(ISBLANK('3. Scrap (LC)'!W74),"",'3. Scrap (LC)'!W74)</f>
        <v/>
      </c>
      <c r="Y74" s="242"/>
    </row>
    <row r="75" spans="1:25" s="226" customFormat="1" ht="18" customHeight="1">
      <c r="A75" s="312" t="s">
        <v>391</v>
      </c>
      <c r="B75" s="310"/>
      <c r="C75" s="238">
        <f>IFERROR('3. Scrap (LC)'!C75/'Input-FX Rates'!$E$16,0)</f>
        <v>-27.879984647637279</v>
      </c>
      <c r="D75" s="237">
        <f t="shared" ref="D75:T75" si="44">D7+D10+D13+D16+D19+D22+D50+D55+D60+D65+D45+D46+D47+D25+D28+D31+D34+D37</f>
        <v>-120.11981447568249</v>
      </c>
      <c r="E75" s="239">
        <f t="shared" si="44"/>
        <v>-120.11981447568249</v>
      </c>
      <c r="F75" s="237">
        <f>IFERROR('3. Scrap (LC)'!F75/'Input-FX Rates'!$H$16,0)</f>
        <v>-9.1366979310344831</v>
      </c>
      <c r="G75" s="237">
        <f>IFERROR('3. Scrap (LC)'!G75/'Input-FX Rates'!$H$16,0)</f>
        <v>-8.5627565517241369</v>
      </c>
      <c r="H75" s="237">
        <f>IFERROR('3. Scrap (LC)'!H75/'Input-FX Rates'!$H$16,0)</f>
        <v>-9.8541241379310343</v>
      </c>
      <c r="I75" s="237">
        <f>IFERROR('3. Scrap (LC)'!I75/'Input-FX Rates'!$H$16,0)</f>
        <v>-9.6076875862068967</v>
      </c>
      <c r="J75" s="237">
        <f>IFERROR('3. Scrap (LC)'!J75/'Input-FX Rates'!$H$16,0)</f>
        <v>-8.6970889655172421</v>
      </c>
      <c r="K75" s="237">
        <f>IFERROR('3. Scrap (LC)'!K75/'Input-FX Rates'!$H$16,0)</f>
        <v>-8.6970889655172421</v>
      </c>
      <c r="L75" s="237">
        <f>IFERROR('3. Scrap (LC)'!L75/'Input-FX Rates'!$H$16,0)</f>
        <v>-8.6970889655172421</v>
      </c>
      <c r="M75" s="237">
        <f>IFERROR('3. Scrap (LC)'!M75/'Input-FX Rates'!$H$16,0)</f>
        <v>-7.9796627586206901</v>
      </c>
      <c r="N75" s="237">
        <f>IFERROR('3. Scrap (LC)'!N75/'Input-FX Rates'!$H$16,0)</f>
        <v>-8.0080820689655159</v>
      </c>
      <c r="O75" s="237">
        <f>IFERROR('3. Scrap (LC)'!O75/'Input-FX Rates'!$H$16,0)</f>
        <v>-8.2545179310344832</v>
      </c>
      <c r="P75" s="237">
        <f>IFERROR('3. Scrap (LC)'!P75/'Input-FX Rates'!$H$16,0)</f>
        <v>-8.5414882758620685</v>
      </c>
      <c r="Q75" s="239">
        <f>IFERROR('3. Scrap (LC)'!Q75/'Input-FX Rates'!$H$16,0)</f>
        <v>-8.5414868965517243</v>
      </c>
      <c r="R75" s="237">
        <f>IFERROR('3. Scrap (LC)'!R75/'Input-FX Rates'!$H$16,0)</f>
        <v>-104.57777103448278</v>
      </c>
      <c r="S75" s="239">
        <f>IFERROR('3. Scrap (LC)'!S75/'Input-FX Rates'!$H$16,0)</f>
        <v>-90.100739376000007</v>
      </c>
      <c r="T75" s="237">
        <f t="shared" si="44"/>
        <v>15.542043441199716</v>
      </c>
      <c r="U75" s="228"/>
      <c r="V75" s="236"/>
      <c r="W75" s="240" t="str">
        <f>IF(ISBLANK('3. Scrap (LC)'!W75),"",'3. Scrap (LC)'!W75)</f>
        <v/>
      </c>
      <c r="Y75" s="225"/>
    </row>
    <row r="76" spans="1:25" s="226" customFormat="1" ht="18" customHeight="1">
      <c r="A76" s="311" t="s">
        <v>392</v>
      </c>
      <c r="B76" s="310"/>
      <c r="C76" s="238">
        <f>IFERROR('3. Scrap (LC)'!C76/'Input-FX Rates'!$E$16,0)</f>
        <v>55718.001789595619</v>
      </c>
      <c r="D76" s="237">
        <f>D8+D11+D14+D17+D20+D23+D52+D57+D62+D67+D26+D29+D32+D35+D38</f>
        <v>100126.74994033898</v>
      </c>
      <c r="E76" s="239">
        <f t="shared" ref="E76" si="45">E8+E11+E14+E17+E20+E23+E52+E57+E62+E67+E26+E29+E32+E35+E38</f>
        <v>100126.74994033898</v>
      </c>
      <c r="F76" s="237">
        <f>IFERROR('3. Scrap (LC)'!F76/'Input-FX Rates'!$H$16,0)</f>
        <v>7674.4146827586201</v>
      </c>
      <c r="G76" s="237">
        <f>IFERROR('3. Scrap (LC)'!G76/'Input-FX Rates'!$H$16,0)</f>
        <v>7196.1305448275853</v>
      </c>
      <c r="H76" s="237">
        <f>IFERROR('3. Scrap (LC)'!H76/'Input-FX Rates'!$H$16,0)</f>
        <v>8272.2698551724134</v>
      </c>
      <c r="I76" s="237">
        <f>IFERROR('3. Scrap (LC)'!I76/'Input-FX Rates'!$H$16,0)</f>
        <v>8066.9064365517243</v>
      </c>
      <c r="J76" s="237">
        <f>IFERROR('3. Scrap (LC)'!J76/'Input-FX Rates'!$H$16,0)</f>
        <v>7308.073884827586</v>
      </c>
      <c r="K76" s="237">
        <f>IFERROR('3. Scrap (LC)'!K76/'Input-FX Rates'!$H$16,0)</f>
        <v>7308.073884827586</v>
      </c>
      <c r="L76" s="237">
        <f>IFERROR('3. Scrap (LC)'!L76/'Input-FX Rates'!$H$16,0)</f>
        <v>7308.073884827586</v>
      </c>
      <c r="M76" s="237">
        <f>IFERROR('3. Scrap (LC)'!M76/'Input-FX Rates'!$H$16,0)</f>
        <v>6710.218713103448</v>
      </c>
      <c r="N76" s="237">
        <f>IFERROR('3. Scrap (LC)'!N76/'Input-FX Rates'!$H$16,0)</f>
        <v>6733.9015779310348</v>
      </c>
      <c r="O76" s="237">
        <f>IFERROR('3. Scrap (LC)'!O76/'Input-FX Rates'!$H$16,0)</f>
        <v>6939.2649951724143</v>
      </c>
      <c r="P76" s="237">
        <f>IFERROR('3. Scrap (LC)'!P76/'Input-FX Rates'!$H$16,0)</f>
        <v>7178.4070641379312</v>
      </c>
      <c r="Q76" s="239">
        <f>IFERROR('3. Scrap (LC)'!Q76/'Input-FX Rates'!$H$16,0)</f>
        <v>7178.4070662068962</v>
      </c>
      <c r="R76" s="237">
        <f>IFERROR('3. Scrap (LC)'!R76/'Input-FX Rates'!$H$16,0)</f>
        <v>87874.142590344811</v>
      </c>
      <c r="S76" s="239">
        <f>IFERROR('3. Scrap (LC)'!S76/'Input-FX Rates'!$H$16,0)</f>
        <v>75083.949479999996</v>
      </c>
      <c r="T76" s="237">
        <f>T8+T11+T14+T17+T20+T23+T52+T57+T62+T67+T26+T29+T32+T35+T38</f>
        <v>-12252.607349994161</v>
      </c>
      <c r="U76" s="228"/>
      <c r="V76" s="230"/>
      <c r="W76" s="227" t="str">
        <f>IF(ISBLANK('3. Scrap (LC)'!W76),"",'3. Scrap (LC)'!W76)</f>
        <v/>
      </c>
      <c r="Y76" s="225"/>
    </row>
    <row r="77" spans="1:25" s="226" customFormat="1" ht="18" customHeight="1">
      <c r="A77" s="311" t="s">
        <v>393</v>
      </c>
      <c r="B77" s="310"/>
      <c r="C77" s="231">
        <f t="shared" ref="C77" si="46">IFERROR(C75/C76,0)</f>
        <v>-5.0037660634203482E-4</v>
      </c>
      <c r="D77" s="228">
        <f t="shared" ref="D77:S77" si="47">IFERROR(D75/D76,0)</f>
        <v>-1.1996775541726508E-3</v>
      </c>
      <c r="E77" s="232">
        <f t="shared" si="47"/>
        <v>-1.1996775541726508E-3</v>
      </c>
      <c r="F77" s="228">
        <f t="shared" si="47"/>
        <v>-1.190540035784232E-3</v>
      </c>
      <c r="G77" s="228">
        <f t="shared" si="47"/>
        <v>-1.1899112305402591E-3</v>
      </c>
      <c r="H77" s="228">
        <f t="shared" si="47"/>
        <v>-1.1912237282454626E-3</v>
      </c>
      <c r="I77" s="228">
        <f t="shared" si="47"/>
        <v>-1.1910002504397204E-3</v>
      </c>
      <c r="J77" s="228">
        <f t="shared" si="47"/>
        <v>-1.1900658234413055E-3</v>
      </c>
      <c r="K77" s="228">
        <f t="shared" si="47"/>
        <v>-1.1900658234413055E-3</v>
      </c>
      <c r="L77" s="228">
        <f t="shared" si="47"/>
        <v>-1.1900658234413055E-3</v>
      </c>
      <c r="M77" s="228">
        <f t="shared" si="47"/>
        <v>-1.1891807256652191E-3</v>
      </c>
      <c r="N77" s="228">
        <f t="shared" si="47"/>
        <v>-1.1892187576976686E-3</v>
      </c>
      <c r="O77" s="228">
        <f t="shared" si="47"/>
        <v>-1.189537787759522E-3</v>
      </c>
      <c r="P77" s="228">
        <f t="shared" si="47"/>
        <v>-1.1898863075812255E-3</v>
      </c>
      <c r="Q77" s="232">
        <f t="shared" si="47"/>
        <v>-1.1898861150911417E-3</v>
      </c>
      <c r="R77" s="228">
        <f t="shared" si="47"/>
        <v>-1.1900858199209705E-3</v>
      </c>
      <c r="S77" s="232">
        <f t="shared" si="47"/>
        <v>-1.2000000000000001E-3</v>
      </c>
      <c r="T77" s="228">
        <f>+R77-E77</f>
        <v>9.5917342516802732E-6</v>
      </c>
      <c r="U77" s="228"/>
      <c r="V77" s="230"/>
      <c r="W77" s="227" t="str">
        <f>IF(ISBLANK('3. Scrap (LC)'!W77),"",'3. Scrap (LC)'!W77)</f>
        <v/>
      </c>
      <c r="Y77" s="225"/>
    </row>
    <row r="78" spans="1:25" ht="15.6" customHeight="1">
      <c r="B78" s="309"/>
      <c r="C78" s="309"/>
      <c r="D78" s="224"/>
      <c r="E78" s="308"/>
      <c r="F78" s="224"/>
      <c r="G78" s="224"/>
      <c r="H78" s="224"/>
      <c r="I78" s="224"/>
      <c r="J78" s="224"/>
      <c r="K78" s="224"/>
      <c r="L78" s="224"/>
      <c r="M78" s="224"/>
      <c r="N78" s="224"/>
      <c r="O78" s="224"/>
      <c r="P78" s="224"/>
      <c r="Q78" s="308"/>
      <c r="R78" s="308"/>
      <c r="S78" s="308"/>
      <c r="T78" s="223"/>
      <c r="U78" s="222"/>
      <c r="V78" s="222"/>
      <c r="Y78" s="220"/>
    </row>
  </sheetData>
  <mergeCells count="6">
    <mergeCell ref="T4:V4"/>
    <mergeCell ref="A4:B4"/>
    <mergeCell ref="A5:B5"/>
    <mergeCell ref="F4:Q4"/>
    <mergeCell ref="R4:S4"/>
    <mergeCell ref="C4:E4"/>
  </mergeCells>
  <phoneticPr fontId="65" type="noConversion"/>
  <hyperlinks>
    <hyperlink ref="D1" location="Content!A1" display="Budget 2021" xr:uid="{1AF83EDB-2606-46F7-A456-72E762442A72}"/>
  </hyperlinks>
  <pageMargins left="0.70866141732283472" right="0.70866141732283472" top="0.74803149606299213" bottom="0.74803149606299213" header="0.31496062992125984" footer="0.31496062992125984"/>
  <pageSetup paperSize="9" scale="46" orientation="landscape" r:id="rId1"/>
  <customProperties>
    <customPr name="_pios_id" r:id="rId2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ACB8F-9808-437F-9E4C-EA0B7F77F847}">
  <sheetPr>
    <tabColor rgb="FFFFFFCC"/>
    <pageSetUpPr fitToPage="1"/>
  </sheetPr>
  <dimension ref="A1:V46"/>
  <sheetViews>
    <sheetView showGridLines="0" zoomScale="70" zoomScaleNormal="70" workbookViewId="0">
      <pane xSplit="1" ySplit="6" topLeftCell="M24" activePane="bottomRight" state="frozen"/>
      <selection pane="topRight" activeCell="A30" sqref="A30:G30"/>
      <selection pane="bottomLeft" activeCell="A30" sqref="A30:G30"/>
      <selection pane="bottomRight" activeCell="S62" sqref="S62"/>
    </sheetView>
  </sheetViews>
  <sheetFormatPr defaultColWidth="8.7109375" defaultRowHeight="12.75" customHeight="1" outlineLevelRow="1" outlineLevelCol="1"/>
  <cols>
    <col min="1" max="1" width="52.28515625" style="221" customWidth="1"/>
    <col min="2" max="2" width="19.7109375" style="221" customWidth="1"/>
    <col min="3" max="3" width="17.28515625" style="221" customWidth="1"/>
    <col min="4" max="15" width="15.7109375" style="221" customWidth="1" outlineLevel="1"/>
    <col min="16" max="16" width="17.28515625" style="221" customWidth="1"/>
    <col min="17" max="17" width="12.28515625" style="221" bestFit="1" customWidth="1"/>
    <col min="18" max="18" width="17" style="221" customWidth="1"/>
    <col min="19" max="19" width="19.28515625" style="221" customWidth="1"/>
    <col min="20" max="20" width="88.28515625" style="221" customWidth="1"/>
    <col min="21" max="21" width="8.7109375" style="221"/>
    <col min="22" max="22" width="146.28515625" style="221" customWidth="1"/>
    <col min="23" max="16384" width="8.7109375" style="221"/>
  </cols>
  <sheetData>
    <row r="1" spans="1:22" ht="20.100000000000001" customHeight="1">
      <c r="A1" s="60" t="str">
        <f>+'0. Instructions'!A1</f>
        <v>Budget 2024</v>
      </c>
      <c r="B1" s="60"/>
      <c r="C1" s="219"/>
      <c r="D1" s="219"/>
      <c r="E1" s="219"/>
      <c r="F1" s="219"/>
      <c r="G1" s="58"/>
      <c r="H1" s="60"/>
      <c r="I1" s="60"/>
      <c r="J1" s="60"/>
      <c r="K1" s="219"/>
      <c r="L1" s="219"/>
      <c r="M1" s="219"/>
      <c r="N1" s="58"/>
      <c r="O1" s="219"/>
      <c r="P1" s="60"/>
      <c r="Q1" s="60"/>
      <c r="R1" s="219"/>
      <c r="S1" s="219"/>
      <c r="T1" s="57" t="str">
        <f>'Input-FX Rates'!$H$1</f>
        <v>Plant ICH Icheon (242)</v>
      </c>
      <c r="U1" s="367"/>
      <c r="V1" s="56" t="s">
        <v>154</v>
      </c>
    </row>
    <row r="2" spans="1:22" ht="20.100000000000001" customHeight="1" thickBot="1">
      <c r="A2" s="55" t="s">
        <v>428</v>
      </c>
      <c r="B2" s="55"/>
      <c r="C2" s="218"/>
      <c r="D2" s="218"/>
      <c r="E2" s="218"/>
      <c r="F2" s="218"/>
      <c r="G2" s="54"/>
      <c r="H2" s="55"/>
      <c r="I2" s="218"/>
      <c r="J2" s="218"/>
      <c r="K2" s="218"/>
      <c r="L2" s="218"/>
      <c r="M2" s="218"/>
      <c r="N2" s="54"/>
      <c r="O2" s="55"/>
      <c r="P2" s="218"/>
      <c r="Q2" s="218"/>
      <c r="R2" s="218"/>
      <c r="S2" s="218"/>
      <c r="T2" s="54" t="str">
        <f>'Input-FX Rates'!$H$2</f>
        <v>7821 PL Drivetrain Controls (&amp; Electrification)</v>
      </c>
      <c r="V2" s="95" t="s">
        <v>156</v>
      </c>
    </row>
    <row r="4" spans="1:22" ht="27.6" customHeight="1">
      <c r="A4" s="188" t="str">
        <f>"Fix Cost"&amp;" in '000 "&amp;'Input-FX Rates'!$B$8</f>
        <v>Fix Cost in '000 KRW</v>
      </c>
      <c r="B4" s="1037">
        <v>2023</v>
      </c>
      <c r="C4" s="1038"/>
      <c r="D4" s="1035">
        <v>2024</v>
      </c>
      <c r="E4" s="1035"/>
      <c r="F4" s="1035"/>
      <c r="G4" s="1035"/>
      <c r="H4" s="1035"/>
      <c r="I4" s="1035"/>
      <c r="J4" s="1035"/>
      <c r="K4" s="1035"/>
      <c r="L4" s="1035"/>
      <c r="M4" s="1035"/>
      <c r="N4" s="1035"/>
      <c r="O4" s="1038"/>
      <c r="P4" s="1037">
        <v>2024</v>
      </c>
      <c r="Q4" s="1038"/>
      <c r="R4" s="187" t="s">
        <v>190</v>
      </c>
      <c r="S4" s="188" t="s">
        <v>429</v>
      </c>
      <c r="T4" s="659" t="s">
        <v>208</v>
      </c>
      <c r="V4" s="221" t="s">
        <v>430</v>
      </c>
    </row>
    <row r="5" spans="1:22" ht="15.6" customHeight="1">
      <c r="A5" s="188"/>
      <c r="B5" s="659" t="s">
        <v>248</v>
      </c>
      <c r="C5" s="188" t="s">
        <v>19</v>
      </c>
      <c r="D5" s="187" t="s">
        <v>329</v>
      </c>
      <c r="E5" s="187" t="s">
        <v>330</v>
      </c>
      <c r="F5" s="187" t="s">
        <v>331</v>
      </c>
      <c r="G5" s="187" t="s">
        <v>332</v>
      </c>
      <c r="H5" s="187" t="s">
        <v>333</v>
      </c>
      <c r="I5" s="187" t="s">
        <v>334</v>
      </c>
      <c r="J5" s="187" t="s">
        <v>335</v>
      </c>
      <c r="K5" s="187" t="s">
        <v>336</v>
      </c>
      <c r="L5" s="187" t="s">
        <v>337</v>
      </c>
      <c r="M5" s="187" t="s">
        <v>338</v>
      </c>
      <c r="N5" s="187" t="s">
        <v>339</v>
      </c>
      <c r="O5" s="188" t="s">
        <v>340</v>
      </c>
      <c r="P5" s="659" t="s">
        <v>15</v>
      </c>
      <c r="Q5" s="188" t="s">
        <v>257</v>
      </c>
      <c r="R5" s="41" t="s">
        <v>431</v>
      </c>
      <c r="S5" s="40" t="s">
        <v>431</v>
      </c>
      <c r="T5" s="659"/>
      <c r="V5" s="221" t="s">
        <v>432</v>
      </c>
    </row>
    <row r="6" spans="1:22" ht="15.75">
      <c r="A6" s="188"/>
      <c r="B6" s="659"/>
      <c r="C6" s="188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8"/>
      <c r="P6" s="659"/>
      <c r="Q6" s="188"/>
      <c r="R6" s="41"/>
      <c r="S6" s="40" t="s">
        <v>433</v>
      </c>
      <c r="T6" s="659"/>
      <c r="V6" s="267"/>
    </row>
    <row r="7" spans="1:22" s="335" customFormat="1" ht="15.75">
      <c r="A7" s="215" t="s">
        <v>195</v>
      </c>
      <c r="B7" s="266">
        <f>'2. Variable (LC)'!B6</f>
        <v>78052717.702999994</v>
      </c>
      <c r="C7" s="80">
        <f>'2. Variable (LC)'!C6</f>
        <v>140545930.37400001</v>
      </c>
      <c r="D7" s="78">
        <f>'P&amp;L_seasonal'!D8</f>
        <v>11127901.289999999</v>
      </c>
      <c r="E7" s="78">
        <f>'P&amp;L_seasonal'!E8</f>
        <v>10434389.289999999</v>
      </c>
      <c r="F7" s="78">
        <f>'P&amp;L_seasonal'!F8</f>
        <v>11994791.289999999</v>
      </c>
      <c r="G7" s="78">
        <f>'P&amp;L_seasonal'!G8</f>
        <v>11697014.333000001</v>
      </c>
      <c r="H7" s="78">
        <f>'P&amp;L_seasonal'!H8</f>
        <v>10596707.132999999</v>
      </c>
      <c r="I7" s="78">
        <f>'P&amp;L_seasonal'!I8</f>
        <v>10596707.132999999</v>
      </c>
      <c r="J7" s="78">
        <f>'P&amp;L_seasonal'!J8</f>
        <v>10596707.132999999</v>
      </c>
      <c r="K7" s="78">
        <f>'P&amp;L_seasonal'!K8</f>
        <v>9729817.1339999996</v>
      </c>
      <c r="L7" s="78">
        <f>'P&amp;L_seasonal'!L8</f>
        <v>9764157.2880000006</v>
      </c>
      <c r="M7" s="78">
        <f>'P&amp;L_seasonal'!M8</f>
        <v>10061934.243000001</v>
      </c>
      <c r="N7" s="78">
        <f>'P&amp;L_seasonal'!N8</f>
        <v>10408690.243000001</v>
      </c>
      <c r="O7" s="78">
        <f>'P&amp;L_seasonal'!O8</f>
        <v>10408690.245999999</v>
      </c>
      <c r="P7" s="266">
        <f>'2. Variable (LC)'!M6</f>
        <v>127417506.756</v>
      </c>
      <c r="Q7" s="80">
        <f>'2. Variable (LC)'!L6</f>
        <v>0</v>
      </c>
      <c r="R7" s="78">
        <f t="shared" ref="R7:R34" si="0">P7-C7</f>
        <v>-13128423.618000016</v>
      </c>
      <c r="S7" s="264">
        <f t="shared" ref="S7:S34" si="1">IFERROR(P7/C7-1,0)</f>
        <v>-9.341020108561382E-2</v>
      </c>
      <c r="T7" s="945"/>
      <c r="V7" s="19" t="s">
        <v>434</v>
      </c>
    </row>
    <row r="8" spans="1:22" s="366" customFormat="1" ht="15" outlineLevel="1">
      <c r="A8" s="357" t="s">
        <v>435</v>
      </c>
      <c r="B8" s="370">
        <f>KeyData!F33</f>
        <v>-1931959.469</v>
      </c>
      <c r="C8" s="364">
        <f>KeyData!G33</f>
        <v>-3872603.2790000001</v>
      </c>
      <c r="D8" s="365">
        <f>KeyData_seasonal!D33</f>
        <v>-253151.49900000001</v>
      </c>
      <c r="E8" s="365">
        <f>KeyData_seasonal!E33</f>
        <v>-255376.49299999999</v>
      </c>
      <c r="F8" s="365">
        <f>KeyData_seasonal!F33</f>
        <v>-255822.16399999999</v>
      </c>
      <c r="G8" s="365">
        <f>KeyData_seasonal!G33</f>
        <v>-233170.497</v>
      </c>
      <c r="H8" s="365">
        <f>KeyData_seasonal!H33</f>
        <v>-245821.46100000001</v>
      </c>
      <c r="I8" s="365">
        <f>KeyData_seasonal!I33</f>
        <v>-253301.41099999999</v>
      </c>
      <c r="J8" s="365">
        <f>KeyData_seasonal!J33</f>
        <v>-324251.647</v>
      </c>
      <c r="K8" s="365">
        <f>KeyData_seasonal!K33</f>
        <v>-289298.18099999998</v>
      </c>
      <c r="L8" s="365">
        <f>KeyData_seasonal!L33</f>
        <v>-278807.17499999999</v>
      </c>
      <c r="M8" s="365">
        <f>KeyData_seasonal!M33</f>
        <v>-278501.18099999998</v>
      </c>
      <c r="N8" s="365">
        <f>KeyData_seasonal!N33</f>
        <v>-272726.35700000002</v>
      </c>
      <c r="O8" s="364">
        <f>KeyData_seasonal!O33</f>
        <v>-282078.25099999999</v>
      </c>
      <c r="P8" s="354">
        <f>KeyData!H33</f>
        <v>-3222306.3169999998</v>
      </c>
      <c r="Q8" s="359">
        <v>-5086861</v>
      </c>
      <c r="R8" s="356">
        <f t="shared" si="0"/>
        <v>650296.96200000029</v>
      </c>
      <c r="S8" s="363">
        <f t="shared" si="1"/>
        <v>-0.16792243231481296</v>
      </c>
      <c r="T8" s="352" t="s">
        <v>436</v>
      </c>
      <c r="U8" s="221"/>
      <c r="V8" s="267" t="s">
        <v>437</v>
      </c>
    </row>
    <row r="9" spans="1:22" s="366" customFormat="1" ht="15" outlineLevel="1">
      <c r="A9" s="357" t="s">
        <v>438</v>
      </c>
      <c r="B9" s="370">
        <f>KeyData!F34</f>
        <v>-121435.33100000001</v>
      </c>
      <c r="C9" s="364">
        <f>KeyData!G34</f>
        <v>-310920.36099999998</v>
      </c>
      <c r="D9" s="365">
        <f>KeyData_seasonal!D34</f>
        <v>-28258.053</v>
      </c>
      <c r="E9" s="365">
        <f>KeyData_seasonal!E34</f>
        <v>-29969.393</v>
      </c>
      <c r="F9" s="365">
        <f>KeyData_seasonal!F34</f>
        <v>-28699.673999999999</v>
      </c>
      <c r="G9" s="365">
        <f>KeyData_seasonal!G34</f>
        <v>-26246.813999999998</v>
      </c>
      <c r="H9" s="365">
        <f>KeyData_seasonal!H34</f>
        <v>-26725.01</v>
      </c>
      <c r="I9" s="365">
        <f>KeyData_seasonal!I34</f>
        <v>-29354.675999999999</v>
      </c>
      <c r="J9" s="365">
        <f>KeyData_seasonal!J34</f>
        <v>-35514.9</v>
      </c>
      <c r="K9" s="365">
        <f>KeyData_seasonal!K34</f>
        <v>-29917.932000000001</v>
      </c>
      <c r="L9" s="365">
        <f>KeyData_seasonal!L34</f>
        <v>-32249.134999999998</v>
      </c>
      <c r="M9" s="365">
        <f>KeyData_seasonal!M34</f>
        <v>-29435.114000000001</v>
      </c>
      <c r="N9" s="365">
        <f>KeyData_seasonal!N34</f>
        <v>-29894.879000000001</v>
      </c>
      <c r="O9" s="364">
        <f>KeyData_seasonal!O34</f>
        <v>-30517.768</v>
      </c>
      <c r="P9" s="354">
        <f>KeyData!H34</f>
        <v>-356783.348</v>
      </c>
      <c r="Q9" s="359"/>
      <c r="R9" s="356">
        <f t="shared" si="0"/>
        <v>-45862.987000000023</v>
      </c>
      <c r="S9" s="363">
        <f t="shared" si="1"/>
        <v>0.14750718432364107</v>
      </c>
      <c r="T9" s="352" t="s">
        <v>439</v>
      </c>
      <c r="U9" s="221"/>
      <c r="V9" s="267" t="s">
        <v>440</v>
      </c>
    </row>
    <row r="10" spans="1:22" s="366" customFormat="1" ht="38.25" outlineLevel="1">
      <c r="A10" s="357" t="s">
        <v>441</v>
      </c>
      <c r="B10" s="370">
        <f>KeyData!F35</f>
        <v>-341764.65399999998</v>
      </c>
      <c r="C10" s="364">
        <f>KeyData!G35</f>
        <v>-454794.04800000001</v>
      </c>
      <c r="D10" s="365">
        <f>KeyData_seasonal!D35</f>
        <v>-70673.240000000005</v>
      </c>
      <c r="E10" s="365">
        <f>KeyData_seasonal!E35</f>
        <v>-82731.05</v>
      </c>
      <c r="F10" s="365">
        <f>KeyData_seasonal!F35</f>
        <v>-61443.425999999999</v>
      </c>
      <c r="G10" s="365">
        <f>KeyData_seasonal!G35</f>
        <v>-39957.754999999997</v>
      </c>
      <c r="H10" s="365">
        <f>KeyData_seasonal!H35</f>
        <v>-48828.54</v>
      </c>
      <c r="I10" s="365">
        <f>KeyData_seasonal!I35</f>
        <v>-39848.936999999998</v>
      </c>
      <c r="J10" s="365">
        <f>KeyData_seasonal!J35</f>
        <v>-50418.95</v>
      </c>
      <c r="K10" s="365">
        <f>KeyData_seasonal!K35</f>
        <v>-38532.838000000003</v>
      </c>
      <c r="L10" s="365">
        <f>KeyData_seasonal!L35</f>
        <v>-57055.716</v>
      </c>
      <c r="M10" s="365">
        <f>KeyData_seasonal!M35</f>
        <v>-40031.266000000003</v>
      </c>
      <c r="N10" s="365">
        <f>KeyData_seasonal!N35</f>
        <v>-48109.358999999997</v>
      </c>
      <c r="O10" s="364">
        <f>KeyData_seasonal!O35</f>
        <v>-40348.781000000003</v>
      </c>
      <c r="P10" s="354">
        <f>KeyData!H35</f>
        <v>-617979.85800000001</v>
      </c>
      <c r="Q10" s="359"/>
      <c r="R10" s="356">
        <f t="shared" si="0"/>
        <v>-163185.81</v>
      </c>
      <c r="S10" s="363">
        <f t="shared" si="1"/>
        <v>0.3588125454095652</v>
      </c>
      <c r="T10" s="998" t="s">
        <v>442</v>
      </c>
      <c r="U10" s="221"/>
      <c r="V10" s="267" t="s">
        <v>443</v>
      </c>
    </row>
    <row r="11" spans="1:22" ht="15" outlineLevel="1">
      <c r="A11" s="357" t="s">
        <v>444</v>
      </c>
      <c r="B11" s="370">
        <f>KeyData!F36</f>
        <v>-2443.1999999999998</v>
      </c>
      <c r="C11" s="332">
        <f>KeyData!G36</f>
        <v>-3729.6039999999998</v>
      </c>
      <c r="D11" s="365">
        <f>KeyData_seasonal!D36</f>
        <v>0</v>
      </c>
      <c r="E11" s="365">
        <f>KeyData_seasonal!E36</f>
        <v>0</v>
      </c>
      <c r="F11" s="365">
        <f>KeyData_seasonal!F36</f>
        <v>0</v>
      </c>
      <c r="G11" s="365">
        <f>KeyData_seasonal!G36</f>
        <v>0</v>
      </c>
      <c r="H11" s="365">
        <f>KeyData_seasonal!H36</f>
        <v>-5000</v>
      </c>
      <c r="I11" s="365">
        <f>KeyData_seasonal!I36</f>
        <v>0</v>
      </c>
      <c r="J11" s="365">
        <f>KeyData_seasonal!J36</f>
        <v>0</v>
      </c>
      <c r="K11" s="365">
        <f>KeyData_seasonal!K36</f>
        <v>-13000</v>
      </c>
      <c r="L11" s="365">
        <f>KeyData_seasonal!L36</f>
        <v>0</v>
      </c>
      <c r="M11" s="365">
        <f>KeyData_seasonal!M36</f>
        <v>0</v>
      </c>
      <c r="N11" s="365">
        <f>KeyData_seasonal!N36</f>
        <v>0</v>
      </c>
      <c r="O11" s="364">
        <f>KeyData_seasonal!O36</f>
        <v>0</v>
      </c>
      <c r="P11" s="354">
        <f>KeyData!H36</f>
        <v>-18000</v>
      </c>
      <c r="Q11" s="359"/>
      <c r="R11" s="356">
        <f t="shared" si="0"/>
        <v>-14270.396000000001</v>
      </c>
      <c r="S11" s="363">
        <f t="shared" si="1"/>
        <v>3.8262496500969005</v>
      </c>
      <c r="T11" s="352"/>
      <c r="V11" s="987" t="s">
        <v>445</v>
      </c>
    </row>
    <row r="12" spans="1:22" ht="15" outlineLevel="1">
      <c r="A12" s="357" t="s">
        <v>446</v>
      </c>
      <c r="B12" s="370">
        <f>KeyData!F37</f>
        <v>-55999.345000000001</v>
      </c>
      <c r="C12" s="332">
        <f>KeyData!G37</f>
        <v>-133213.386</v>
      </c>
      <c r="D12" s="365">
        <f>KeyData_seasonal!D37</f>
        <v>-15544.484</v>
      </c>
      <c r="E12" s="365">
        <f>KeyData_seasonal!E37</f>
        <v>-15544.484</v>
      </c>
      <c r="F12" s="365">
        <f>KeyData_seasonal!F37</f>
        <v>-15544.484</v>
      </c>
      <c r="G12" s="365">
        <f>KeyData_seasonal!G37</f>
        <v>-15544.484</v>
      </c>
      <c r="H12" s="365">
        <f>KeyData_seasonal!H37</f>
        <v>-15544.484</v>
      </c>
      <c r="I12" s="365">
        <f>KeyData_seasonal!I37</f>
        <v>-15544.484</v>
      </c>
      <c r="J12" s="365">
        <f>KeyData_seasonal!J37</f>
        <v>-15544.484</v>
      </c>
      <c r="K12" s="365">
        <f>KeyData_seasonal!K37</f>
        <v>-15544.484</v>
      </c>
      <c r="L12" s="365">
        <f>KeyData_seasonal!L37</f>
        <v>-15544.484</v>
      </c>
      <c r="M12" s="365">
        <f>KeyData_seasonal!M37</f>
        <v>-15544.484</v>
      </c>
      <c r="N12" s="365">
        <f>KeyData_seasonal!N37</f>
        <v>-15544.484</v>
      </c>
      <c r="O12" s="364">
        <f>KeyData_seasonal!O37</f>
        <v>-15544.476000000001</v>
      </c>
      <c r="P12" s="354">
        <f>KeyData!H37</f>
        <v>-186533.8</v>
      </c>
      <c r="Q12" s="359">
        <v>-145000</v>
      </c>
      <c r="R12" s="356">
        <f t="shared" si="0"/>
        <v>-53320.41399999999</v>
      </c>
      <c r="S12" s="363">
        <f t="shared" si="1"/>
        <v>0.40026318376142767</v>
      </c>
      <c r="T12" s="352" t="s">
        <v>447</v>
      </c>
      <c r="V12" s="267" t="s">
        <v>448</v>
      </c>
    </row>
    <row r="13" spans="1:22" ht="15" outlineLevel="1">
      <c r="A13" s="357" t="s">
        <v>449</v>
      </c>
      <c r="B13" s="370">
        <f>KeyData!F38</f>
        <v>0</v>
      </c>
      <c r="C13" s="332">
        <f>KeyData!G38</f>
        <v>0</v>
      </c>
      <c r="D13" s="365">
        <f>KeyData_seasonal!D38</f>
        <v>0</v>
      </c>
      <c r="E13" s="365">
        <f>KeyData_seasonal!E38</f>
        <v>0</v>
      </c>
      <c r="F13" s="365">
        <f>KeyData_seasonal!F38</f>
        <v>0</v>
      </c>
      <c r="G13" s="365">
        <f>KeyData_seasonal!G38</f>
        <v>0</v>
      </c>
      <c r="H13" s="365">
        <f>KeyData_seasonal!H38</f>
        <v>0</v>
      </c>
      <c r="I13" s="365">
        <f>KeyData_seasonal!I38</f>
        <v>0</v>
      </c>
      <c r="J13" s="365">
        <f>KeyData_seasonal!J38</f>
        <v>0</v>
      </c>
      <c r="K13" s="365">
        <f>KeyData_seasonal!K38</f>
        <v>0</v>
      </c>
      <c r="L13" s="365">
        <f>KeyData_seasonal!L38</f>
        <v>0</v>
      </c>
      <c r="M13" s="365">
        <f>KeyData_seasonal!M38</f>
        <v>0</v>
      </c>
      <c r="N13" s="365">
        <f>KeyData_seasonal!N38</f>
        <v>0</v>
      </c>
      <c r="O13" s="364">
        <f>KeyData_seasonal!O38</f>
        <v>0</v>
      </c>
      <c r="P13" s="354">
        <f>KeyData!H38</f>
        <v>0</v>
      </c>
      <c r="Q13" s="359">
        <v>0</v>
      </c>
      <c r="R13" s="356">
        <f t="shared" si="0"/>
        <v>0</v>
      </c>
      <c r="S13" s="363">
        <f t="shared" si="1"/>
        <v>0</v>
      </c>
      <c r="T13" s="352" t="s">
        <v>450</v>
      </c>
      <c r="V13" s="267" t="s">
        <v>451</v>
      </c>
    </row>
    <row r="14" spans="1:22" ht="15" outlineLevel="1">
      <c r="A14" s="357" t="s">
        <v>452</v>
      </c>
      <c r="B14" s="370">
        <f>KeyData!F39</f>
        <v>-187469.29500000001</v>
      </c>
      <c r="C14" s="332">
        <f>KeyData!G39</f>
        <v>-412366.842</v>
      </c>
      <c r="D14" s="365">
        <f>KeyData_seasonal!D39</f>
        <v>-29194.240000000002</v>
      </c>
      <c r="E14" s="365">
        <f>KeyData_seasonal!E39</f>
        <v>-29789.37</v>
      </c>
      <c r="F14" s="365">
        <f>KeyData_seasonal!F39</f>
        <v>-30822.288</v>
      </c>
      <c r="G14" s="365">
        <f>KeyData_seasonal!G39</f>
        <v>-35193.218999999997</v>
      </c>
      <c r="H14" s="365">
        <f>KeyData_seasonal!H39</f>
        <v>-29899.415000000001</v>
      </c>
      <c r="I14" s="365">
        <f>KeyData_seasonal!I39</f>
        <v>-37777.43</v>
      </c>
      <c r="J14" s="365">
        <f>KeyData_seasonal!J39</f>
        <v>-29140.21</v>
      </c>
      <c r="K14" s="365">
        <f>KeyData_seasonal!K39</f>
        <v>-93848.892000000007</v>
      </c>
      <c r="L14" s="365">
        <f>KeyData_seasonal!L39</f>
        <v>-35763.953999999998</v>
      </c>
      <c r="M14" s="365">
        <f>KeyData_seasonal!M39</f>
        <v>-29910.776999999998</v>
      </c>
      <c r="N14" s="365">
        <f>KeyData_seasonal!N39</f>
        <v>-35382.095000000001</v>
      </c>
      <c r="O14" s="364">
        <f>KeyData_seasonal!O39</f>
        <v>-29485.054</v>
      </c>
      <c r="P14" s="354">
        <f>KeyData!H39</f>
        <v>-446206.94400000002</v>
      </c>
      <c r="Q14" s="359"/>
      <c r="R14" s="356">
        <f t="shared" si="0"/>
        <v>-33840.102000000014</v>
      </c>
      <c r="S14" s="363">
        <f t="shared" si="1"/>
        <v>8.2063101475069677E-2</v>
      </c>
      <c r="T14" s="352" t="s">
        <v>453</v>
      </c>
      <c r="V14" s="267" t="s">
        <v>454</v>
      </c>
    </row>
    <row r="15" spans="1:22" s="335" customFormat="1" ht="15.75" outlineLevel="1">
      <c r="A15" s="341" t="s">
        <v>455</v>
      </c>
      <c r="B15" s="346">
        <f>SUM(B8:B14)</f>
        <v>-2641071.2940000002</v>
      </c>
      <c r="C15" s="340">
        <f t="shared" ref="C15:Q15" si="2">SUM(C8:C14)</f>
        <v>-5187627.5200000005</v>
      </c>
      <c r="D15" s="337">
        <f t="shared" si="2"/>
        <v>-396821.516</v>
      </c>
      <c r="E15" s="337">
        <f t="shared" si="2"/>
        <v>-413410.79</v>
      </c>
      <c r="F15" s="337">
        <f t="shared" si="2"/>
        <v>-392332.03599999996</v>
      </c>
      <c r="G15" s="337">
        <f t="shared" si="2"/>
        <v>-350112.76899999997</v>
      </c>
      <c r="H15" s="337">
        <f t="shared" si="2"/>
        <v>-371818.91</v>
      </c>
      <c r="I15" s="337">
        <f t="shared" si="2"/>
        <v>-375826.93799999997</v>
      </c>
      <c r="J15" s="337">
        <f t="shared" si="2"/>
        <v>-454870.19100000005</v>
      </c>
      <c r="K15" s="337">
        <f t="shared" si="2"/>
        <v>-480142.32699999999</v>
      </c>
      <c r="L15" s="337">
        <f t="shared" si="2"/>
        <v>-419420.46400000004</v>
      </c>
      <c r="M15" s="337">
        <f t="shared" si="2"/>
        <v>-393422.82199999999</v>
      </c>
      <c r="N15" s="337">
        <f t="shared" si="2"/>
        <v>-401657.174</v>
      </c>
      <c r="O15" s="340">
        <f t="shared" si="2"/>
        <v>-397974.33</v>
      </c>
      <c r="P15" s="337">
        <f t="shared" si="2"/>
        <v>-4847810.267</v>
      </c>
      <c r="Q15" s="340">
        <f t="shared" si="2"/>
        <v>-5231861</v>
      </c>
      <c r="R15" s="337">
        <f t="shared" si="0"/>
        <v>339817.25300000049</v>
      </c>
      <c r="S15" s="336">
        <f t="shared" si="1"/>
        <v>-6.5505330074276502E-2</v>
      </c>
      <c r="T15" s="362"/>
      <c r="V15" s="19"/>
    </row>
    <row r="16" spans="1:22" ht="15" outlineLevel="1">
      <c r="A16" s="357" t="s">
        <v>456</v>
      </c>
      <c r="B16" s="370">
        <f>KeyData!F41</f>
        <v>-1330313.8629999999</v>
      </c>
      <c r="C16" s="332">
        <f>KeyData!G41</f>
        <v>-2580003.4569999999</v>
      </c>
      <c r="D16" s="365">
        <f>KeyData_seasonal!D41</f>
        <v>-215714.087</v>
      </c>
      <c r="E16" s="365">
        <f>KeyData_seasonal!E41</f>
        <v>-215714.087</v>
      </c>
      <c r="F16" s="365">
        <f>KeyData_seasonal!F41</f>
        <v>-215714.087</v>
      </c>
      <c r="G16" s="365">
        <f>KeyData_seasonal!G41</f>
        <v>-215714.087</v>
      </c>
      <c r="H16" s="365">
        <f>KeyData_seasonal!H41</f>
        <v>-215714.087</v>
      </c>
      <c r="I16" s="365">
        <f>KeyData_seasonal!I41</f>
        <v>-215714.087</v>
      </c>
      <c r="J16" s="365">
        <f>KeyData_seasonal!J41</f>
        <v>-215714.087</v>
      </c>
      <c r="K16" s="365">
        <f>KeyData_seasonal!K41</f>
        <v>-215714.087</v>
      </c>
      <c r="L16" s="365">
        <f>KeyData_seasonal!L41</f>
        <v>-215714.087</v>
      </c>
      <c r="M16" s="365">
        <f>KeyData_seasonal!M41</f>
        <v>-215714.087</v>
      </c>
      <c r="N16" s="365">
        <f>KeyData_seasonal!N41</f>
        <v>-215714.087</v>
      </c>
      <c r="O16" s="364">
        <f>KeyData_seasonal!O41</f>
        <v>-215714.087</v>
      </c>
      <c r="P16" s="354">
        <f>KeyData!H41</f>
        <v>-2588569.0440000002</v>
      </c>
      <c r="Q16" s="359">
        <v>-2580003.4559999998</v>
      </c>
      <c r="R16" s="356">
        <f t="shared" si="0"/>
        <v>-8565.5870000002906</v>
      </c>
      <c r="S16" s="363">
        <f t="shared" si="1"/>
        <v>3.3199905127105911E-3</v>
      </c>
      <c r="T16" s="352" t="s">
        <v>19</v>
      </c>
      <c r="V16" s="267" t="s">
        <v>457</v>
      </c>
    </row>
    <row r="17" spans="1:22" ht="15" outlineLevel="1">
      <c r="A17" s="357" t="s">
        <v>458</v>
      </c>
      <c r="B17" s="370">
        <f>KeyData!F42</f>
        <v>-579621.89</v>
      </c>
      <c r="C17" s="332">
        <f>KeyData!G42</f>
        <v>-1111026.2180000001</v>
      </c>
      <c r="D17" s="365">
        <f>KeyData_seasonal!D42</f>
        <v>-96754.433000000005</v>
      </c>
      <c r="E17" s="365">
        <f>KeyData_seasonal!E42</f>
        <v>-96754.433000000005</v>
      </c>
      <c r="F17" s="365">
        <f>KeyData_seasonal!F42</f>
        <v>-96754.433000000005</v>
      </c>
      <c r="G17" s="365">
        <f>KeyData_seasonal!G42</f>
        <v>-96754.433000000005</v>
      </c>
      <c r="H17" s="365">
        <f>KeyData_seasonal!H42</f>
        <v>-96754.433000000005</v>
      </c>
      <c r="I17" s="365">
        <f>KeyData_seasonal!I42</f>
        <v>-96754.433000000005</v>
      </c>
      <c r="J17" s="365">
        <f>KeyData_seasonal!J42</f>
        <v>-96754.433000000005</v>
      </c>
      <c r="K17" s="365">
        <f>KeyData_seasonal!K42</f>
        <v>-96754.433000000005</v>
      </c>
      <c r="L17" s="365">
        <f>KeyData_seasonal!L42</f>
        <v>-96754.433000000005</v>
      </c>
      <c r="M17" s="365">
        <f>KeyData_seasonal!M42</f>
        <v>-96754.433000000005</v>
      </c>
      <c r="N17" s="365">
        <f>KeyData_seasonal!N42</f>
        <v>-96754.433000000005</v>
      </c>
      <c r="O17" s="364">
        <f>KeyData_seasonal!O42</f>
        <v>-96754.433000000005</v>
      </c>
      <c r="P17" s="354">
        <f>KeyData!H42</f>
        <v>-1161053.196</v>
      </c>
      <c r="Q17" s="359">
        <v>-1111026.216</v>
      </c>
      <c r="R17" s="356">
        <f t="shared" si="0"/>
        <v>-50026.977999999886</v>
      </c>
      <c r="S17" s="363">
        <f t="shared" si="1"/>
        <v>4.5027720488950651E-2</v>
      </c>
      <c r="T17" s="352" t="s">
        <v>19</v>
      </c>
      <c r="V17" s="267" t="s">
        <v>459</v>
      </c>
    </row>
    <row r="18" spans="1:22" s="366" customFormat="1" ht="15" outlineLevel="1">
      <c r="A18" s="357" t="s">
        <v>460</v>
      </c>
      <c r="B18" s="370">
        <f>KeyData!F43</f>
        <v>19663.403999999999</v>
      </c>
      <c r="C18" s="332">
        <f>KeyData!G43</f>
        <v>39326.807999999997</v>
      </c>
      <c r="D18" s="365">
        <f>KeyData_seasonal!D43</f>
        <v>9757.3160000000007</v>
      </c>
      <c r="E18" s="365">
        <f>KeyData_seasonal!E43</f>
        <v>9757.3160000000007</v>
      </c>
      <c r="F18" s="365">
        <f>KeyData_seasonal!F43</f>
        <v>9757.3160000000007</v>
      </c>
      <c r="G18" s="365">
        <f>KeyData_seasonal!G43</f>
        <v>9757.3160000000007</v>
      </c>
      <c r="H18" s="365">
        <f>KeyData_seasonal!H43</f>
        <v>9757.3160000000007</v>
      </c>
      <c r="I18" s="365">
        <f>KeyData_seasonal!I43</f>
        <v>9757.3160000000007</v>
      </c>
      <c r="J18" s="365">
        <f>KeyData_seasonal!J43</f>
        <v>9757.3160000000007</v>
      </c>
      <c r="K18" s="365">
        <f>KeyData_seasonal!K43</f>
        <v>9757.3160000000007</v>
      </c>
      <c r="L18" s="365">
        <f>KeyData_seasonal!L43</f>
        <v>9757.3160000000007</v>
      </c>
      <c r="M18" s="365">
        <f>KeyData_seasonal!M43</f>
        <v>9757.3160000000007</v>
      </c>
      <c r="N18" s="365">
        <f>KeyData_seasonal!N43</f>
        <v>9757.3160000000007</v>
      </c>
      <c r="O18" s="364">
        <f>KeyData_seasonal!O43</f>
        <v>9757.3160000000007</v>
      </c>
      <c r="P18" s="354">
        <f>KeyData!H43</f>
        <v>117087.792</v>
      </c>
      <c r="Q18" s="359"/>
      <c r="R18" s="356">
        <f t="shared" si="0"/>
        <v>77760.983999999997</v>
      </c>
      <c r="S18" s="363">
        <f t="shared" si="1"/>
        <v>1.9773022005752416</v>
      </c>
      <c r="T18" s="352" t="s">
        <v>461</v>
      </c>
      <c r="U18" s="221"/>
      <c r="V18" s="755" t="s">
        <v>462</v>
      </c>
    </row>
    <row r="19" spans="1:22" ht="15" outlineLevel="1">
      <c r="A19" s="357" t="s">
        <v>463</v>
      </c>
      <c r="B19" s="370">
        <f>KeyData!F44</f>
        <v>-1154126.8529999999</v>
      </c>
      <c r="C19" s="332">
        <f>KeyData!G44</f>
        <v>-2308253.7089999998</v>
      </c>
      <c r="D19" s="365">
        <f>KeyData_seasonal!D44</f>
        <v>-192354.476</v>
      </c>
      <c r="E19" s="365">
        <f>KeyData_seasonal!E44</f>
        <v>-192354.476</v>
      </c>
      <c r="F19" s="365">
        <f>KeyData_seasonal!F44</f>
        <v>-192354.476</v>
      </c>
      <c r="G19" s="365">
        <f>KeyData_seasonal!G44</f>
        <v>-192354.476</v>
      </c>
      <c r="H19" s="365">
        <f>KeyData_seasonal!H44</f>
        <v>-192354.476</v>
      </c>
      <c r="I19" s="365">
        <f>KeyData_seasonal!I44</f>
        <v>-192354.476</v>
      </c>
      <c r="J19" s="365">
        <f>KeyData_seasonal!J44</f>
        <v>-192354.476</v>
      </c>
      <c r="K19" s="365">
        <f>KeyData_seasonal!K44</f>
        <v>-192354.476</v>
      </c>
      <c r="L19" s="365">
        <f>KeyData_seasonal!L44</f>
        <v>-192354.476</v>
      </c>
      <c r="M19" s="365">
        <f>KeyData_seasonal!M44</f>
        <v>-192354.476</v>
      </c>
      <c r="N19" s="365">
        <f>KeyData_seasonal!N44</f>
        <v>-192354.476</v>
      </c>
      <c r="O19" s="364">
        <f>KeyData_seasonal!O44</f>
        <v>-192354.476</v>
      </c>
      <c r="P19" s="354">
        <f>KeyData!H44</f>
        <v>-2308253.7119999998</v>
      </c>
      <c r="Q19" s="359"/>
      <c r="R19" s="356">
        <f t="shared" si="0"/>
        <v>-3.0000000260770321E-3</v>
      </c>
      <c r="S19" s="363">
        <f t="shared" si="1"/>
        <v>1.2996839160450691E-9</v>
      </c>
      <c r="T19" s="352" t="s">
        <v>464</v>
      </c>
      <c r="V19" s="267" t="s">
        <v>465</v>
      </c>
    </row>
    <row r="20" spans="1:22" ht="15" outlineLevel="1">
      <c r="A20" s="357" t="s">
        <v>466</v>
      </c>
      <c r="B20" s="370">
        <f>KeyData!F45</f>
        <v>-2044738.737</v>
      </c>
      <c r="C20" s="332">
        <f>KeyData!G45</f>
        <v>-4014285.0150000001</v>
      </c>
      <c r="D20" s="365">
        <f>KeyData_seasonal!D45</f>
        <v>-314373.56</v>
      </c>
      <c r="E20" s="365">
        <f>KeyData_seasonal!E45</f>
        <v>-314373.56</v>
      </c>
      <c r="F20" s="365">
        <f>KeyData_seasonal!F45</f>
        <v>-314373.56</v>
      </c>
      <c r="G20" s="365">
        <f>KeyData_seasonal!G45</f>
        <v>-315522.98700000002</v>
      </c>
      <c r="H20" s="365">
        <f>KeyData_seasonal!H45</f>
        <v>-315522.98700000002</v>
      </c>
      <c r="I20" s="365">
        <f>KeyData_seasonal!I45</f>
        <v>-316489.65399999998</v>
      </c>
      <c r="J20" s="365">
        <f>KeyData_seasonal!J45</f>
        <v>-317667.77899999998</v>
      </c>
      <c r="K20" s="365">
        <f>KeyData_seasonal!K45</f>
        <v>-326443.3</v>
      </c>
      <c r="L20" s="365">
        <f>KeyData_seasonal!L45</f>
        <v>-326443.3</v>
      </c>
      <c r="M20" s="365">
        <f>KeyData_seasonal!M45</f>
        <v>-326443.3</v>
      </c>
      <c r="N20" s="365">
        <f>KeyData_seasonal!N45</f>
        <v>-326443.3</v>
      </c>
      <c r="O20" s="364">
        <f>KeyData_seasonal!O45</f>
        <v>-326443.3</v>
      </c>
      <c r="P20" s="354">
        <f>KeyData!H45</f>
        <v>-3840540.5869999998</v>
      </c>
      <c r="Q20" s="359"/>
      <c r="R20" s="356">
        <f t="shared" si="0"/>
        <v>173744.42800000031</v>
      </c>
      <c r="S20" s="363">
        <f t="shared" si="1"/>
        <v>-4.3281537646374657E-2</v>
      </c>
      <c r="T20" s="352" t="s">
        <v>467</v>
      </c>
      <c r="V20" s="267" t="s">
        <v>468</v>
      </c>
    </row>
    <row r="21" spans="1:22" s="335" customFormat="1" ht="15.75" outlineLevel="1">
      <c r="A21" s="341" t="s">
        <v>469</v>
      </c>
      <c r="B21" s="346">
        <f>SUM(B16:B20)</f>
        <v>-5089137.9389999993</v>
      </c>
      <c r="C21" s="340">
        <f t="shared" ref="C21:Q21" si="3">SUM(C16:C20)</f>
        <v>-9974241.591</v>
      </c>
      <c r="D21" s="337">
        <f t="shared" si="3"/>
        <v>-809439.24</v>
      </c>
      <c r="E21" s="337">
        <f t="shared" si="3"/>
        <v>-809439.24</v>
      </c>
      <c r="F21" s="337">
        <f t="shared" si="3"/>
        <v>-809439.24</v>
      </c>
      <c r="G21" s="337">
        <f t="shared" si="3"/>
        <v>-810588.66700000013</v>
      </c>
      <c r="H21" s="337">
        <f t="shared" si="3"/>
        <v>-810588.66700000013</v>
      </c>
      <c r="I21" s="337">
        <f t="shared" si="3"/>
        <v>-811555.33400000003</v>
      </c>
      <c r="J21" s="337">
        <f t="shared" si="3"/>
        <v>-812733.45900000003</v>
      </c>
      <c r="K21" s="337">
        <f t="shared" si="3"/>
        <v>-821508.98</v>
      </c>
      <c r="L21" s="337">
        <f t="shared" si="3"/>
        <v>-821508.98</v>
      </c>
      <c r="M21" s="337">
        <f t="shared" si="3"/>
        <v>-821508.98</v>
      </c>
      <c r="N21" s="337">
        <f t="shared" si="3"/>
        <v>-821508.98</v>
      </c>
      <c r="O21" s="340">
        <f t="shared" si="3"/>
        <v>-821508.98</v>
      </c>
      <c r="P21" s="346">
        <f t="shared" si="3"/>
        <v>-9781328.7469999995</v>
      </c>
      <c r="Q21" s="340">
        <f t="shared" si="3"/>
        <v>-3691029.6719999998</v>
      </c>
      <c r="R21" s="337">
        <f t="shared" si="0"/>
        <v>192912.84400000051</v>
      </c>
      <c r="S21" s="336">
        <f t="shared" si="1"/>
        <v>-1.9341104006751819E-2</v>
      </c>
      <c r="T21" s="362"/>
      <c r="V21" s="928"/>
    </row>
    <row r="22" spans="1:22" ht="15" outlineLevel="1">
      <c r="A22" s="357" t="s">
        <v>470</v>
      </c>
      <c r="B22" s="96">
        <f>+B23-B21-B15</f>
        <v>0</v>
      </c>
      <c r="C22" s="96">
        <f t="shared" ref="C22:P22" si="4">+C23-C21-C15</f>
        <v>0</v>
      </c>
      <c r="D22" s="766">
        <f t="shared" si="4"/>
        <v>0</v>
      </c>
      <c r="E22" s="96">
        <f t="shared" si="4"/>
        <v>0</v>
      </c>
      <c r="F22" s="96">
        <f t="shared" si="4"/>
        <v>0</v>
      </c>
      <c r="G22" s="96">
        <f t="shared" si="4"/>
        <v>0</v>
      </c>
      <c r="H22" s="96">
        <f t="shared" si="4"/>
        <v>0</v>
      </c>
      <c r="I22" s="96">
        <f t="shared" si="4"/>
        <v>0</v>
      </c>
      <c r="J22" s="96">
        <f t="shared" si="4"/>
        <v>0</v>
      </c>
      <c r="K22" s="96">
        <f t="shared" si="4"/>
        <v>0</v>
      </c>
      <c r="L22" s="96">
        <f t="shared" si="4"/>
        <v>0</v>
      </c>
      <c r="M22" s="96">
        <f t="shared" si="4"/>
        <v>0</v>
      </c>
      <c r="N22" s="96">
        <f t="shared" si="4"/>
        <v>0</v>
      </c>
      <c r="O22" s="96">
        <f t="shared" si="4"/>
        <v>0</v>
      </c>
      <c r="P22" s="766">
        <f t="shared" si="4"/>
        <v>0</v>
      </c>
      <c r="Q22" s="355"/>
      <c r="R22" s="356"/>
      <c r="S22" s="363"/>
      <c r="T22" s="352"/>
      <c r="V22" s="652"/>
    </row>
    <row r="23" spans="1:22" s="335" customFormat="1" ht="15.75">
      <c r="A23" s="341" t="s">
        <v>471</v>
      </c>
      <c r="B23" s="346">
        <f>'P&amp;L'!F55+'P&amp;L'!F56+'P&amp;L'!F57+'P&amp;L'!F59</f>
        <v>-7730209.233</v>
      </c>
      <c r="C23" s="340">
        <f>'P&amp;L'!H55+'P&amp;L'!H56+'P&amp;L'!H57+'P&amp;L'!H59</f>
        <v>-15161869.111000001</v>
      </c>
      <c r="D23" s="337">
        <f>+'P&amp;L_seasonal'!D55+'P&amp;L_seasonal'!D56+'P&amp;L_seasonal'!D57+'P&amp;L_seasonal'!D59</f>
        <v>-1206260.7559999998</v>
      </c>
      <c r="E23" s="337">
        <f>+'P&amp;L_seasonal'!E55+'P&amp;L_seasonal'!E56+'P&amp;L_seasonal'!E57+'P&amp;L_seasonal'!E59</f>
        <v>-1222850.03</v>
      </c>
      <c r="F23" s="337">
        <f>+'P&amp;L_seasonal'!F55+'P&amp;L_seasonal'!F56+'P&amp;L_seasonal'!F57+'P&amp;L_seasonal'!F59</f>
        <v>-1201771.2760000001</v>
      </c>
      <c r="G23" s="337">
        <f>+'P&amp;L_seasonal'!G55+'P&amp;L_seasonal'!G56+'P&amp;L_seasonal'!G57+'P&amp;L_seasonal'!G59</f>
        <v>-1160701.436</v>
      </c>
      <c r="H23" s="337">
        <f>+'P&amp;L_seasonal'!H55+'P&amp;L_seasonal'!H56+'P&amp;L_seasonal'!H57+'P&amp;L_seasonal'!H59</f>
        <v>-1182407.577</v>
      </c>
      <c r="I23" s="337">
        <f>+'P&amp;L_seasonal'!I55+'P&amp;L_seasonal'!I56+'P&amp;L_seasonal'!I57+'P&amp;L_seasonal'!I59</f>
        <v>-1187382.2720000001</v>
      </c>
      <c r="J23" s="337">
        <f>+'P&amp;L_seasonal'!J55+'P&amp;L_seasonal'!J56+'P&amp;L_seasonal'!J57+'P&amp;L_seasonal'!J59</f>
        <v>-1267603.6500000001</v>
      </c>
      <c r="K23" s="337">
        <f>+'P&amp;L_seasonal'!K55+'P&amp;L_seasonal'!K56+'P&amp;L_seasonal'!K57+'P&amp;L_seasonal'!K59</f>
        <v>-1301651.3070000003</v>
      </c>
      <c r="L23" s="337">
        <f>+'P&amp;L_seasonal'!L55+'P&amp;L_seasonal'!L56+'P&amp;L_seasonal'!L57+'P&amp;L_seasonal'!L59</f>
        <v>-1240929.4440000001</v>
      </c>
      <c r="M23" s="337">
        <f>+'P&amp;L_seasonal'!M55+'P&amp;L_seasonal'!M56+'P&amp;L_seasonal'!M57+'P&amp;L_seasonal'!M59</f>
        <v>-1214931.8019999999</v>
      </c>
      <c r="N23" s="337">
        <f>+'P&amp;L_seasonal'!N55+'P&amp;L_seasonal'!N56+'P&amp;L_seasonal'!N57+'P&amp;L_seasonal'!N59</f>
        <v>-1223166.1539999999</v>
      </c>
      <c r="O23" s="340">
        <f>+'P&amp;L_seasonal'!O55+'P&amp;L_seasonal'!O56+'P&amp;L_seasonal'!O57+'P&amp;L_seasonal'!O59</f>
        <v>-1219483.31</v>
      </c>
      <c r="P23" s="346">
        <f>'P&amp;L'!I55+'P&amp;L'!I56+'P&amp;L'!I57+'P&amp;L'!I59</f>
        <v>-14629139.013999999</v>
      </c>
      <c r="Q23" s="340">
        <f>+Q21+Q15</f>
        <v>-8922890.6720000003</v>
      </c>
      <c r="R23" s="337">
        <f t="shared" si="0"/>
        <v>532730.09700000286</v>
      </c>
      <c r="S23" s="336">
        <f t="shared" si="1"/>
        <v>-3.5136175698384342E-2</v>
      </c>
      <c r="T23" s="362"/>
      <c r="V23" s="19" t="s">
        <v>472</v>
      </c>
    </row>
    <row r="24" spans="1:22" s="335" customFormat="1" ht="15.75">
      <c r="A24" s="341" t="s">
        <v>473</v>
      </c>
      <c r="B24" s="346">
        <f>'P&amp;L'!F58</f>
        <v>-3860834.1880000001</v>
      </c>
      <c r="C24" s="340">
        <f>'P&amp;L'!H58</f>
        <v>-6842464.7439999999</v>
      </c>
      <c r="D24" s="337">
        <f>+'P&amp;L_seasonal'!D58</f>
        <v>-520905.90899999999</v>
      </c>
      <c r="E24" s="337">
        <f>+'P&amp;L_seasonal'!E58</f>
        <v>-472449.54499999998</v>
      </c>
      <c r="F24" s="337">
        <f>+'P&amp;L_seasonal'!F58</f>
        <v>-581476.36399999994</v>
      </c>
      <c r="G24" s="337">
        <f>+'P&amp;L_seasonal'!G58</f>
        <v>-557248.18200000003</v>
      </c>
      <c r="H24" s="337">
        <f>+'P&amp;L_seasonal'!H58</f>
        <v>-484563.636</v>
      </c>
      <c r="I24" s="337">
        <f>+'P&amp;L_seasonal'!I58</f>
        <v>-484563.636</v>
      </c>
      <c r="J24" s="337">
        <f>+'P&amp;L_seasonal'!J58</f>
        <v>-484563.636</v>
      </c>
      <c r="K24" s="337">
        <f>+'P&amp;L_seasonal'!K58</f>
        <v>-423993.18199999997</v>
      </c>
      <c r="L24" s="337">
        <f>+'P&amp;L_seasonal'!L58</f>
        <v>-436107.27299999999</v>
      </c>
      <c r="M24" s="337">
        <f>+'P&amp;L_seasonal'!M58</f>
        <v>-460335.45500000002</v>
      </c>
      <c r="N24" s="337">
        <f>+'P&amp;L_seasonal'!N58</f>
        <v>-484563.636</v>
      </c>
      <c r="O24" s="340">
        <f>+'P&amp;L_seasonal'!O58</f>
        <v>-484563.63699999999</v>
      </c>
      <c r="P24" s="346">
        <f>'P&amp;L'!I58</f>
        <v>-5875334.091</v>
      </c>
      <c r="Q24" s="340"/>
      <c r="R24" s="337">
        <f t="shared" si="0"/>
        <v>967130.65299999993</v>
      </c>
      <c r="S24" s="336">
        <f t="shared" si="1"/>
        <v>-0.14134243860709028</v>
      </c>
      <c r="T24" s="362"/>
      <c r="V24" s="19" t="s">
        <v>474</v>
      </c>
    </row>
    <row r="25" spans="1:22" ht="15" outlineLevel="1">
      <c r="A25" s="357" t="s">
        <v>475</v>
      </c>
      <c r="B25" s="685">
        <v>-4797.8370000000004</v>
      </c>
      <c r="C25" s="359">
        <v>-6648.5290000000005</v>
      </c>
      <c r="D25" s="361">
        <v>-1335.4490000000001</v>
      </c>
      <c r="E25" s="361">
        <v>-1459.0889999999999</v>
      </c>
      <c r="F25" s="361">
        <v>-964.69600000000003</v>
      </c>
      <c r="G25" s="361">
        <v>-465.70299999999997</v>
      </c>
      <c r="H25" s="361">
        <v>-671.72199999999998</v>
      </c>
      <c r="I25" s="361">
        <v>-463.17599999999999</v>
      </c>
      <c r="J25" s="361">
        <v>-545.95399999999995</v>
      </c>
      <c r="K25" s="361">
        <v>-409.36700000000002</v>
      </c>
      <c r="L25" s="361">
        <v>-995.94600000000003</v>
      </c>
      <c r="M25" s="361">
        <v>-444.16699999999997</v>
      </c>
      <c r="N25" s="361">
        <v>-631.77599999999995</v>
      </c>
      <c r="O25" s="360">
        <v>-451.541</v>
      </c>
      <c r="P25" s="354">
        <f>SUM(D25:O25)</f>
        <v>-8838.5859999999993</v>
      </c>
      <c r="Q25" s="353"/>
      <c r="R25" s="223">
        <f t="shared" si="0"/>
        <v>-2190.0569999999989</v>
      </c>
      <c r="S25" s="298">
        <f t="shared" si="1"/>
        <v>0.3294047450195372</v>
      </c>
      <c r="T25" s="352"/>
      <c r="V25" s="267" t="s">
        <v>476</v>
      </c>
    </row>
    <row r="26" spans="1:22" ht="15" outlineLevel="1">
      <c r="A26" s="357" t="s">
        <v>477</v>
      </c>
      <c r="B26" s="714">
        <v>-409410.59399999998</v>
      </c>
      <c r="C26" s="715">
        <v>-776343.34100000001</v>
      </c>
      <c r="D26" s="716">
        <v>-59686.311000000002</v>
      </c>
      <c r="E26" s="361">
        <v>-51094.432999999997</v>
      </c>
      <c r="F26" s="717">
        <v>-51077.165000000001</v>
      </c>
      <c r="G26" s="717">
        <v>-47956.951999999997</v>
      </c>
      <c r="H26" s="717">
        <v>-50767.216</v>
      </c>
      <c r="I26" s="717">
        <v>-49406.817999999999</v>
      </c>
      <c r="J26" s="717">
        <v>-62626.055999999997</v>
      </c>
      <c r="K26" s="717">
        <v>-52381.455000000002</v>
      </c>
      <c r="L26" s="717">
        <v>-51978.021999999997</v>
      </c>
      <c r="M26" s="717">
        <v>-49694.093000000001</v>
      </c>
      <c r="N26" s="717">
        <v>-50472.453000000001</v>
      </c>
      <c r="O26" s="717">
        <v>-50945.961000000003</v>
      </c>
      <c r="P26" s="354">
        <f>SUM(D26:O26)</f>
        <v>-628086.93500000006</v>
      </c>
      <c r="Q26" s="353"/>
      <c r="R26" s="223">
        <f t="shared" si="0"/>
        <v>148256.40599999996</v>
      </c>
      <c r="S26" s="298">
        <f t="shared" si="1"/>
        <v>-0.19096757603283154</v>
      </c>
      <c r="T26" s="352"/>
      <c r="V26" s="267" t="s">
        <v>478</v>
      </c>
    </row>
    <row r="27" spans="1:22" ht="15" outlineLevel="1">
      <c r="A27" s="357" t="s">
        <v>479</v>
      </c>
      <c r="B27" s="685">
        <v>0</v>
      </c>
      <c r="C27" s="359">
        <v>0</v>
      </c>
      <c r="D27" s="356">
        <f t="shared" ref="D27:O29" si="5">$P27/12</f>
        <v>0</v>
      </c>
      <c r="E27" s="356">
        <f t="shared" si="5"/>
        <v>0</v>
      </c>
      <c r="F27" s="356">
        <f t="shared" si="5"/>
        <v>0</v>
      </c>
      <c r="G27" s="356">
        <f t="shared" si="5"/>
        <v>0</v>
      </c>
      <c r="H27" s="356">
        <f t="shared" si="5"/>
        <v>0</v>
      </c>
      <c r="I27" s="356">
        <f t="shared" si="5"/>
        <v>0</v>
      </c>
      <c r="J27" s="356">
        <f t="shared" si="5"/>
        <v>0</v>
      </c>
      <c r="K27" s="356">
        <f t="shared" si="5"/>
        <v>0</v>
      </c>
      <c r="L27" s="356">
        <f t="shared" si="5"/>
        <v>0</v>
      </c>
      <c r="M27" s="356">
        <f t="shared" si="5"/>
        <v>0</v>
      </c>
      <c r="N27" s="356">
        <f t="shared" si="5"/>
        <v>0</v>
      </c>
      <c r="O27" s="355">
        <f t="shared" si="5"/>
        <v>0</v>
      </c>
      <c r="P27" s="358">
        <v>0</v>
      </c>
      <c r="Q27" s="353"/>
      <c r="R27" s="223">
        <f t="shared" si="0"/>
        <v>0</v>
      </c>
      <c r="S27" s="298">
        <f t="shared" si="1"/>
        <v>0</v>
      </c>
      <c r="T27" s="352"/>
      <c r="V27" s="267" t="s">
        <v>480</v>
      </c>
    </row>
    <row r="28" spans="1:22" ht="15" outlineLevel="1">
      <c r="A28" s="357" t="s">
        <v>481</v>
      </c>
      <c r="B28" s="685">
        <v>0</v>
      </c>
      <c r="C28" s="359">
        <v>0</v>
      </c>
      <c r="D28" s="223">
        <f t="shared" si="5"/>
        <v>0</v>
      </c>
      <c r="E28" s="223">
        <f t="shared" si="5"/>
        <v>0</v>
      </c>
      <c r="F28" s="223">
        <f t="shared" si="5"/>
        <v>0</v>
      </c>
      <c r="G28" s="223">
        <f t="shared" si="5"/>
        <v>0</v>
      </c>
      <c r="H28" s="223">
        <f t="shared" si="5"/>
        <v>0</v>
      </c>
      <c r="I28" s="223">
        <f t="shared" si="5"/>
        <v>0</v>
      </c>
      <c r="J28" s="223">
        <f t="shared" si="5"/>
        <v>0</v>
      </c>
      <c r="K28" s="223">
        <f t="shared" si="5"/>
        <v>0</v>
      </c>
      <c r="L28" s="223">
        <f t="shared" si="5"/>
        <v>0</v>
      </c>
      <c r="M28" s="223">
        <f t="shared" si="5"/>
        <v>0</v>
      </c>
      <c r="N28" s="223">
        <f t="shared" si="5"/>
        <v>0</v>
      </c>
      <c r="O28" s="332">
        <f t="shared" si="5"/>
        <v>0</v>
      </c>
      <c r="P28" s="358">
        <v>0</v>
      </c>
      <c r="Q28" s="353"/>
      <c r="R28" s="223">
        <f t="shared" si="0"/>
        <v>0</v>
      </c>
      <c r="S28" s="298">
        <f t="shared" si="1"/>
        <v>0</v>
      </c>
      <c r="T28" s="352"/>
      <c r="V28" s="267" t="s">
        <v>482</v>
      </c>
    </row>
    <row r="29" spans="1:22" ht="15" outlineLevel="1">
      <c r="A29" s="357" t="s">
        <v>452</v>
      </c>
      <c r="B29" s="354">
        <f>B30-B25-B27-B28-B26</f>
        <v>0</v>
      </c>
      <c r="C29" s="355">
        <f>C30-C25-C27-C28-C26</f>
        <v>0</v>
      </c>
      <c r="D29" s="356">
        <f t="shared" si="5"/>
        <v>-1083.5373333333312</v>
      </c>
      <c r="E29" s="356">
        <f t="shared" si="5"/>
        <v>-1083.5373333333312</v>
      </c>
      <c r="F29" s="356">
        <f t="shared" si="5"/>
        <v>-1083.5373333333312</v>
      </c>
      <c r="G29" s="356">
        <f t="shared" si="5"/>
        <v>-1083.5373333333312</v>
      </c>
      <c r="H29" s="356">
        <f t="shared" si="5"/>
        <v>-1083.5373333333312</v>
      </c>
      <c r="I29" s="356">
        <f t="shared" si="5"/>
        <v>-1083.5373333333312</v>
      </c>
      <c r="J29" s="356">
        <f t="shared" si="5"/>
        <v>-1083.5373333333312</v>
      </c>
      <c r="K29" s="356">
        <f t="shared" si="5"/>
        <v>-1083.5373333333312</v>
      </c>
      <c r="L29" s="356">
        <f t="shared" si="5"/>
        <v>-1083.5373333333312</v>
      </c>
      <c r="M29" s="356">
        <f t="shared" si="5"/>
        <v>-1083.5373333333312</v>
      </c>
      <c r="N29" s="356">
        <f t="shared" si="5"/>
        <v>-1083.5373333333312</v>
      </c>
      <c r="O29" s="355">
        <f t="shared" si="5"/>
        <v>-1083.5373333333312</v>
      </c>
      <c r="P29" s="354">
        <f>P30-P25-P27-P28-P26</f>
        <v>-13002.447999999975</v>
      </c>
      <c r="Q29" s="353"/>
      <c r="R29" s="223">
        <f t="shared" si="0"/>
        <v>-13002.447999999975</v>
      </c>
      <c r="S29" s="298">
        <f t="shared" si="1"/>
        <v>0</v>
      </c>
      <c r="T29" s="352"/>
      <c r="V29" s="267" t="s">
        <v>483</v>
      </c>
    </row>
    <row r="30" spans="1:22" s="335" customFormat="1" ht="15.75">
      <c r="A30" s="341" t="s">
        <v>484</v>
      </c>
      <c r="B30" s="346">
        <f>'P&amp;L'!F83</f>
        <v>-414208.43099999998</v>
      </c>
      <c r="C30" s="340">
        <f>'P&amp;L'!H83</f>
        <v>-782991.87</v>
      </c>
      <c r="D30" s="337">
        <f t="shared" ref="D30:O30" si="6">+D25+D27+D26+D28+D29</f>
        <v>-62105.297333333336</v>
      </c>
      <c r="E30" s="337">
        <f t="shared" si="6"/>
        <v>-53637.059333333331</v>
      </c>
      <c r="F30" s="337">
        <f t="shared" si="6"/>
        <v>-53125.398333333338</v>
      </c>
      <c r="G30" s="337">
        <f t="shared" si="6"/>
        <v>-49506.192333333332</v>
      </c>
      <c r="H30" s="337">
        <f t="shared" si="6"/>
        <v>-52522.475333333336</v>
      </c>
      <c r="I30" s="337">
        <f t="shared" si="6"/>
        <v>-50953.531333333332</v>
      </c>
      <c r="J30" s="337">
        <f t="shared" si="6"/>
        <v>-64255.547333333328</v>
      </c>
      <c r="K30" s="337">
        <f t="shared" si="6"/>
        <v>-53874.359333333334</v>
      </c>
      <c r="L30" s="337">
        <f t="shared" si="6"/>
        <v>-54057.505333333334</v>
      </c>
      <c r="M30" s="337">
        <f t="shared" si="6"/>
        <v>-51221.797333333336</v>
      </c>
      <c r="N30" s="337">
        <f t="shared" si="6"/>
        <v>-52187.766333333333</v>
      </c>
      <c r="O30" s="340">
        <f t="shared" si="6"/>
        <v>-52481.039333333334</v>
      </c>
      <c r="P30" s="346">
        <f>'P&amp;L'!I83</f>
        <v>-649927.96900000004</v>
      </c>
      <c r="Q30" s="340">
        <f>SUM(Q25:Q29)</f>
        <v>0</v>
      </c>
      <c r="R30" s="337">
        <f t="shared" si="0"/>
        <v>133063.90099999995</v>
      </c>
      <c r="S30" s="336">
        <f t="shared" si="1"/>
        <v>-0.16994288970075766</v>
      </c>
      <c r="T30" s="931"/>
      <c r="V30" s="19" t="s">
        <v>485</v>
      </c>
    </row>
    <row r="31" spans="1:22" s="335" customFormat="1" ht="15.75">
      <c r="A31" s="341" t="s">
        <v>486</v>
      </c>
      <c r="B31" s="346">
        <f>'P&amp;L'!F80-'P&amp;L'!F83</f>
        <v>-710548.28500000003</v>
      </c>
      <c r="C31" s="340">
        <f>'P&amp;L'!H80-'P&amp;L'!H83</f>
        <v>-1303990.0090000001</v>
      </c>
      <c r="D31" s="337">
        <f t="shared" ref="D31:O31" si="7">$P$31/12</f>
        <v>-121227.15800000001</v>
      </c>
      <c r="E31" s="337">
        <f t="shared" si="7"/>
        <v>-121227.15800000001</v>
      </c>
      <c r="F31" s="337">
        <f t="shared" si="7"/>
        <v>-121227.15800000001</v>
      </c>
      <c r="G31" s="337">
        <f t="shared" si="7"/>
        <v>-121227.15800000001</v>
      </c>
      <c r="H31" s="337">
        <f t="shared" si="7"/>
        <v>-121227.15800000001</v>
      </c>
      <c r="I31" s="337">
        <f t="shared" si="7"/>
        <v>-121227.15800000001</v>
      </c>
      <c r="J31" s="337">
        <f t="shared" si="7"/>
        <v>-121227.15800000001</v>
      </c>
      <c r="K31" s="337">
        <f t="shared" si="7"/>
        <v>-121227.15800000001</v>
      </c>
      <c r="L31" s="337">
        <f t="shared" si="7"/>
        <v>-121227.15800000001</v>
      </c>
      <c r="M31" s="337">
        <f t="shared" si="7"/>
        <v>-121227.15800000001</v>
      </c>
      <c r="N31" s="337">
        <f t="shared" si="7"/>
        <v>-121227.15800000001</v>
      </c>
      <c r="O31" s="340">
        <f t="shared" si="7"/>
        <v>-121227.15800000001</v>
      </c>
      <c r="P31" s="346">
        <f>'P&amp;L'!I80-'P&amp;L'!I83</f>
        <v>-1454725.8960000002</v>
      </c>
      <c r="Q31" s="340"/>
      <c r="R31" s="337">
        <f t="shared" si="0"/>
        <v>-150735.8870000001</v>
      </c>
      <c r="S31" s="336">
        <f t="shared" si="1"/>
        <v>0.11559589104183088</v>
      </c>
      <c r="T31" s="931"/>
      <c r="V31" s="19" t="s">
        <v>487</v>
      </c>
    </row>
    <row r="32" spans="1:22" s="335" customFormat="1" ht="15.75">
      <c r="A32" s="341" t="s">
        <v>488</v>
      </c>
      <c r="B32" s="346">
        <f>'P&amp;L'!F65</f>
        <v>-5028863.3739999998</v>
      </c>
      <c r="C32" s="340">
        <f>'P&amp;L'!H65</f>
        <v>-10226978.114</v>
      </c>
      <c r="D32" s="337">
        <f t="shared" ref="D32:O32" si="8">$P$32/12</f>
        <v>-905337.12199999997</v>
      </c>
      <c r="E32" s="337">
        <f t="shared" si="8"/>
        <v>-905337.12199999997</v>
      </c>
      <c r="F32" s="337">
        <f t="shared" si="8"/>
        <v>-905337.12199999997</v>
      </c>
      <c r="G32" s="337">
        <f t="shared" si="8"/>
        <v>-905337.12199999997</v>
      </c>
      <c r="H32" s="337">
        <f t="shared" si="8"/>
        <v>-905337.12199999997</v>
      </c>
      <c r="I32" s="337">
        <f t="shared" si="8"/>
        <v>-905337.12199999997</v>
      </c>
      <c r="J32" s="337">
        <f t="shared" si="8"/>
        <v>-905337.12199999997</v>
      </c>
      <c r="K32" s="337">
        <f t="shared" si="8"/>
        <v>-905337.12199999997</v>
      </c>
      <c r="L32" s="337">
        <f t="shared" si="8"/>
        <v>-905337.12199999997</v>
      </c>
      <c r="M32" s="337">
        <f t="shared" si="8"/>
        <v>-905337.12199999997</v>
      </c>
      <c r="N32" s="337">
        <f t="shared" si="8"/>
        <v>-905337.12199999997</v>
      </c>
      <c r="O32" s="340">
        <f t="shared" si="8"/>
        <v>-905337.12199999997</v>
      </c>
      <c r="P32" s="346">
        <f>'P&amp;L'!I65</f>
        <v>-10864045.464</v>
      </c>
      <c r="Q32" s="340"/>
      <c r="R32" s="337">
        <f t="shared" si="0"/>
        <v>-637067.34999999963</v>
      </c>
      <c r="S32" s="336">
        <f t="shared" si="1"/>
        <v>6.2292824224186027E-2</v>
      </c>
      <c r="T32" s="931"/>
      <c r="V32" s="19" t="s">
        <v>489</v>
      </c>
    </row>
    <row r="33" spans="1:22" s="335" customFormat="1" ht="15.75">
      <c r="A33" s="341" t="s">
        <v>490</v>
      </c>
      <c r="B33" s="346">
        <f>'P&amp;L'!F85</f>
        <v>-1295507.0649999999</v>
      </c>
      <c r="C33" s="340">
        <f>'P&amp;L'!H85</f>
        <v>-2489984.6329999999</v>
      </c>
      <c r="D33" s="337">
        <f t="shared" ref="D33:O33" si="9">$P$33/12</f>
        <v>-215271.24374999999</v>
      </c>
      <c r="E33" s="337">
        <f t="shared" si="9"/>
        <v>-215271.24374999999</v>
      </c>
      <c r="F33" s="337">
        <f t="shared" si="9"/>
        <v>-215271.24374999999</v>
      </c>
      <c r="G33" s="337">
        <f t="shared" si="9"/>
        <v>-215271.24374999999</v>
      </c>
      <c r="H33" s="337">
        <f t="shared" si="9"/>
        <v>-215271.24374999999</v>
      </c>
      <c r="I33" s="337">
        <f t="shared" si="9"/>
        <v>-215271.24374999999</v>
      </c>
      <c r="J33" s="337">
        <f t="shared" si="9"/>
        <v>-215271.24374999999</v>
      </c>
      <c r="K33" s="337">
        <f t="shared" si="9"/>
        <v>-215271.24374999999</v>
      </c>
      <c r="L33" s="337">
        <f t="shared" si="9"/>
        <v>-215271.24374999999</v>
      </c>
      <c r="M33" s="337">
        <f t="shared" si="9"/>
        <v>-215271.24374999999</v>
      </c>
      <c r="N33" s="337">
        <f t="shared" si="9"/>
        <v>-215271.24374999999</v>
      </c>
      <c r="O33" s="340">
        <f t="shared" si="9"/>
        <v>-215271.24374999999</v>
      </c>
      <c r="P33" s="346">
        <f>'P&amp;L'!I85</f>
        <v>-2583254.9249999998</v>
      </c>
      <c r="Q33" s="340"/>
      <c r="R33" s="337">
        <f t="shared" si="0"/>
        <v>-93270.291999999899</v>
      </c>
      <c r="S33" s="336">
        <f t="shared" si="1"/>
        <v>3.7458179767007493E-2</v>
      </c>
      <c r="T33" s="931"/>
      <c r="V33" s="19" t="s">
        <v>491</v>
      </c>
    </row>
    <row r="34" spans="1:22" s="335" customFormat="1" ht="15.75">
      <c r="A34" s="341" t="s">
        <v>492</v>
      </c>
      <c r="B34" s="344">
        <f t="shared" ref="B34" si="10">+B23+B24+B30+B31+B32+B33</f>
        <v>-19040170.576000001</v>
      </c>
      <c r="C34" s="343">
        <f t="shared" ref="C34:Q34" si="11">+C23+C24+C30+C31+C32+C33</f>
        <v>-36808278.481000006</v>
      </c>
      <c r="D34" s="345">
        <f t="shared" si="11"/>
        <v>-3031107.4860833329</v>
      </c>
      <c r="E34" s="345">
        <f t="shared" si="11"/>
        <v>-2990772.1580833332</v>
      </c>
      <c r="F34" s="345">
        <f t="shared" si="11"/>
        <v>-3078208.5620833333</v>
      </c>
      <c r="G34" s="345">
        <f t="shared" si="11"/>
        <v>-3009291.3340833331</v>
      </c>
      <c r="H34" s="345">
        <f t="shared" si="11"/>
        <v>-2961329.2120833332</v>
      </c>
      <c r="I34" s="345">
        <f t="shared" si="11"/>
        <v>-2964734.9630833333</v>
      </c>
      <c r="J34" s="345">
        <f t="shared" si="11"/>
        <v>-3058258.3570833332</v>
      </c>
      <c r="K34" s="345">
        <f t="shared" si="11"/>
        <v>-3021354.3720833338</v>
      </c>
      <c r="L34" s="345">
        <f t="shared" si="11"/>
        <v>-2972929.7460833336</v>
      </c>
      <c r="M34" s="345">
        <f t="shared" si="11"/>
        <v>-2968324.5780833331</v>
      </c>
      <c r="N34" s="345">
        <f t="shared" si="11"/>
        <v>-3001753.0800833334</v>
      </c>
      <c r="O34" s="343">
        <f t="shared" si="11"/>
        <v>-2998363.5100833331</v>
      </c>
      <c r="P34" s="344">
        <f t="shared" si="11"/>
        <v>-36056427.358999997</v>
      </c>
      <c r="Q34" s="343">
        <f t="shared" si="11"/>
        <v>-8922890.6720000003</v>
      </c>
      <c r="R34" s="345">
        <f t="shared" si="0"/>
        <v>751851.12200000882</v>
      </c>
      <c r="S34" s="336">
        <f t="shared" si="1"/>
        <v>-2.0426141972059497E-2</v>
      </c>
      <c r="T34" s="946"/>
      <c r="V34" s="19" t="s">
        <v>493</v>
      </c>
    </row>
    <row r="35" spans="1:22" ht="15">
      <c r="A35" s="351"/>
      <c r="B35" s="347"/>
      <c r="C35" s="350"/>
      <c r="D35" s="349"/>
      <c r="E35" s="349"/>
      <c r="F35" s="349"/>
      <c r="G35" s="349"/>
      <c r="H35" s="349"/>
      <c r="I35" s="349"/>
      <c r="J35" s="349"/>
      <c r="K35" s="349"/>
      <c r="L35" s="349"/>
      <c r="M35" s="349"/>
      <c r="N35" s="349"/>
      <c r="O35" s="350"/>
      <c r="P35" s="347"/>
      <c r="Q35" s="350"/>
      <c r="R35" s="349"/>
      <c r="S35" s="348"/>
      <c r="T35" s="347"/>
      <c r="V35" s="267"/>
    </row>
    <row r="36" spans="1:22" s="335" customFormat="1" ht="15.75">
      <c r="A36" s="341" t="s">
        <v>494</v>
      </c>
      <c r="B36" s="346">
        <f t="shared" ref="B36" si="12">+B15</f>
        <v>-2641071.2940000002</v>
      </c>
      <c r="C36" s="340">
        <f t="shared" ref="C36:R36" si="13">+C15</f>
        <v>-5187627.5200000005</v>
      </c>
      <c r="D36" s="337">
        <f t="shared" si="13"/>
        <v>-396821.516</v>
      </c>
      <c r="E36" s="337">
        <f t="shared" si="13"/>
        <v>-413410.79</v>
      </c>
      <c r="F36" s="337">
        <f t="shared" si="13"/>
        <v>-392332.03599999996</v>
      </c>
      <c r="G36" s="337">
        <f t="shared" si="13"/>
        <v>-350112.76899999997</v>
      </c>
      <c r="H36" s="337">
        <f t="shared" si="13"/>
        <v>-371818.91</v>
      </c>
      <c r="I36" s="337">
        <f t="shared" si="13"/>
        <v>-375826.93799999997</v>
      </c>
      <c r="J36" s="337">
        <f t="shared" si="13"/>
        <v>-454870.19100000005</v>
      </c>
      <c r="K36" s="337">
        <f t="shared" si="13"/>
        <v>-480142.32699999999</v>
      </c>
      <c r="L36" s="337">
        <f t="shared" si="13"/>
        <v>-419420.46400000004</v>
      </c>
      <c r="M36" s="337">
        <f t="shared" si="13"/>
        <v>-393422.82199999999</v>
      </c>
      <c r="N36" s="337">
        <f t="shared" si="13"/>
        <v>-401657.174</v>
      </c>
      <c r="O36" s="340">
        <f t="shared" si="13"/>
        <v>-397974.33</v>
      </c>
      <c r="P36" s="346">
        <f t="shared" si="13"/>
        <v>-4847810.267</v>
      </c>
      <c r="Q36" s="340">
        <f t="shared" si="13"/>
        <v>-5231861</v>
      </c>
      <c r="R36" s="337">
        <f t="shared" si="13"/>
        <v>339817.25300000049</v>
      </c>
      <c r="S36" s="336">
        <f>IFERROR(P36/C36-1,0)</f>
        <v>-6.5505330074276502E-2</v>
      </c>
      <c r="T36" s="930"/>
      <c r="V36" s="19"/>
    </row>
    <row r="37" spans="1:22" ht="15.75">
      <c r="A37" s="932" t="s">
        <v>495</v>
      </c>
      <c r="B37" s="933">
        <f t="shared" ref="B37" si="14">IFERROR(B36/B$7,0)</f>
        <v>-3.383701902667368E-2</v>
      </c>
      <c r="C37" s="935">
        <f t="shared" ref="C37:R37" si="15">IFERROR(C36/C$7,0)</f>
        <v>-3.6910549499337725E-2</v>
      </c>
      <c r="D37" s="934">
        <f t="shared" si="15"/>
        <v>-3.5660049964372033E-2</v>
      </c>
      <c r="E37" s="934">
        <f t="shared" si="15"/>
        <v>-3.9620027441011833E-2</v>
      </c>
      <c r="F37" s="934">
        <f t="shared" si="15"/>
        <v>-3.2708533772245404E-2</v>
      </c>
      <c r="G37" s="934">
        <f t="shared" si="15"/>
        <v>-2.9931806445021646E-2</v>
      </c>
      <c r="H37" s="934">
        <f t="shared" si="15"/>
        <v>-3.5088155719817042E-2</v>
      </c>
      <c r="I37" s="934">
        <f t="shared" si="15"/>
        <v>-3.546638906624202E-2</v>
      </c>
      <c r="J37" s="934">
        <f t="shared" si="15"/>
        <v>-4.2925616919566902E-2</v>
      </c>
      <c r="K37" s="934">
        <f t="shared" si="15"/>
        <v>-4.9347518086664176E-2</v>
      </c>
      <c r="L37" s="934">
        <f t="shared" si="15"/>
        <v>-4.2955111396603712E-2</v>
      </c>
      <c r="M37" s="934">
        <f t="shared" si="15"/>
        <v>-3.9100118575481728E-2</v>
      </c>
      <c r="N37" s="934">
        <f t="shared" si="15"/>
        <v>-3.8588637438809407E-2</v>
      </c>
      <c r="O37" s="935">
        <f t="shared" si="15"/>
        <v>-3.8234813467807757E-2</v>
      </c>
      <c r="P37" s="933">
        <f t="shared" si="15"/>
        <v>-3.804665771936179E-2</v>
      </c>
      <c r="Q37" s="935">
        <f t="shared" si="15"/>
        <v>0</v>
      </c>
      <c r="R37" s="934">
        <f t="shared" si="15"/>
        <v>-2.5884086535270429E-2</v>
      </c>
      <c r="S37" s="936"/>
      <c r="T37" s="930"/>
      <c r="V37" s="267"/>
    </row>
    <row r="38" spans="1:22" s="335" customFormat="1" ht="15.75">
      <c r="A38" s="341" t="s">
        <v>496</v>
      </c>
      <c r="B38" s="346">
        <f t="shared" ref="B38" si="16">+B21+B22</f>
        <v>-5089137.9389999993</v>
      </c>
      <c r="C38" s="340">
        <f>+C21</f>
        <v>-9974241.591</v>
      </c>
      <c r="D38" s="337">
        <f t="shared" ref="D38:R38" si="17">+D21+D22</f>
        <v>-809439.24</v>
      </c>
      <c r="E38" s="337">
        <f t="shared" si="17"/>
        <v>-809439.24</v>
      </c>
      <c r="F38" s="337">
        <f t="shared" si="17"/>
        <v>-809439.24</v>
      </c>
      <c r="G38" s="337">
        <f t="shared" si="17"/>
        <v>-810588.66700000013</v>
      </c>
      <c r="H38" s="337">
        <f t="shared" si="17"/>
        <v>-810588.66700000013</v>
      </c>
      <c r="I38" s="337">
        <f t="shared" si="17"/>
        <v>-811555.33400000003</v>
      </c>
      <c r="J38" s="337">
        <f t="shared" si="17"/>
        <v>-812733.45900000003</v>
      </c>
      <c r="K38" s="337">
        <f t="shared" si="17"/>
        <v>-821508.98</v>
      </c>
      <c r="L38" s="337">
        <f t="shared" si="17"/>
        <v>-821508.98</v>
      </c>
      <c r="M38" s="337">
        <f t="shared" si="17"/>
        <v>-821508.98</v>
      </c>
      <c r="N38" s="337">
        <f t="shared" si="17"/>
        <v>-821508.98</v>
      </c>
      <c r="O38" s="340">
        <f t="shared" si="17"/>
        <v>-821508.98</v>
      </c>
      <c r="P38" s="346">
        <f t="shared" si="17"/>
        <v>-9781328.7469999995</v>
      </c>
      <c r="Q38" s="340">
        <f t="shared" si="17"/>
        <v>-3691029.6719999998</v>
      </c>
      <c r="R38" s="337">
        <f t="shared" si="17"/>
        <v>192912.84400000051</v>
      </c>
      <c r="S38" s="336">
        <f>IFERROR(P38/C38-1,0)</f>
        <v>-1.9341104006751819E-2</v>
      </c>
      <c r="T38" s="930"/>
      <c r="V38" s="19"/>
    </row>
    <row r="39" spans="1:22" ht="15.75">
      <c r="A39" s="932" t="s">
        <v>495</v>
      </c>
      <c r="B39" s="933">
        <f t="shared" ref="B39" si="18">IFERROR(B38/B$7,0)</f>
        <v>-6.5201290727182407E-2</v>
      </c>
      <c r="C39" s="935">
        <f t="shared" ref="C39:R39" si="19">IFERROR(C38/C$7,0)</f>
        <v>-7.0967843497552904E-2</v>
      </c>
      <c r="D39" s="934">
        <f t="shared" si="19"/>
        <v>-7.2739613598783101E-2</v>
      </c>
      <c r="E39" s="934">
        <f t="shared" si="19"/>
        <v>-7.7574184506968888E-2</v>
      </c>
      <c r="F39" s="934">
        <f t="shared" si="19"/>
        <v>-6.7482561424376405E-2</v>
      </c>
      <c r="G39" s="934">
        <f t="shared" si="19"/>
        <v>-6.9298766670152806E-2</v>
      </c>
      <c r="H39" s="934">
        <f t="shared" si="19"/>
        <v>-7.6494391779091939E-2</v>
      </c>
      <c r="I39" s="934">
        <f t="shared" si="19"/>
        <v>-7.6585615117424052E-2</v>
      </c>
      <c r="J39" s="934">
        <f t="shared" si="19"/>
        <v>-7.6696793522678941E-2</v>
      </c>
      <c r="K39" s="934">
        <f t="shared" si="19"/>
        <v>-8.443210891696086E-2</v>
      </c>
      <c r="L39" s="934">
        <f t="shared" si="19"/>
        <v>-8.4135164537918888E-2</v>
      </c>
      <c r="M39" s="934">
        <f t="shared" si="19"/>
        <v>-8.1645234421156801E-2</v>
      </c>
      <c r="N39" s="934">
        <f t="shared" si="19"/>
        <v>-7.892529807508461E-2</v>
      </c>
      <c r="O39" s="935">
        <f t="shared" si="19"/>
        <v>-7.8925298052336723E-2</v>
      </c>
      <c r="P39" s="933">
        <f t="shared" si="19"/>
        <v>-7.676597192982984E-2</v>
      </c>
      <c r="Q39" s="935">
        <f t="shared" si="19"/>
        <v>0</v>
      </c>
      <c r="R39" s="934">
        <f t="shared" si="19"/>
        <v>-1.4694288485291036E-2</v>
      </c>
      <c r="S39" s="936"/>
      <c r="T39" s="930"/>
      <c r="U39" s="349"/>
      <c r="V39" s="267"/>
    </row>
    <row r="40" spans="1:22" s="335" customFormat="1" ht="15.75">
      <c r="A40" s="341" t="s">
        <v>471</v>
      </c>
      <c r="B40" s="344">
        <f t="shared" ref="B40" si="20">+B36+B38</f>
        <v>-7730209.2329999991</v>
      </c>
      <c r="C40" s="343">
        <f>+C36+C38</f>
        <v>-15161869.111000001</v>
      </c>
      <c r="D40" s="345">
        <f t="shared" ref="D40:R40" si="21">+D36+D38</f>
        <v>-1206260.7560000001</v>
      </c>
      <c r="E40" s="345">
        <f t="shared" si="21"/>
        <v>-1222850.03</v>
      </c>
      <c r="F40" s="345">
        <f t="shared" si="21"/>
        <v>-1201771.2760000001</v>
      </c>
      <c r="G40" s="345">
        <f t="shared" si="21"/>
        <v>-1160701.4360000002</v>
      </c>
      <c r="H40" s="345">
        <f t="shared" si="21"/>
        <v>-1182407.577</v>
      </c>
      <c r="I40" s="345">
        <f t="shared" si="21"/>
        <v>-1187382.2719999999</v>
      </c>
      <c r="J40" s="345">
        <f t="shared" si="21"/>
        <v>-1267603.6500000001</v>
      </c>
      <c r="K40" s="345">
        <f t="shared" si="21"/>
        <v>-1301651.307</v>
      </c>
      <c r="L40" s="345">
        <f t="shared" si="21"/>
        <v>-1240929.4440000001</v>
      </c>
      <c r="M40" s="345">
        <f t="shared" si="21"/>
        <v>-1214931.8019999999</v>
      </c>
      <c r="N40" s="345">
        <f t="shared" si="21"/>
        <v>-1223166.1540000001</v>
      </c>
      <c r="O40" s="343">
        <f t="shared" si="21"/>
        <v>-1219483.31</v>
      </c>
      <c r="P40" s="344">
        <f t="shared" si="21"/>
        <v>-14629139.013999999</v>
      </c>
      <c r="Q40" s="343">
        <f t="shared" si="21"/>
        <v>-8922890.6720000003</v>
      </c>
      <c r="R40" s="337">
        <f t="shared" si="21"/>
        <v>532730.097000001</v>
      </c>
      <c r="S40" s="336">
        <f>IFERROR(P40/C40-1,0)</f>
        <v>-3.5136175698384342E-2</v>
      </c>
      <c r="T40" s="930"/>
      <c r="V40" s="19"/>
    </row>
    <row r="41" spans="1:22" ht="15.75">
      <c r="A41" s="932" t="s">
        <v>495</v>
      </c>
      <c r="B41" s="938">
        <f t="shared" ref="B41" si="22">IFERROR(B40/B$7,0)</f>
        <v>-9.903830975385608E-2</v>
      </c>
      <c r="C41" s="942">
        <f t="shared" ref="C41:R41" si="23">IFERROR(C40/C$7,0)</f>
        <v>-0.10787839299689063</v>
      </c>
      <c r="D41" s="941">
        <f t="shared" si="23"/>
        <v>-0.10839966356315514</v>
      </c>
      <c r="E41" s="941">
        <f t="shared" si="23"/>
        <v>-0.11719421194798073</v>
      </c>
      <c r="F41" s="941">
        <f t="shared" si="23"/>
        <v>-0.10019109519662181</v>
      </c>
      <c r="G41" s="941">
        <f t="shared" si="23"/>
        <v>-9.923057311517447E-2</v>
      </c>
      <c r="H41" s="941">
        <f t="shared" si="23"/>
        <v>-0.11158254749890899</v>
      </c>
      <c r="I41" s="941">
        <f t="shared" si="23"/>
        <v>-0.11205200418366605</v>
      </c>
      <c r="J41" s="941">
        <f t="shared" si="23"/>
        <v>-0.11962241044224585</v>
      </c>
      <c r="K41" s="941">
        <f t="shared" si="23"/>
        <v>-0.13377962700362506</v>
      </c>
      <c r="L41" s="941">
        <f t="shared" si="23"/>
        <v>-0.12709027593452263</v>
      </c>
      <c r="M41" s="941">
        <f t="shared" si="23"/>
        <v>-0.12074535299663852</v>
      </c>
      <c r="N41" s="941">
        <f t="shared" si="23"/>
        <v>-0.11751393551389404</v>
      </c>
      <c r="O41" s="942">
        <f t="shared" si="23"/>
        <v>-0.11716011152014448</v>
      </c>
      <c r="P41" s="943">
        <f t="shared" si="23"/>
        <v>-0.11481262964919162</v>
      </c>
      <c r="Q41" s="942">
        <f t="shared" si="23"/>
        <v>0</v>
      </c>
      <c r="R41" s="941">
        <f t="shared" si="23"/>
        <v>-4.0578375020561462E-2</v>
      </c>
      <c r="S41" s="942"/>
      <c r="T41" s="931"/>
      <c r="U41" s="342"/>
    </row>
    <row r="42" spans="1:22" s="335" customFormat="1" ht="15.75">
      <c r="A42" s="341" t="s">
        <v>497</v>
      </c>
      <c r="B42" s="339">
        <f t="shared" ref="B42" si="24">+B8+B26</f>
        <v>-2341370.0630000001</v>
      </c>
      <c r="C42" s="340">
        <f t="shared" ref="C42:R42" si="25">+C8+C26</f>
        <v>-4648946.62</v>
      </c>
      <c r="D42" s="337">
        <f t="shared" si="25"/>
        <v>-312837.81</v>
      </c>
      <c r="E42" s="337">
        <f t="shared" si="25"/>
        <v>-306470.92599999998</v>
      </c>
      <c r="F42" s="337">
        <f t="shared" si="25"/>
        <v>-306899.32899999997</v>
      </c>
      <c r="G42" s="337">
        <f t="shared" si="25"/>
        <v>-281127.44900000002</v>
      </c>
      <c r="H42" s="337">
        <f t="shared" si="25"/>
        <v>-296588.67700000003</v>
      </c>
      <c r="I42" s="337">
        <f t="shared" si="25"/>
        <v>-302708.22899999999</v>
      </c>
      <c r="J42" s="337">
        <f t="shared" si="25"/>
        <v>-386877.70299999998</v>
      </c>
      <c r="K42" s="337">
        <f t="shared" si="25"/>
        <v>-341679.636</v>
      </c>
      <c r="L42" s="337">
        <f t="shared" si="25"/>
        <v>-330785.19699999999</v>
      </c>
      <c r="M42" s="337">
        <f t="shared" si="25"/>
        <v>-328195.27399999998</v>
      </c>
      <c r="N42" s="337">
        <f t="shared" si="25"/>
        <v>-323198.81</v>
      </c>
      <c r="O42" s="340">
        <f t="shared" si="25"/>
        <v>-333024.212</v>
      </c>
      <c r="P42" s="339">
        <f t="shared" si="25"/>
        <v>-3850393.2519999999</v>
      </c>
      <c r="Q42" s="338">
        <f t="shared" si="25"/>
        <v>-5086861</v>
      </c>
      <c r="R42" s="337">
        <f t="shared" si="25"/>
        <v>798553.36800000025</v>
      </c>
      <c r="S42" s="336">
        <f>IFERROR(P42/C42-1,0)</f>
        <v>-0.17177081891295198</v>
      </c>
      <c r="T42" s="931"/>
      <c r="V42" s="19"/>
    </row>
    <row r="43" spans="1:22" ht="15.75">
      <c r="A43" s="932" t="s">
        <v>495</v>
      </c>
      <c r="B43" s="944">
        <f t="shared" ref="B43" si="26">IFERROR(B42/B$7,0)</f>
        <v>-2.9997290701768972E-2</v>
      </c>
      <c r="C43" s="929">
        <f t="shared" ref="C43:R43" si="27">IFERROR(C42/C$7,0)</f>
        <v>-3.3077774700618595E-2</v>
      </c>
      <c r="D43" s="934">
        <f t="shared" si="27"/>
        <v>-2.8112921012440076E-2</v>
      </c>
      <c r="E43" s="934">
        <f t="shared" si="27"/>
        <v>-2.9371237499612207E-2</v>
      </c>
      <c r="F43" s="934">
        <f t="shared" si="27"/>
        <v>-2.5586049942849819E-2</v>
      </c>
      <c r="G43" s="934">
        <f t="shared" si="27"/>
        <v>-2.40341202461276E-2</v>
      </c>
      <c r="H43" s="934">
        <f t="shared" si="27"/>
        <v>-2.7988758515026899E-2</v>
      </c>
      <c r="I43" s="934">
        <f t="shared" si="27"/>
        <v>-2.8566254139204585E-2</v>
      </c>
      <c r="J43" s="934">
        <f t="shared" si="27"/>
        <v>-3.6509238025008273E-2</v>
      </c>
      <c r="K43" s="934">
        <f t="shared" si="27"/>
        <v>-3.5116758238552113E-2</v>
      </c>
      <c r="L43" s="934">
        <f t="shared" si="27"/>
        <v>-3.387749574728071E-2</v>
      </c>
      <c r="M43" s="934">
        <f t="shared" si="27"/>
        <v>-3.2617513300518985E-2</v>
      </c>
      <c r="N43" s="934">
        <f t="shared" si="27"/>
        <v>-3.1050862544147281E-2</v>
      </c>
      <c r="O43" s="935">
        <f t="shared" si="27"/>
        <v>-3.1994823952800337E-2</v>
      </c>
      <c r="P43" s="944">
        <f t="shared" si="27"/>
        <v>-3.0218714445365551E-2</v>
      </c>
      <c r="Q43" s="935">
        <f t="shared" si="27"/>
        <v>0</v>
      </c>
      <c r="R43" s="934">
        <f t="shared" si="27"/>
        <v>-6.0826295009640458E-2</v>
      </c>
      <c r="S43" s="936"/>
      <c r="T43" s="930"/>
      <c r="V43" s="267"/>
    </row>
    <row r="44" spans="1:22"/>
    <row r="45" spans="1:22"/>
    <row r="46" spans="1:22">
      <c r="A46" s="221" t="s">
        <v>498</v>
      </c>
      <c r="B46" s="96">
        <f>+B40-B23</f>
        <v>0</v>
      </c>
      <c r="C46" s="96">
        <f t="shared" ref="C46:Q46" si="28">+C40-C23</f>
        <v>0</v>
      </c>
      <c r="D46" s="96">
        <f t="shared" si="28"/>
        <v>0</v>
      </c>
      <c r="E46" s="96">
        <f t="shared" si="28"/>
        <v>0</v>
      </c>
      <c r="F46" s="96">
        <f t="shared" si="28"/>
        <v>0</v>
      </c>
      <c r="G46" s="96">
        <f t="shared" si="28"/>
        <v>0</v>
      </c>
      <c r="H46" s="96">
        <f t="shared" si="28"/>
        <v>0</v>
      </c>
      <c r="I46" s="96">
        <f t="shared" si="28"/>
        <v>0</v>
      </c>
      <c r="J46" s="96">
        <f t="shared" si="28"/>
        <v>0</v>
      </c>
      <c r="K46" s="96">
        <f t="shared" si="28"/>
        <v>0</v>
      </c>
      <c r="L46" s="96">
        <f t="shared" si="28"/>
        <v>0</v>
      </c>
      <c r="M46" s="96">
        <f t="shared" si="28"/>
        <v>0</v>
      </c>
      <c r="N46" s="96">
        <f t="shared" si="28"/>
        <v>0</v>
      </c>
      <c r="O46" s="96">
        <f t="shared" si="28"/>
        <v>0</v>
      </c>
      <c r="P46" s="96">
        <f t="shared" si="28"/>
        <v>0</v>
      </c>
      <c r="Q46" s="96">
        <f t="shared" si="28"/>
        <v>0</v>
      </c>
      <c r="R46" s="96"/>
    </row>
  </sheetData>
  <mergeCells count="3">
    <mergeCell ref="D4:O4"/>
    <mergeCell ref="P4:Q4"/>
    <mergeCell ref="B4:C4"/>
  </mergeCells>
  <phoneticPr fontId="65" type="noConversion"/>
  <conditionalFormatting sqref="B22:P22">
    <cfRule type="cellIs" dxfId="7" priority="1" operator="notEqual">
      <formula>0</formula>
    </cfRule>
  </conditionalFormatting>
  <conditionalFormatting sqref="B46:R46">
    <cfRule type="cellIs" dxfId="6" priority="3" operator="notEqual">
      <formula>0</formula>
    </cfRule>
  </conditionalFormatting>
  <hyperlinks>
    <hyperlink ref="V18" r:id="rId1" xr:uid="{ABA727E1-DF03-44B2-9D1B-0F7FF17D5823}"/>
    <hyperlink ref="V11" r:id="rId2" display="Maintenenace concept budget 2024" xr:uid="{156485EF-0859-4834-AA37-147B82EC854B}"/>
  </hyperlinks>
  <pageMargins left="0.70866141732283472" right="0.70866141732283472" top="0.74803149606299213" bottom="0.74803149606299213" header="0.31496062992125984" footer="0.31496062992125984"/>
  <pageSetup paperSize="9" scale="45" orientation="landscape" r:id="rId3"/>
  <customProperties>
    <customPr name="_pios_id" r:id="rId4"/>
    <customPr name="CofWorksheetType" r:id="rId5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9BEAE-2F3E-4F6D-99B3-87DD31310F3E}">
  <sheetPr>
    <pageSetUpPr fitToPage="1"/>
  </sheetPr>
  <dimension ref="A1:Y46"/>
  <sheetViews>
    <sheetView showGridLines="0" zoomScaleNormal="100" workbookViewId="0">
      <pane xSplit="1" ySplit="6" topLeftCell="B7" activePane="bottomRight" state="frozen"/>
      <selection pane="topRight" activeCell="A30" sqref="A30:G30"/>
      <selection pane="bottomLeft" activeCell="A30" sqref="A30:G30"/>
      <selection pane="bottomRight" activeCell="Q26" sqref="Q26"/>
    </sheetView>
  </sheetViews>
  <sheetFormatPr defaultColWidth="8.7109375" defaultRowHeight="12.75" customHeight="1" outlineLevelRow="1" outlineLevelCol="1"/>
  <cols>
    <col min="1" max="1" width="52.28515625" style="221" customWidth="1"/>
    <col min="2" max="2" width="22" style="221" customWidth="1"/>
    <col min="3" max="4" width="17.28515625" style="221" customWidth="1"/>
    <col min="5" max="16" width="15.7109375" style="221" hidden="1" customWidth="1" outlineLevel="1"/>
    <col min="17" max="17" width="17.28515625" style="221" customWidth="1" collapsed="1"/>
    <col min="18" max="18" width="10.7109375" style="221" customWidth="1"/>
    <col min="19" max="19" width="17" style="221" customWidth="1"/>
    <col min="20" max="22" width="19.28515625" style="221" customWidth="1"/>
    <col min="23" max="23" width="35.7109375" style="221" customWidth="1"/>
    <col min="24" max="24" width="8.7109375" style="221"/>
    <col min="25" max="25" width="146.28515625" style="221" customWidth="1"/>
    <col min="26" max="16384" width="8.7109375" style="221"/>
  </cols>
  <sheetData>
    <row r="1" spans="1:25" ht="20.100000000000001" customHeight="1">
      <c r="A1" s="60" t="str">
        <f>+'0. Instructions'!A1</f>
        <v>Budget 2024</v>
      </c>
      <c r="B1" s="60"/>
      <c r="C1" s="219"/>
      <c r="D1" s="219"/>
      <c r="E1" s="219"/>
      <c r="F1" s="219"/>
      <c r="G1" s="219"/>
      <c r="H1" s="58"/>
      <c r="I1" s="60"/>
      <c r="J1" s="60"/>
      <c r="K1" s="60"/>
      <c r="L1" s="219"/>
      <c r="M1" s="219"/>
      <c r="N1" s="219"/>
      <c r="O1" s="58"/>
      <c r="P1" s="219"/>
      <c r="Q1" s="60"/>
      <c r="R1" s="60"/>
      <c r="S1" s="219"/>
      <c r="T1" s="219"/>
      <c r="U1" s="219"/>
      <c r="V1" s="219"/>
      <c r="W1" s="57" t="str">
        <f>'Input-FX Rates'!$H$1</f>
        <v>Plant ICH Icheon (242)</v>
      </c>
      <c r="X1" s="367"/>
      <c r="Y1" s="56" t="s">
        <v>154</v>
      </c>
    </row>
    <row r="2" spans="1:25" ht="20.100000000000001" customHeight="1" thickBot="1">
      <c r="A2" s="55" t="s">
        <v>428</v>
      </c>
      <c r="B2" s="55"/>
      <c r="C2" s="218"/>
      <c r="D2" s="218"/>
      <c r="E2" s="218"/>
      <c r="F2" s="218"/>
      <c r="G2" s="218"/>
      <c r="H2" s="54"/>
      <c r="I2" s="55"/>
      <c r="J2" s="218"/>
      <c r="K2" s="218"/>
      <c r="L2" s="218"/>
      <c r="M2" s="218"/>
      <c r="N2" s="218"/>
      <c r="O2" s="54"/>
      <c r="P2" s="55"/>
      <c r="Q2" s="218"/>
      <c r="R2" s="218"/>
      <c r="S2" s="218"/>
      <c r="T2" s="218"/>
      <c r="U2" s="218"/>
      <c r="V2" s="218"/>
      <c r="W2" s="54" t="str">
        <f>'Input-FX Rates'!$H$2</f>
        <v>7821 PL Drivetrain Controls (&amp; Electrification)</v>
      </c>
      <c r="Y2" s="95" t="s">
        <v>156</v>
      </c>
    </row>
    <row r="4" spans="1:25" ht="27.6" customHeight="1">
      <c r="A4" s="188" t="str">
        <f>"in '000 "&amp;"EUR"</f>
        <v>in '000 EUR</v>
      </c>
      <c r="B4" s="1035">
        <v>2023</v>
      </c>
      <c r="C4" s="1035"/>
      <c r="D4" s="1035"/>
      <c r="E4" s="1037">
        <v>2024</v>
      </c>
      <c r="F4" s="1035"/>
      <c r="G4" s="1035"/>
      <c r="H4" s="1035"/>
      <c r="I4" s="1035"/>
      <c r="J4" s="1035"/>
      <c r="K4" s="1035"/>
      <c r="L4" s="1035"/>
      <c r="M4" s="1035"/>
      <c r="N4" s="1035"/>
      <c r="O4" s="1035"/>
      <c r="P4" s="1038"/>
      <c r="Q4" s="1037">
        <v>2024</v>
      </c>
      <c r="R4" s="1038"/>
      <c r="S4" s="187" t="s">
        <v>499</v>
      </c>
      <c r="T4" s="188" t="s">
        <v>499</v>
      </c>
      <c r="U4" s="187" t="s">
        <v>499</v>
      </c>
      <c r="V4" s="188" t="s">
        <v>499</v>
      </c>
      <c r="W4" s="659" t="s">
        <v>208</v>
      </c>
      <c r="Y4" s="221" t="s">
        <v>430</v>
      </c>
    </row>
    <row r="5" spans="1:25" ht="15.6" customHeight="1">
      <c r="A5" s="188"/>
      <c r="B5" s="659" t="s">
        <v>248</v>
      </c>
      <c r="C5" s="187" t="s">
        <v>19</v>
      </c>
      <c r="D5" s="653" t="s">
        <v>19</v>
      </c>
      <c r="E5" s="187" t="s">
        <v>329</v>
      </c>
      <c r="F5" s="187" t="s">
        <v>330</v>
      </c>
      <c r="G5" s="187" t="s">
        <v>331</v>
      </c>
      <c r="H5" s="187" t="s">
        <v>332</v>
      </c>
      <c r="I5" s="187" t="s">
        <v>333</v>
      </c>
      <c r="J5" s="187" t="s">
        <v>334</v>
      </c>
      <c r="K5" s="187" t="s">
        <v>335</v>
      </c>
      <c r="L5" s="187" t="s">
        <v>336</v>
      </c>
      <c r="M5" s="187" t="s">
        <v>337</v>
      </c>
      <c r="N5" s="187" t="s">
        <v>338</v>
      </c>
      <c r="O5" s="187" t="s">
        <v>339</v>
      </c>
      <c r="P5" s="188" t="s">
        <v>340</v>
      </c>
      <c r="Q5" s="659" t="s">
        <v>15</v>
      </c>
      <c r="R5" s="188" t="s">
        <v>257</v>
      </c>
      <c r="S5" s="777" t="s">
        <v>500</v>
      </c>
      <c r="T5" s="778" t="s">
        <v>500</v>
      </c>
      <c r="U5" s="777" t="s">
        <v>501</v>
      </c>
      <c r="V5" s="777" t="s">
        <v>501</v>
      </c>
      <c r="W5" s="659"/>
      <c r="Y5" s="221" t="s">
        <v>432</v>
      </c>
    </row>
    <row r="6" spans="1:25" ht="15.75">
      <c r="A6" s="188"/>
      <c r="B6" s="686" t="s">
        <v>502</v>
      </c>
      <c r="C6" s="520" t="s">
        <v>503</v>
      </c>
      <c r="D6" s="653" t="s">
        <v>504</v>
      </c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8"/>
      <c r="Q6" s="659"/>
      <c r="R6" s="188"/>
      <c r="S6" s="41"/>
      <c r="T6" s="40" t="s">
        <v>433</v>
      </c>
      <c r="U6" s="41"/>
      <c r="V6" s="40" t="s">
        <v>433</v>
      </c>
      <c r="W6" s="659"/>
      <c r="Y6" s="267"/>
    </row>
    <row r="7" spans="1:25" s="335" customFormat="1" ht="15.75">
      <c r="A7" s="215" t="s">
        <v>195</v>
      </c>
      <c r="B7" s="266">
        <f>IFERROR('4. Fix Cost (LC) '!B7/'Input-FX Rates'!$E$16,0)</f>
        <v>55718.001789595619</v>
      </c>
      <c r="C7" s="78">
        <f>IFERROR('4. Fix Cost (LC) '!C7/'Input-FX Rates'!$G$16,0)</f>
        <v>100126.74994033898</v>
      </c>
      <c r="D7" s="80">
        <f>IFERROR('4. Fix Cost (LC) '!C7/'Input-FX Rates'!$H$16,0)</f>
        <v>96928.227844137946</v>
      </c>
      <c r="E7" s="78">
        <f>IFERROR('4. Fix Cost (LC) '!D7/'Input-FX Rates'!$H$16,0)</f>
        <v>7674.4146827586201</v>
      </c>
      <c r="F7" s="78">
        <f>IFERROR('4. Fix Cost (LC) '!E7/'Input-FX Rates'!$H$16,0)</f>
        <v>7196.1305448275853</v>
      </c>
      <c r="G7" s="78">
        <f>IFERROR('4. Fix Cost (LC) '!F7/'Input-FX Rates'!$H$16,0)</f>
        <v>8272.2698551724134</v>
      </c>
      <c r="H7" s="78">
        <f>IFERROR('4. Fix Cost (LC) '!G7/'Input-FX Rates'!$H$16,0)</f>
        <v>8066.9064365517243</v>
      </c>
      <c r="I7" s="78">
        <f>IFERROR('4. Fix Cost (LC) '!H7/'Input-FX Rates'!$H$16,0)</f>
        <v>7308.073884827586</v>
      </c>
      <c r="J7" s="78">
        <f>IFERROR('4. Fix Cost (LC) '!I7/'Input-FX Rates'!$H$16,0)</f>
        <v>7308.073884827586</v>
      </c>
      <c r="K7" s="78">
        <f>IFERROR('4. Fix Cost (LC) '!J7/'Input-FX Rates'!$H$16,0)</f>
        <v>7308.073884827586</v>
      </c>
      <c r="L7" s="78">
        <f>IFERROR('4. Fix Cost (LC) '!K7/'Input-FX Rates'!$H$16,0)</f>
        <v>6710.218713103448</v>
      </c>
      <c r="M7" s="78">
        <f>IFERROR('4. Fix Cost (LC) '!L7/'Input-FX Rates'!$H$16,0)</f>
        <v>6733.9015779310348</v>
      </c>
      <c r="N7" s="78">
        <f>IFERROR('4. Fix Cost (LC) '!M7/'Input-FX Rates'!$H$16,0)</f>
        <v>6939.2649951724143</v>
      </c>
      <c r="O7" s="78">
        <f>IFERROR('4. Fix Cost (LC) '!N7/'Input-FX Rates'!$H$16,0)</f>
        <v>7178.4070641379312</v>
      </c>
      <c r="P7" s="80">
        <f>IFERROR('4. Fix Cost (LC) '!O7/'Input-FX Rates'!$H$16,0)</f>
        <v>7178.4070662068962</v>
      </c>
      <c r="Q7" s="266">
        <f>IFERROR('4. Fix Cost (LC) '!P7/'Input-FX Rates'!$H$16,0)</f>
        <v>87874.142590344825</v>
      </c>
      <c r="R7" s="80">
        <f>IFERROR('4. Fix Cost (LC) '!Q7/'Input-FX Rates'!$H$16,0)</f>
        <v>0</v>
      </c>
      <c r="S7" s="78">
        <f>Q7-C7</f>
        <v>-12252.607349994156</v>
      </c>
      <c r="T7" s="264">
        <f>IFERROR(Q7/C7-1,0)</f>
        <v>-0.12237096837053962</v>
      </c>
      <c r="U7" s="78">
        <f>Q7-D7</f>
        <v>-9054.0852537931205</v>
      </c>
      <c r="V7" s="264">
        <f>IFERROR(Q7/D7-1,0)</f>
        <v>-9.341020108561382E-2</v>
      </c>
      <c r="W7" s="945" t="str">
        <f>IF(ISBLANK('4. Fix Cost (LC) '!T7),"",'4. Fix Cost (LC) '!T7)</f>
        <v/>
      </c>
      <c r="Y7" s="19" t="s">
        <v>434</v>
      </c>
    </row>
    <row r="8" spans="1:25" ht="15" outlineLevel="1">
      <c r="A8" s="357" t="s">
        <v>435</v>
      </c>
      <c r="B8" s="370">
        <f>IFERROR('4. Fix Cost (LC) '!B8/'Input-FX Rates'!$E$16,0)</f>
        <v>-1379.1309812013224</v>
      </c>
      <c r="C8" s="365">
        <f>IFERROR('4. Fix Cost (LC) '!C8/'Input-FX Rates'!$G$16,0)</f>
        <v>-2758.8929761448362</v>
      </c>
      <c r="D8" s="364">
        <f>IFERROR('4. Fix Cost (LC) '!C8/'Input-FX Rates'!$H$16,0)</f>
        <v>-2670.7608820689657</v>
      </c>
      <c r="E8" s="365">
        <f>IFERROR('4. Fix Cost (LC) '!D8/'Input-FX Rates'!$H$16,0)</f>
        <v>-174.58724068965518</v>
      </c>
      <c r="F8" s="365">
        <f>IFERROR('4. Fix Cost (LC) '!E8/'Input-FX Rates'!$H$16,0)</f>
        <v>-176.12171931034482</v>
      </c>
      <c r="G8" s="365">
        <f>IFERROR('4. Fix Cost (LC) '!F8/'Input-FX Rates'!$H$16,0)</f>
        <v>-176.42907862068964</v>
      </c>
      <c r="H8" s="365">
        <f>IFERROR('4. Fix Cost (LC) '!G8/'Input-FX Rates'!$H$16,0)</f>
        <v>-160.80723931034484</v>
      </c>
      <c r="I8" s="365">
        <f>IFERROR('4. Fix Cost (LC) '!H8/'Input-FX Rates'!$H$16,0)</f>
        <v>-169.53204206896552</v>
      </c>
      <c r="J8" s="365">
        <f>IFERROR('4. Fix Cost (LC) '!I8/'Input-FX Rates'!$H$16,0)</f>
        <v>-174.69062827586205</v>
      </c>
      <c r="K8" s="365">
        <f>IFERROR('4. Fix Cost (LC) '!J8/'Input-FX Rates'!$H$16,0)</f>
        <v>-223.62182551724138</v>
      </c>
      <c r="L8" s="365">
        <f>IFERROR('4. Fix Cost (LC) '!K8/'Input-FX Rates'!$H$16,0)</f>
        <v>-199.51598689655171</v>
      </c>
      <c r="M8" s="365">
        <f>IFERROR('4. Fix Cost (LC) '!L8/'Input-FX Rates'!$H$16,0)</f>
        <v>-192.28081034482759</v>
      </c>
      <c r="N8" s="365">
        <f>IFERROR('4. Fix Cost (LC) '!M8/'Input-FX Rates'!$H$16,0)</f>
        <v>-192.06977999999998</v>
      </c>
      <c r="O8" s="365">
        <f>IFERROR('4. Fix Cost (LC) '!N8/'Input-FX Rates'!$H$16,0)</f>
        <v>-188.0871427586207</v>
      </c>
      <c r="P8" s="364">
        <f>IFERROR('4. Fix Cost (LC) '!O8/'Input-FX Rates'!$H$16,0)</f>
        <v>-194.5367248275862</v>
      </c>
      <c r="Q8" s="354">
        <f>IFERROR('4. Fix Cost (LC) '!P8/'Input-FX Rates'!$H$16,0)</f>
        <v>-2222.2802186206895</v>
      </c>
      <c r="R8" s="355">
        <f>IFERROR('4. Fix Cost (LC) '!Q8/'Input-FX Rates'!$H$16,0)</f>
        <v>-3508.18</v>
      </c>
      <c r="S8" s="356">
        <f t="shared" ref="S8:S34" si="0">Q8-C8</f>
        <v>536.61275752414667</v>
      </c>
      <c r="T8" s="363">
        <f t="shared" ref="T8:T34" si="1">IFERROR(Q8/C8-1,0)</f>
        <v>-0.19450292641434297</v>
      </c>
      <c r="U8" s="356">
        <f t="shared" ref="U8:U34" si="2">Q8-D8</f>
        <v>448.48066344827612</v>
      </c>
      <c r="V8" s="774">
        <f t="shared" ref="V8:V40" si="3">IFERROR(Q8/D8-1,0)</f>
        <v>-0.16792243231481296</v>
      </c>
      <c r="W8" s="373" t="str">
        <f>IF(ISBLANK('4. Fix Cost (LC) '!T8),"",'4. Fix Cost (LC) '!T8)</f>
        <v>Comparing to FC, Central assessment cost decrease as sales amount decrease</v>
      </c>
      <c r="Y8" s="267" t="s">
        <v>437</v>
      </c>
    </row>
    <row r="9" spans="1:25" ht="15" outlineLevel="1">
      <c r="A9" s="357" t="s">
        <v>438</v>
      </c>
      <c r="B9" s="370">
        <f>IFERROR('4. Fix Cost (LC) '!B9/'Input-FX Rates'!$E$16,0)</f>
        <v>-86.686718785681393</v>
      </c>
      <c r="C9" s="365">
        <f>IFERROR('4. Fix Cost (LC) '!C9/'Input-FX Rates'!$G$16,0)</f>
        <v>-221.50371166468167</v>
      </c>
      <c r="D9" s="364">
        <f>IFERROR('4. Fix Cost (LC) '!C9/'Input-FX Rates'!$H$16,0)</f>
        <v>-214.42783517241378</v>
      </c>
      <c r="E9" s="365">
        <f>IFERROR('4. Fix Cost (LC) '!D9/'Input-FX Rates'!$H$16,0)</f>
        <v>-19.488312413793103</v>
      </c>
      <c r="F9" s="365">
        <f>IFERROR('4. Fix Cost (LC) '!E9/'Input-FX Rates'!$H$16,0)</f>
        <v>-20.668546896551725</v>
      </c>
      <c r="G9" s="365">
        <f>IFERROR('4. Fix Cost (LC) '!F9/'Input-FX Rates'!$H$16,0)</f>
        <v>-19.792878620689656</v>
      </c>
      <c r="H9" s="365">
        <f>IFERROR('4. Fix Cost (LC) '!G9/'Input-FX Rates'!$H$16,0)</f>
        <v>-18.101251034482758</v>
      </c>
      <c r="I9" s="365">
        <f>IFERROR('4. Fix Cost (LC) '!H9/'Input-FX Rates'!$H$16,0)</f>
        <v>-18.431041379310344</v>
      </c>
      <c r="J9" s="365">
        <f>IFERROR('4. Fix Cost (LC) '!I9/'Input-FX Rates'!$H$16,0)</f>
        <v>-20.244604137931034</v>
      </c>
      <c r="K9" s="365">
        <f>IFERROR('4. Fix Cost (LC) '!J9/'Input-FX Rates'!$H$16,0)</f>
        <v>-24.49303448275862</v>
      </c>
      <c r="L9" s="365">
        <f>IFERROR('4. Fix Cost (LC) '!K9/'Input-FX Rates'!$H$16,0)</f>
        <v>-20.633056551724138</v>
      </c>
      <c r="M9" s="365">
        <f>IFERROR('4. Fix Cost (LC) '!L9/'Input-FX Rates'!$H$16,0)</f>
        <v>-22.240782758620689</v>
      </c>
      <c r="N9" s="365">
        <f>IFERROR('4. Fix Cost (LC) '!M9/'Input-FX Rates'!$H$16,0)</f>
        <v>-20.300078620689657</v>
      </c>
      <c r="O9" s="365">
        <f>IFERROR('4. Fix Cost (LC) '!N9/'Input-FX Rates'!$H$16,0)</f>
        <v>-20.617157931034484</v>
      </c>
      <c r="P9" s="364">
        <f>IFERROR('4. Fix Cost (LC) '!O9/'Input-FX Rates'!$H$16,0)</f>
        <v>-21.046736551724138</v>
      </c>
      <c r="Q9" s="354">
        <f>IFERROR('4. Fix Cost (LC) '!P9/'Input-FX Rates'!$H$16,0)</f>
        <v>-246.05748137931033</v>
      </c>
      <c r="R9" s="355">
        <f>IFERROR('4. Fix Cost (LC) '!Q9/'Input-FX Rates'!$H$16,0)</f>
        <v>0</v>
      </c>
      <c r="S9" s="356">
        <f t="shared" si="0"/>
        <v>-24.553769714628658</v>
      </c>
      <c r="T9" s="363">
        <f t="shared" si="1"/>
        <v>0.11085037596028569</v>
      </c>
      <c r="U9" s="356">
        <f t="shared" si="2"/>
        <v>-31.629646206896552</v>
      </c>
      <c r="V9" s="774">
        <f t="shared" si="3"/>
        <v>0.14750718432364107</v>
      </c>
      <c r="W9" s="373" t="str">
        <f>IF(ISBLANK('4. Fix Cost (LC) '!T9),"",'4. Fix Cost (LC) '!T9)</f>
        <v>FFQ HC increase influences on allocation out +2 HC for new project (HVD, VPC, eCAI)</v>
      </c>
      <c r="Y9" s="267" t="s">
        <v>440</v>
      </c>
    </row>
    <row r="10" spans="1:25" ht="15" outlineLevel="1">
      <c r="A10" s="357" t="s">
        <v>441</v>
      </c>
      <c r="B10" s="370">
        <f>IFERROR('4. Fix Cost (LC) '!B10/'Input-FX Rates'!$E$16,0)</f>
        <v>-243.96900151063696</v>
      </c>
      <c r="C10" s="365">
        <f>IFERROR('4. Fix Cost (LC) '!C10/'Input-FX Rates'!$G$16,0)</f>
        <v>-324.00119873463484</v>
      </c>
      <c r="D10" s="364">
        <f>IFERROR('4. Fix Cost (LC) '!C10/'Input-FX Rates'!$H$16,0)</f>
        <v>-313.65106758620692</v>
      </c>
      <c r="E10" s="365">
        <f>IFERROR('4. Fix Cost (LC) '!D10/'Input-FX Rates'!$H$16,0)</f>
        <v>-48.74016551724138</v>
      </c>
      <c r="F10" s="365">
        <f>IFERROR('4. Fix Cost (LC) '!E10/'Input-FX Rates'!$H$16,0)</f>
        <v>-57.055896551724139</v>
      </c>
      <c r="G10" s="365">
        <f>IFERROR('4. Fix Cost (LC) '!F10/'Input-FX Rates'!$H$16,0)</f>
        <v>-42.374776551724139</v>
      </c>
      <c r="H10" s="365">
        <f>IFERROR('4. Fix Cost (LC) '!G10/'Input-FX Rates'!$H$16,0)</f>
        <v>-27.557072413793101</v>
      </c>
      <c r="I10" s="365">
        <f>IFERROR('4. Fix Cost (LC) '!H10/'Input-FX Rates'!$H$16,0)</f>
        <v>-33.674855172413793</v>
      </c>
      <c r="J10" s="365">
        <f>IFERROR('4. Fix Cost (LC) '!I10/'Input-FX Rates'!$H$16,0)</f>
        <v>-27.482025517241379</v>
      </c>
      <c r="K10" s="365">
        <f>IFERROR('4. Fix Cost (LC) '!J10/'Input-FX Rates'!$H$16,0)</f>
        <v>-34.771689655172409</v>
      </c>
      <c r="L10" s="365">
        <f>IFERROR('4. Fix Cost (LC) '!K10/'Input-FX Rates'!$H$16,0)</f>
        <v>-26.574371034482763</v>
      </c>
      <c r="M10" s="365">
        <f>IFERROR('4. Fix Cost (LC) '!L10/'Input-FX Rates'!$H$16,0)</f>
        <v>-39.348769655172411</v>
      </c>
      <c r="N10" s="365">
        <f>IFERROR('4. Fix Cost (LC) '!M10/'Input-FX Rates'!$H$16,0)</f>
        <v>-27.607769655172415</v>
      </c>
      <c r="O10" s="365">
        <f>IFERROR('4. Fix Cost (LC) '!N10/'Input-FX Rates'!$H$16,0)</f>
        <v>-33.178868275862065</v>
      </c>
      <c r="P10" s="364">
        <f>IFERROR('4. Fix Cost (LC) '!O10/'Input-FX Rates'!$H$16,0)</f>
        <v>-27.826745517241381</v>
      </c>
      <c r="Q10" s="354">
        <f>IFERROR('4. Fix Cost (LC) '!P10/'Input-FX Rates'!$H$16,0)</f>
        <v>-426.19300551724137</v>
      </c>
      <c r="R10" s="355">
        <f>IFERROR('4. Fix Cost (LC) '!Q10/'Input-FX Rates'!$H$16,0)</f>
        <v>0</v>
      </c>
      <c r="S10" s="356">
        <f t="shared" si="0"/>
        <v>-102.19180678260653</v>
      </c>
      <c r="T10" s="363">
        <f t="shared" si="1"/>
        <v>0.31540564412017558</v>
      </c>
      <c r="U10" s="356">
        <f t="shared" si="2"/>
        <v>-112.54193793103445</v>
      </c>
      <c r="V10" s="774">
        <f t="shared" si="3"/>
        <v>0.3588125454095652</v>
      </c>
      <c r="W10" s="373" t="str">
        <f>IF(ISBLANK('4. Fix Cost (LC) '!T10),"",'4. Fix Cost (LC) '!T10)</f>
        <v>Average HC increase vs FC (1.8 -&gt; 2.0) -31K EUR
Other compensation increase -32K EUR
Target gap -71K EUR : FC5+7 figure is applied for FC7+5 (384K EUR)</v>
      </c>
      <c r="Y10" s="267" t="s">
        <v>443</v>
      </c>
    </row>
    <row r="11" spans="1:25" ht="15" outlineLevel="1">
      <c r="A11" s="357" t="s">
        <v>444</v>
      </c>
      <c r="B11" s="333">
        <f>IFERROR('4. Fix Cost (LC) '!B11/'Input-FX Rates'!$E$16,0)</f>
        <v>-1.7440804878868141</v>
      </c>
      <c r="C11" s="223">
        <f>IFERROR('4. Fix Cost (LC) '!C11/'Input-FX Rates'!$G$16,0)</f>
        <v>-2.6570184287141085</v>
      </c>
      <c r="D11" s="332">
        <f>IFERROR('4. Fix Cost (LC) '!C11/'Input-FX Rates'!$H$16,0)</f>
        <v>-2.5721406896551722</v>
      </c>
      <c r="E11" s="365">
        <f>IFERROR('4. Fix Cost (LC) '!D11/'Input-FX Rates'!$H$16,0)</f>
        <v>0</v>
      </c>
      <c r="F11" s="365">
        <f>IFERROR('4. Fix Cost (LC) '!E11/'Input-FX Rates'!$H$16,0)</f>
        <v>0</v>
      </c>
      <c r="G11" s="365">
        <f>IFERROR('4. Fix Cost (LC) '!F11/'Input-FX Rates'!$H$16,0)</f>
        <v>0</v>
      </c>
      <c r="H11" s="365">
        <f>IFERROR('4. Fix Cost (LC) '!G11/'Input-FX Rates'!$H$16,0)</f>
        <v>0</v>
      </c>
      <c r="I11" s="365">
        <f>IFERROR('4. Fix Cost (LC) '!H11/'Input-FX Rates'!$H$16,0)</f>
        <v>-3.4482758620689653</v>
      </c>
      <c r="J11" s="365">
        <f>IFERROR('4. Fix Cost (LC) '!I11/'Input-FX Rates'!$H$16,0)</f>
        <v>0</v>
      </c>
      <c r="K11" s="365">
        <f>IFERROR('4. Fix Cost (LC) '!J11/'Input-FX Rates'!$H$16,0)</f>
        <v>0</v>
      </c>
      <c r="L11" s="365">
        <f>IFERROR('4. Fix Cost (LC) '!K11/'Input-FX Rates'!$H$16,0)</f>
        <v>-8.9655172413793096</v>
      </c>
      <c r="M11" s="365">
        <f>IFERROR('4. Fix Cost (LC) '!L11/'Input-FX Rates'!$H$16,0)</f>
        <v>0</v>
      </c>
      <c r="N11" s="365">
        <f>IFERROR('4. Fix Cost (LC) '!M11/'Input-FX Rates'!$H$16,0)</f>
        <v>0</v>
      </c>
      <c r="O11" s="365">
        <f>IFERROR('4. Fix Cost (LC) '!N11/'Input-FX Rates'!$H$16,0)</f>
        <v>0</v>
      </c>
      <c r="P11" s="364">
        <f>IFERROR('4. Fix Cost (LC) '!O11/'Input-FX Rates'!$H$16,0)</f>
        <v>0</v>
      </c>
      <c r="Q11" s="354">
        <f>IFERROR('4. Fix Cost (LC) '!P11/'Input-FX Rates'!$H$16,0)</f>
        <v>-12.413793103448276</v>
      </c>
      <c r="R11" s="355">
        <f>IFERROR('4. Fix Cost (LC) '!Q11/'Input-FX Rates'!$H$16,0)</f>
        <v>0</v>
      </c>
      <c r="S11" s="356">
        <f t="shared" si="0"/>
        <v>-9.7567746747341673</v>
      </c>
      <c r="T11" s="363">
        <f t="shared" si="1"/>
        <v>3.6720764031192887</v>
      </c>
      <c r="U11" s="356">
        <f t="shared" si="2"/>
        <v>-9.8416524137931027</v>
      </c>
      <c r="V11" s="774">
        <f t="shared" si="3"/>
        <v>3.8262496500969005</v>
      </c>
      <c r="W11" s="373" t="str">
        <f>IF(ISBLANK('4. Fix Cost (LC) '!T11),"",'4. Fix Cost (LC) '!T11)</f>
        <v/>
      </c>
      <c r="Y11" s="987" t="s">
        <v>445</v>
      </c>
    </row>
    <row r="12" spans="1:25" ht="15" outlineLevel="1">
      <c r="A12" s="357" t="s">
        <v>446</v>
      </c>
      <c r="B12" s="333">
        <f>IFERROR('4. Fix Cost (LC) '!B12/'Input-FX Rates'!$E$16,0)</f>
        <v>-39.975182117281449</v>
      </c>
      <c r="C12" s="223">
        <f>IFERROR('4. Fix Cost (LC) '!C12/'Input-FX Rates'!$G$16,0)</f>
        <v>-94.902949898543127</v>
      </c>
      <c r="D12" s="332">
        <f>IFERROR('4. Fix Cost (LC) '!C12/'Input-FX Rates'!$H$16,0)</f>
        <v>-91.871300689655172</v>
      </c>
      <c r="E12" s="365">
        <f>IFERROR('4. Fix Cost (LC) '!D12/'Input-FX Rates'!$H$16,0)</f>
        <v>-10.720333793103448</v>
      </c>
      <c r="F12" s="365">
        <f>IFERROR('4. Fix Cost (LC) '!E12/'Input-FX Rates'!$H$16,0)</f>
        <v>-10.720333793103448</v>
      </c>
      <c r="G12" s="365">
        <f>IFERROR('4. Fix Cost (LC) '!F12/'Input-FX Rates'!$H$16,0)</f>
        <v>-10.720333793103448</v>
      </c>
      <c r="H12" s="365">
        <f>IFERROR('4. Fix Cost (LC) '!G12/'Input-FX Rates'!$H$16,0)</f>
        <v>-10.720333793103448</v>
      </c>
      <c r="I12" s="365">
        <f>IFERROR('4. Fix Cost (LC) '!H12/'Input-FX Rates'!$H$16,0)</f>
        <v>-10.720333793103448</v>
      </c>
      <c r="J12" s="365">
        <f>IFERROR('4. Fix Cost (LC) '!I12/'Input-FX Rates'!$H$16,0)</f>
        <v>-10.720333793103448</v>
      </c>
      <c r="K12" s="365">
        <f>IFERROR('4. Fix Cost (LC) '!J12/'Input-FX Rates'!$H$16,0)</f>
        <v>-10.720333793103448</v>
      </c>
      <c r="L12" s="365">
        <f>IFERROR('4. Fix Cost (LC) '!K12/'Input-FX Rates'!$H$16,0)</f>
        <v>-10.720333793103448</v>
      </c>
      <c r="M12" s="365">
        <f>IFERROR('4. Fix Cost (LC) '!L12/'Input-FX Rates'!$H$16,0)</f>
        <v>-10.720333793103448</v>
      </c>
      <c r="N12" s="365">
        <f>IFERROR('4. Fix Cost (LC) '!M12/'Input-FX Rates'!$H$16,0)</f>
        <v>-10.720333793103448</v>
      </c>
      <c r="O12" s="365">
        <f>IFERROR('4. Fix Cost (LC) '!N12/'Input-FX Rates'!$H$16,0)</f>
        <v>-10.720333793103448</v>
      </c>
      <c r="P12" s="364">
        <f>IFERROR('4. Fix Cost (LC) '!O12/'Input-FX Rates'!$H$16,0)</f>
        <v>-10.720328275862069</v>
      </c>
      <c r="Q12" s="354">
        <f>IFERROR('4. Fix Cost (LC) '!P12/'Input-FX Rates'!$H$16,0)</f>
        <v>-128.64400000000001</v>
      </c>
      <c r="R12" s="355">
        <f>IFERROR('4. Fix Cost (LC) '!Q12/'Input-FX Rates'!$H$16,0)</f>
        <v>-100</v>
      </c>
      <c r="S12" s="356">
        <f t="shared" si="0"/>
        <v>-33.741050101456878</v>
      </c>
      <c r="T12" s="363">
        <f t="shared" si="1"/>
        <v>0.35553215297868035</v>
      </c>
      <c r="U12" s="356">
        <f t="shared" si="2"/>
        <v>-36.772699310344834</v>
      </c>
      <c r="V12" s="774">
        <f t="shared" si="3"/>
        <v>0.40026318376142767</v>
      </c>
      <c r="W12" s="373" t="str">
        <f>IF(ISBLANK('4. Fix Cost (LC) '!T12),"",'4. Fix Cost (LC) '!T12)</f>
        <v>Target amount is applied rather than VT lab survey result</v>
      </c>
      <c r="Y12" s="267" t="s">
        <v>448</v>
      </c>
    </row>
    <row r="13" spans="1:25" ht="15" outlineLevel="1">
      <c r="A13" s="357" t="s">
        <v>449</v>
      </c>
      <c r="B13" s="333">
        <f>IFERROR('4. Fix Cost (LC) '!B13/'Input-FX Rates'!$E$16,0)</f>
        <v>0</v>
      </c>
      <c r="C13" s="223">
        <f>IFERROR('4. Fix Cost (LC) '!C13/'Input-FX Rates'!$G$16,0)</f>
        <v>0</v>
      </c>
      <c r="D13" s="332">
        <f>IFERROR('4. Fix Cost (LC) '!C13/'Input-FX Rates'!$H$16,0)</f>
        <v>0</v>
      </c>
      <c r="E13" s="365">
        <f>IFERROR('4. Fix Cost (LC) '!D13/'Input-FX Rates'!$H$16,0)</f>
        <v>0</v>
      </c>
      <c r="F13" s="365">
        <f>IFERROR('4. Fix Cost (LC) '!E13/'Input-FX Rates'!$H$16,0)</f>
        <v>0</v>
      </c>
      <c r="G13" s="365">
        <f>IFERROR('4. Fix Cost (LC) '!F13/'Input-FX Rates'!$H$16,0)</f>
        <v>0</v>
      </c>
      <c r="H13" s="365">
        <f>IFERROR('4. Fix Cost (LC) '!G13/'Input-FX Rates'!$H$16,0)</f>
        <v>0</v>
      </c>
      <c r="I13" s="365">
        <f>IFERROR('4. Fix Cost (LC) '!H13/'Input-FX Rates'!$H$16,0)</f>
        <v>0</v>
      </c>
      <c r="J13" s="365">
        <f>IFERROR('4. Fix Cost (LC) '!I13/'Input-FX Rates'!$H$16,0)</f>
        <v>0</v>
      </c>
      <c r="K13" s="365">
        <f>IFERROR('4. Fix Cost (LC) '!J13/'Input-FX Rates'!$H$16,0)</f>
        <v>0</v>
      </c>
      <c r="L13" s="365">
        <f>IFERROR('4. Fix Cost (LC) '!K13/'Input-FX Rates'!$H$16,0)</f>
        <v>0</v>
      </c>
      <c r="M13" s="365">
        <f>IFERROR('4. Fix Cost (LC) '!L13/'Input-FX Rates'!$H$16,0)</f>
        <v>0</v>
      </c>
      <c r="N13" s="365">
        <f>IFERROR('4. Fix Cost (LC) '!M13/'Input-FX Rates'!$H$16,0)</f>
        <v>0</v>
      </c>
      <c r="O13" s="365">
        <f>IFERROR('4. Fix Cost (LC) '!N13/'Input-FX Rates'!$H$16,0)</f>
        <v>0</v>
      </c>
      <c r="P13" s="364">
        <f>IFERROR('4. Fix Cost (LC) '!O13/'Input-FX Rates'!$H$16,0)</f>
        <v>0</v>
      </c>
      <c r="Q13" s="354">
        <f>IFERROR('4. Fix Cost (LC) '!P13/'Input-FX Rates'!$H$16,0)</f>
        <v>0</v>
      </c>
      <c r="R13" s="355">
        <f>IFERROR('4. Fix Cost (LC) '!Q13/'Input-FX Rates'!$H$16,0)</f>
        <v>0</v>
      </c>
      <c r="S13" s="356">
        <f t="shared" si="0"/>
        <v>0</v>
      </c>
      <c r="T13" s="363">
        <f t="shared" si="1"/>
        <v>0</v>
      </c>
      <c r="U13" s="356">
        <f t="shared" si="2"/>
        <v>0</v>
      </c>
      <c r="V13" s="774">
        <f t="shared" si="3"/>
        <v>0</v>
      </c>
      <c r="W13" s="373" t="str">
        <f>IF(ISBLANK('4. Fix Cost (LC) '!T13),"",'4. Fix Cost (LC) '!T13)</f>
        <v>No PRE is expected due to no new project in 2024</v>
      </c>
      <c r="Y13" s="267" t="s">
        <v>451</v>
      </c>
    </row>
    <row r="14" spans="1:25" ht="15" outlineLevel="1">
      <c r="A14" s="357" t="s">
        <v>452</v>
      </c>
      <c r="B14" s="333">
        <f>IFERROR('4. Fix Cost (LC) '!B14/'Input-FX Rates'!$E$16,0)</f>
        <v>-133.8251225799759</v>
      </c>
      <c r="C14" s="223">
        <f>IFERROR('4. Fix Cost (LC) '!C14/'Input-FX Rates'!$G$16,0)</f>
        <v>-293.77550500928226</v>
      </c>
      <c r="D14" s="332">
        <f>IFERROR('4. Fix Cost (LC) '!C14/'Input-FX Rates'!$H$16,0)</f>
        <v>-284.39092551724139</v>
      </c>
      <c r="E14" s="365">
        <f>IFERROR('4. Fix Cost (LC) '!D14/'Input-FX Rates'!$H$16,0)</f>
        <v>-20.133958620689658</v>
      </c>
      <c r="F14" s="365">
        <f>IFERROR('4. Fix Cost (LC) '!E14/'Input-FX Rates'!$H$16,0)</f>
        <v>-20.544393103448275</v>
      </c>
      <c r="G14" s="365">
        <f>IFERROR('4. Fix Cost (LC) '!F14/'Input-FX Rates'!$H$16,0)</f>
        <v>-21.256750344827587</v>
      </c>
      <c r="H14" s="365">
        <f>IFERROR('4. Fix Cost (LC) '!G14/'Input-FX Rates'!$H$16,0)</f>
        <v>-24.271185517241378</v>
      </c>
      <c r="I14" s="365">
        <f>IFERROR('4. Fix Cost (LC) '!H14/'Input-FX Rates'!$H$16,0)</f>
        <v>-20.620286206896552</v>
      </c>
      <c r="J14" s="365">
        <f>IFERROR('4. Fix Cost (LC) '!I14/'Input-FX Rates'!$H$16,0)</f>
        <v>-26.0534</v>
      </c>
      <c r="K14" s="365">
        <f>IFERROR('4. Fix Cost (LC) '!J14/'Input-FX Rates'!$H$16,0)</f>
        <v>-20.096696551724136</v>
      </c>
      <c r="L14" s="365">
        <f>IFERROR('4. Fix Cost (LC) '!K14/'Input-FX Rates'!$H$16,0)</f>
        <v>-64.723373793103448</v>
      </c>
      <c r="M14" s="365">
        <f>IFERROR('4. Fix Cost (LC) '!L14/'Input-FX Rates'!$H$16,0)</f>
        <v>-24.664795862068964</v>
      </c>
      <c r="N14" s="365">
        <f>IFERROR('4. Fix Cost (LC) '!M14/'Input-FX Rates'!$H$16,0)</f>
        <v>-20.628122068965517</v>
      </c>
      <c r="O14" s="365">
        <f>IFERROR('4. Fix Cost (LC) '!N14/'Input-FX Rates'!$H$16,0)</f>
        <v>-24.401444827586207</v>
      </c>
      <c r="P14" s="364">
        <f>IFERROR('4. Fix Cost (LC) '!O14/'Input-FX Rates'!$H$16,0)</f>
        <v>-20.334520000000001</v>
      </c>
      <c r="Q14" s="354">
        <f>IFERROR('4. Fix Cost (LC) '!P14/'Input-FX Rates'!$H$16,0)</f>
        <v>-307.72892689655174</v>
      </c>
      <c r="R14" s="355">
        <f>IFERROR('4. Fix Cost (LC) '!Q14/'Input-FX Rates'!$H$16,0)</f>
        <v>0</v>
      </c>
      <c r="S14" s="356">
        <f t="shared" si="0"/>
        <v>-13.953421887269485</v>
      </c>
      <c r="T14" s="363">
        <f t="shared" si="1"/>
        <v>4.74968867361103E-2</v>
      </c>
      <c r="U14" s="356">
        <f t="shared" si="2"/>
        <v>-23.338001379310356</v>
      </c>
      <c r="V14" s="774">
        <f t="shared" si="3"/>
        <v>8.2063101475069677E-2</v>
      </c>
      <c r="W14" s="373" t="str">
        <f>IF(ISBLANK('4. Fix Cost (LC) '!T14),"",'4. Fix Cost (LC) '!T14)</f>
        <v>Calibration and Inspection fee -26K   cost reduction measure in Fees and purchased service +24K</v>
      </c>
      <c r="Y14" s="267" t="s">
        <v>454</v>
      </c>
    </row>
    <row r="15" spans="1:25" s="335" customFormat="1" ht="15.75" outlineLevel="1">
      <c r="A15" s="341" t="s">
        <v>455</v>
      </c>
      <c r="B15" s="346">
        <f>IFERROR('4. Fix Cost (LC) '!B15/'Input-FX Rates'!$E$16,0)</f>
        <v>-1885.3310866827851</v>
      </c>
      <c r="C15" s="337">
        <f>IFERROR('4. Fix Cost (LC) '!C15/'Input-FX Rates'!$G$16,0)</f>
        <v>-3695.7333598806922</v>
      </c>
      <c r="D15" s="340">
        <f>IFERROR('4. Fix Cost (LC) '!C15/'Input-FX Rates'!$H$16,0)</f>
        <v>-3577.6741517241385</v>
      </c>
      <c r="E15" s="337">
        <f>IFERROR('4. Fix Cost (LC) '!D15/'Input-FX Rates'!$H$16,0)</f>
        <v>-273.67001103448274</v>
      </c>
      <c r="F15" s="337">
        <f>IFERROR('4. Fix Cost (LC) '!E15/'Input-FX Rates'!$H$16,0)</f>
        <v>-285.1108896551724</v>
      </c>
      <c r="G15" s="337">
        <f>IFERROR('4. Fix Cost (LC) '!F15/'Input-FX Rates'!$H$16,0)</f>
        <v>-270.57381793103445</v>
      </c>
      <c r="H15" s="337">
        <f>IFERROR('4. Fix Cost (LC) '!G15/'Input-FX Rates'!$H$16,0)</f>
        <v>-241.45708206896549</v>
      </c>
      <c r="I15" s="337">
        <f>IFERROR('4. Fix Cost (LC) '!H15/'Input-FX Rates'!$H$16,0)</f>
        <v>-256.42683448275858</v>
      </c>
      <c r="J15" s="337">
        <f>IFERROR('4. Fix Cost (LC) '!I15/'Input-FX Rates'!$H$16,0)</f>
        <v>-259.19099172413792</v>
      </c>
      <c r="K15" s="337">
        <f>IFERROR('4. Fix Cost (LC) '!J15/'Input-FX Rates'!$H$16,0)</f>
        <v>-313.70358000000004</v>
      </c>
      <c r="L15" s="337">
        <f>IFERROR('4. Fix Cost (LC) '!K15/'Input-FX Rates'!$H$16,0)</f>
        <v>-331.13263931034481</v>
      </c>
      <c r="M15" s="337">
        <f>IFERROR('4. Fix Cost (LC) '!L15/'Input-FX Rates'!$H$16,0)</f>
        <v>-289.25549241379315</v>
      </c>
      <c r="N15" s="337">
        <f>IFERROR('4. Fix Cost (LC) '!M15/'Input-FX Rates'!$H$16,0)</f>
        <v>-271.32608413793105</v>
      </c>
      <c r="O15" s="337">
        <f>IFERROR('4. Fix Cost (LC) '!N15/'Input-FX Rates'!$H$16,0)</f>
        <v>-277.00494758620687</v>
      </c>
      <c r="P15" s="340">
        <f>IFERROR('4. Fix Cost (LC) '!O15/'Input-FX Rates'!$H$16,0)</f>
        <v>-274.46505517241383</v>
      </c>
      <c r="Q15" s="337">
        <f>IFERROR('4. Fix Cost (LC) '!P15/'Input-FX Rates'!$H$16,0)</f>
        <v>-3343.3174255172412</v>
      </c>
      <c r="R15" s="340">
        <f>IFERROR('4. Fix Cost (LC) '!Q15/'Input-FX Rates'!$H$16,0)</f>
        <v>-3608.18</v>
      </c>
      <c r="S15" s="337">
        <f t="shared" si="0"/>
        <v>352.41593436345102</v>
      </c>
      <c r="T15" s="336">
        <f t="shared" si="1"/>
        <v>-9.5357510958211544E-2</v>
      </c>
      <c r="U15" s="337">
        <f t="shared" si="2"/>
        <v>234.35672620689729</v>
      </c>
      <c r="V15" s="775">
        <f t="shared" si="3"/>
        <v>-6.5505330074276613E-2</v>
      </c>
      <c r="W15" s="362" t="str">
        <f>IF(ISBLANK('4. Fix Cost (LC) '!T15),"",'4. Fix Cost (LC) '!T15)</f>
        <v/>
      </c>
      <c r="Y15" s="19"/>
    </row>
    <row r="16" spans="1:25" ht="15" outlineLevel="1">
      <c r="A16" s="357" t="s">
        <v>456</v>
      </c>
      <c r="B16" s="370">
        <f>IFERROR('4. Fix Cost (LC) '!B16/'Input-FX Rates'!$E$16,0)</f>
        <v>-949.6457315093453</v>
      </c>
      <c r="C16" s="223">
        <f>IFERROR('4. Fix Cost (LC) '!C16/'Input-FX Rates'!$G$16,0)</f>
        <v>-1838.0280403482805</v>
      </c>
      <c r="D16" s="332">
        <f>IFERROR('4. Fix Cost (LC) '!C16/'Input-FX Rates'!$H$16,0)</f>
        <v>-1779.3127289655172</v>
      </c>
      <c r="E16" s="365">
        <f>IFERROR('4. Fix Cost (LC) '!D16/'Input-FX Rates'!$H$16,0)</f>
        <v>-148.76833586206897</v>
      </c>
      <c r="F16" s="365">
        <f>IFERROR('4. Fix Cost (LC) '!E16/'Input-FX Rates'!$H$16,0)</f>
        <v>-148.76833586206897</v>
      </c>
      <c r="G16" s="365">
        <f>IFERROR('4. Fix Cost (LC) '!F16/'Input-FX Rates'!$H$16,0)</f>
        <v>-148.76833586206897</v>
      </c>
      <c r="H16" s="365">
        <f>IFERROR('4. Fix Cost (LC) '!G16/'Input-FX Rates'!$H$16,0)</f>
        <v>-148.76833586206897</v>
      </c>
      <c r="I16" s="365">
        <f>IFERROR('4. Fix Cost (LC) '!H16/'Input-FX Rates'!$H$16,0)</f>
        <v>-148.76833586206897</v>
      </c>
      <c r="J16" s="365">
        <f>IFERROR('4. Fix Cost (LC) '!I16/'Input-FX Rates'!$H$16,0)</f>
        <v>-148.76833586206897</v>
      </c>
      <c r="K16" s="365">
        <f>IFERROR('4. Fix Cost (LC) '!J16/'Input-FX Rates'!$H$16,0)</f>
        <v>-148.76833586206897</v>
      </c>
      <c r="L16" s="365">
        <f>IFERROR('4. Fix Cost (LC) '!K16/'Input-FX Rates'!$H$16,0)</f>
        <v>-148.76833586206897</v>
      </c>
      <c r="M16" s="365">
        <f>IFERROR('4. Fix Cost (LC) '!L16/'Input-FX Rates'!$H$16,0)</f>
        <v>-148.76833586206897</v>
      </c>
      <c r="N16" s="365">
        <f>IFERROR('4. Fix Cost (LC) '!M16/'Input-FX Rates'!$H$16,0)</f>
        <v>-148.76833586206897</v>
      </c>
      <c r="O16" s="365">
        <f>IFERROR('4. Fix Cost (LC) '!N16/'Input-FX Rates'!$H$16,0)</f>
        <v>-148.76833586206897</v>
      </c>
      <c r="P16" s="364">
        <f>IFERROR('4. Fix Cost (LC) '!O16/'Input-FX Rates'!$H$16,0)</f>
        <v>-148.76833586206897</v>
      </c>
      <c r="Q16" s="354">
        <f>IFERROR('4. Fix Cost (LC) '!P16/'Input-FX Rates'!$H$16,0)</f>
        <v>-1785.2200303448278</v>
      </c>
      <c r="R16" s="355">
        <f>IFERROR('4. Fix Cost (LC) '!Q16/'Input-FX Rates'!$H$16,0)</f>
        <v>-1779.3127282758619</v>
      </c>
      <c r="S16" s="356">
        <f t="shared" si="0"/>
        <v>52.808010003452637</v>
      </c>
      <c r="T16" s="363">
        <f t="shared" si="1"/>
        <v>-2.8730796725737751E-2</v>
      </c>
      <c r="U16" s="356">
        <f t="shared" si="2"/>
        <v>-5.9073013793106384</v>
      </c>
      <c r="V16" s="774">
        <f t="shared" si="3"/>
        <v>3.3199905127105911E-3</v>
      </c>
      <c r="W16" s="373" t="str">
        <f>IF(ISBLANK('4. Fix Cost (LC) '!T16),"",'4. Fix Cost (LC) '!T16)</f>
        <v>FC 7+5</v>
      </c>
      <c r="Y16" s="267" t="s">
        <v>457</v>
      </c>
    </row>
    <row r="17" spans="1:25" ht="15" outlineLevel="1">
      <c r="A17" s="357" t="s">
        <v>458</v>
      </c>
      <c r="B17" s="333">
        <f>IFERROR('4. Fix Cost (LC) '!B17/'Input-FX Rates'!$E$16,0)</f>
        <v>-413.76360048341417</v>
      </c>
      <c r="C17" s="223">
        <f>IFERROR('4. Fix Cost (LC) '!C17/'Input-FX Rates'!$G$16,0)</f>
        <v>-791.50953720838436</v>
      </c>
      <c r="D17" s="332">
        <f>IFERROR('4. Fix Cost (LC) '!C17/'Input-FX Rates'!$H$16,0)</f>
        <v>-766.22497793103457</v>
      </c>
      <c r="E17" s="365">
        <f>IFERROR('4. Fix Cost (LC) '!D17/'Input-FX Rates'!$H$16,0)</f>
        <v>-66.727195172413801</v>
      </c>
      <c r="F17" s="365">
        <f>IFERROR('4. Fix Cost (LC) '!E17/'Input-FX Rates'!$H$16,0)</f>
        <v>-66.727195172413801</v>
      </c>
      <c r="G17" s="365">
        <f>IFERROR('4. Fix Cost (LC) '!F17/'Input-FX Rates'!$H$16,0)</f>
        <v>-66.727195172413801</v>
      </c>
      <c r="H17" s="365">
        <f>IFERROR('4. Fix Cost (LC) '!G17/'Input-FX Rates'!$H$16,0)</f>
        <v>-66.727195172413801</v>
      </c>
      <c r="I17" s="365">
        <f>IFERROR('4. Fix Cost (LC) '!H17/'Input-FX Rates'!$H$16,0)</f>
        <v>-66.727195172413801</v>
      </c>
      <c r="J17" s="365">
        <f>IFERROR('4. Fix Cost (LC) '!I17/'Input-FX Rates'!$H$16,0)</f>
        <v>-66.727195172413801</v>
      </c>
      <c r="K17" s="365">
        <f>IFERROR('4. Fix Cost (LC) '!J17/'Input-FX Rates'!$H$16,0)</f>
        <v>-66.727195172413801</v>
      </c>
      <c r="L17" s="365">
        <f>IFERROR('4. Fix Cost (LC) '!K17/'Input-FX Rates'!$H$16,0)</f>
        <v>-66.727195172413801</v>
      </c>
      <c r="M17" s="365">
        <f>IFERROR('4. Fix Cost (LC) '!L17/'Input-FX Rates'!$H$16,0)</f>
        <v>-66.727195172413801</v>
      </c>
      <c r="N17" s="365">
        <f>IFERROR('4. Fix Cost (LC) '!M17/'Input-FX Rates'!$H$16,0)</f>
        <v>-66.727195172413801</v>
      </c>
      <c r="O17" s="365">
        <f>IFERROR('4. Fix Cost (LC) '!N17/'Input-FX Rates'!$H$16,0)</f>
        <v>-66.727195172413801</v>
      </c>
      <c r="P17" s="364">
        <f>IFERROR('4. Fix Cost (LC) '!O17/'Input-FX Rates'!$H$16,0)</f>
        <v>-66.727195172413801</v>
      </c>
      <c r="Q17" s="354">
        <f>IFERROR('4. Fix Cost (LC) '!P17/'Input-FX Rates'!$H$16,0)</f>
        <v>-800.72634206896555</v>
      </c>
      <c r="R17" s="355">
        <f>IFERROR('4. Fix Cost (LC) '!Q17/'Input-FX Rates'!$H$16,0)</f>
        <v>-766.22497655172413</v>
      </c>
      <c r="S17" s="356">
        <f t="shared" si="0"/>
        <v>-9.2168048605811919</v>
      </c>
      <c r="T17" s="363">
        <f t="shared" si="1"/>
        <v>1.1644591034352336E-2</v>
      </c>
      <c r="U17" s="356">
        <f t="shared" si="2"/>
        <v>-34.501364137930977</v>
      </c>
      <c r="V17" s="774">
        <f t="shared" si="3"/>
        <v>4.5027720488950651E-2</v>
      </c>
      <c r="W17" s="373" t="str">
        <f>IF(ISBLANK('4. Fix Cost (LC) '!T17),"",'4. Fix Cost (LC) '!T17)</f>
        <v>FC 7+5</v>
      </c>
      <c r="Y17" s="267" t="s">
        <v>459</v>
      </c>
    </row>
    <row r="18" spans="1:25" ht="15" outlineLevel="1">
      <c r="A18" s="357" t="s">
        <v>460</v>
      </c>
      <c r="B18" s="370">
        <f>IFERROR('4. Fix Cost (LC) '!B18/'Input-FX Rates'!$E$16,0)</f>
        <v>14.036738393023711</v>
      </c>
      <c r="C18" s="365">
        <f>IFERROR('4. Fix Cost (LC) '!C18/'Input-FX Rates'!$G$16,0)</f>
        <v>28.016929839870784</v>
      </c>
      <c r="D18" s="364">
        <f>IFERROR('4. Fix Cost (LC) '!C18/'Input-FX Rates'!$H$16,0)</f>
        <v>27.121936551724136</v>
      </c>
      <c r="E18" s="365">
        <f>IFERROR('4. Fix Cost (LC) '!D18/'Input-FX Rates'!$H$16,0)</f>
        <v>6.7291834482758626</v>
      </c>
      <c r="F18" s="365">
        <f>IFERROR('4. Fix Cost (LC) '!E18/'Input-FX Rates'!$H$16,0)</f>
        <v>6.7291834482758626</v>
      </c>
      <c r="G18" s="365">
        <f>IFERROR('4. Fix Cost (LC) '!F18/'Input-FX Rates'!$H$16,0)</f>
        <v>6.7291834482758626</v>
      </c>
      <c r="H18" s="365">
        <f>IFERROR('4. Fix Cost (LC) '!G18/'Input-FX Rates'!$H$16,0)</f>
        <v>6.7291834482758626</v>
      </c>
      <c r="I18" s="365">
        <f>IFERROR('4. Fix Cost (LC) '!H18/'Input-FX Rates'!$H$16,0)</f>
        <v>6.7291834482758626</v>
      </c>
      <c r="J18" s="365">
        <f>IFERROR('4. Fix Cost (LC) '!I18/'Input-FX Rates'!$H$16,0)</f>
        <v>6.7291834482758626</v>
      </c>
      <c r="K18" s="365">
        <f>IFERROR('4. Fix Cost (LC) '!J18/'Input-FX Rates'!$H$16,0)</f>
        <v>6.7291834482758626</v>
      </c>
      <c r="L18" s="365">
        <f>IFERROR('4. Fix Cost (LC) '!K18/'Input-FX Rates'!$H$16,0)</f>
        <v>6.7291834482758626</v>
      </c>
      <c r="M18" s="365">
        <f>IFERROR('4. Fix Cost (LC) '!L18/'Input-FX Rates'!$H$16,0)</f>
        <v>6.7291834482758626</v>
      </c>
      <c r="N18" s="365">
        <f>IFERROR('4. Fix Cost (LC) '!M18/'Input-FX Rates'!$H$16,0)</f>
        <v>6.7291834482758626</v>
      </c>
      <c r="O18" s="365">
        <f>IFERROR('4. Fix Cost (LC) '!N18/'Input-FX Rates'!$H$16,0)</f>
        <v>6.7291834482758626</v>
      </c>
      <c r="P18" s="364">
        <f>IFERROR('4. Fix Cost (LC) '!O18/'Input-FX Rates'!$H$16,0)</f>
        <v>6.7291834482758626</v>
      </c>
      <c r="Q18" s="354">
        <f>IFERROR('4. Fix Cost (LC) '!P18/'Input-FX Rates'!$H$16,0)</f>
        <v>80.75020137931034</v>
      </c>
      <c r="R18" s="355">
        <f>IFERROR('4. Fix Cost (LC) '!Q18/'Input-FX Rates'!$H$16,0)</f>
        <v>0</v>
      </c>
      <c r="S18" s="356">
        <f t="shared" si="0"/>
        <v>52.733271539439556</v>
      </c>
      <c r="T18" s="363">
        <f t="shared" si="1"/>
        <v>1.8821930825694912</v>
      </c>
      <c r="U18" s="356">
        <f t="shared" si="2"/>
        <v>53.628264827586207</v>
      </c>
      <c r="V18" s="774">
        <f t="shared" si="3"/>
        <v>1.9773022005752412</v>
      </c>
      <c r="W18" s="373" t="str">
        <f>IF(ISBLANK('4. Fix Cost (LC) '!T18),"",'4. Fix Cost (LC) '!T18)</f>
        <v>Line share cost increase</v>
      </c>
      <c r="Y18" s="755" t="s">
        <v>462</v>
      </c>
    </row>
    <row r="19" spans="1:25" ht="15" outlineLevel="1">
      <c r="A19" s="357" t="s">
        <v>463</v>
      </c>
      <c r="B19" s="333">
        <f>IFERROR('4. Fix Cost (LC) '!B19/'Input-FX Rates'!$E$16,0)</f>
        <v>-823.87447808755462</v>
      </c>
      <c r="C19" s="223">
        <f>IFERROR('4. Fix Cost (LC) '!C19/'Input-FX Rates'!$G$16,0)</f>
        <v>-1644.4299831726621</v>
      </c>
      <c r="D19" s="332">
        <f>IFERROR('4. Fix Cost (LC) '!C19/'Input-FX Rates'!$H$16,0)</f>
        <v>-1591.8991096551722</v>
      </c>
      <c r="E19" s="365">
        <f>IFERROR('4. Fix Cost (LC) '!D19/'Input-FX Rates'!$H$16,0)</f>
        <v>-132.65825931034482</v>
      </c>
      <c r="F19" s="365">
        <f>IFERROR('4. Fix Cost (LC) '!E19/'Input-FX Rates'!$H$16,0)</f>
        <v>-132.65825931034482</v>
      </c>
      <c r="G19" s="365">
        <f>IFERROR('4. Fix Cost (LC) '!F19/'Input-FX Rates'!$H$16,0)</f>
        <v>-132.65825931034482</v>
      </c>
      <c r="H19" s="365">
        <f>IFERROR('4. Fix Cost (LC) '!G19/'Input-FX Rates'!$H$16,0)</f>
        <v>-132.65825931034482</v>
      </c>
      <c r="I19" s="365">
        <f>IFERROR('4. Fix Cost (LC) '!H19/'Input-FX Rates'!$H$16,0)</f>
        <v>-132.65825931034482</v>
      </c>
      <c r="J19" s="365">
        <f>IFERROR('4. Fix Cost (LC) '!I19/'Input-FX Rates'!$H$16,0)</f>
        <v>-132.65825931034482</v>
      </c>
      <c r="K19" s="365">
        <f>IFERROR('4. Fix Cost (LC) '!J19/'Input-FX Rates'!$H$16,0)</f>
        <v>-132.65825931034482</v>
      </c>
      <c r="L19" s="365">
        <f>IFERROR('4. Fix Cost (LC) '!K19/'Input-FX Rates'!$H$16,0)</f>
        <v>-132.65825931034482</v>
      </c>
      <c r="M19" s="365">
        <f>IFERROR('4. Fix Cost (LC) '!L19/'Input-FX Rates'!$H$16,0)</f>
        <v>-132.65825931034482</v>
      </c>
      <c r="N19" s="365">
        <f>IFERROR('4. Fix Cost (LC) '!M19/'Input-FX Rates'!$H$16,0)</f>
        <v>-132.65825931034482</v>
      </c>
      <c r="O19" s="365">
        <f>IFERROR('4. Fix Cost (LC) '!N19/'Input-FX Rates'!$H$16,0)</f>
        <v>-132.65825931034482</v>
      </c>
      <c r="P19" s="364">
        <f>IFERROR('4. Fix Cost (LC) '!O19/'Input-FX Rates'!$H$16,0)</f>
        <v>-132.65825931034482</v>
      </c>
      <c r="Q19" s="354">
        <f>IFERROR('4. Fix Cost (LC) '!P19/'Input-FX Rates'!$H$16,0)</f>
        <v>-1591.8991117241378</v>
      </c>
      <c r="R19" s="355">
        <f>IFERROR('4. Fix Cost (LC) '!Q19/'Input-FX Rates'!$H$16,0)</f>
        <v>0</v>
      </c>
      <c r="S19" s="356">
        <f t="shared" si="0"/>
        <v>52.530871448524294</v>
      </c>
      <c r="T19" s="363">
        <f t="shared" si="1"/>
        <v>-3.1944729776317016E-2</v>
      </c>
      <c r="U19" s="356">
        <f t="shared" si="2"/>
        <v>-2.0689656139438739E-6</v>
      </c>
      <c r="V19" s="774">
        <f t="shared" si="3"/>
        <v>1.2996839160450691E-9</v>
      </c>
      <c r="W19" s="373" t="str">
        <f>IF(ISBLANK('4. Fix Cost (LC) '!T19),"",'4. Fix Cost (LC) '!T19)</f>
        <v>Depreciation of intangible asset capitalization 'RDE HMC 7 STEP'</v>
      </c>
      <c r="Y19" s="267" t="s">
        <v>465</v>
      </c>
    </row>
    <row r="20" spans="1:25" ht="15" outlineLevel="1">
      <c r="A20" s="357" t="s">
        <v>466</v>
      </c>
      <c r="B20" s="333">
        <f>IFERROR('4. Fix Cost (LC) '!B20/'Input-FX Rates'!$E$16,0)</f>
        <v>-1459.6385617338033</v>
      </c>
      <c r="C20" s="223">
        <f>IFERROR('4. Fix Cost (LC) '!C20/'Input-FX Rates'!$G$16,0)</f>
        <v>-2859.8288887951358</v>
      </c>
      <c r="D20" s="332">
        <f>IFERROR('4. Fix Cost (LC) '!C20/'Input-FX Rates'!$H$16,0)</f>
        <v>-2768.4724241379313</v>
      </c>
      <c r="E20" s="365">
        <f>IFERROR('4. Fix Cost (LC) '!D20/'Input-FX Rates'!$H$16,0)</f>
        <v>-216.80935172413794</v>
      </c>
      <c r="F20" s="365">
        <f>IFERROR('4. Fix Cost (LC) '!E20/'Input-FX Rates'!$H$16,0)</f>
        <v>-216.80935172413794</v>
      </c>
      <c r="G20" s="365">
        <f>IFERROR('4. Fix Cost (LC) '!F20/'Input-FX Rates'!$H$16,0)</f>
        <v>-216.80935172413794</v>
      </c>
      <c r="H20" s="365">
        <f>IFERROR('4. Fix Cost (LC) '!G20/'Input-FX Rates'!$H$16,0)</f>
        <v>-217.60206000000002</v>
      </c>
      <c r="I20" s="365">
        <f>IFERROR('4. Fix Cost (LC) '!H20/'Input-FX Rates'!$H$16,0)</f>
        <v>-217.60206000000002</v>
      </c>
      <c r="J20" s="365">
        <f>IFERROR('4. Fix Cost (LC) '!I20/'Input-FX Rates'!$H$16,0)</f>
        <v>-218.2687268965517</v>
      </c>
      <c r="K20" s="365">
        <f>IFERROR('4. Fix Cost (LC) '!J20/'Input-FX Rates'!$H$16,0)</f>
        <v>-219.0812268965517</v>
      </c>
      <c r="L20" s="365">
        <f>IFERROR('4. Fix Cost (LC) '!K20/'Input-FX Rates'!$H$16,0)</f>
        <v>-225.13331034482758</v>
      </c>
      <c r="M20" s="365">
        <f>IFERROR('4. Fix Cost (LC) '!L20/'Input-FX Rates'!$H$16,0)</f>
        <v>-225.13331034482758</v>
      </c>
      <c r="N20" s="365">
        <f>IFERROR('4. Fix Cost (LC) '!M20/'Input-FX Rates'!$H$16,0)</f>
        <v>-225.13331034482758</v>
      </c>
      <c r="O20" s="365">
        <f>IFERROR('4. Fix Cost (LC) '!N20/'Input-FX Rates'!$H$16,0)</f>
        <v>-225.13331034482758</v>
      </c>
      <c r="P20" s="364">
        <f>IFERROR('4. Fix Cost (LC) '!O20/'Input-FX Rates'!$H$16,0)</f>
        <v>-225.13331034482758</v>
      </c>
      <c r="Q20" s="354">
        <f>IFERROR('4. Fix Cost (LC) '!P20/'Input-FX Rates'!$H$16,0)</f>
        <v>-2648.6486806896551</v>
      </c>
      <c r="R20" s="355">
        <f>IFERROR('4. Fix Cost (LC) '!Q20/'Input-FX Rates'!$H$16,0)</f>
        <v>0</v>
      </c>
      <c r="S20" s="356">
        <f t="shared" si="0"/>
        <v>211.18020810548069</v>
      </c>
      <c r="T20" s="363">
        <f t="shared" si="1"/>
        <v>-7.384365160198525E-2</v>
      </c>
      <c r="U20" s="356">
        <f t="shared" si="2"/>
        <v>119.82374344827622</v>
      </c>
      <c r="V20" s="774">
        <f t="shared" si="3"/>
        <v>-4.3281537646374768E-2</v>
      </c>
      <c r="W20" s="373" t="str">
        <f>IF(ISBLANK('4. Fix Cost (LC) '!T20),"",'4. Fix Cost (LC) '!T20)</f>
        <v>No new project investment is expected</v>
      </c>
      <c r="Y20" s="267" t="s">
        <v>468</v>
      </c>
    </row>
    <row r="21" spans="1:25" s="335" customFormat="1" ht="15.75" outlineLevel="1">
      <c r="A21" s="341" t="s">
        <v>469</v>
      </c>
      <c r="B21" s="346">
        <f>IFERROR('4. Fix Cost (LC) '!B21/'Input-FX Rates'!$E$16,0)</f>
        <v>-3632.8856334210932</v>
      </c>
      <c r="C21" s="337">
        <f>IFERROR('4. Fix Cost (LC) '!C21/'Input-FX Rates'!$G$16,0)</f>
        <v>-7105.7795196845918</v>
      </c>
      <c r="D21" s="340">
        <f>IFERROR('4. Fix Cost (LC) '!C21/'Input-FX Rates'!$H$16,0)</f>
        <v>-6878.7873041379307</v>
      </c>
      <c r="E21" s="337">
        <f>IFERROR('4. Fix Cost (LC) '!D21/'Input-FX Rates'!$H$16,0)</f>
        <v>-558.23395862068969</v>
      </c>
      <c r="F21" s="337">
        <f>IFERROR('4. Fix Cost (LC) '!E21/'Input-FX Rates'!$H$16,0)</f>
        <v>-558.23395862068969</v>
      </c>
      <c r="G21" s="337">
        <f>IFERROR('4. Fix Cost (LC) '!F21/'Input-FX Rates'!$H$16,0)</f>
        <v>-558.23395862068969</v>
      </c>
      <c r="H21" s="337">
        <f>IFERROR('4. Fix Cost (LC) '!G21/'Input-FX Rates'!$H$16,0)</f>
        <v>-559.02666689655177</v>
      </c>
      <c r="I21" s="337">
        <f>IFERROR('4. Fix Cost (LC) '!H21/'Input-FX Rates'!$H$16,0)</f>
        <v>-559.02666689655177</v>
      </c>
      <c r="J21" s="337">
        <f>IFERROR('4. Fix Cost (LC) '!I21/'Input-FX Rates'!$H$16,0)</f>
        <v>-559.69333379310342</v>
      </c>
      <c r="K21" s="337">
        <f>IFERROR('4. Fix Cost (LC) '!J21/'Input-FX Rates'!$H$16,0)</f>
        <v>-560.50583379310342</v>
      </c>
      <c r="L21" s="337">
        <f>IFERROR('4. Fix Cost (LC) '!K21/'Input-FX Rates'!$H$16,0)</f>
        <v>-566.5579172413793</v>
      </c>
      <c r="M21" s="337">
        <f>IFERROR('4. Fix Cost (LC) '!L21/'Input-FX Rates'!$H$16,0)</f>
        <v>-566.5579172413793</v>
      </c>
      <c r="N21" s="337">
        <f>IFERROR('4. Fix Cost (LC) '!M21/'Input-FX Rates'!$H$16,0)</f>
        <v>-566.5579172413793</v>
      </c>
      <c r="O21" s="337">
        <f>IFERROR('4. Fix Cost (LC) '!N21/'Input-FX Rates'!$H$16,0)</f>
        <v>-566.5579172413793</v>
      </c>
      <c r="P21" s="340">
        <f>IFERROR('4. Fix Cost (LC) '!O21/'Input-FX Rates'!$H$16,0)</f>
        <v>-566.5579172413793</v>
      </c>
      <c r="Q21" s="346">
        <f>IFERROR('4. Fix Cost (LC) '!P21/'Input-FX Rates'!$H$16,0)</f>
        <v>-6745.7439634482753</v>
      </c>
      <c r="R21" s="340">
        <f>IFERROR('4. Fix Cost (LC) '!Q21/'Input-FX Rates'!$H$16,0)</f>
        <v>-2545.5377048275859</v>
      </c>
      <c r="S21" s="337">
        <f t="shared" si="0"/>
        <v>360.03555623631655</v>
      </c>
      <c r="T21" s="336">
        <f t="shared" si="1"/>
        <v>-5.0667988675829001E-2</v>
      </c>
      <c r="U21" s="337">
        <f t="shared" si="2"/>
        <v>133.04334068965545</v>
      </c>
      <c r="V21" s="775">
        <f t="shared" si="3"/>
        <v>-1.9341104006751819E-2</v>
      </c>
      <c r="W21" s="362" t="str">
        <f>IF(ISBLANK('4. Fix Cost (LC) '!T21),"",'4. Fix Cost (LC) '!T21)</f>
        <v/>
      </c>
      <c r="Y21" s="928"/>
    </row>
    <row r="22" spans="1:25" ht="15" outlineLevel="1">
      <c r="A22" s="357" t="s">
        <v>470</v>
      </c>
      <c r="B22" s="96">
        <f>IFERROR('4. Fix Cost (LC) '!B22/'Input-FX Rates'!$E$16,0)</f>
        <v>0</v>
      </c>
      <c r="C22" s="96">
        <f>IFERROR('4. Fix Cost (LC) '!C22/'Input-FX Rates'!$G$16,0)</f>
        <v>0</v>
      </c>
      <c r="D22" s="96">
        <f>IFERROR('4. Fix Cost (LC) '!C22/'Input-FX Rates'!$H$16,0)</f>
        <v>0</v>
      </c>
      <c r="E22" s="766">
        <f>IFERROR('4. Fix Cost (LC) '!D22/'Input-FX Rates'!$H$16,0)</f>
        <v>0</v>
      </c>
      <c r="F22" s="96">
        <f>IFERROR('4. Fix Cost (LC) '!E22/'Input-FX Rates'!$H$16,0)</f>
        <v>0</v>
      </c>
      <c r="G22" s="96">
        <f>IFERROR('4. Fix Cost (LC) '!F22/'Input-FX Rates'!$H$16,0)</f>
        <v>0</v>
      </c>
      <c r="H22" s="96">
        <f>IFERROR('4. Fix Cost (LC) '!G22/'Input-FX Rates'!$H$16,0)</f>
        <v>0</v>
      </c>
      <c r="I22" s="96">
        <f>IFERROR('4. Fix Cost (LC) '!H22/'Input-FX Rates'!$H$16,0)</f>
        <v>0</v>
      </c>
      <c r="J22" s="96">
        <f>IFERROR('4. Fix Cost (LC) '!I22/'Input-FX Rates'!$H$16,0)</f>
        <v>0</v>
      </c>
      <c r="K22" s="96">
        <f>IFERROR('4. Fix Cost (LC) '!J22/'Input-FX Rates'!$H$16,0)</f>
        <v>0</v>
      </c>
      <c r="L22" s="96">
        <f>IFERROR('4. Fix Cost (LC) '!K22/'Input-FX Rates'!$H$16,0)</f>
        <v>0</v>
      </c>
      <c r="M22" s="96">
        <f>IFERROR('4. Fix Cost (LC) '!L22/'Input-FX Rates'!$H$16,0)</f>
        <v>0</v>
      </c>
      <c r="N22" s="96">
        <f>IFERROR('4. Fix Cost (LC) '!M22/'Input-FX Rates'!$H$16,0)</f>
        <v>0</v>
      </c>
      <c r="O22" s="96">
        <f>IFERROR('4. Fix Cost (LC) '!N22/'Input-FX Rates'!$H$16,0)</f>
        <v>0</v>
      </c>
      <c r="P22" s="96">
        <f>IFERROR('4. Fix Cost (LC) '!O22/'Input-FX Rates'!$H$16,0)</f>
        <v>0</v>
      </c>
      <c r="Q22" s="766">
        <f>IFERROR('4. Fix Cost (LC) '!P22/'Input-FX Rates'!$H$16,0)</f>
        <v>0</v>
      </c>
      <c r="R22" s="96">
        <f>IFERROR('4. Fix Cost (LC) '!Q22/'Input-FX Rates'!$H$16,0)</f>
        <v>0</v>
      </c>
      <c r="S22" s="767"/>
      <c r="T22" s="363"/>
      <c r="U22" s="767">
        <f t="shared" si="2"/>
        <v>0</v>
      </c>
      <c r="V22" s="774">
        <f t="shared" si="3"/>
        <v>0</v>
      </c>
      <c r="W22" s="373" t="str">
        <f>IF(ISBLANK('4. Fix Cost (LC) '!T22),"",'4. Fix Cost (LC) '!T22)</f>
        <v/>
      </c>
      <c r="Y22" s="652"/>
    </row>
    <row r="23" spans="1:25" s="335" customFormat="1" ht="15.75">
      <c r="A23" s="341" t="s">
        <v>471</v>
      </c>
      <c r="B23" s="346">
        <f>IFERROR('4. Fix Cost (LC) '!B23/'Input-FX Rates'!$E$16,0)</f>
        <v>-5518.2167201038783</v>
      </c>
      <c r="C23" s="337">
        <f>IFERROR('4. Fix Cost (LC) '!C23/'Input-FX Rates'!$G$16,0)</f>
        <v>-10801.512879565285</v>
      </c>
      <c r="D23" s="340">
        <f>IFERROR('4. Fix Cost (LC) '!C23/'Input-FX Rates'!$H$16,0)</f>
        <v>-10456.461455862071</v>
      </c>
      <c r="E23" s="337">
        <f>IFERROR('4. Fix Cost (LC) '!D23/'Input-FX Rates'!$H$16,0)</f>
        <v>-831.90396965517232</v>
      </c>
      <c r="F23" s="337">
        <f>IFERROR('4. Fix Cost (LC) '!E23/'Input-FX Rates'!$H$16,0)</f>
        <v>-843.34484827586209</v>
      </c>
      <c r="G23" s="337">
        <f>IFERROR('4. Fix Cost (LC) '!F23/'Input-FX Rates'!$H$16,0)</f>
        <v>-828.80777655172415</v>
      </c>
      <c r="H23" s="337">
        <f>IFERROR('4. Fix Cost (LC) '!G23/'Input-FX Rates'!$H$16,0)</f>
        <v>-800.48374896551718</v>
      </c>
      <c r="I23" s="337">
        <f>IFERROR('4. Fix Cost (LC) '!H23/'Input-FX Rates'!$H$16,0)</f>
        <v>-815.45350137931041</v>
      </c>
      <c r="J23" s="337">
        <f>IFERROR('4. Fix Cost (LC) '!I23/'Input-FX Rates'!$H$16,0)</f>
        <v>-818.88432551724145</v>
      </c>
      <c r="K23" s="337">
        <f>IFERROR('4. Fix Cost (LC) '!J23/'Input-FX Rates'!$H$16,0)</f>
        <v>-874.20941379310352</v>
      </c>
      <c r="L23" s="337">
        <f>IFERROR('4. Fix Cost (LC) '!K23/'Input-FX Rates'!$H$16,0)</f>
        <v>-897.69055655172428</v>
      </c>
      <c r="M23" s="337">
        <f>IFERROR('4. Fix Cost (LC) '!L23/'Input-FX Rates'!$H$16,0)</f>
        <v>-855.81340965517245</v>
      </c>
      <c r="N23" s="337">
        <f>IFERROR('4. Fix Cost (LC) '!M23/'Input-FX Rates'!$H$16,0)</f>
        <v>-837.88400137931023</v>
      </c>
      <c r="O23" s="337">
        <f>IFERROR('4. Fix Cost (LC) '!N23/'Input-FX Rates'!$H$16,0)</f>
        <v>-843.56286482758617</v>
      </c>
      <c r="P23" s="340">
        <f>IFERROR('4. Fix Cost (LC) '!O23/'Input-FX Rates'!$H$16,0)</f>
        <v>-841.02297241379313</v>
      </c>
      <c r="Q23" s="346">
        <f>IFERROR('4. Fix Cost (LC) '!P23/'Input-FX Rates'!$H$16,0)</f>
        <v>-10089.061388965516</v>
      </c>
      <c r="R23" s="340">
        <f>IFERROR('4. Fix Cost (LC) '!Q23/'Input-FX Rates'!$H$16,0)</f>
        <v>-6153.7177048275862</v>
      </c>
      <c r="S23" s="337">
        <f t="shared" si="0"/>
        <v>712.45149059976939</v>
      </c>
      <c r="T23" s="336">
        <f t="shared" si="1"/>
        <v>-6.5958491050602031E-2</v>
      </c>
      <c r="U23" s="337">
        <f t="shared" si="2"/>
        <v>367.40006689655456</v>
      </c>
      <c r="V23" s="775">
        <f t="shared" si="3"/>
        <v>-3.5136175698384453E-2</v>
      </c>
      <c r="W23" s="362" t="str">
        <f>IF(ISBLANK('4. Fix Cost (LC) '!T23),"",'4. Fix Cost (LC) '!T23)</f>
        <v/>
      </c>
      <c r="Y23" s="19" t="s">
        <v>472</v>
      </c>
    </row>
    <row r="24" spans="1:25" s="335" customFormat="1" ht="15.75">
      <c r="A24" s="341" t="s">
        <v>473</v>
      </c>
      <c r="B24" s="346">
        <f>IFERROR('4. Fix Cost (LC) '!B24/'Input-FX Rates'!$E$16,0)</f>
        <v>-2756.0599108780011</v>
      </c>
      <c r="C24" s="337">
        <f>IFERROR('4. Fix Cost (LC) '!C24/'Input-FX Rates'!$G$16,0)</f>
        <v>-4874.6609352184751</v>
      </c>
      <c r="D24" s="340">
        <f>IFERROR('4. Fix Cost (LC) '!C24/'Input-FX Rates'!$H$16,0)</f>
        <v>-4718.9412027586204</v>
      </c>
      <c r="E24" s="337">
        <f>IFERROR('4. Fix Cost (LC) '!D24/'Input-FX Rates'!$H$16,0)</f>
        <v>-359.24545448275859</v>
      </c>
      <c r="F24" s="337">
        <f>IFERROR('4. Fix Cost (LC) '!E24/'Input-FX Rates'!$H$16,0)</f>
        <v>-325.82727241379308</v>
      </c>
      <c r="G24" s="337">
        <f>IFERROR('4. Fix Cost (LC) '!F24/'Input-FX Rates'!$H$16,0)</f>
        <v>-401.01818206896547</v>
      </c>
      <c r="H24" s="337">
        <f>IFERROR('4. Fix Cost (LC) '!G24/'Input-FX Rates'!$H$16,0)</f>
        <v>-384.30909103448278</v>
      </c>
      <c r="I24" s="337">
        <f>IFERROR('4. Fix Cost (LC) '!H24/'Input-FX Rates'!$H$16,0)</f>
        <v>-334.18181793103446</v>
      </c>
      <c r="J24" s="337">
        <f>IFERROR('4. Fix Cost (LC) '!I24/'Input-FX Rates'!$H$16,0)</f>
        <v>-334.18181793103446</v>
      </c>
      <c r="K24" s="337">
        <f>IFERROR('4. Fix Cost (LC) '!J24/'Input-FX Rates'!$H$16,0)</f>
        <v>-334.18181793103446</v>
      </c>
      <c r="L24" s="337">
        <f>IFERROR('4. Fix Cost (LC) '!K24/'Input-FX Rates'!$H$16,0)</f>
        <v>-292.40909103448274</v>
      </c>
      <c r="M24" s="337">
        <f>IFERROR('4. Fix Cost (LC) '!L24/'Input-FX Rates'!$H$16,0)</f>
        <v>-300.76363655172412</v>
      </c>
      <c r="N24" s="337">
        <f>IFERROR('4. Fix Cost (LC) '!M24/'Input-FX Rates'!$H$16,0)</f>
        <v>-317.47272758620693</v>
      </c>
      <c r="O24" s="337">
        <f>IFERROR('4. Fix Cost (LC) '!N24/'Input-FX Rates'!$H$16,0)</f>
        <v>-334.18181793103446</v>
      </c>
      <c r="P24" s="340">
        <f>IFERROR('4. Fix Cost (LC) '!O24/'Input-FX Rates'!$H$16,0)</f>
        <v>-334.18181862068963</v>
      </c>
      <c r="Q24" s="346">
        <f>IFERROR('4. Fix Cost (LC) '!P24/'Input-FX Rates'!$H$16,0)</f>
        <v>-4051.9545455172415</v>
      </c>
      <c r="R24" s="340">
        <f>IFERROR('4. Fix Cost (LC) '!Q24/'Input-FX Rates'!$H$16,0)</f>
        <v>0</v>
      </c>
      <c r="S24" s="337">
        <f t="shared" si="0"/>
        <v>822.70638970123355</v>
      </c>
      <c r="T24" s="336">
        <f t="shared" si="1"/>
        <v>-0.16877202345651166</v>
      </c>
      <c r="U24" s="337">
        <f t="shared" si="2"/>
        <v>666.98665724137891</v>
      </c>
      <c r="V24" s="775">
        <f t="shared" si="3"/>
        <v>-0.14134243860709028</v>
      </c>
      <c r="W24" s="362" t="str">
        <f>IF(ISBLANK('4. Fix Cost (LC) '!T24),"",'4. Fix Cost (LC) '!T24)</f>
        <v/>
      </c>
      <c r="Y24" s="19" t="s">
        <v>474</v>
      </c>
    </row>
    <row r="25" spans="1:25" s="243" customFormat="1" ht="15" outlineLevel="1">
      <c r="A25" s="369" t="s">
        <v>475</v>
      </c>
      <c r="B25" s="333">
        <f>IFERROR('4. Fix Cost (LC) '!B25/'Input-FX Rates'!$E$16,0)</f>
        <v>-3.4249401996403939</v>
      </c>
      <c r="C25" s="223">
        <f>IFERROR('4. Fix Cost (LC) '!C25/'Input-FX Rates'!$G$16,0)</f>
        <v>-4.7364985872066274</v>
      </c>
      <c r="D25" s="332">
        <f>IFERROR('4. Fix Cost (LC) '!C25/'Input-FX Rates'!$H$16,0)</f>
        <v>-4.5851924137931039</v>
      </c>
      <c r="E25" s="365">
        <f>IFERROR('4. Fix Cost (LC) '!D25/'Input-FX Rates'!$H$16,0)</f>
        <v>-0.92099931034482763</v>
      </c>
      <c r="F25" s="365">
        <f>IFERROR('4. Fix Cost (LC) '!E25/'Input-FX Rates'!$H$16,0)</f>
        <v>-1.0062682758620689</v>
      </c>
      <c r="G25" s="365">
        <f>IFERROR('4. Fix Cost (LC) '!F25/'Input-FX Rates'!$H$16,0)</f>
        <v>-0.66530758620689656</v>
      </c>
      <c r="H25" s="365">
        <f>IFERROR('4. Fix Cost (LC) '!G25/'Input-FX Rates'!$H$16,0)</f>
        <v>-0.32117448275862065</v>
      </c>
      <c r="I25" s="365">
        <f>IFERROR('4. Fix Cost (LC) '!H25/'Input-FX Rates'!$H$16,0)</f>
        <v>-0.46325655172413793</v>
      </c>
      <c r="J25" s="365">
        <f>IFERROR('4. Fix Cost (LC) '!I25/'Input-FX Rates'!$H$16,0)</f>
        <v>-0.31943172413793103</v>
      </c>
      <c r="K25" s="365">
        <f>IFERROR('4. Fix Cost (LC) '!J25/'Input-FX Rates'!$H$16,0)</f>
        <v>-0.37651999999999997</v>
      </c>
      <c r="L25" s="365">
        <f>IFERROR('4. Fix Cost (LC) '!K25/'Input-FX Rates'!$H$16,0)</f>
        <v>-0.28232206896551726</v>
      </c>
      <c r="M25" s="365">
        <f>IFERROR('4. Fix Cost (LC) '!L25/'Input-FX Rates'!$H$16,0)</f>
        <v>-0.68685931034482761</v>
      </c>
      <c r="N25" s="365">
        <f>IFERROR('4. Fix Cost (LC) '!M25/'Input-FX Rates'!$H$16,0)</f>
        <v>-0.30632206896551722</v>
      </c>
      <c r="O25" s="365">
        <f>IFERROR('4. Fix Cost (LC) '!N25/'Input-FX Rates'!$H$16,0)</f>
        <v>-0.43570758620689654</v>
      </c>
      <c r="P25" s="364">
        <f>IFERROR('4. Fix Cost (LC) '!O25/'Input-FX Rates'!$H$16,0)</f>
        <v>-0.31140758620689657</v>
      </c>
      <c r="Q25" s="333">
        <f>IFERROR('4. Fix Cost (LC) '!P25/'Input-FX Rates'!$H$16,0)</f>
        <v>-6.0955765517241378</v>
      </c>
      <c r="R25" s="364">
        <f>IFERROR('4. Fix Cost (LC) '!Q25/'Input-FX Rates'!$H$16,0)</f>
        <v>0</v>
      </c>
      <c r="S25" s="223">
        <f t="shared" si="0"/>
        <v>-1.3590779645175104</v>
      </c>
      <c r="T25" s="298">
        <f t="shared" si="1"/>
        <v>0.28693726800392283</v>
      </c>
      <c r="U25" s="223">
        <f t="shared" si="2"/>
        <v>-1.5103841379310339</v>
      </c>
      <c r="V25" s="224">
        <f t="shared" si="3"/>
        <v>0.3294047450195372</v>
      </c>
      <c r="W25" s="368" t="str">
        <f>IF(ISBLANK('4. Fix Cost (LC) '!T25),"",'4. Fix Cost (LC) '!T25)</f>
        <v/>
      </c>
      <c r="Y25" s="267" t="s">
        <v>476</v>
      </c>
    </row>
    <row r="26" spans="1:25" s="243" customFormat="1" ht="15" outlineLevel="1">
      <c r="A26" s="369" t="s">
        <v>477</v>
      </c>
      <c r="B26" s="333">
        <f>IFERROR('4. Fix Cost (LC) '!B26/'Input-FX Rates'!$E$16,0)</f>
        <v>-292.25811580286114</v>
      </c>
      <c r="C26" s="223">
        <f>IFERROR('4. Fix Cost (LC) '!C26/'Input-FX Rates'!$G$16,0)</f>
        <v>-553.07709988687316</v>
      </c>
      <c r="D26" s="332">
        <f>IFERROR('4. Fix Cost (LC) '!C26/'Input-FX Rates'!$H$16,0)</f>
        <v>-535.40920068965522</v>
      </c>
      <c r="E26" s="372">
        <f>IFERROR('4. Fix Cost (LC) '!D26/'Input-FX Rates'!$H$16,0)</f>
        <v>-41.16297310344828</v>
      </c>
      <c r="F26" s="371">
        <f>IFERROR('4. Fix Cost (LC) '!E26/'Input-FX Rates'!$H$16,0)</f>
        <v>-35.237539999999996</v>
      </c>
      <c r="G26" s="371">
        <f>IFERROR('4. Fix Cost (LC) '!F26/'Input-FX Rates'!$H$16,0)</f>
        <v>-35.22563103448276</v>
      </c>
      <c r="H26" s="371">
        <f>IFERROR('4. Fix Cost (LC) '!G26/'Input-FX Rates'!$H$16,0)</f>
        <v>-33.07376</v>
      </c>
      <c r="I26" s="371">
        <f>IFERROR('4. Fix Cost (LC) '!H26/'Input-FX Rates'!$H$16,0)</f>
        <v>-35.011873103448274</v>
      </c>
      <c r="J26" s="371">
        <f>IFERROR('4. Fix Cost (LC) '!I26/'Input-FX Rates'!$H$16,0)</f>
        <v>-34.073667586206895</v>
      </c>
      <c r="K26" s="371">
        <f>IFERROR('4. Fix Cost (LC) '!J26/'Input-FX Rates'!$H$16,0)</f>
        <v>-43.19038344827586</v>
      </c>
      <c r="L26" s="371">
        <f>IFERROR('4. Fix Cost (LC) '!K26/'Input-FX Rates'!$H$16,0)</f>
        <v>-36.12514137931035</v>
      </c>
      <c r="M26" s="371">
        <f>IFERROR('4. Fix Cost (LC) '!L26/'Input-FX Rates'!$H$16,0)</f>
        <v>-35.846911724137932</v>
      </c>
      <c r="N26" s="371">
        <f>IFERROR('4. Fix Cost (LC) '!M26/'Input-FX Rates'!$H$16,0)</f>
        <v>-34.271788275862072</v>
      </c>
      <c r="O26" s="371">
        <f>IFERROR('4. Fix Cost (LC) '!N26/'Input-FX Rates'!$H$16,0)</f>
        <v>-34.808588275862071</v>
      </c>
      <c r="P26" s="371">
        <f>IFERROR('4. Fix Cost (LC) '!O26/'Input-FX Rates'!$H$16,0)</f>
        <v>-35.135145517241384</v>
      </c>
      <c r="Q26" s="333">
        <f>IFERROR('4. Fix Cost (LC) '!P26/'Input-FX Rates'!$H$16,0)</f>
        <v>-433.16340344827591</v>
      </c>
      <c r="R26" s="364">
        <f>IFERROR('4. Fix Cost (LC) '!Q26/'Input-FX Rates'!$H$16,0)</f>
        <v>0</v>
      </c>
      <c r="S26" s="223">
        <f t="shared" si="0"/>
        <v>119.91369643859724</v>
      </c>
      <c r="T26" s="298">
        <f t="shared" si="1"/>
        <v>-0.21681189921463839</v>
      </c>
      <c r="U26" s="223">
        <f t="shared" si="2"/>
        <v>102.24579724137931</v>
      </c>
      <c r="V26" s="224">
        <f t="shared" si="3"/>
        <v>-0.19096757603283154</v>
      </c>
      <c r="W26" s="368" t="str">
        <f>IF(ISBLANK('4. Fix Cost (LC) '!T26),"",'4. Fix Cost (LC) '!T26)</f>
        <v/>
      </c>
      <c r="Y26" s="267" t="s">
        <v>478</v>
      </c>
    </row>
    <row r="27" spans="1:25" s="243" customFormat="1" ht="15" outlineLevel="1">
      <c r="A27" s="369" t="s">
        <v>479</v>
      </c>
      <c r="B27" s="333">
        <f>IFERROR('4. Fix Cost (LC) '!B27/'Input-FX Rates'!$E$16,0)</f>
        <v>0</v>
      </c>
      <c r="C27" s="223">
        <f>IFERROR('4. Fix Cost (LC) '!C27/'Input-FX Rates'!$G$16,0)</f>
        <v>0</v>
      </c>
      <c r="D27" s="332">
        <f>IFERROR('4. Fix Cost (LC) '!C27/'Input-FX Rates'!$H$16,0)</f>
        <v>0</v>
      </c>
      <c r="E27" s="223">
        <f>IFERROR('4. Fix Cost (LC) '!D27/'Input-FX Rates'!$H$16,0)</f>
        <v>0</v>
      </c>
      <c r="F27" s="223">
        <f>IFERROR('4. Fix Cost (LC) '!E27/'Input-FX Rates'!$H$16,0)</f>
        <v>0</v>
      </c>
      <c r="G27" s="223">
        <f>IFERROR('4. Fix Cost (LC) '!F27/'Input-FX Rates'!$H$16,0)</f>
        <v>0</v>
      </c>
      <c r="H27" s="223">
        <f>IFERROR('4. Fix Cost (LC) '!G27/'Input-FX Rates'!$H$16,0)</f>
        <v>0</v>
      </c>
      <c r="I27" s="223">
        <f>IFERROR('4. Fix Cost (LC) '!H27/'Input-FX Rates'!$H$16,0)</f>
        <v>0</v>
      </c>
      <c r="J27" s="223">
        <f>IFERROR('4. Fix Cost (LC) '!I27/'Input-FX Rates'!$H$16,0)</f>
        <v>0</v>
      </c>
      <c r="K27" s="223">
        <f>IFERROR('4. Fix Cost (LC) '!J27/'Input-FX Rates'!$H$16,0)</f>
        <v>0</v>
      </c>
      <c r="L27" s="223">
        <f>IFERROR('4. Fix Cost (LC) '!K27/'Input-FX Rates'!$H$16,0)</f>
        <v>0</v>
      </c>
      <c r="M27" s="223">
        <f>IFERROR('4. Fix Cost (LC) '!L27/'Input-FX Rates'!$H$16,0)</f>
        <v>0</v>
      </c>
      <c r="N27" s="223">
        <f>IFERROR('4. Fix Cost (LC) '!M27/'Input-FX Rates'!$H$16,0)</f>
        <v>0</v>
      </c>
      <c r="O27" s="223">
        <f>IFERROR('4. Fix Cost (LC) '!N27/'Input-FX Rates'!$H$16,0)</f>
        <v>0</v>
      </c>
      <c r="P27" s="332">
        <f>IFERROR('4. Fix Cost (LC) '!O27/'Input-FX Rates'!$H$16,0)</f>
        <v>0</v>
      </c>
      <c r="Q27" s="370">
        <f>IFERROR('4. Fix Cost (LC) '!P27/'Input-FX Rates'!$H$16,0)</f>
        <v>0</v>
      </c>
      <c r="R27" s="364">
        <f>IFERROR('4. Fix Cost (LC) '!Q27/'Input-FX Rates'!$H$16,0)</f>
        <v>0</v>
      </c>
      <c r="S27" s="223">
        <f t="shared" si="0"/>
        <v>0</v>
      </c>
      <c r="T27" s="298">
        <f t="shared" si="1"/>
        <v>0</v>
      </c>
      <c r="U27" s="223">
        <f t="shared" si="2"/>
        <v>0</v>
      </c>
      <c r="V27" s="224">
        <f t="shared" si="3"/>
        <v>0</v>
      </c>
      <c r="W27" s="368" t="str">
        <f>IF(ISBLANK('4. Fix Cost (LC) '!T27),"",'4. Fix Cost (LC) '!T27)</f>
        <v/>
      </c>
      <c r="Y27" s="267" t="s">
        <v>480</v>
      </c>
    </row>
    <row r="28" spans="1:25" s="243" customFormat="1" ht="15" outlineLevel="1">
      <c r="A28" s="369" t="s">
        <v>481</v>
      </c>
      <c r="B28" s="333">
        <f>IFERROR('4. Fix Cost (LC) '!B28/'Input-FX Rates'!$E$16,0)</f>
        <v>0</v>
      </c>
      <c r="C28" s="223">
        <f>IFERROR('4. Fix Cost (LC) '!C28/'Input-FX Rates'!$G$16,0)</f>
        <v>0</v>
      </c>
      <c r="D28" s="332">
        <f>IFERROR('4. Fix Cost (LC) '!C28/'Input-FX Rates'!$H$16,0)</f>
        <v>0</v>
      </c>
      <c r="E28" s="223">
        <f>IFERROR('4. Fix Cost (LC) '!D28/'Input-FX Rates'!$H$16,0)</f>
        <v>0</v>
      </c>
      <c r="F28" s="223">
        <f>IFERROR('4. Fix Cost (LC) '!E28/'Input-FX Rates'!$H$16,0)</f>
        <v>0</v>
      </c>
      <c r="G28" s="223">
        <f>IFERROR('4. Fix Cost (LC) '!F28/'Input-FX Rates'!$H$16,0)</f>
        <v>0</v>
      </c>
      <c r="H28" s="223">
        <f>IFERROR('4. Fix Cost (LC) '!G28/'Input-FX Rates'!$H$16,0)</f>
        <v>0</v>
      </c>
      <c r="I28" s="223">
        <f>IFERROR('4. Fix Cost (LC) '!H28/'Input-FX Rates'!$H$16,0)</f>
        <v>0</v>
      </c>
      <c r="J28" s="223">
        <f>IFERROR('4. Fix Cost (LC) '!I28/'Input-FX Rates'!$H$16,0)</f>
        <v>0</v>
      </c>
      <c r="K28" s="223">
        <f>IFERROR('4. Fix Cost (LC) '!J28/'Input-FX Rates'!$H$16,0)</f>
        <v>0</v>
      </c>
      <c r="L28" s="223">
        <f>IFERROR('4. Fix Cost (LC) '!K28/'Input-FX Rates'!$H$16,0)</f>
        <v>0</v>
      </c>
      <c r="M28" s="223">
        <f>IFERROR('4. Fix Cost (LC) '!L28/'Input-FX Rates'!$H$16,0)</f>
        <v>0</v>
      </c>
      <c r="N28" s="223">
        <f>IFERROR('4. Fix Cost (LC) '!M28/'Input-FX Rates'!$H$16,0)</f>
        <v>0</v>
      </c>
      <c r="O28" s="223">
        <f>IFERROR('4. Fix Cost (LC) '!N28/'Input-FX Rates'!$H$16,0)</f>
        <v>0</v>
      </c>
      <c r="P28" s="332">
        <f>IFERROR('4. Fix Cost (LC) '!O28/'Input-FX Rates'!$H$16,0)</f>
        <v>0</v>
      </c>
      <c r="Q28" s="370">
        <f>IFERROR('4. Fix Cost (LC) '!P28/'Input-FX Rates'!$H$16,0)</f>
        <v>0</v>
      </c>
      <c r="R28" s="364">
        <f>IFERROR('4. Fix Cost (LC) '!Q28/'Input-FX Rates'!$H$16,0)</f>
        <v>0</v>
      </c>
      <c r="S28" s="223">
        <f t="shared" si="0"/>
        <v>0</v>
      </c>
      <c r="T28" s="298">
        <f t="shared" si="1"/>
        <v>0</v>
      </c>
      <c r="U28" s="223">
        <f t="shared" si="2"/>
        <v>0</v>
      </c>
      <c r="V28" s="224">
        <f t="shared" si="3"/>
        <v>0</v>
      </c>
      <c r="W28" s="368" t="str">
        <f>IF(ISBLANK('4. Fix Cost (LC) '!T28),"",'4. Fix Cost (LC) '!T28)</f>
        <v/>
      </c>
      <c r="Y28" s="267" t="s">
        <v>482</v>
      </c>
    </row>
    <row r="29" spans="1:25" s="243" customFormat="1" ht="15" outlineLevel="1">
      <c r="A29" s="369" t="s">
        <v>452</v>
      </c>
      <c r="B29" s="333">
        <f>IFERROR('4. Fix Cost (LC) '!B29/'Input-FX Rates'!$E$16,0)</f>
        <v>0</v>
      </c>
      <c r="C29" s="223">
        <f>IFERROR('4. Fix Cost (LC) '!C29/'Input-FX Rates'!$G$16,0)</f>
        <v>0</v>
      </c>
      <c r="D29" s="332">
        <f>IFERROR('4. Fix Cost (LC) '!C29/'Input-FX Rates'!$H$16,0)</f>
        <v>0</v>
      </c>
      <c r="E29" s="223">
        <f>IFERROR('4. Fix Cost (LC) '!D29/'Input-FX Rates'!$H$16,0)</f>
        <v>-0.74726712643678006</v>
      </c>
      <c r="F29" s="223">
        <f>IFERROR('4. Fix Cost (LC) '!E29/'Input-FX Rates'!$H$16,0)</f>
        <v>-0.74726712643678006</v>
      </c>
      <c r="G29" s="223">
        <f>IFERROR('4. Fix Cost (LC) '!F29/'Input-FX Rates'!$H$16,0)</f>
        <v>-0.74726712643678006</v>
      </c>
      <c r="H29" s="223">
        <f>IFERROR('4. Fix Cost (LC) '!G29/'Input-FX Rates'!$H$16,0)</f>
        <v>-0.74726712643678006</v>
      </c>
      <c r="I29" s="223">
        <f>IFERROR('4. Fix Cost (LC) '!H29/'Input-FX Rates'!$H$16,0)</f>
        <v>-0.74726712643678006</v>
      </c>
      <c r="J29" s="223">
        <f>IFERROR('4. Fix Cost (LC) '!I29/'Input-FX Rates'!$H$16,0)</f>
        <v>-0.74726712643678006</v>
      </c>
      <c r="K29" s="223">
        <f>IFERROR('4. Fix Cost (LC) '!J29/'Input-FX Rates'!$H$16,0)</f>
        <v>-0.74726712643678006</v>
      </c>
      <c r="L29" s="223">
        <f>IFERROR('4. Fix Cost (LC) '!K29/'Input-FX Rates'!$H$16,0)</f>
        <v>-0.74726712643678006</v>
      </c>
      <c r="M29" s="223">
        <f>IFERROR('4. Fix Cost (LC) '!L29/'Input-FX Rates'!$H$16,0)</f>
        <v>-0.74726712643678006</v>
      </c>
      <c r="N29" s="223">
        <f>IFERROR('4. Fix Cost (LC) '!M29/'Input-FX Rates'!$H$16,0)</f>
        <v>-0.74726712643678006</v>
      </c>
      <c r="O29" s="223">
        <f>IFERROR('4. Fix Cost (LC) '!N29/'Input-FX Rates'!$H$16,0)</f>
        <v>-0.74726712643678006</v>
      </c>
      <c r="P29" s="332">
        <f>IFERROR('4. Fix Cost (LC) '!O29/'Input-FX Rates'!$H$16,0)</f>
        <v>-0.74726712643678006</v>
      </c>
      <c r="Q29" s="333">
        <f>IFERROR('4. Fix Cost (LC) '!P29/'Input-FX Rates'!$H$16,0)</f>
        <v>-8.9672055172413625</v>
      </c>
      <c r="R29" s="364">
        <f>IFERROR('4. Fix Cost (LC) '!Q29/'Input-FX Rates'!$H$16,0)</f>
        <v>0</v>
      </c>
      <c r="S29" s="223">
        <f t="shared" si="0"/>
        <v>-8.9672055172413625</v>
      </c>
      <c r="T29" s="298">
        <f t="shared" si="1"/>
        <v>0</v>
      </c>
      <c r="U29" s="223">
        <f t="shared" si="2"/>
        <v>-8.9672055172413625</v>
      </c>
      <c r="V29" s="224">
        <f t="shared" si="3"/>
        <v>0</v>
      </c>
      <c r="W29" s="368" t="str">
        <f>IF(ISBLANK('4. Fix Cost (LC) '!T29),"",'4. Fix Cost (LC) '!T29)</f>
        <v/>
      </c>
      <c r="Y29" s="267" t="s">
        <v>483</v>
      </c>
    </row>
    <row r="30" spans="1:25" s="335" customFormat="1" ht="15.75">
      <c r="A30" s="341" t="s">
        <v>484</v>
      </c>
      <c r="B30" s="346">
        <f>IFERROR('4. Fix Cost (LC) '!B30/'Input-FX Rates'!$E$16,0)</f>
        <v>-295.68305600250159</v>
      </c>
      <c r="C30" s="337">
        <f>IFERROR('4. Fix Cost (LC) '!C30/'Input-FX Rates'!$G$16,0)</f>
        <v>-557.81359847407975</v>
      </c>
      <c r="D30" s="340">
        <f>IFERROR('4. Fix Cost (LC) '!C30/'Input-FX Rates'!$H$16,0)</f>
        <v>-539.99439310344826</v>
      </c>
      <c r="E30" s="337">
        <f>IFERROR('4. Fix Cost (LC) '!D30/'Input-FX Rates'!$H$16,0)</f>
        <v>-42.831239540229888</v>
      </c>
      <c r="F30" s="337">
        <f>IFERROR('4. Fix Cost (LC) '!E30/'Input-FX Rates'!$H$16,0)</f>
        <v>-36.991075402298847</v>
      </c>
      <c r="G30" s="337">
        <f>IFERROR('4. Fix Cost (LC) '!F30/'Input-FX Rates'!$H$16,0)</f>
        <v>-36.638205747126442</v>
      </c>
      <c r="H30" s="337">
        <f>IFERROR('4. Fix Cost (LC) '!G30/'Input-FX Rates'!$H$16,0)</f>
        <v>-34.142201609195403</v>
      </c>
      <c r="I30" s="337">
        <f>IFERROR('4. Fix Cost (LC) '!H30/'Input-FX Rates'!$H$16,0)</f>
        <v>-36.222396781609199</v>
      </c>
      <c r="J30" s="337">
        <f>IFERROR('4. Fix Cost (LC) '!I30/'Input-FX Rates'!$H$16,0)</f>
        <v>-35.140366436781612</v>
      </c>
      <c r="K30" s="337">
        <f>IFERROR('4. Fix Cost (LC) '!J30/'Input-FX Rates'!$H$16,0)</f>
        <v>-44.314170574712641</v>
      </c>
      <c r="L30" s="337">
        <f>IFERROR('4. Fix Cost (LC) '!K30/'Input-FX Rates'!$H$16,0)</f>
        <v>-37.154730574712644</v>
      </c>
      <c r="M30" s="337">
        <f>IFERROR('4. Fix Cost (LC) '!L30/'Input-FX Rates'!$H$16,0)</f>
        <v>-37.281038160919543</v>
      </c>
      <c r="N30" s="337">
        <f>IFERROR('4. Fix Cost (LC) '!M30/'Input-FX Rates'!$H$16,0)</f>
        <v>-35.325377471264368</v>
      </c>
      <c r="O30" s="337">
        <f>IFERROR('4. Fix Cost (LC) '!N30/'Input-FX Rates'!$H$16,0)</f>
        <v>-35.991562988505748</v>
      </c>
      <c r="P30" s="340">
        <f>IFERROR('4. Fix Cost (LC) '!O30/'Input-FX Rates'!$H$16,0)</f>
        <v>-36.193820229885056</v>
      </c>
      <c r="Q30" s="346">
        <f>IFERROR('4. Fix Cost (LC) '!P30/'Input-FX Rates'!$H$16,0)</f>
        <v>-448.22618551724139</v>
      </c>
      <c r="R30" s="340">
        <f>IFERROR('4. Fix Cost (LC) '!Q30/'Input-FX Rates'!$H$16,0)</f>
        <v>0</v>
      </c>
      <c r="S30" s="337">
        <f t="shared" si="0"/>
        <v>109.58741295683836</v>
      </c>
      <c r="T30" s="336">
        <f t="shared" si="1"/>
        <v>-0.19645884083252696</v>
      </c>
      <c r="U30" s="337">
        <f t="shared" si="2"/>
        <v>91.76820758620687</v>
      </c>
      <c r="V30" s="775">
        <f t="shared" si="3"/>
        <v>-0.16994288970075766</v>
      </c>
      <c r="W30" s="931" t="str">
        <f>IF(ISBLANK('4. Fix Cost (LC) '!T30),"",'4. Fix Cost (LC) '!T30)</f>
        <v/>
      </c>
      <c r="Y30" s="19" t="s">
        <v>485</v>
      </c>
    </row>
    <row r="31" spans="1:25" s="335" customFormat="1" ht="15.75">
      <c r="A31" s="341" t="s">
        <v>486</v>
      </c>
      <c r="B31" s="346">
        <f>IFERROR('4. Fix Cost (LC) '!B31/'Input-FX Rates'!$E$16,0)</f>
        <v>-507.22552372705434</v>
      </c>
      <c r="C31" s="337">
        <f>IFERROR('4. Fix Cost (LC) '!C31/'Input-FX Rates'!$G$16,0)</f>
        <v>-928.9794532535027</v>
      </c>
      <c r="D31" s="340">
        <f>IFERROR('4. Fix Cost (LC) '!C31/'Input-FX Rates'!$H$16,0)</f>
        <v>-899.30345448275864</v>
      </c>
      <c r="E31" s="337">
        <f>IFERROR('4. Fix Cost (LC) '!D31/'Input-FX Rates'!$H$16,0)</f>
        <v>-83.604936551724151</v>
      </c>
      <c r="F31" s="337">
        <f>IFERROR('4. Fix Cost (LC) '!E31/'Input-FX Rates'!$H$16,0)</f>
        <v>-83.604936551724151</v>
      </c>
      <c r="G31" s="337">
        <f>IFERROR('4. Fix Cost (LC) '!F31/'Input-FX Rates'!$H$16,0)</f>
        <v>-83.604936551724151</v>
      </c>
      <c r="H31" s="337">
        <f>IFERROR('4. Fix Cost (LC) '!G31/'Input-FX Rates'!$H$16,0)</f>
        <v>-83.604936551724151</v>
      </c>
      <c r="I31" s="337">
        <f>IFERROR('4. Fix Cost (LC) '!H31/'Input-FX Rates'!$H$16,0)</f>
        <v>-83.604936551724151</v>
      </c>
      <c r="J31" s="337">
        <f>IFERROR('4. Fix Cost (LC) '!I31/'Input-FX Rates'!$H$16,0)</f>
        <v>-83.604936551724151</v>
      </c>
      <c r="K31" s="337">
        <f>IFERROR('4. Fix Cost (LC) '!J31/'Input-FX Rates'!$H$16,0)</f>
        <v>-83.604936551724151</v>
      </c>
      <c r="L31" s="337">
        <f>IFERROR('4. Fix Cost (LC) '!K31/'Input-FX Rates'!$H$16,0)</f>
        <v>-83.604936551724151</v>
      </c>
      <c r="M31" s="337">
        <f>IFERROR('4. Fix Cost (LC) '!L31/'Input-FX Rates'!$H$16,0)</f>
        <v>-83.604936551724151</v>
      </c>
      <c r="N31" s="337">
        <f>IFERROR('4. Fix Cost (LC) '!M31/'Input-FX Rates'!$H$16,0)</f>
        <v>-83.604936551724151</v>
      </c>
      <c r="O31" s="337">
        <f>IFERROR('4. Fix Cost (LC) '!N31/'Input-FX Rates'!$H$16,0)</f>
        <v>-83.604936551724151</v>
      </c>
      <c r="P31" s="340">
        <f>IFERROR('4. Fix Cost (LC) '!O31/'Input-FX Rates'!$H$16,0)</f>
        <v>-83.604936551724151</v>
      </c>
      <c r="Q31" s="346">
        <f>IFERROR('4. Fix Cost (LC) '!P31/'Input-FX Rates'!$H$16,0)</f>
        <v>-1003.2592386206898</v>
      </c>
      <c r="R31" s="340">
        <f>IFERROR('4. Fix Cost (LC) '!Q31/'Input-FX Rates'!$H$16,0)</f>
        <v>0</v>
      </c>
      <c r="S31" s="337">
        <f t="shared" si="0"/>
        <v>-74.27978536718706</v>
      </c>
      <c r="T31" s="336">
        <f t="shared" si="1"/>
        <v>7.9958480359325401E-2</v>
      </c>
      <c r="U31" s="337">
        <f t="shared" si="2"/>
        <v>-103.95578413793112</v>
      </c>
      <c r="V31" s="775">
        <f t="shared" si="3"/>
        <v>0.11559589104183088</v>
      </c>
      <c r="W31" s="931" t="str">
        <f>IF(ISBLANK('4. Fix Cost (LC) '!T31),"",'4. Fix Cost (LC) '!T31)</f>
        <v/>
      </c>
      <c r="Y31" s="19" t="s">
        <v>487</v>
      </c>
    </row>
    <row r="32" spans="1:25" s="335" customFormat="1" ht="15.75">
      <c r="A32" s="341" t="s">
        <v>488</v>
      </c>
      <c r="B32" s="346">
        <f>IFERROR('4. Fix Cost (LC) '!B32/'Input-FX Rates'!$E$16,0)</f>
        <v>-3589.8585817133476</v>
      </c>
      <c r="C32" s="337">
        <f>IFERROR('4. Fix Cost (LC) '!C32/'Input-FX Rates'!$G$16,0)</f>
        <v>-7285.8323079216616</v>
      </c>
      <c r="D32" s="340">
        <f>IFERROR('4. Fix Cost (LC) '!C32/'Input-FX Rates'!$H$16,0)</f>
        <v>-7053.0883544827584</v>
      </c>
      <c r="E32" s="337">
        <f>IFERROR('4. Fix Cost (LC) '!D32/'Input-FX Rates'!$H$16,0)</f>
        <v>-624.37042896551725</v>
      </c>
      <c r="F32" s="337">
        <f>IFERROR('4. Fix Cost (LC) '!E32/'Input-FX Rates'!$H$16,0)</f>
        <v>-624.37042896551725</v>
      </c>
      <c r="G32" s="337">
        <f>IFERROR('4. Fix Cost (LC) '!F32/'Input-FX Rates'!$H$16,0)</f>
        <v>-624.37042896551725</v>
      </c>
      <c r="H32" s="337">
        <f>IFERROR('4. Fix Cost (LC) '!G32/'Input-FX Rates'!$H$16,0)</f>
        <v>-624.37042896551725</v>
      </c>
      <c r="I32" s="337">
        <f>IFERROR('4. Fix Cost (LC) '!H32/'Input-FX Rates'!$H$16,0)</f>
        <v>-624.37042896551725</v>
      </c>
      <c r="J32" s="337">
        <f>IFERROR('4. Fix Cost (LC) '!I32/'Input-FX Rates'!$H$16,0)</f>
        <v>-624.37042896551725</v>
      </c>
      <c r="K32" s="337">
        <f>IFERROR('4. Fix Cost (LC) '!J32/'Input-FX Rates'!$H$16,0)</f>
        <v>-624.37042896551725</v>
      </c>
      <c r="L32" s="337">
        <f>IFERROR('4. Fix Cost (LC) '!K32/'Input-FX Rates'!$H$16,0)</f>
        <v>-624.37042896551725</v>
      </c>
      <c r="M32" s="337">
        <f>IFERROR('4. Fix Cost (LC) '!L32/'Input-FX Rates'!$H$16,0)</f>
        <v>-624.37042896551725</v>
      </c>
      <c r="N32" s="337">
        <f>IFERROR('4. Fix Cost (LC) '!M32/'Input-FX Rates'!$H$16,0)</f>
        <v>-624.37042896551725</v>
      </c>
      <c r="O32" s="337">
        <f>IFERROR('4. Fix Cost (LC) '!N32/'Input-FX Rates'!$H$16,0)</f>
        <v>-624.37042896551725</v>
      </c>
      <c r="P32" s="340">
        <f>IFERROR('4. Fix Cost (LC) '!O32/'Input-FX Rates'!$H$16,0)</f>
        <v>-624.37042896551725</v>
      </c>
      <c r="Q32" s="346">
        <f>IFERROR('4. Fix Cost (LC) '!P32/'Input-FX Rates'!$H$16,0)</f>
        <v>-7492.445147586207</v>
      </c>
      <c r="R32" s="340">
        <f>IFERROR('4. Fix Cost (LC) '!Q32/'Input-FX Rates'!$H$16,0)</f>
        <v>0</v>
      </c>
      <c r="S32" s="337">
        <f t="shared" si="0"/>
        <v>-206.61283966454539</v>
      </c>
      <c r="T32" s="336">
        <f t="shared" si="1"/>
        <v>2.8358165674483349E-2</v>
      </c>
      <c r="U32" s="337">
        <f t="shared" si="2"/>
        <v>-439.35679310344858</v>
      </c>
      <c r="V32" s="775">
        <f t="shared" si="3"/>
        <v>6.2292824224186027E-2</v>
      </c>
      <c r="W32" s="931" t="str">
        <f>IF(ISBLANK('4. Fix Cost (LC) '!T32),"",'4. Fix Cost (LC) '!T32)</f>
        <v/>
      </c>
      <c r="Y32" s="19" t="s">
        <v>489</v>
      </c>
    </row>
    <row r="33" spans="1:25" s="335" customFormat="1" ht="15.75">
      <c r="A33" s="341" t="s">
        <v>490</v>
      </c>
      <c r="B33" s="346">
        <f>IFERROR('4. Fix Cost (LC) '!B33/'Input-FX Rates'!$E$16,0)</f>
        <v>-924.79886787246835</v>
      </c>
      <c r="C33" s="337">
        <f>IFERROR('4. Fix Cost (LC) '!C33/'Input-FX Rates'!$G$16,0)</f>
        <v>-1773.8974585762821</v>
      </c>
      <c r="D33" s="340">
        <f>IFERROR('4. Fix Cost (LC) '!C33/'Input-FX Rates'!$H$16,0)</f>
        <v>-1717.2307813793102</v>
      </c>
      <c r="E33" s="337">
        <f>IFERROR('4. Fix Cost (LC) '!D33/'Input-FX Rates'!$H$16,0)</f>
        <v>-148.46292672413793</v>
      </c>
      <c r="F33" s="337">
        <f>IFERROR('4. Fix Cost (LC) '!E33/'Input-FX Rates'!$H$16,0)</f>
        <v>-148.46292672413793</v>
      </c>
      <c r="G33" s="337">
        <f>IFERROR('4. Fix Cost (LC) '!F33/'Input-FX Rates'!$H$16,0)</f>
        <v>-148.46292672413793</v>
      </c>
      <c r="H33" s="337">
        <f>IFERROR('4. Fix Cost (LC) '!G33/'Input-FX Rates'!$H$16,0)</f>
        <v>-148.46292672413793</v>
      </c>
      <c r="I33" s="337">
        <f>IFERROR('4. Fix Cost (LC) '!H33/'Input-FX Rates'!$H$16,0)</f>
        <v>-148.46292672413793</v>
      </c>
      <c r="J33" s="337">
        <f>IFERROR('4. Fix Cost (LC) '!I33/'Input-FX Rates'!$H$16,0)</f>
        <v>-148.46292672413793</v>
      </c>
      <c r="K33" s="337">
        <f>IFERROR('4. Fix Cost (LC) '!J33/'Input-FX Rates'!$H$16,0)</f>
        <v>-148.46292672413793</v>
      </c>
      <c r="L33" s="337">
        <f>IFERROR('4. Fix Cost (LC) '!K33/'Input-FX Rates'!$H$16,0)</f>
        <v>-148.46292672413793</v>
      </c>
      <c r="M33" s="337">
        <f>IFERROR('4. Fix Cost (LC) '!L33/'Input-FX Rates'!$H$16,0)</f>
        <v>-148.46292672413793</v>
      </c>
      <c r="N33" s="337">
        <f>IFERROR('4. Fix Cost (LC) '!M33/'Input-FX Rates'!$H$16,0)</f>
        <v>-148.46292672413793</v>
      </c>
      <c r="O33" s="337">
        <f>IFERROR('4. Fix Cost (LC) '!N33/'Input-FX Rates'!$H$16,0)</f>
        <v>-148.46292672413793</v>
      </c>
      <c r="P33" s="340">
        <f>IFERROR('4. Fix Cost (LC) '!O33/'Input-FX Rates'!$H$16,0)</f>
        <v>-148.46292672413793</v>
      </c>
      <c r="Q33" s="346">
        <f>IFERROR('4. Fix Cost (LC) '!P33/'Input-FX Rates'!$H$16,0)</f>
        <v>-1781.555120689655</v>
      </c>
      <c r="R33" s="340">
        <f>IFERROR('4. Fix Cost (LC) '!Q33/'Input-FX Rates'!$H$16,0)</f>
        <v>0</v>
      </c>
      <c r="S33" s="337">
        <f t="shared" si="0"/>
        <v>-7.6576621133729077</v>
      </c>
      <c r="T33" s="336">
        <f t="shared" si="1"/>
        <v>4.316857254826223E-3</v>
      </c>
      <c r="U33" s="337">
        <f t="shared" si="2"/>
        <v>-64.32433931034484</v>
      </c>
      <c r="V33" s="775">
        <f t="shared" si="3"/>
        <v>3.7458179767007493E-2</v>
      </c>
      <c r="W33" s="931" t="str">
        <f>IF(ISBLANK('4. Fix Cost (LC) '!T33),"",'4. Fix Cost (LC) '!T33)</f>
        <v/>
      </c>
      <c r="Y33" s="19" t="s">
        <v>491</v>
      </c>
    </row>
    <row r="34" spans="1:25" ht="15.75">
      <c r="A34" s="341" t="s">
        <v>492</v>
      </c>
      <c r="B34" s="344">
        <f>IFERROR('4. Fix Cost (LC) '!B34/'Input-FX Rates'!$E$16,0)</f>
        <v>-13591.842660297252</v>
      </c>
      <c r="C34" s="345">
        <f>IFERROR('4. Fix Cost (LC) '!C34/'Input-FX Rates'!$G$16,0)</f>
        <v>-26222.696633009291</v>
      </c>
      <c r="D34" s="343">
        <f>IFERROR('4. Fix Cost (LC) '!C34/'Input-FX Rates'!$H$16,0)</f>
        <v>-25385.019642068968</v>
      </c>
      <c r="E34" s="345">
        <f>IFERROR('4. Fix Cost (LC) '!D34/'Input-FX Rates'!$H$16,0)</f>
        <v>-2090.4189559195402</v>
      </c>
      <c r="F34" s="345">
        <f>IFERROR('4. Fix Cost (LC) '!E34/'Input-FX Rates'!$H$16,0)</f>
        <v>-2062.6014883333332</v>
      </c>
      <c r="G34" s="345">
        <f>IFERROR('4. Fix Cost (LC) '!F34/'Input-FX Rates'!$H$16,0)</f>
        <v>-2122.9024566091953</v>
      </c>
      <c r="H34" s="345">
        <f>IFERROR('4. Fix Cost (LC) '!G34/'Input-FX Rates'!$H$16,0)</f>
        <v>-2075.3733338505745</v>
      </c>
      <c r="I34" s="345">
        <f>IFERROR('4. Fix Cost (LC) '!H34/'Input-FX Rates'!$H$16,0)</f>
        <v>-2042.2960083333332</v>
      </c>
      <c r="J34" s="345">
        <f>IFERROR('4. Fix Cost (LC) '!I34/'Input-FX Rates'!$H$16,0)</f>
        <v>-2044.6448021264368</v>
      </c>
      <c r="K34" s="345">
        <f>IFERROR('4. Fix Cost (LC) '!J34/'Input-FX Rates'!$H$16,0)</f>
        <v>-2109.1436945402297</v>
      </c>
      <c r="L34" s="345">
        <f>IFERROR('4. Fix Cost (LC) '!K34/'Input-FX Rates'!$H$16,0)</f>
        <v>-2083.692670402299</v>
      </c>
      <c r="M34" s="345">
        <f>IFERROR('4. Fix Cost (LC) '!L34/'Input-FX Rates'!$H$16,0)</f>
        <v>-2050.2963766091957</v>
      </c>
      <c r="N34" s="345">
        <f>IFERROR('4. Fix Cost (LC) '!M34/'Input-FX Rates'!$H$16,0)</f>
        <v>-2047.1203986781607</v>
      </c>
      <c r="O34" s="345">
        <f>IFERROR('4. Fix Cost (LC) '!N34/'Input-FX Rates'!$H$16,0)</f>
        <v>-2070.174537988506</v>
      </c>
      <c r="P34" s="343">
        <f>IFERROR('4. Fix Cost (LC) '!O34/'Input-FX Rates'!$H$16,0)</f>
        <v>-2067.8369035057472</v>
      </c>
      <c r="Q34" s="344">
        <f>IFERROR('4. Fix Cost (LC) '!P34/'Input-FX Rates'!$H$16,0)</f>
        <v>-24866.501626896548</v>
      </c>
      <c r="R34" s="343">
        <f>IFERROR('4. Fix Cost (LC) '!Q34/'Input-FX Rates'!$H$16,0)</f>
        <v>-6153.7177048275862</v>
      </c>
      <c r="S34" s="345">
        <f t="shared" si="0"/>
        <v>1356.1950061127427</v>
      </c>
      <c r="T34" s="336">
        <f t="shared" si="1"/>
        <v>-5.1718365395172827E-2</v>
      </c>
      <c r="U34" s="345">
        <f t="shared" si="2"/>
        <v>518.51801517241984</v>
      </c>
      <c r="V34" s="775">
        <f t="shared" si="3"/>
        <v>-2.0426141972059497E-2</v>
      </c>
      <c r="W34" s="946" t="str">
        <f>IF(ISBLANK('4. Fix Cost (LC) '!T34),"",'4. Fix Cost (LC) '!T34)</f>
        <v/>
      </c>
      <c r="Y34" s="19" t="s">
        <v>493</v>
      </c>
    </row>
    <row r="35" spans="1:25" ht="15">
      <c r="A35" s="351"/>
      <c r="B35" s="347"/>
      <c r="C35" s="349"/>
      <c r="D35" s="349"/>
      <c r="E35" s="765"/>
      <c r="F35" s="349"/>
      <c r="G35" s="349"/>
      <c r="H35" s="349"/>
      <c r="I35" s="349"/>
      <c r="J35" s="349"/>
      <c r="K35" s="349"/>
      <c r="L35" s="349"/>
      <c r="M35" s="349"/>
      <c r="N35" s="349"/>
      <c r="O35" s="349"/>
      <c r="P35" s="350"/>
      <c r="Q35" s="347"/>
      <c r="R35" s="350"/>
      <c r="S35" s="349"/>
      <c r="T35" s="348"/>
      <c r="U35" s="349"/>
      <c r="V35" s="776"/>
      <c r="W35" s="347" t="str">
        <f>IF(ISBLANK('4. Fix Cost (LC) '!T35),"",'4. Fix Cost (LC) '!T35)</f>
        <v/>
      </c>
      <c r="Y35" s="267"/>
    </row>
    <row r="36" spans="1:25" s="335" customFormat="1" ht="15.75">
      <c r="A36" s="341" t="s">
        <v>494</v>
      </c>
      <c r="B36" s="344">
        <f>IFERROR('4. Fix Cost (LC) '!B36/'Input-FX Rates'!$E$16,0)</f>
        <v>-1885.3310866827851</v>
      </c>
      <c r="C36" s="345">
        <f>IFERROR('4. Fix Cost (LC) '!C36/'Input-FX Rates'!$G$16,0)</f>
        <v>-3695.7333598806922</v>
      </c>
      <c r="D36" s="343">
        <f>IFERROR('4. Fix Cost (LC) '!C36/'Input-FX Rates'!$H$16,0)</f>
        <v>-3577.6741517241385</v>
      </c>
      <c r="E36" s="345">
        <f>IFERROR('4. Fix Cost (LC) '!D36/'Input-FX Rates'!$H$16,0)</f>
        <v>-273.67001103448274</v>
      </c>
      <c r="F36" s="337">
        <f>IFERROR('4. Fix Cost (LC) '!E36/'Input-FX Rates'!$H$16,0)</f>
        <v>-285.1108896551724</v>
      </c>
      <c r="G36" s="337">
        <f>IFERROR('4. Fix Cost (LC) '!F36/'Input-FX Rates'!$H$16,0)</f>
        <v>-270.57381793103445</v>
      </c>
      <c r="H36" s="337">
        <f>IFERROR('4. Fix Cost (LC) '!G36/'Input-FX Rates'!$H$16,0)</f>
        <v>-241.45708206896549</v>
      </c>
      <c r="I36" s="337">
        <f>IFERROR('4. Fix Cost (LC) '!H36/'Input-FX Rates'!$H$16,0)</f>
        <v>-256.42683448275858</v>
      </c>
      <c r="J36" s="337">
        <f>IFERROR('4. Fix Cost (LC) '!I36/'Input-FX Rates'!$H$16,0)</f>
        <v>-259.19099172413792</v>
      </c>
      <c r="K36" s="337">
        <f>IFERROR('4. Fix Cost (LC) '!J36/'Input-FX Rates'!$H$16,0)</f>
        <v>-313.70358000000004</v>
      </c>
      <c r="L36" s="337">
        <f>IFERROR('4. Fix Cost (LC) '!K36/'Input-FX Rates'!$H$16,0)</f>
        <v>-331.13263931034481</v>
      </c>
      <c r="M36" s="337">
        <f>IFERROR('4. Fix Cost (LC) '!L36/'Input-FX Rates'!$H$16,0)</f>
        <v>-289.25549241379315</v>
      </c>
      <c r="N36" s="337">
        <f>IFERROR('4. Fix Cost (LC) '!M36/'Input-FX Rates'!$H$16,0)</f>
        <v>-271.32608413793105</v>
      </c>
      <c r="O36" s="337">
        <f>IFERROR('4. Fix Cost (LC) '!N36/'Input-FX Rates'!$H$16,0)</f>
        <v>-277.00494758620687</v>
      </c>
      <c r="P36" s="340">
        <f>IFERROR('4. Fix Cost (LC) '!O36/'Input-FX Rates'!$H$16,0)</f>
        <v>-274.46505517241383</v>
      </c>
      <c r="Q36" s="344">
        <f>IFERROR('4. Fix Cost (LC) '!P36/'Input-FX Rates'!$H$16,0)</f>
        <v>-3343.3174255172412</v>
      </c>
      <c r="R36" s="343">
        <f>IFERROR('4. Fix Cost (LC) '!Q36/'Input-FX Rates'!$H$16,0)</f>
        <v>-3608.18</v>
      </c>
      <c r="S36" s="337">
        <f>+S15</f>
        <v>352.41593436345102</v>
      </c>
      <c r="T36" s="336">
        <f>IFERROR(Q36/C36-1,0)</f>
        <v>-9.5357510958211544E-2</v>
      </c>
      <c r="U36" s="337">
        <f>+U15</f>
        <v>234.35672620689729</v>
      </c>
      <c r="V36" s="775">
        <f t="shared" si="3"/>
        <v>-6.5505330074276613E-2</v>
      </c>
      <c r="W36" s="930" t="str">
        <f>IF(ISBLANK('4. Fix Cost (LC) '!T36),"",'4. Fix Cost (LC) '!T36)</f>
        <v/>
      </c>
      <c r="Y36" s="19"/>
    </row>
    <row r="37" spans="1:25" ht="15.75">
      <c r="A37" s="932" t="s">
        <v>495</v>
      </c>
      <c r="B37" s="933">
        <f t="shared" ref="B37" si="4">IFERROR(B36/B$7,0)</f>
        <v>-3.383701902667368E-2</v>
      </c>
      <c r="C37" s="934">
        <f t="shared" ref="C37:S37" si="5">IFERROR(C36/C$7,0)</f>
        <v>-3.6910549499337725E-2</v>
      </c>
      <c r="D37" s="935">
        <f t="shared" si="5"/>
        <v>-3.6910549499337725E-2</v>
      </c>
      <c r="E37" s="934">
        <f t="shared" si="5"/>
        <v>-3.5660049964372033E-2</v>
      </c>
      <c r="F37" s="934">
        <f t="shared" si="5"/>
        <v>-3.962002744101184E-2</v>
      </c>
      <c r="G37" s="934">
        <f t="shared" si="5"/>
        <v>-3.2708533772245398E-2</v>
      </c>
      <c r="H37" s="934">
        <f t="shared" si="5"/>
        <v>-2.9931806445021646E-2</v>
      </c>
      <c r="I37" s="934">
        <f t="shared" si="5"/>
        <v>-3.5088155719817035E-2</v>
      </c>
      <c r="J37" s="934">
        <f t="shared" si="5"/>
        <v>-3.546638906624202E-2</v>
      </c>
      <c r="K37" s="934">
        <f t="shared" si="5"/>
        <v>-4.2925616919566902E-2</v>
      </c>
      <c r="L37" s="934">
        <f t="shared" si="5"/>
        <v>-4.9347518086664176E-2</v>
      </c>
      <c r="M37" s="934">
        <f t="shared" si="5"/>
        <v>-4.2955111396603719E-2</v>
      </c>
      <c r="N37" s="934">
        <f t="shared" si="5"/>
        <v>-3.9100118575481728E-2</v>
      </c>
      <c r="O37" s="934">
        <f t="shared" si="5"/>
        <v>-3.8588637438809401E-2</v>
      </c>
      <c r="P37" s="935">
        <f t="shared" si="5"/>
        <v>-3.8234813467807757E-2</v>
      </c>
      <c r="Q37" s="933">
        <f t="shared" si="5"/>
        <v>-3.8046657719361783E-2</v>
      </c>
      <c r="R37" s="935">
        <f t="shared" si="5"/>
        <v>0</v>
      </c>
      <c r="S37" s="934">
        <f t="shared" si="5"/>
        <v>-2.8762525746295061E-2</v>
      </c>
      <c r="T37" s="936"/>
      <c r="U37" s="934">
        <f>IFERROR(U36/U$7,0)</f>
        <v>-2.5884086535270454E-2</v>
      </c>
      <c r="V37" s="937"/>
      <c r="W37" s="930" t="str">
        <f>IF(ISBLANK('4. Fix Cost (LC) '!T37),"",'4. Fix Cost (LC) '!T37)</f>
        <v/>
      </c>
      <c r="Y37" s="267"/>
    </row>
    <row r="38" spans="1:25" s="335" customFormat="1" ht="15.75">
      <c r="A38" s="341" t="s">
        <v>496</v>
      </c>
      <c r="B38" s="344">
        <f>IFERROR('4. Fix Cost (LC) '!B38/'Input-FX Rates'!$E$16,0)</f>
        <v>-3632.8856334210932</v>
      </c>
      <c r="C38" s="345">
        <f>IFERROR('4. Fix Cost (LC) '!C38/'Input-FX Rates'!$G$16,0)</f>
        <v>-7105.7795196845918</v>
      </c>
      <c r="D38" s="343">
        <f>IFERROR('4. Fix Cost (LC) '!C38/'Input-FX Rates'!$H$16,0)</f>
        <v>-6878.7873041379307</v>
      </c>
      <c r="E38" s="345">
        <f>IFERROR('4. Fix Cost (LC) '!D38/'Input-FX Rates'!$H$16,0)</f>
        <v>-558.23395862068969</v>
      </c>
      <c r="F38" s="337">
        <f>IFERROR('4. Fix Cost (LC) '!E38/'Input-FX Rates'!$H$16,0)</f>
        <v>-558.23395862068969</v>
      </c>
      <c r="G38" s="337">
        <f>IFERROR('4. Fix Cost (LC) '!F38/'Input-FX Rates'!$H$16,0)</f>
        <v>-558.23395862068969</v>
      </c>
      <c r="H38" s="337">
        <f>IFERROR('4. Fix Cost (LC) '!G38/'Input-FX Rates'!$H$16,0)</f>
        <v>-559.02666689655177</v>
      </c>
      <c r="I38" s="337">
        <f>IFERROR('4. Fix Cost (LC) '!H38/'Input-FX Rates'!$H$16,0)</f>
        <v>-559.02666689655177</v>
      </c>
      <c r="J38" s="337">
        <f>IFERROR('4. Fix Cost (LC) '!I38/'Input-FX Rates'!$H$16,0)</f>
        <v>-559.69333379310342</v>
      </c>
      <c r="K38" s="337">
        <f>IFERROR('4. Fix Cost (LC) '!J38/'Input-FX Rates'!$H$16,0)</f>
        <v>-560.50583379310342</v>
      </c>
      <c r="L38" s="337">
        <f>IFERROR('4. Fix Cost (LC) '!K38/'Input-FX Rates'!$H$16,0)</f>
        <v>-566.5579172413793</v>
      </c>
      <c r="M38" s="337">
        <f>IFERROR('4. Fix Cost (LC) '!L38/'Input-FX Rates'!$H$16,0)</f>
        <v>-566.5579172413793</v>
      </c>
      <c r="N38" s="337">
        <f>IFERROR('4. Fix Cost (LC) '!M38/'Input-FX Rates'!$H$16,0)</f>
        <v>-566.5579172413793</v>
      </c>
      <c r="O38" s="337">
        <f>IFERROR('4. Fix Cost (LC) '!N38/'Input-FX Rates'!$H$16,0)</f>
        <v>-566.5579172413793</v>
      </c>
      <c r="P38" s="340">
        <f>IFERROR('4. Fix Cost (LC) '!O38/'Input-FX Rates'!$H$16,0)</f>
        <v>-566.5579172413793</v>
      </c>
      <c r="Q38" s="344">
        <f>IFERROR('4. Fix Cost (LC) '!P38/'Input-FX Rates'!$H$16,0)</f>
        <v>-6745.7439634482753</v>
      </c>
      <c r="R38" s="343">
        <f>IFERROR('4. Fix Cost (LC) '!Q38/'Input-FX Rates'!$H$16,0)</f>
        <v>-2545.5377048275859</v>
      </c>
      <c r="S38" s="337">
        <f>+S21+S22</f>
        <v>360.03555623631655</v>
      </c>
      <c r="T38" s="336">
        <f>IFERROR(Q38/C38-1,0)</f>
        <v>-5.0667988675829001E-2</v>
      </c>
      <c r="U38" s="337">
        <f>+U21+U22</f>
        <v>133.04334068965545</v>
      </c>
      <c r="V38" s="775">
        <f t="shared" si="3"/>
        <v>-1.9341104006751819E-2</v>
      </c>
      <c r="W38" s="930" t="str">
        <f>IF(ISBLANK('4. Fix Cost (LC) '!T38),"",'4. Fix Cost (LC) '!T38)</f>
        <v/>
      </c>
      <c r="Y38" s="19"/>
    </row>
    <row r="39" spans="1:25" ht="15.75">
      <c r="A39" s="932" t="s">
        <v>495</v>
      </c>
      <c r="B39" s="933">
        <f t="shared" ref="B39" si="6">IFERROR(B38/B$7,0)</f>
        <v>-6.5201290727182407E-2</v>
      </c>
      <c r="C39" s="934">
        <f t="shared" ref="C39:U39" si="7">IFERROR(C38/C$7,0)</f>
        <v>-7.0967843497552904E-2</v>
      </c>
      <c r="D39" s="935">
        <f t="shared" si="7"/>
        <v>-7.096784349755289E-2</v>
      </c>
      <c r="E39" s="934">
        <f t="shared" si="7"/>
        <v>-7.2739613598783115E-2</v>
      </c>
      <c r="F39" s="934">
        <f t="shared" si="7"/>
        <v>-7.7574184506968888E-2</v>
      </c>
      <c r="G39" s="934">
        <f t="shared" si="7"/>
        <v>-6.7482561424376405E-2</v>
      </c>
      <c r="H39" s="934">
        <f t="shared" si="7"/>
        <v>-6.9298766670152806E-2</v>
      </c>
      <c r="I39" s="934">
        <f t="shared" si="7"/>
        <v>-7.6494391779091939E-2</v>
      </c>
      <c r="J39" s="934">
        <f t="shared" si="7"/>
        <v>-7.6585615117424038E-2</v>
      </c>
      <c r="K39" s="934">
        <f t="shared" si="7"/>
        <v>-7.6696793522678927E-2</v>
      </c>
      <c r="L39" s="934">
        <f t="shared" si="7"/>
        <v>-8.443210891696086E-2</v>
      </c>
      <c r="M39" s="934">
        <f t="shared" si="7"/>
        <v>-8.4135164537918902E-2</v>
      </c>
      <c r="N39" s="934">
        <f t="shared" si="7"/>
        <v>-8.1645234421156801E-2</v>
      </c>
      <c r="O39" s="934">
        <f t="shared" si="7"/>
        <v>-7.8925298075084624E-2</v>
      </c>
      <c r="P39" s="935">
        <f t="shared" si="7"/>
        <v>-7.8925298052336723E-2</v>
      </c>
      <c r="Q39" s="933">
        <f t="shared" si="7"/>
        <v>-7.676597192982984E-2</v>
      </c>
      <c r="R39" s="935">
        <f t="shared" si="7"/>
        <v>0</v>
      </c>
      <c r="S39" s="934">
        <f t="shared" si="7"/>
        <v>-2.9384403331629515E-2</v>
      </c>
      <c r="T39" s="936"/>
      <c r="U39" s="934">
        <f t="shared" si="7"/>
        <v>-1.4694288485291017E-2</v>
      </c>
      <c r="V39" s="937"/>
      <c r="W39" s="930" t="str">
        <f>IF(ISBLANK('4. Fix Cost (LC) '!T39),"",'4. Fix Cost (LC) '!T39)</f>
        <v/>
      </c>
      <c r="X39" s="349"/>
      <c r="Y39" s="267"/>
    </row>
    <row r="40" spans="1:25" s="335" customFormat="1" ht="15.75">
      <c r="A40" s="341" t="s">
        <v>471</v>
      </c>
      <c r="B40" s="344">
        <f>IFERROR('4. Fix Cost (LC) '!B40/'Input-FX Rates'!$E$16,0)</f>
        <v>-5518.2167201038783</v>
      </c>
      <c r="C40" s="345">
        <f>IFERROR('4. Fix Cost (LC) '!C40/'Input-FX Rates'!$G$16,0)</f>
        <v>-10801.512879565285</v>
      </c>
      <c r="D40" s="343">
        <f>IFERROR('4. Fix Cost (LC) '!C40/'Input-FX Rates'!$H$16,0)</f>
        <v>-10456.461455862071</v>
      </c>
      <c r="E40" s="345">
        <f>IFERROR('4. Fix Cost (LC) '!D40/'Input-FX Rates'!$H$16,0)</f>
        <v>-831.90396965517243</v>
      </c>
      <c r="F40" s="345">
        <f>IFERROR('4. Fix Cost (LC) '!E40/'Input-FX Rates'!$H$16,0)</f>
        <v>-843.34484827586209</v>
      </c>
      <c r="G40" s="345">
        <f>IFERROR('4. Fix Cost (LC) '!F40/'Input-FX Rates'!$H$16,0)</f>
        <v>-828.80777655172415</v>
      </c>
      <c r="H40" s="345">
        <f>IFERROR('4. Fix Cost (LC) '!G40/'Input-FX Rates'!$H$16,0)</f>
        <v>-800.48374896551741</v>
      </c>
      <c r="I40" s="345">
        <f>IFERROR('4. Fix Cost (LC) '!H40/'Input-FX Rates'!$H$16,0)</f>
        <v>-815.45350137931041</v>
      </c>
      <c r="J40" s="345">
        <f>IFERROR('4. Fix Cost (LC) '!I40/'Input-FX Rates'!$H$16,0)</f>
        <v>-818.88432551724134</v>
      </c>
      <c r="K40" s="345">
        <f>IFERROR('4. Fix Cost (LC) '!J40/'Input-FX Rates'!$H$16,0)</f>
        <v>-874.20941379310352</v>
      </c>
      <c r="L40" s="345">
        <f>IFERROR('4. Fix Cost (LC) '!K40/'Input-FX Rates'!$H$16,0)</f>
        <v>-897.69055655172417</v>
      </c>
      <c r="M40" s="345">
        <f>IFERROR('4. Fix Cost (LC) '!L40/'Input-FX Rates'!$H$16,0)</f>
        <v>-855.81340965517245</v>
      </c>
      <c r="N40" s="345">
        <f>IFERROR('4. Fix Cost (LC) '!M40/'Input-FX Rates'!$H$16,0)</f>
        <v>-837.88400137931023</v>
      </c>
      <c r="O40" s="345">
        <f>IFERROR('4. Fix Cost (LC) '!N40/'Input-FX Rates'!$H$16,0)</f>
        <v>-843.56286482758628</v>
      </c>
      <c r="P40" s="343">
        <f>IFERROR('4. Fix Cost (LC) '!O40/'Input-FX Rates'!$H$16,0)</f>
        <v>-841.02297241379313</v>
      </c>
      <c r="Q40" s="344">
        <f>IFERROR('4. Fix Cost (LC) '!P40/'Input-FX Rates'!$H$16,0)</f>
        <v>-10089.061388965516</v>
      </c>
      <c r="R40" s="343">
        <f>IFERROR('4. Fix Cost (LC) '!Q40/'Input-FX Rates'!$H$16,0)</f>
        <v>-6153.7177048275862</v>
      </c>
      <c r="S40" s="337">
        <f>+S36+S38</f>
        <v>712.45149059976757</v>
      </c>
      <c r="T40" s="336">
        <f>IFERROR(Q40/C40-1,0)</f>
        <v>-6.5958491050602031E-2</v>
      </c>
      <c r="U40" s="337">
        <f>+U36+U38</f>
        <v>367.40006689655274</v>
      </c>
      <c r="V40" s="775">
        <f t="shared" si="3"/>
        <v>-3.5136175698384453E-2</v>
      </c>
      <c r="W40" s="930" t="str">
        <f>IF(ISBLANK('4. Fix Cost (LC) '!T40),"",'4. Fix Cost (LC) '!T40)</f>
        <v/>
      </c>
      <c r="Y40" s="19"/>
    </row>
    <row r="41" spans="1:25" ht="15.75">
      <c r="A41" s="932" t="s">
        <v>495</v>
      </c>
      <c r="B41" s="938">
        <f t="shared" ref="B41" si="8">IFERROR(B40/B$7,0)</f>
        <v>-9.903830975385608E-2</v>
      </c>
      <c r="C41" s="939">
        <f t="shared" ref="C41:U41" si="9">IFERROR(C40/C$7,0)</f>
        <v>-0.10787839299689064</v>
      </c>
      <c r="D41" s="940">
        <f t="shared" si="9"/>
        <v>-0.10787839299689063</v>
      </c>
      <c r="E41" s="941">
        <f t="shared" si="9"/>
        <v>-0.10839966356315514</v>
      </c>
      <c r="F41" s="941">
        <f t="shared" si="9"/>
        <v>-0.11719421194798073</v>
      </c>
      <c r="G41" s="941">
        <f t="shared" si="9"/>
        <v>-0.10019109519662181</v>
      </c>
      <c r="H41" s="941">
        <f t="shared" si="9"/>
        <v>-9.923057311517447E-2</v>
      </c>
      <c r="I41" s="941">
        <f t="shared" si="9"/>
        <v>-0.11158254749890899</v>
      </c>
      <c r="J41" s="941">
        <f t="shared" si="9"/>
        <v>-0.11205200418366607</v>
      </c>
      <c r="K41" s="941">
        <f t="shared" si="9"/>
        <v>-0.11962241044224584</v>
      </c>
      <c r="L41" s="941">
        <f t="shared" si="9"/>
        <v>-0.13377962700362506</v>
      </c>
      <c r="M41" s="941">
        <f t="shared" si="9"/>
        <v>-0.1270902759345226</v>
      </c>
      <c r="N41" s="941">
        <f t="shared" si="9"/>
        <v>-0.12074535299663852</v>
      </c>
      <c r="O41" s="941">
        <f t="shared" si="9"/>
        <v>-0.11751393551389404</v>
      </c>
      <c r="P41" s="942">
        <f t="shared" si="9"/>
        <v>-0.11716011152014448</v>
      </c>
      <c r="Q41" s="943">
        <f t="shared" si="9"/>
        <v>-0.11481262964919162</v>
      </c>
      <c r="R41" s="942">
        <f t="shared" si="9"/>
        <v>0</v>
      </c>
      <c r="S41" s="941">
        <f t="shared" si="9"/>
        <v>-5.8146929077924576E-2</v>
      </c>
      <c r="T41" s="942"/>
      <c r="U41" s="941">
        <f t="shared" si="9"/>
        <v>-4.0578375020561476E-2</v>
      </c>
      <c r="V41" s="941"/>
      <c r="W41" s="931" t="str">
        <f>IF(ISBLANK('4. Fix Cost (LC) '!T41),"",'4. Fix Cost (LC) '!T41)</f>
        <v/>
      </c>
      <c r="X41" s="342"/>
    </row>
    <row r="42" spans="1:25" s="335" customFormat="1" ht="15.75">
      <c r="A42" s="341" t="s">
        <v>497</v>
      </c>
      <c r="B42" s="344">
        <f>IFERROR('4. Fix Cost (LC) '!B42/'Input-FX Rates'!$E$16,0)</f>
        <v>-1671.3890970041834</v>
      </c>
      <c r="C42" s="345">
        <f>IFERROR('4. Fix Cost (LC) '!C42/'Input-FX Rates'!$G$16,0)</f>
        <v>-3311.9700760317091</v>
      </c>
      <c r="D42" s="343">
        <f>IFERROR('4. Fix Cost (LC) '!C42/'Input-FX Rates'!$H$16,0)</f>
        <v>-3206.170082758621</v>
      </c>
      <c r="E42" s="345">
        <f>IFERROR('4. Fix Cost (LC) '!D42/'Input-FX Rates'!$H$16,0)</f>
        <v>-215.75021379310346</v>
      </c>
      <c r="F42" s="337">
        <f>IFERROR('4. Fix Cost (LC) '!E42/'Input-FX Rates'!$H$16,0)</f>
        <v>-211.35925931034481</v>
      </c>
      <c r="G42" s="337">
        <f>IFERROR('4. Fix Cost (LC) '!F42/'Input-FX Rates'!$H$16,0)</f>
        <v>-211.65470965517238</v>
      </c>
      <c r="H42" s="337">
        <f>IFERROR('4. Fix Cost (LC) '!G42/'Input-FX Rates'!$H$16,0)</f>
        <v>-193.88099931034483</v>
      </c>
      <c r="I42" s="337">
        <f>IFERROR('4. Fix Cost (LC) '!H42/'Input-FX Rates'!$H$16,0)</f>
        <v>-204.54391517241382</v>
      </c>
      <c r="J42" s="337">
        <f>IFERROR('4. Fix Cost (LC) '!I42/'Input-FX Rates'!$H$16,0)</f>
        <v>-208.76429586206896</v>
      </c>
      <c r="K42" s="337">
        <f>IFERROR('4. Fix Cost (LC) '!J42/'Input-FX Rates'!$H$16,0)</f>
        <v>-266.81220896551724</v>
      </c>
      <c r="L42" s="337">
        <f>IFERROR('4. Fix Cost (LC) '!K42/'Input-FX Rates'!$H$16,0)</f>
        <v>-235.64112827586206</v>
      </c>
      <c r="M42" s="337">
        <f>IFERROR('4. Fix Cost (LC) '!L42/'Input-FX Rates'!$H$16,0)</f>
        <v>-228.12772206896551</v>
      </c>
      <c r="N42" s="337">
        <f>IFERROR('4. Fix Cost (LC) '!M42/'Input-FX Rates'!$H$16,0)</f>
        <v>-226.34156827586204</v>
      </c>
      <c r="O42" s="337">
        <f>IFERROR('4. Fix Cost (LC) '!N42/'Input-FX Rates'!$H$16,0)</f>
        <v>-222.89573103448276</v>
      </c>
      <c r="P42" s="340">
        <f>IFERROR('4. Fix Cost (LC) '!O42/'Input-FX Rates'!$H$16,0)</f>
        <v>-229.6718703448276</v>
      </c>
      <c r="Q42" s="344">
        <f>IFERROR('4. Fix Cost (LC) '!P42/'Input-FX Rates'!$H$16,0)</f>
        <v>-2655.4436220689654</v>
      </c>
      <c r="R42" s="343">
        <f>IFERROR('4. Fix Cost (LC) '!Q42/'Input-FX Rates'!$H$16,0)</f>
        <v>-3508.18</v>
      </c>
      <c r="S42" s="337">
        <f>+S8+S26</f>
        <v>656.52645396274397</v>
      </c>
      <c r="T42" s="336">
        <f>IFERROR(Q42/C42-1,0)</f>
        <v>-0.19822837733768761</v>
      </c>
      <c r="U42" s="337">
        <f>+U8+U26</f>
        <v>550.72646068965537</v>
      </c>
      <c r="V42" s="775">
        <f>IFERROR(Q42/D42-1,0)</f>
        <v>-0.17177081891295209</v>
      </c>
      <c r="W42" s="931" t="str">
        <f>IF(ISBLANK('4. Fix Cost (LC) '!T42),"",'4. Fix Cost (LC) '!T42)</f>
        <v/>
      </c>
      <c r="Y42" s="19"/>
    </row>
    <row r="43" spans="1:25" ht="15.75">
      <c r="A43" s="932" t="s">
        <v>495</v>
      </c>
      <c r="B43" s="933">
        <f t="shared" ref="B43" si="10">IFERROR(B42/B$7,0)</f>
        <v>-2.9997290701768969E-2</v>
      </c>
      <c r="C43" s="934">
        <f t="shared" ref="C43:R43" si="11">IFERROR(C42/C$7,0)</f>
        <v>-3.3077774700618595E-2</v>
      </c>
      <c r="D43" s="935">
        <f t="shared" si="11"/>
        <v>-3.3077774700618595E-2</v>
      </c>
      <c r="E43" s="934">
        <f t="shared" si="11"/>
        <v>-2.8112921012440076E-2</v>
      </c>
      <c r="F43" s="934">
        <f t="shared" si="11"/>
        <v>-2.9371237499612211E-2</v>
      </c>
      <c r="G43" s="934">
        <f t="shared" si="11"/>
        <v>-2.5586049942849815E-2</v>
      </c>
      <c r="H43" s="934">
        <f t="shared" si="11"/>
        <v>-2.4034120246127597E-2</v>
      </c>
      <c r="I43" s="934">
        <f t="shared" si="11"/>
        <v>-2.7988758515026902E-2</v>
      </c>
      <c r="J43" s="934">
        <f t="shared" si="11"/>
        <v>-2.8566254139204585E-2</v>
      </c>
      <c r="K43" s="934">
        <f t="shared" si="11"/>
        <v>-3.6509238025008273E-2</v>
      </c>
      <c r="L43" s="934">
        <f t="shared" si="11"/>
        <v>-3.5116758238552113E-2</v>
      </c>
      <c r="M43" s="934">
        <f t="shared" si="11"/>
        <v>-3.387749574728071E-2</v>
      </c>
      <c r="N43" s="934">
        <f t="shared" si="11"/>
        <v>-3.2617513300518985E-2</v>
      </c>
      <c r="O43" s="934">
        <f t="shared" si="11"/>
        <v>-3.1050862544147285E-2</v>
      </c>
      <c r="P43" s="935">
        <f t="shared" si="11"/>
        <v>-3.1994823952800337E-2</v>
      </c>
      <c r="Q43" s="944">
        <f t="shared" si="11"/>
        <v>-3.0218714445365551E-2</v>
      </c>
      <c r="R43" s="935">
        <f t="shared" si="11"/>
        <v>0</v>
      </c>
      <c r="S43" s="934">
        <f>IFERROR(S42/S$7,0)</f>
        <v>-5.3582591460670376E-2</v>
      </c>
      <c r="T43" s="936"/>
      <c r="U43" s="934">
        <f>IFERROR(U42/U$7,0)</f>
        <v>-6.0826295009640416E-2</v>
      </c>
      <c r="V43" s="937"/>
      <c r="W43" s="930" t="str">
        <f>IF(ISBLANK('4. Fix Cost (LC) '!T43),"",'4. Fix Cost (LC) '!T43)</f>
        <v/>
      </c>
      <c r="Y43" s="267"/>
    </row>
    <row r="44" spans="1:25"/>
    <row r="45" spans="1:25"/>
    <row r="46" spans="1:25">
      <c r="A46" s="221" t="s">
        <v>498</v>
      </c>
      <c r="B46" s="96">
        <f t="shared" ref="B46:R46" si="12">+B40-B23</f>
        <v>0</v>
      </c>
      <c r="C46" s="96">
        <f t="shared" si="12"/>
        <v>0</v>
      </c>
      <c r="D46" s="96">
        <f t="shared" si="12"/>
        <v>0</v>
      </c>
      <c r="E46" s="96">
        <f t="shared" si="12"/>
        <v>0</v>
      </c>
      <c r="F46" s="96">
        <f t="shared" si="12"/>
        <v>0</v>
      </c>
      <c r="G46" s="96">
        <f t="shared" si="12"/>
        <v>0</v>
      </c>
      <c r="H46" s="96">
        <f t="shared" si="12"/>
        <v>0</v>
      </c>
      <c r="I46" s="96">
        <f t="shared" si="12"/>
        <v>0</v>
      </c>
      <c r="J46" s="96">
        <f t="shared" si="12"/>
        <v>0</v>
      </c>
      <c r="K46" s="96">
        <f t="shared" si="12"/>
        <v>0</v>
      </c>
      <c r="L46" s="96">
        <f t="shared" si="12"/>
        <v>0</v>
      </c>
      <c r="M46" s="96">
        <f t="shared" si="12"/>
        <v>0</v>
      </c>
      <c r="N46" s="96">
        <f t="shared" si="12"/>
        <v>0</v>
      </c>
      <c r="O46" s="96">
        <f t="shared" si="12"/>
        <v>0</v>
      </c>
      <c r="P46" s="96">
        <f t="shared" si="12"/>
        <v>0</v>
      </c>
      <c r="Q46" s="96">
        <f t="shared" si="12"/>
        <v>0</v>
      </c>
      <c r="R46" s="96">
        <f t="shared" si="12"/>
        <v>0</v>
      </c>
      <c r="S46" s="96"/>
    </row>
  </sheetData>
  <mergeCells count="3">
    <mergeCell ref="E4:P4"/>
    <mergeCell ref="Q4:R4"/>
    <mergeCell ref="B4:D4"/>
  </mergeCells>
  <phoneticPr fontId="65" type="noConversion"/>
  <conditionalFormatting sqref="B22:R22">
    <cfRule type="cellIs" dxfId="5" priority="2" operator="notEqual">
      <formula>0</formula>
    </cfRule>
  </conditionalFormatting>
  <conditionalFormatting sqref="B46:S46">
    <cfRule type="cellIs" dxfId="4" priority="1" operator="notEqual">
      <formula>0</formula>
    </cfRule>
  </conditionalFormatting>
  <hyperlinks>
    <hyperlink ref="Y18" r:id="rId1" xr:uid="{34FB180A-24F9-45E4-B811-5EF5A1A391F6}"/>
    <hyperlink ref="Y11" r:id="rId2" display="Maintenenace concept budget 2024" xr:uid="{3CB2CCED-57F0-419D-9591-6C472BE6BBBD}"/>
  </hyperlinks>
  <pageMargins left="0.70866141732283472" right="0.70866141732283472" top="0.74803149606299213" bottom="0.74803149606299213" header="0.31496062992125984" footer="0.31496062992125984"/>
  <pageSetup paperSize="9" scale="45" orientation="landscape" r:id="rId3"/>
  <customProperties>
    <customPr name="_pios_id" r:id="rId4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9D3D3-CF21-4672-8D22-C8D02CC5A306}">
  <sheetPr>
    <tabColor rgb="FFFFFFCC"/>
    <pageSetUpPr fitToPage="1"/>
  </sheetPr>
  <dimension ref="A1:P27"/>
  <sheetViews>
    <sheetView showGridLines="0" zoomScaleNormal="100" workbookViewId="0">
      <pane xSplit="1" ySplit="5" topLeftCell="B6" activePane="bottomRight" state="frozen"/>
      <selection pane="topRight" activeCell="A30" sqref="A30:G30"/>
      <selection pane="bottomLeft" activeCell="A30" sqref="A30:G30"/>
      <selection pane="bottomRight" activeCell="K9" sqref="K9"/>
    </sheetView>
  </sheetViews>
  <sheetFormatPr defaultColWidth="9.28515625" defaultRowHeight="12.75" customHeight="1" outlineLevelCol="1"/>
  <cols>
    <col min="1" max="1" width="52.28515625" style="221" customWidth="1"/>
    <col min="2" max="5" width="14" style="221" customWidth="1"/>
    <col min="6" max="10" width="14" style="221" customWidth="1" outlineLevel="1"/>
    <col min="11" max="13" width="14" style="221" customWidth="1"/>
    <col min="14" max="14" width="54.7109375" style="221" customWidth="1"/>
    <col min="15" max="15" width="9.28515625" style="221"/>
    <col min="16" max="16" width="148.7109375" style="221" bestFit="1" customWidth="1"/>
    <col min="17" max="20" width="9.28515625" style="221"/>
    <col min="21" max="21" width="9.28515625" style="221" customWidth="1"/>
    <col min="22" max="16384" width="9.28515625" style="221"/>
  </cols>
  <sheetData>
    <row r="1" spans="1:16" ht="19.899999999999999" customHeight="1">
      <c r="A1" s="60" t="str">
        <f>+'0. Instructions'!A1</f>
        <v>Budget 2024</v>
      </c>
      <c r="B1" s="60"/>
      <c r="C1" s="60"/>
      <c r="D1" s="718"/>
      <c r="E1" s="397"/>
      <c r="F1" s="397"/>
      <c r="G1" s="397"/>
      <c r="H1" s="397"/>
      <c r="I1" s="397"/>
      <c r="J1" s="397"/>
      <c r="K1" s="219"/>
      <c r="L1" s="219"/>
      <c r="M1" s="72"/>
      <c r="N1" s="57" t="str">
        <f>'Input-FX Rates'!$H$1</f>
        <v>Plant ICH Icheon (242)</v>
      </c>
      <c r="P1" s="397" t="s">
        <v>154</v>
      </c>
    </row>
    <row r="2" spans="1:16" ht="19.899999999999999" customHeight="1" thickBot="1">
      <c r="A2" s="55" t="s">
        <v>505</v>
      </c>
      <c r="B2" s="55"/>
      <c r="C2" s="218"/>
      <c r="D2" s="218"/>
      <c r="E2" s="218"/>
      <c r="F2" s="218"/>
      <c r="G2" s="54"/>
      <c r="H2" s="55"/>
      <c r="I2" s="218"/>
      <c r="J2" s="218"/>
      <c r="K2" s="218"/>
      <c r="L2" s="218"/>
      <c r="M2" s="55"/>
      <c r="N2" s="54" t="str">
        <f>'Input-FX Rates'!$H$2</f>
        <v>7821 PL Drivetrain Controls (&amp; Electrification)</v>
      </c>
      <c r="P2" s="95" t="s">
        <v>156</v>
      </c>
    </row>
    <row r="3" spans="1:16" ht="12.75" customHeight="1">
      <c r="M3" s="375"/>
    </row>
    <row r="4" spans="1:16" ht="26.65" customHeight="1">
      <c r="A4" s="188" t="str">
        <f>"Logistic Cost"&amp;" in '000 "&amp;'Input-FX Rates'!$B$8</f>
        <v>Logistic Cost in '000 KRW</v>
      </c>
      <c r="B4" s="1037">
        <v>2023</v>
      </c>
      <c r="C4" s="1035"/>
      <c r="D4" s="1035"/>
      <c r="E4" s="1038"/>
      <c r="F4" s="1037" t="s">
        <v>247</v>
      </c>
      <c r="G4" s="1035"/>
      <c r="H4" s="1035"/>
      <c r="I4" s="1035"/>
      <c r="J4" s="1038"/>
      <c r="K4" s="1037">
        <v>2024</v>
      </c>
      <c r="L4" s="1035"/>
      <c r="M4" s="1036"/>
      <c r="N4" s="304" t="s">
        <v>208</v>
      </c>
    </row>
    <row r="5" spans="1:16" ht="53.65" customHeight="1">
      <c r="A5" s="188"/>
      <c r="B5" s="659" t="s">
        <v>192</v>
      </c>
      <c r="C5" s="187" t="s">
        <v>19</v>
      </c>
      <c r="D5" s="187" t="s">
        <v>506</v>
      </c>
      <c r="E5" s="188" t="s">
        <v>507</v>
      </c>
      <c r="F5" s="659" t="s">
        <v>251</v>
      </c>
      <c r="G5" s="187" t="s">
        <v>252</v>
      </c>
      <c r="H5" s="187" t="s">
        <v>253</v>
      </c>
      <c r="I5" s="187" t="s">
        <v>254</v>
      </c>
      <c r="J5" s="188" t="s">
        <v>256</v>
      </c>
      <c r="K5" s="659" t="s">
        <v>257</v>
      </c>
      <c r="L5" s="187" t="s">
        <v>15</v>
      </c>
      <c r="M5" s="187" t="s">
        <v>258</v>
      </c>
      <c r="N5" s="304"/>
    </row>
    <row r="6" spans="1:16" ht="22.15" customHeight="1">
      <c r="A6" s="79" t="s">
        <v>195</v>
      </c>
      <c r="B6" s="688">
        <f>'P&amp;L'!F8</f>
        <v>78052717.702999994</v>
      </c>
      <c r="C6" s="387">
        <f>'P&amp;L'!H8</f>
        <v>140545930.37400001</v>
      </c>
      <c r="D6" s="387">
        <f>'2. Variable (LC)'!D6</f>
        <v>4242966.8289999999</v>
      </c>
      <c r="E6" s="384">
        <f>C6-D6</f>
        <v>136302963.54500002</v>
      </c>
      <c r="F6" s="386">
        <f>'2. Variable (LC)'!F6</f>
        <v>-7301989.9895000132</v>
      </c>
      <c r="G6" s="385">
        <f>'2. Variable (LC)'!G6</f>
        <v>0</v>
      </c>
      <c r="H6" s="385">
        <f>'2. Variable (LC)'!H6</f>
        <v>-2636166.7999999998</v>
      </c>
      <c r="I6" s="385">
        <f>'2. Variable (LC)'!I6</f>
        <v>0</v>
      </c>
      <c r="J6" s="384">
        <f>'2. Variable (LC)'!K6</f>
        <v>1052700.0004999936</v>
      </c>
      <c r="K6" s="383">
        <f>+'2. Variable (LC)'!L6</f>
        <v>0</v>
      </c>
      <c r="L6" s="382">
        <f>+'2. Variable (LC)'!M6</f>
        <v>127417506.756</v>
      </c>
      <c r="M6" s="381">
        <f>IFERROR(L6/C6-1,0)</f>
        <v>-9.341020108561382E-2</v>
      </c>
      <c r="N6" s="380"/>
      <c r="P6" s="220"/>
    </row>
    <row r="7" spans="1:16" ht="22.15" customHeight="1">
      <c r="A7" s="79" t="s">
        <v>508</v>
      </c>
      <c r="B7" s="688">
        <f>'2. Variable (LC)'!B7</f>
        <v>78539121.790999994</v>
      </c>
      <c r="C7" s="387">
        <f>'2. Variable (LC)'!C7</f>
        <v>134738250.79399994</v>
      </c>
      <c r="D7" s="387">
        <f>'2. Variable (LC)'!D7</f>
        <v>4242966.8289999999</v>
      </c>
      <c r="E7" s="384">
        <f>C7-D7</f>
        <v>130495283.96499994</v>
      </c>
      <c r="F7" s="386">
        <f>'2. Variable (LC)'!F7</f>
        <v>0</v>
      </c>
      <c r="G7" s="385">
        <f>'2. Variable (LC)'!G7</f>
        <v>0</v>
      </c>
      <c r="H7" s="385">
        <f>'2. Variable (LC)'!H7</f>
        <v>0</v>
      </c>
      <c r="I7" s="385">
        <f>'2. Variable (LC)'!I7</f>
        <v>0</v>
      </c>
      <c r="J7" s="384">
        <f>'2. Variable (LC)'!K7</f>
        <v>0</v>
      </c>
      <c r="K7" s="383">
        <f>+'2. Variable (LC)'!L7</f>
        <v>0</v>
      </c>
      <c r="L7" s="382">
        <f>'2. Variable (LC)'!M7</f>
        <v>126364806.7555</v>
      </c>
      <c r="M7" s="381">
        <f>IFERROR(L7/C7-1,0)</f>
        <v>-6.2146005229814172E-2</v>
      </c>
      <c r="N7" s="380"/>
      <c r="P7" s="220"/>
    </row>
    <row r="8" spans="1:16" ht="15" customHeight="1">
      <c r="A8" s="79" t="s">
        <v>509</v>
      </c>
      <c r="B8" s="688">
        <f>B10+B18</f>
        <v>-1827530.794</v>
      </c>
      <c r="C8" s="387">
        <f>C10+C18</f>
        <v>-3467260.5962302033</v>
      </c>
      <c r="D8" s="387">
        <f>D10+D18</f>
        <v>-435139.23387431109</v>
      </c>
      <c r="E8" s="384">
        <f>C8-D8</f>
        <v>-3032121.3623558921</v>
      </c>
      <c r="F8" s="386">
        <f>IF($C$6=0,0,ROUND($F$6/$E$6*E8,0))</f>
        <v>162436</v>
      </c>
      <c r="G8" s="385">
        <f>+G10+G18</f>
        <v>90194</v>
      </c>
      <c r="H8" s="385">
        <f>+H10+H18</f>
        <v>-11405.928072289185</v>
      </c>
      <c r="I8" s="385">
        <f>+I10+I18</f>
        <v>157969</v>
      </c>
      <c r="J8" s="384"/>
      <c r="K8" s="383">
        <v>0</v>
      </c>
      <c r="L8" s="382">
        <f>L10+L18</f>
        <v>-2386038.6190271229</v>
      </c>
      <c r="M8" s="381">
        <f>IFERROR(L8/C8-1,0)</f>
        <v>-0.31183752913716511</v>
      </c>
      <c r="N8" s="380"/>
      <c r="P8" s="220"/>
    </row>
    <row r="9" spans="1:16" ht="18" customHeight="1">
      <c r="A9" s="153" t="s">
        <v>510</v>
      </c>
      <c r="B9" s="392">
        <f>IFERROR(B8/$B$6,0)</f>
        <v>-2.3414057162672735E-2</v>
      </c>
      <c r="C9" s="391">
        <f>IFERROR(C8/$C$6,0)</f>
        <v>-2.4669946593285506E-2</v>
      </c>
      <c r="D9" s="391"/>
      <c r="E9" s="395">
        <f>IFERROR(E8/$E$6,0)</f>
        <v>-2.2245454416365981E-2</v>
      </c>
      <c r="F9" s="392">
        <f>IFERROR(F8/$E$6,0)</f>
        <v>1.1917275734534725E-3</v>
      </c>
      <c r="G9" s="391"/>
      <c r="H9" s="391"/>
      <c r="I9" s="391"/>
      <c r="J9" s="395"/>
      <c r="K9" s="390">
        <f>IFERROR(K8/$K$6,0)</f>
        <v>0</v>
      </c>
      <c r="L9" s="394">
        <f>IFERROR(L8/$L$6,0)</f>
        <v>-1.8726144309167046E-2</v>
      </c>
      <c r="M9" s="389"/>
      <c r="N9" s="388"/>
    </row>
    <row r="10" spans="1:16" ht="14.65" customHeight="1">
      <c r="A10" s="79" t="s">
        <v>511</v>
      </c>
      <c r="B10" s="688">
        <f>SUM(B11:B17)</f>
        <v>-1035195.78</v>
      </c>
      <c r="C10" s="387">
        <f>SUM(C11:C17)</f>
        <v>-1977588.7091982956</v>
      </c>
      <c r="D10" s="387">
        <f>SUM(D11:D17)</f>
        <v>-327100</v>
      </c>
      <c r="E10" s="384">
        <f t="shared" ref="E10:E23" si="0">C10-D10</f>
        <v>-1650488.7091982956</v>
      </c>
      <c r="F10" s="386">
        <f t="shared" ref="F10:L10" si="1">SUM(F11:F17)</f>
        <v>88419</v>
      </c>
      <c r="G10" s="385">
        <f t="shared" si="1"/>
        <v>90194</v>
      </c>
      <c r="H10" s="385">
        <f t="shared" si="1"/>
        <v>-5731.4578554217005</v>
      </c>
      <c r="I10" s="385">
        <f t="shared" si="1"/>
        <v>157969</v>
      </c>
      <c r="J10" s="384">
        <f t="shared" si="1"/>
        <v>69224.310250829643</v>
      </c>
      <c r="K10" s="382">
        <f t="shared" si="1"/>
        <v>0</v>
      </c>
      <c r="L10" s="382">
        <f t="shared" si="1"/>
        <v>-1250413.8568028877</v>
      </c>
      <c r="M10" s="381">
        <f t="shared" ref="M10:M23" si="2">IFERROR(L10/C10-1,0)</f>
        <v>-0.36770782974898797</v>
      </c>
      <c r="N10" s="380"/>
    </row>
    <row r="11" spans="1:16" ht="14.65" customHeight="1">
      <c r="A11" s="379" t="s">
        <v>512</v>
      </c>
      <c r="B11" s="155">
        <v>-138999.533</v>
      </c>
      <c r="C11" s="155">
        <v>-235355.52563471411</v>
      </c>
      <c r="D11" s="140">
        <v>0</v>
      </c>
      <c r="E11" s="147">
        <f t="shared" si="0"/>
        <v>-235355.52563471411</v>
      </c>
      <c r="F11" s="151">
        <f t="shared" ref="F11:F17" si="3">IF($C$6=0,0,ROUND($F$6/$E$6*E11,0))</f>
        <v>12608</v>
      </c>
      <c r="G11" s="140"/>
      <c r="H11" s="149">
        <f>((L11/(1+'6. HC (LC)'!Q36))-L11)*-1</f>
        <v>-5731.4578554217005</v>
      </c>
      <c r="I11" s="140"/>
      <c r="J11" s="147">
        <f t="shared" ref="J11:J17" si="4">+L11-SUM(E11:I11)</f>
        <v>69908.649490135809</v>
      </c>
      <c r="K11" s="141"/>
      <c r="L11" s="165">
        <v>-158570.334</v>
      </c>
      <c r="M11" s="393">
        <f t="shared" si="2"/>
        <v>-0.32625191793410169</v>
      </c>
      <c r="N11" s="374" t="s">
        <v>513</v>
      </c>
      <c r="P11" s="220" t="s">
        <v>514</v>
      </c>
    </row>
    <row r="12" spans="1:16" ht="14.65" customHeight="1">
      <c r="A12" s="379" t="s">
        <v>515</v>
      </c>
      <c r="B12" s="155">
        <v>-354044.64799999999</v>
      </c>
      <c r="C12" s="155">
        <v>-809573.27142977808</v>
      </c>
      <c r="D12" s="140">
        <v>0</v>
      </c>
      <c r="E12" s="147">
        <f t="shared" si="0"/>
        <v>-809573.27142977808</v>
      </c>
      <c r="F12" s="151">
        <f t="shared" si="3"/>
        <v>43370</v>
      </c>
      <c r="G12" s="140">
        <v>111097</v>
      </c>
      <c r="H12" s="140"/>
      <c r="I12" s="140"/>
      <c r="J12" s="147">
        <f t="shared" si="4"/>
        <v>1.7734297780552879</v>
      </c>
      <c r="K12" s="141"/>
      <c r="L12" s="165">
        <v>-655104.49800000002</v>
      </c>
      <c r="M12" s="393">
        <f t="shared" si="2"/>
        <v>-0.1908027091321487</v>
      </c>
      <c r="N12" s="374"/>
      <c r="P12" s="220" t="s">
        <v>516</v>
      </c>
    </row>
    <row r="13" spans="1:16" ht="14.65" customHeight="1">
      <c r="A13" s="379" t="s">
        <v>517</v>
      </c>
      <c r="B13" s="155">
        <v>-163445.90599999999</v>
      </c>
      <c r="C13" s="155">
        <v>-327100</v>
      </c>
      <c r="D13" s="140">
        <v>-327100</v>
      </c>
      <c r="E13" s="147">
        <f t="shared" si="0"/>
        <v>0</v>
      </c>
      <c r="F13" s="151">
        <f t="shared" si="3"/>
        <v>0</v>
      </c>
      <c r="G13" s="140"/>
      <c r="H13" s="140"/>
      <c r="I13" s="140"/>
      <c r="J13" s="147">
        <f t="shared" si="4"/>
        <v>0</v>
      </c>
      <c r="K13" s="141"/>
      <c r="L13" s="165"/>
      <c r="M13" s="393">
        <f t="shared" si="2"/>
        <v>-1</v>
      </c>
      <c r="N13" s="374"/>
      <c r="P13" s="220" t="s">
        <v>518</v>
      </c>
    </row>
    <row r="14" spans="1:16" ht="14.65" customHeight="1">
      <c r="A14" s="379" t="s">
        <v>519</v>
      </c>
      <c r="B14" s="155">
        <v>0</v>
      </c>
      <c r="C14" s="155">
        <v>0</v>
      </c>
      <c r="D14" s="140">
        <v>0</v>
      </c>
      <c r="E14" s="147">
        <f t="shared" si="0"/>
        <v>0</v>
      </c>
      <c r="F14" s="151">
        <f t="shared" si="3"/>
        <v>0</v>
      </c>
      <c r="G14" s="140"/>
      <c r="H14" s="140"/>
      <c r="I14" s="140"/>
      <c r="J14" s="147">
        <f t="shared" si="4"/>
        <v>0</v>
      </c>
      <c r="K14" s="141"/>
      <c r="L14" s="165"/>
      <c r="M14" s="393">
        <f t="shared" si="2"/>
        <v>0</v>
      </c>
      <c r="N14" s="374"/>
      <c r="P14" s="220" t="s">
        <v>520</v>
      </c>
    </row>
    <row r="15" spans="1:16" ht="14.65" customHeight="1">
      <c r="A15" s="379" t="s">
        <v>521</v>
      </c>
      <c r="B15" s="155">
        <v>-114819.594</v>
      </c>
      <c r="C15" s="155">
        <v>-180008.26625095782</v>
      </c>
      <c r="D15" s="140">
        <v>0</v>
      </c>
      <c r="E15" s="147">
        <f t="shared" ref="E15" si="5">C15-D15</f>
        <v>-180008.26625095782</v>
      </c>
      <c r="F15" s="151">
        <f t="shared" ref="F15" si="6">IF($C$6=0,0,ROUND($F$6/$E$6*E15,0))</f>
        <v>9643</v>
      </c>
      <c r="G15" s="140"/>
      <c r="H15" s="140"/>
      <c r="I15" s="140"/>
      <c r="J15" s="147">
        <f t="shared" ref="J15" si="7">+L15-SUM(E15:I15)</f>
        <v>-686.48131517381989</v>
      </c>
      <c r="K15" s="141"/>
      <c r="L15" s="165">
        <v>-171051.74756613164</v>
      </c>
      <c r="M15" s="393">
        <f t="shared" ref="M15" si="8">IFERROR(L15/C15-1,0)</f>
        <v>-4.9756152155476463E-2</v>
      </c>
      <c r="N15" s="374"/>
      <c r="P15" s="220" t="s">
        <v>522</v>
      </c>
    </row>
    <row r="16" spans="1:16" ht="14.65" customHeight="1">
      <c r="A16" s="379" t="s">
        <v>523</v>
      </c>
      <c r="B16" s="155">
        <v>-234982.74</v>
      </c>
      <c r="C16" s="155">
        <v>-368393.87906474911</v>
      </c>
      <c r="D16" s="140">
        <v>0</v>
      </c>
      <c r="E16" s="147">
        <f t="shared" si="0"/>
        <v>-368393.87906474911</v>
      </c>
      <c r="F16" s="151">
        <f t="shared" si="3"/>
        <v>19736</v>
      </c>
      <c r="G16" s="140"/>
      <c r="H16" s="140"/>
      <c r="I16" s="140">
        <v>157969</v>
      </c>
      <c r="J16" s="147">
        <f t="shared" si="4"/>
        <v>0.34682799316942692</v>
      </c>
      <c r="K16" s="141"/>
      <c r="L16" s="165">
        <v>-190688.53223675594</v>
      </c>
      <c r="M16" s="393">
        <f t="shared" si="2"/>
        <v>-0.48237866296567755</v>
      </c>
      <c r="N16" s="374" t="s">
        <v>524</v>
      </c>
      <c r="P16" s="220" t="s">
        <v>525</v>
      </c>
    </row>
    <row r="17" spans="1:16" ht="14.65" customHeight="1">
      <c r="A17" s="379" t="s">
        <v>526</v>
      </c>
      <c r="B17" s="155">
        <v>-28903.359</v>
      </c>
      <c r="C17" s="155">
        <v>-57157.766818096417</v>
      </c>
      <c r="D17" s="140">
        <v>0</v>
      </c>
      <c r="E17" s="147">
        <f t="shared" si="0"/>
        <v>-57157.766818096417</v>
      </c>
      <c r="F17" s="151">
        <f t="shared" si="3"/>
        <v>3062</v>
      </c>
      <c r="G17" s="140">
        <v>-20903</v>
      </c>
      <c r="H17" s="140"/>
      <c r="I17" s="140"/>
      <c r="J17" s="147">
        <f t="shared" si="4"/>
        <v>2.1818096429342404E-2</v>
      </c>
      <c r="K17" s="141"/>
      <c r="L17" s="165">
        <v>-74998.744999999995</v>
      </c>
      <c r="M17" s="393">
        <f t="shared" si="2"/>
        <v>0.31213567595602854</v>
      </c>
      <c r="N17" s="374"/>
      <c r="P17" s="220" t="s">
        <v>527</v>
      </c>
    </row>
    <row r="18" spans="1:16" ht="14.65" customHeight="1">
      <c r="A18" s="79" t="s">
        <v>528</v>
      </c>
      <c r="B18" s="688">
        <f>SUM(B19:B23)</f>
        <v>-792335.01399999997</v>
      </c>
      <c r="C18" s="387">
        <f>SUM(C19:C23)</f>
        <v>-1489671.8870319077</v>
      </c>
      <c r="D18" s="387">
        <f>SUM(D19:D23)</f>
        <v>-108039.2338743111</v>
      </c>
      <c r="E18" s="384">
        <f t="shared" si="0"/>
        <v>-1381632.6531575965</v>
      </c>
      <c r="F18" s="386">
        <f t="shared" ref="F18:L18" si="9">SUM(F19:F23)</f>
        <v>74016</v>
      </c>
      <c r="G18" s="385">
        <f t="shared" si="9"/>
        <v>0</v>
      </c>
      <c r="H18" s="385">
        <f t="shared" si="9"/>
        <v>-5674.4702168674849</v>
      </c>
      <c r="I18" s="385">
        <f t="shared" si="9"/>
        <v>0</v>
      </c>
      <c r="J18" s="384">
        <f t="shared" si="9"/>
        <v>177666.36115022906</v>
      </c>
      <c r="K18" s="382">
        <f t="shared" si="9"/>
        <v>0</v>
      </c>
      <c r="L18" s="382">
        <f t="shared" si="9"/>
        <v>-1135624.7622242349</v>
      </c>
      <c r="M18" s="381">
        <f t="shared" si="2"/>
        <v>-0.23766785685476888</v>
      </c>
      <c r="N18" s="380"/>
      <c r="P18" s="220"/>
    </row>
    <row r="19" spans="1:16" ht="14.65" customHeight="1">
      <c r="A19" s="379" t="s">
        <v>529</v>
      </c>
      <c r="B19" s="155">
        <v>-59009.487999999998</v>
      </c>
      <c r="C19" s="155">
        <v>-110976.91670559245</v>
      </c>
      <c r="D19" s="140">
        <v>0</v>
      </c>
      <c r="E19" s="147">
        <f t="shared" si="0"/>
        <v>-110976.91670559245</v>
      </c>
      <c r="F19" s="151">
        <f>IF($C$6=0,0,ROUND($F$6/$E$6*E19,0))</f>
        <v>5945</v>
      </c>
      <c r="G19" s="140"/>
      <c r="H19" s="149">
        <f>((L19/(1+'6. HC (LC)'!Q36))-L19)*-1</f>
        <v>-5674.4702168674849</v>
      </c>
      <c r="I19" s="140"/>
      <c r="J19" s="147">
        <f t="shared" ref="J19:J23" si="10">+L19-SUM(E19:I19)</f>
        <v>-46287.289077540074</v>
      </c>
      <c r="K19" s="141"/>
      <c r="L19" s="165">
        <v>-156993.67600000001</v>
      </c>
      <c r="M19" s="393">
        <f t="shared" si="2"/>
        <v>0.41465162900933827</v>
      </c>
      <c r="N19" s="374" t="s">
        <v>513</v>
      </c>
      <c r="P19" s="220" t="s">
        <v>530</v>
      </c>
    </row>
    <row r="20" spans="1:16" ht="14.65" customHeight="1">
      <c r="A20" s="379" t="s">
        <v>531</v>
      </c>
      <c r="B20" s="155">
        <v>-505589.10700000002</v>
      </c>
      <c r="C20" s="155">
        <v>-948903.18990366952</v>
      </c>
      <c r="D20" s="140">
        <v>0</v>
      </c>
      <c r="E20" s="147">
        <f t="shared" si="0"/>
        <v>-948903.18990366952</v>
      </c>
      <c r="F20" s="151">
        <f>IF($C$6=0,0,ROUND($F$6/$E$6*E20,0))</f>
        <v>50834</v>
      </c>
      <c r="G20" s="140"/>
      <c r="H20" s="140"/>
      <c r="I20" s="140"/>
      <c r="J20" s="147">
        <f t="shared" si="10"/>
        <v>165065.32490366953</v>
      </c>
      <c r="K20" s="141"/>
      <c r="L20" s="165">
        <v>-733003.86499999999</v>
      </c>
      <c r="M20" s="393">
        <f t="shared" si="2"/>
        <v>-0.22752513343915215</v>
      </c>
      <c r="N20" s="374"/>
      <c r="P20" s="220" t="s">
        <v>532</v>
      </c>
    </row>
    <row r="21" spans="1:16" ht="14.25" customHeight="1">
      <c r="A21" s="379" t="s">
        <v>533</v>
      </c>
      <c r="B21" s="155">
        <v>-60000</v>
      </c>
      <c r="C21" s="155">
        <v>-108039.2338743111</v>
      </c>
      <c r="D21" s="140">
        <v>-108039.2338743111</v>
      </c>
      <c r="E21" s="147">
        <f t="shared" si="0"/>
        <v>0</v>
      </c>
      <c r="F21" s="151">
        <f>IF($C$6=0,0,ROUND($F$6/$E$6*E21,0))</f>
        <v>0</v>
      </c>
      <c r="G21" s="140"/>
      <c r="H21" s="140"/>
      <c r="I21" s="140"/>
      <c r="J21" s="147">
        <f t="shared" si="10"/>
        <v>0</v>
      </c>
      <c r="K21" s="141"/>
      <c r="L21" s="165"/>
      <c r="M21" s="393">
        <f t="shared" si="2"/>
        <v>-1</v>
      </c>
      <c r="N21" s="374"/>
      <c r="P21" s="220" t="s">
        <v>534</v>
      </c>
    </row>
    <row r="22" spans="1:16" ht="14.65" customHeight="1">
      <c r="A22" s="379" t="s">
        <v>535</v>
      </c>
      <c r="B22" s="155">
        <v>-30595.427</v>
      </c>
      <c r="C22" s="155">
        <v>-53926.818956571966</v>
      </c>
      <c r="D22" s="140">
        <v>0</v>
      </c>
      <c r="E22" s="147">
        <f t="shared" si="0"/>
        <v>-53926.818956571966</v>
      </c>
      <c r="F22" s="151">
        <f>IF($C$6=0,0,ROUND($F$6/$E$6*E22,0))</f>
        <v>2889</v>
      </c>
      <c r="G22" s="140"/>
      <c r="H22" s="140"/>
      <c r="I22" s="140"/>
      <c r="J22" s="147">
        <f t="shared" si="10"/>
        <v>788.84395657196728</v>
      </c>
      <c r="K22" s="141"/>
      <c r="L22" s="165">
        <v>-50248.974999999999</v>
      </c>
      <c r="M22" s="393">
        <f t="shared" si="2"/>
        <v>-6.820064724258601E-2</v>
      </c>
      <c r="N22" s="374"/>
      <c r="P22" s="220" t="s">
        <v>536</v>
      </c>
    </row>
    <row r="23" spans="1:16" ht="14.65" customHeight="1">
      <c r="A23" s="379" t="s">
        <v>537</v>
      </c>
      <c r="B23" s="719">
        <v>-137140.992</v>
      </c>
      <c r="C23" s="719">
        <v>-267825.72759176261</v>
      </c>
      <c r="D23" s="140">
        <v>0</v>
      </c>
      <c r="E23" s="147">
        <f t="shared" si="0"/>
        <v>-267825.72759176261</v>
      </c>
      <c r="F23" s="151">
        <f>IF($C$6=0,0,ROUND($F$6/$E$6*E23,0))</f>
        <v>14348</v>
      </c>
      <c r="G23" s="140"/>
      <c r="H23" s="140"/>
      <c r="I23" s="140"/>
      <c r="J23" s="147">
        <f t="shared" si="10"/>
        <v>58099.481367527624</v>
      </c>
      <c r="K23" s="141"/>
      <c r="L23" s="165">
        <v>-195378.24622423499</v>
      </c>
      <c r="M23" s="393">
        <f t="shared" si="2"/>
        <v>-0.27050232260717233</v>
      </c>
      <c r="N23" s="374"/>
      <c r="P23" s="220" t="s">
        <v>538</v>
      </c>
    </row>
    <row r="24" spans="1:16" ht="19.899999999999999" customHeight="1">
      <c r="A24" s="79" t="s">
        <v>539</v>
      </c>
      <c r="B24" s="688">
        <f>B25+B26</f>
        <v>5</v>
      </c>
      <c r="C24" s="387">
        <f>C25+C26</f>
        <v>4</v>
      </c>
      <c r="D24" s="387"/>
      <c r="E24" s="384">
        <f>C24-D24</f>
        <v>4</v>
      </c>
      <c r="F24" s="386"/>
      <c r="G24" s="385"/>
      <c r="H24" s="385"/>
      <c r="I24" s="385"/>
      <c r="J24" s="384"/>
      <c r="K24" s="383"/>
      <c r="L24" s="382">
        <f>L25+L26</f>
        <v>4</v>
      </c>
      <c r="M24" s="381">
        <f>IFERROR(L24/C24-1,0)</f>
        <v>0</v>
      </c>
      <c r="N24" s="380"/>
      <c r="P24" s="220" t="s">
        <v>540</v>
      </c>
    </row>
    <row r="25" spans="1:16" ht="14.65" customHeight="1">
      <c r="A25" s="379" t="s">
        <v>541</v>
      </c>
      <c r="B25" s="720">
        <v>5</v>
      </c>
      <c r="C25" s="720">
        <v>4</v>
      </c>
      <c r="D25" s="721"/>
      <c r="E25" s="147">
        <f>C25-D25</f>
        <v>4</v>
      </c>
      <c r="F25" s="378"/>
      <c r="G25" s="377"/>
      <c r="H25" s="377"/>
      <c r="I25" s="377"/>
      <c r="J25" s="376"/>
      <c r="K25" s="721"/>
      <c r="L25" s="722">
        <v>4</v>
      </c>
      <c r="M25" s="375">
        <f>IFERROR(L25/C25-1,0)</f>
        <v>0</v>
      </c>
      <c r="N25" s="374"/>
    </row>
    <row r="26" spans="1:16" ht="14.65" customHeight="1">
      <c r="A26" s="379" t="s">
        <v>542</v>
      </c>
      <c r="B26" s="720"/>
      <c r="C26" s="720"/>
      <c r="D26" s="721"/>
      <c r="E26" s="147">
        <f>C26-D26</f>
        <v>0</v>
      </c>
      <c r="F26" s="378"/>
      <c r="G26" s="377"/>
      <c r="H26" s="377"/>
      <c r="I26" s="377"/>
      <c r="J26" s="376"/>
      <c r="K26" s="721"/>
      <c r="L26" s="722"/>
      <c r="M26" s="375">
        <f>IFERROR(L26/C26-1,0)</f>
        <v>0</v>
      </c>
      <c r="N26" s="374"/>
      <c r="P26" s="221" t="s">
        <v>543</v>
      </c>
    </row>
    <row r="27" spans="1:16" ht="12.75" customHeight="1">
      <c r="B27" s="687"/>
    </row>
  </sheetData>
  <mergeCells count="3">
    <mergeCell ref="F4:J4"/>
    <mergeCell ref="B4:E4"/>
    <mergeCell ref="K4:M4"/>
  </mergeCells>
  <phoneticPr fontId="65" type="noConversion"/>
  <pageMargins left="0.70866141732283472" right="0.70866141732283472" top="0.74803149606299213" bottom="0.74803149606299213" header="0.31496062992125984" footer="0.31496062992125984"/>
  <pageSetup paperSize="9" scale="36" orientation="landscape" r:id="rId1"/>
  <customProperties>
    <customPr name="_pios_id" r:id="rId2"/>
  </customPropertie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D54F0-6260-47B7-BD0C-1E6DC3A0A888}">
  <sheetPr>
    <tabColor theme="0" tint="-4.9989318521683403E-2"/>
    <pageSetUpPr fitToPage="1"/>
  </sheetPr>
  <dimension ref="A1:Q26"/>
  <sheetViews>
    <sheetView showGridLines="0" zoomScaleNormal="100" workbookViewId="0">
      <pane xSplit="1" ySplit="5" topLeftCell="D6" activePane="bottomRight" state="frozen"/>
      <selection pane="topRight" activeCell="A30" sqref="A30:G30"/>
      <selection pane="bottomLeft" activeCell="A30" sqref="A30:G30"/>
      <selection pane="bottomRight"/>
    </sheetView>
  </sheetViews>
  <sheetFormatPr defaultColWidth="9.28515625" defaultRowHeight="12.75" customHeight="1" outlineLevelCol="1"/>
  <cols>
    <col min="1" max="1" width="55.7109375" style="221" customWidth="1"/>
    <col min="2" max="5" width="15.7109375" style="221" customWidth="1"/>
    <col min="6" max="11" width="14.7109375" style="221" customWidth="1" outlineLevel="1"/>
    <col min="12" max="14" width="14.7109375" style="221" customWidth="1"/>
    <col min="15" max="15" width="55.28515625" style="221" customWidth="1"/>
    <col min="16" max="16" width="9.28515625" style="221"/>
    <col min="17" max="17" width="141.28515625" style="221" bestFit="1" customWidth="1"/>
    <col min="18" max="21" width="9.28515625" style="221"/>
    <col min="22" max="22" width="9.28515625" style="221" customWidth="1"/>
    <col min="23" max="16384" width="9.28515625" style="221"/>
  </cols>
  <sheetData>
    <row r="1" spans="1:17" ht="19.899999999999999" customHeight="1">
      <c r="A1" s="60" t="str">
        <f>+'0. Instructions'!A1</f>
        <v>Budget 2024</v>
      </c>
      <c r="B1" s="60"/>
      <c r="C1" s="60"/>
      <c r="D1" s="397"/>
      <c r="E1" s="397"/>
      <c r="F1" s="397"/>
      <c r="G1" s="397"/>
      <c r="H1" s="397"/>
      <c r="I1" s="397"/>
      <c r="J1" s="397"/>
      <c r="K1" s="397"/>
      <c r="L1" s="219"/>
      <c r="M1" s="219"/>
      <c r="N1" s="219"/>
      <c r="O1" s="57" t="str">
        <f>'Input-FX Rates'!$H$1</f>
        <v>Plant ICH Icheon (242)</v>
      </c>
      <c r="Q1" s="397" t="s">
        <v>154</v>
      </c>
    </row>
    <row r="2" spans="1:17" ht="19.899999999999999" customHeight="1" thickBot="1">
      <c r="A2" s="55" t="s">
        <v>505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4" t="str">
        <f>'Input-FX Rates'!$H$2</f>
        <v>7821 PL Drivetrain Controls (&amp; Electrification)</v>
      </c>
      <c r="Q2" s="95" t="s">
        <v>156</v>
      </c>
    </row>
    <row r="4" spans="1:17" ht="37.5" customHeight="1">
      <c r="A4" s="188" t="str">
        <f>"Logistic Cost"&amp;" in '000 EUR"</f>
        <v>Logistic Cost in '000 EUR</v>
      </c>
      <c r="B4" s="1037">
        <v>2023</v>
      </c>
      <c r="C4" s="1035"/>
      <c r="D4" s="1035"/>
      <c r="E4" s="1038"/>
      <c r="F4" s="1037" t="s">
        <v>247</v>
      </c>
      <c r="G4" s="1035"/>
      <c r="H4" s="1035"/>
      <c r="I4" s="1035"/>
      <c r="J4" s="1035"/>
      <c r="K4" s="1035"/>
      <c r="L4" s="1040">
        <v>2024</v>
      </c>
      <c r="M4" s="1035"/>
      <c r="N4" s="1036"/>
      <c r="O4" s="304" t="s">
        <v>208</v>
      </c>
    </row>
    <row r="5" spans="1:17" ht="47.25" customHeight="1">
      <c r="A5" s="188"/>
      <c r="B5" s="659" t="s">
        <v>192</v>
      </c>
      <c r="C5" s="187" t="s">
        <v>19</v>
      </c>
      <c r="D5" s="187" t="s">
        <v>506</v>
      </c>
      <c r="E5" s="188" t="s">
        <v>507</v>
      </c>
      <c r="F5" s="659" t="s">
        <v>251</v>
      </c>
      <c r="G5" s="187" t="s">
        <v>252</v>
      </c>
      <c r="H5" s="187" t="s">
        <v>253</v>
      </c>
      <c r="I5" s="187" t="s">
        <v>254</v>
      </c>
      <c r="J5" s="187" t="s">
        <v>256</v>
      </c>
      <c r="K5" s="660" t="s">
        <v>322</v>
      </c>
      <c r="L5" s="660" t="s">
        <v>257</v>
      </c>
      <c r="M5" s="187" t="s">
        <v>15</v>
      </c>
      <c r="N5" s="187" t="s">
        <v>258</v>
      </c>
      <c r="O5" s="304"/>
    </row>
    <row r="6" spans="1:17" ht="15.75">
      <c r="A6" s="79" t="s">
        <v>195</v>
      </c>
      <c r="B6" s="688">
        <f>IFERROR('5. Logistic Cost (LC)'!B6/'Input-FX Rates'!$E$16,0)</f>
        <v>55718.001789595619</v>
      </c>
      <c r="C6" s="387">
        <f>IFERROR('5. Logistic Cost (LC)'!C6/'Input-FX Rates'!$G$16,0)</f>
        <v>100126.74994033898</v>
      </c>
      <c r="D6" s="387">
        <f>IFERROR('5. Logistic Cost (LC)'!D6/'Input-FX Rates'!$G$16,0)</f>
        <v>3022.7447892794153</v>
      </c>
      <c r="E6" s="384">
        <f>IFERROR('5. Logistic Cost (LC)'!E6/'Input-FX Rates'!$G$16,0)</f>
        <v>97104.00515105958</v>
      </c>
      <c r="F6" s="386">
        <f>IFERROR('5. Logistic Cost (LC)'!F6/'Input-FX Rates'!$G$16,0)</f>
        <v>-5202.0327006265215</v>
      </c>
      <c r="G6" s="385">
        <f>IFERROR('5. Logistic Cost (LC)'!G6/'Input-FX Rates'!$G$16,0)</f>
        <v>0</v>
      </c>
      <c r="H6" s="385">
        <f>IFERROR('5. Logistic Cost (LC)'!H6/'Input-FX Rates'!$G$16,0)</f>
        <v>-1878.0395368420614</v>
      </c>
      <c r="I6" s="385">
        <f>IFERROR('5. Logistic Cost (LC)'!I6/'Input-FX Rates'!$G$16,0)</f>
        <v>0</v>
      </c>
      <c r="J6" s="385">
        <f>IFERROR('5. Logistic Cost (LC)'!J6/'Input-FX Rates'!$G$16,0)</f>
        <v>749.9571807719625</v>
      </c>
      <c r="K6" s="383">
        <f>IFERROR(M6-'5. Logistic Cost (LC)'!L6/'Input-FX Rates'!$G$16,0)</f>
        <v>-2899.7475040181307</v>
      </c>
      <c r="L6" s="383">
        <f>IFERROR('5. Logistic Cost (LC)'!K6/'Input-FX Rates'!$H$16,0)</f>
        <v>0</v>
      </c>
      <c r="M6" s="406">
        <f>IFERROR('5. Logistic Cost (LC)'!L6/'Input-FX Rates'!$H$16,0)</f>
        <v>87874.142590344825</v>
      </c>
      <c r="N6" s="381">
        <f>IFERROR(M6/C6-1,0)</f>
        <v>-0.12237096837053962</v>
      </c>
      <c r="O6" s="925" t="str">
        <f>IF(ISBLANK('5. Logistic Cost (LC)'!N6),"",'5. Logistic Cost (LC)'!N6)</f>
        <v/>
      </c>
      <c r="Q6" s="220"/>
    </row>
    <row r="7" spans="1:17" ht="15.75">
      <c r="A7" s="79" t="s">
        <v>508</v>
      </c>
      <c r="B7" s="688">
        <f>IFERROR('5. Logistic Cost (LC)'!B7/'Input-FX Rates'!$E$16,0)</f>
        <v>56065.221779407824</v>
      </c>
      <c r="C7" s="387">
        <f>IFERROR('5. Logistic Cost (LC)'!C7/'Input-FX Rates'!$G$16,0)</f>
        <v>95989.283423216315</v>
      </c>
      <c r="D7" s="387">
        <f>IFERROR('5. Logistic Cost (LC)'!D7/'Input-FX Rates'!$G$16,0)</f>
        <v>3022.7447892794153</v>
      </c>
      <c r="E7" s="384">
        <f>IFERROR('5. Logistic Cost (LC)'!E7/'Input-FX Rates'!$G$16,0)</f>
        <v>92966.5386339369</v>
      </c>
      <c r="F7" s="386">
        <f>IFERROR('5. Logistic Cost (LC)'!F7/'Input-FX Rates'!$G$16,0)</f>
        <v>0</v>
      </c>
      <c r="G7" s="385">
        <f>IFERROR('5. Logistic Cost (LC)'!G7/'Input-FX Rates'!$G$16,0)</f>
        <v>0</v>
      </c>
      <c r="H7" s="385">
        <f>IFERROR('5. Logistic Cost (LC)'!H7/'Input-FX Rates'!$G$16,0)</f>
        <v>0</v>
      </c>
      <c r="I7" s="385">
        <f>IFERROR('5. Logistic Cost (LC)'!I7/'Input-FX Rates'!$G$16,0)</f>
        <v>0</v>
      </c>
      <c r="J7" s="385">
        <f>IFERROR('5. Logistic Cost (LC)'!J7/'Input-FX Rates'!$G$16,0)</f>
        <v>0</v>
      </c>
      <c r="K7" s="383">
        <f>IFERROR(M7-'5. Logistic Cost (LC)'!L7/'Input-FX Rates'!$G$16,0)</f>
        <v>-2875.7903235909907</v>
      </c>
      <c r="L7" s="383">
        <f>IFERROR('5. Logistic Cost (LC)'!K7/'Input-FX Rates'!$H$16,0)</f>
        <v>0</v>
      </c>
      <c r="M7" s="406">
        <f>IFERROR('5. Logistic Cost (LC)'!L7/'Input-FX Rates'!$H$16,0)</f>
        <v>87148.142590000003</v>
      </c>
      <c r="N7" s="381">
        <f>IFERROR(M7/C7-1,0)</f>
        <v>-9.2105498842363076E-2</v>
      </c>
      <c r="O7" s="925" t="str">
        <f>IF(ISBLANK('5. Logistic Cost (LC)'!N7),"",'5. Logistic Cost (LC)'!N7)</f>
        <v/>
      </c>
      <c r="Q7" s="220"/>
    </row>
    <row r="8" spans="1:17" ht="15.75">
      <c r="A8" s="79" t="s">
        <v>509</v>
      </c>
      <c r="B8" s="688">
        <f>IFERROR('5. Logistic Cost (LC)'!B8/'Input-FX Rates'!$E$16,0)</f>
        <v>-1304.5844788914935</v>
      </c>
      <c r="C8" s="387">
        <f>IFERROR('5. Logistic Cost (LC)'!C8/'Input-FX Rates'!$G$16,0)</f>
        <v>-2470.1215735874152</v>
      </c>
      <c r="D8" s="387">
        <f>IFERROR('5. Logistic Cost (LC)'!D8/'Input-FX Rates'!$G$16,0)</f>
        <v>-309.99885335295198</v>
      </c>
      <c r="E8" s="384">
        <f>IFERROR('5. Logistic Cost (LC)'!E8/'Input-FX Rates'!$G$16,0)</f>
        <v>-2160.122720234463</v>
      </c>
      <c r="F8" s="386">
        <f>IFERROR('5. Logistic Cost (LC)'!F8/'Input-FX Rates'!$G$16,0)</f>
        <v>115.72152043128573</v>
      </c>
      <c r="G8" s="385">
        <f>IFERROR('5. Logistic Cost (LC)'!G8/'Input-FX Rates'!$G$16,0)</f>
        <v>64.255379434234925</v>
      </c>
      <c r="H8" s="385">
        <f>IFERROR('5. Logistic Cost (LC)'!H8/'Input-FX Rates'!$G$16,0)</f>
        <v>-8.1257316017089085</v>
      </c>
      <c r="I8" s="385">
        <f>IFERROR('5. Logistic Cost (LC)'!I8/'Input-FX Rates'!$G$16,0)</f>
        <v>112.53917149529522</v>
      </c>
      <c r="J8" s="385">
        <f>IFERROR('5. Logistic Cost (LC)'!J8/'Input-FX Rates'!$G$16,0)</f>
        <v>0</v>
      </c>
      <c r="K8" s="383">
        <f>IFERROR(M8-'5. Logistic Cost (LC)'!L8/'Input-FX Rates'!$G$16,0)</f>
        <v>54.301090220390279</v>
      </c>
      <c r="L8" s="383">
        <f>IFERROR('5. Logistic Cost (LC)'!K8/'Input-FX Rates'!$H$16,0)</f>
        <v>0</v>
      </c>
      <c r="M8" s="406">
        <f>IFERROR('5. Logistic Cost (LC)'!L8/'Input-FX Rates'!$H$16,0)</f>
        <v>-1645.5438751911192</v>
      </c>
      <c r="N8" s="381">
        <f>IFERROR(M8/C8-1,0)</f>
        <v>-0.33382069417690341</v>
      </c>
      <c r="O8" s="925" t="str">
        <f>IF(ISBLANK('5. Logistic Cost (LC)'!N8),"",'5. Logistic Cost (LC)'!N8)</f>
        <v/>
      </c>
      <c r="Q8" s="220"/>
    </row>
    <row r="9" spans="1:17" ht="15.75">
      <c r="A9" s="153" t="s">
        <v>510</v>
      </c>
      <c r="B9" s="408">
        <f>IFERROR(B8/$B$6,0)</f>
        <v>-2.3414057162672735E-2</v>
      </c>
      <c r="C9" s="409">
        <f>IFERROR(C8/$C$6,0)</f>
        <v>-2.4669946593285506E-2</v>
      </c>
      <c r="D9" s="409"/>
      <c r="E9" s="410">
        <f>IFERROR(E8/$E$6,0)</f>
        <v>-2.2245454416365978E-2</v>
      </c>
      <c r="F9" s="408">
        <f>IFERROR(F8/$E$6,0)</f>
        <v>1.1917275734534725E-3</v>
      </c>
      <c r="G9" s="409"/>
      <c r="H9" s="409"/>
      <c r="I9" s="409"/>
      <c r="J9" s="409"/>
      <c r="K9" s="408"/>
      <c r="L9" s="408">
        <f>IFERROR(L8/$L$6,0)</f>
        <v>0</v>
      </c>
      <c r="M9" s="407">
        <f>IFERROR(M8/$M$6,0)</f>
        <v>-1.8726144309167046E-2</v>
      </c>
      <c r="N9" s="389"/>
      <c r="O9" s="388" t="str">
        <f>IF(ISBLANK('5. Logistic Cost (LC)'!N9),"",'5. Logistic Cost (LC)'!N9)</f>
        <v/>
      </c>
      <c r="P9" s="335"/>
    </row>
    <row r="10" spans="1:17" ht="15.75">
      <c r="A10" s="79" t="s">
        <v>511</v>
      </c>
      <c r="B10" s="688">
        <f>IFERROR('5. Logistic Cost (LC)'!B10/'Input-FX Rates'!$E$16,0)</f>
        <v>-738.9754260972378</v>
      </c>
      <c r="C10" s="387">
        <f>IFERROR('5. Logistic Cost (LC)'!C10/'Input-FX Rates'!$G$16,0)</f>
        <v>-1408.8599338580766</v>
      </c>
      <c r="D10" s="387">
        <f>IFERROR('5. Logistic Cost (LC)'!D10/'Input-FX Rates'!$G$16,0)</f>
        <v>-233.03029705898669</v>
      </c>
      <c r="E10" s="384">
        <f>IFERROR('5. Logistic Cost (LC)'!E10/'Input-FX Rates'!$G$16,0)</f>
        <v>-1175.8296367990899</v>
      </c>
      <c r="F10" s="386">
        <f>IFERROR('5. Logistic Cost (LC)'!F10/'Input-FX Rates'!$G$16,0)</f>
        <v>62.990846333410403</v>
      </c>
      <c r="G10" s="385">
        <f>IFERROR('5. Logistic Cost (LC)'!G10/'Input-FX Rates'!$G$16,0)</f>
        <v>64.255379434234925</v>
      </c>
      <c r="H10" s="385">
        <f>IFERROR('5. Logistic Cost (LC)'!H10/'Input-FX Rates'!$G$16,0)</f>
        <v>-4.0831651685416741</v>
      </c>
      <c r="I10" s="385">
        <f>IFERROR('5. Logistic Cost (LC)'!I10/'Input-FX Rates'!$G$16,0)</f>
        <v>112.53917149529522</v>
      </c>
      <c r="J10" s="385">
        <f>IFERROR('5. Logistic Cost (LC)'!J10/'Input-FX Rates'!$G$16,0)</f>
        <v>49.316299545870649</v>
      </c>
      <c r="K10" s="383">
        <f>IFERROR(M10-'5. Logistic Cost (LC)'!L10/'Input-FX Rates'!$G$16,0)</f>
        <v>28.456721156828849</v>
      </c>
      <c r="L10" s="383">
        <f>IFERROR('5. Logistic Cost (LC)'!K10/'Input-FX Rates'!$H$16,0)</f>
        <v>0</v>
      </c>
      <c r="M10" s="406">
        <f>IFERROR('5. Logistic Cost (LC)'!L10/'Input-FX Rates'!$H$16,0)</f>
        <v>-862.35438400199155</v>
      </c>
      <c r="N10" s="381">
        <f>IFERROR(M10/C10-1,0)</f>
        <v>-0.38790623306286598</v>
      </c>
      <c r="O10" s="925" t="str">
        <f>IF(ISBLANK('5. Logistic Cost (LC)'!N10),"",'5. Logistic Cost (LC)'!N10)</f>
        <v/>
      </c>
    </row>
    <row r="11" spans="1:17" ht="15">
      <c r="A11" s="398" t="s">
        <v>544</v>
      </c>
      <c r="B11" s="211">
        <f>IFERROR('5. Logistic Cost (LC)'!B11/'Input-FX Rates'!$E$16,0)</f>
        <v>-99.2249399683527</v>
      </c>
      <c r="C11" s="209">
        <f>IFERROR('5. Logistic Cost (LC)'!C11/'Input-FX Rates'!$G$16,0)</f>
        <v>-167.67033950819746</v>
      </c>
      <c r="D11" s="209">
        <f>IFERROR('5. Logistic Cost (LC)'!D11/'Input-FX Rates'!$G$16,0)</f>
        <v>0</v>
      </c>
      <c r="E11" s="210">
        <f>IFERROR('5. Logistic Cost (LC)'!E11/'Input-FX Rates'!$G$16,0)</f>
        <v>-167.67033950819746</v>
      </c>
      <c r="F11" s="211">
        <f>IFERROR('5. Logistic Cost (LC)'!F11/'Input-FX Rates'!$G$16,0)</f>
        <v>8.9821032874341302</v>
      </c>
      <c r="G11" s="209">
        <f>IFERROR('5. Logistic Cost (LC)'!G11/'Input-FX Rates'!$G$16,0)</f>
        <v>0</v>
      </c>
      <c r="H11" s="209">
        <f>IFERROR('5. Logistic Cost (LC)'!H11/'Input-FX Rates'!$G$16,0)</f>
        <v>-4.0831651685416741</v>
      </c>
      <c r="I11" s="209">
        <f>IFERROR('5. Logistic Cost (LC)'!I11/'Input-FX Rates'!$G$16,0)</f>
        <v>0</v>
      </c>
      <c r="J11" s="209">
        <f>IFERROR('5. Logistic Cost (LC)'!J11/'Input-FX Rates'!$G$16,0)</f>
        <v>49.80383172631894</v>
      </c>
      <c r="K11" s="211">
        <f>IFERROR(M11-'5. Logistic Cost (LC)'!L11/'Input-FX Rates'!$G$16,0)</f>
        <v>3.6087186285032971</v>
      </c>
      <c r="L11" s="211">
        <f>IFERROR('5. Logistic Cost (LC)'!K11/'Input-FX Rates'!$H$16,0)</f>
        <v>0</v>
      </c>
      <c r="M11" s="405">
        <f>IFERROR('5. Logistic Cost (LC)'!L11/'Input-FX Rates'!$H$16,0)</f>
        <v>-109.35885103448275</v>
      </c>
      <c r="N11" s="393">
        <f t="shared" ref="N11:N23" si="0">IFERROR(M11/C11-1,0)</f>
        <v>-0.34777461920069552</v>
      </c>
      <c r="O11" s="926" t="str">
        <f>IF(ISBLANK('5. Logistic Cost (LC)'!N11),"",'5. Logistic Cost (LC)'!N11)</f>
        <v>1HC Transfer to VK</v>
      </c>
      <c r="Q11" s="220" t="s">
        <v>545</v>
      </c>
    </row>
    <row r="12" spans="1:17" ht="15">
      <c r="A12" s="398" t="s">
        <v>515</v>
      </c>
      <c r="B12" s="211">
        <f>IFERROR('5. Logistic Cost (LC)'!B12/'Input-FX Rates'!$E$16,0)</f>
        <v>-252.73508612375386</v>
      </c>
      <c r="C12" s="209">
        <f>IFERROR('5. Logistic Cost (LC)'!C12/'Input-FX Rates'!$G$16,0)</f>
        <v>-576.75053479760572</v>
      </c>
      <c r="D12" s="209">
        <f>IFERROR('5. Logistic Cost (LC)'!D12/'Input-FX Rates'!$G$16,0)</f>
        <v>0</v>
      </c>
      <c r="E12" s="210">
        <f>IFERROR('5. Logistic Cost (LC)'!E12/'Input-FX Rates'!$G$16,0)</f>
        <v>-576.75053479760572</v>
      </c>
      <c r="F12" s="211">
        <f>IFERROR('5. Logistic Cost (LC)'!F12/'Input-FX Rates'!$G$16,0)</f>
        <v>30.897352440991295</v>
      </c>
      <c r="G12" s="209">
        <f>IFERROR('5. Logistic Cost (LC)'!G12/'Input-FX Rates'!$G$16,0)</f>
        <v>79.146948677353237</v>
      </c>
      <c r="H12" s="209">
        <f>IFERROR('5. Logistic Cost (LC)'!H12/'Input-FX Rates'!$G$16,0)</f>
        <v>0</v>
      </c>
      <c r="I12" s="209">
        <f>IFERROR('5. Logistic Cost (LC)'!I12/'Input-FX Rates'!$G$16,0)</f>
        <v>0</v>
      </c>
      <c r="J12" s="209">
        <f>IFERROR('5. Logistic Cost (LC)'!J12/'Input-FX Rates'!$G$16,0)</f>
        <v>1.2634144542753793E-3</v>
      </c>
      <c r="K12" s="211">
        <f>IFERROR(M12-'5. Logistic Cost (LC)'!L12/'Input-FX Rates'!$G$16,0)</f>
        <v>14.908764747565556</v>
      </c>
      <c r="L12" s="211">
        <f>IFERROR('5. Logistic Cost (LC)'!K12/'Input-FX Rates'!$H$16,0)</f>
        <v>0</v>
      </c>
      <c r="M12" s="405">
        <f>IFERROR('5. Logistic Cost (LC)'!L12/'Input-FX Rates'!$H$16,0)</f>
        <v>-451.79620551724139</v>
      </c>
      <c r="N12" s="393">
        <f t="shared" si="0"/>
        <v>-0.2166522989427544</v>
      </c>
      <c r="O12" s="926" t="str">
        <f>IF(ISBLANK('5. Logistic Cost (LC)'!N12),"",'5. Logistic Cost (LC)'!N12)</f>
        <v/>
      </c>
      <c r="Q12" s="220" t="s">
        <v>516</v>
      </c>
    </row>
    <row r="13" spans="1:17" ht="15">
      <c r="A13" s="398" t="s">
        <v>517</v>
      </c>
      <c r="B13" s="211">
        <f>IFERROR('5. Logistic Cost (LC)'!B13/'Input-FX Rates'!$E$16,0)</f>
        <v>-116.67600502602421</v>
      </c>
      <c r="C13" s="209">
        <f>IFERROR('5. Logistic Cost (LC)'!C13/'Input-FX Rates'!$G$16,0)</f>
        <v>-233.03029705898669</v>
      </c>
      <c r="D13" s="209">
        <f>IFERROR('5. Logistic Cost (LC)'!D13/'Input-FX Rates'!$G$16,0)</f>
        <v>-233.03029705898669</v>
      </c>
      <c r="E13" s="210">
        <f>IFERROR('5. Logistic Cost (LC)'!E13/'Input-FX Rates'!$G$16,0)</f>
        <v>0</v>
      </c>
      <c r="F13" s="211">
        <f>IFERROR('5. Logistic Cost (LC)'!F13/'Input-FX Rates'!$G$16,0)</f>
        <v>0</v>
      </c>
      <c r="G13" s="209">
        <f>IFERROR('5. Logistic Cost (LC)'!G13/'Input-FX Rates'!$G$16,0)</f>
        <v>0</v>
      </c>
      <c r="H13" s="209">
        <f>IFERROR('5. Logistic Cost (LC)'!H13/'Input-FX Rates'!$G$16,0)</f>
        <v>0</v>
      </c>
      <c r="I13" s="209">
        <f>IFERROR('5. Logistic Cost (LC)'!I13/'Input-FX Rates'!$G$16,0)</f>
        <v>0</v>
      </c>
      <c r="J13" s="209">
        <f>IFERROR('5. Logistic Cost (LC)'!J13/'Input-FX Rates'!$G$16,0)</f>
        <v>0</v>
      </c>
      <c r="K13" s="211">
        <f>IFERROR(M13-'5. Logistic Cost (LC)'!L13/'Input-FX Rates'!$G$16,0)</f>
        <v>0</v>
      </c>
      <c r="L13" s="211">
        <f>IFERROR('5. Logistic Cost (LC)'!K13/'Input-FX Rates'!$H$16,0)</f>
        <v>0</v>
      </c>
      <c r="M13" s="405">
        <f>IFERROR('5. Logistic Cost (LC)'!L13/'Input-FX Rates'!$H$16,0)</f>
        <v>0</v>
      </c>
      <c r="N13" s="393">
        <f t="shared" si="0"/>
        <v>-1</v>
      </c>
      <c r="O13" s="926" t="str">
        <f>IF(ISBLANK('5. Logistic Cost (LC)'!N13),"",'5. Logistic Cost (LC)'!N13)</f>
        <v/>
      </c>
      <c r="Q13" s="220" t="s">
        <v>518</v>
      </c>
    </row>
    <row r="14" spans="1:17" ht="15">
      <c r="A14" s="398" t="s">
        <v>519</v>
      </c>
      <c r="B14" s="211">
        <f>IFERROR('5. Logistic Cost (LC)'!B14/'Input-FX Rates'!$E$16,0)</f>
        <v>0</v>
      </c>
      <c r="C14" s="209">
        <f>IFERROR('5. Logistic Cost (LC)'!C14/'Input-FX Rates'!$G$16,0)</f>
        <v>0</v>
      </c>
      <c r="D14" s="209">
        <f>IFERROR('5. Logistic Cost (LC)'!D14/'Input-FX Rates'!$G$16,0)</f>
        <v>0</v>
      </c>
      <c r="E14" s="210">
        <f>IFERROR('5. Logistic Cost (LC)'!E14/'Input-FX Rates'!$G$16,0)</f>
        <v>0</v>
      </c>
      <c r="F14" s="211">
        <f>IFERROR('5. Logistic Cost (LC)'!F14/'Input-FX Rates'!$G$16,0)</f>
        <v>0</v>
      </c>
      <c r="G14" s="209">
        <f>IFERROR('5. Logistic Cost (LC)'!G14/'Input-FX Rates'!$G$16,0)</f>
        <v>0</v>
      </c>
      <c r="H14" s="209">
        <f>IFERROR('5. Logistic Cost (LC)'!H14/'Input-FX Rates'!$G$16,0)</f>
        <v>0</v>
      </c>
      <c r="I14" s="209">
        <f>IFERROR('5. Logistic Cost (LC)'!I14/'Input-FX Rates'!$G$16,0)</f>
        <v>0</v>
      </c>
      <c r="J14" s="209">
        <f>IFERROR('5. Logistic Cost (LC)'!J14/'Input-FX Rates'!$G$16,0)</f>
        <v>0</v>
      </c>
      <c r="K14" s="211">
        <f>IFERROR(M14-'5. Logistic Cost (LC)'!L14/'Input-FX Rates'!$G$16,0)</f>
        <v>0</v>
      </c>
      <c r="L14" s="211">
        <f>IFERROR('5. Logistic Cost (LC)'!K14/'Input-FX Rates'!$H$16,0)</f>
        <v>0</v>
      </c>
      <c r="M14" s="405">
        <f>IFERROR('5. Logistic Cost (LC)'!L14/'Input-FX Rates'!$H$16,0)</f>
        <v>0</v>
      </c>
      <c r="N14" s="393">
        <f t="shared" si="0"/>
        <v>0</v>
      </c>
      <c r="O14" s="926" t="str">
        <f>IF(ISBLANK('5. Logistic Cost (LC)'!N14),"",'5. Logistic Cost (LC)'!N14)</f>
        <v/>
      </c>
      <c r="Q14" s="220" t="s">
        <v>520</v>
      </c>
    </row>
    <row r="15" spans="1:17" ht="15">
      <c r="A15" s="398" t="s">
        <v>521</v>
      </c>
      <c r="B15" s="211">
        <f>IFERROR('5. Logistic Cost (LC)'!B15/'Input-FX Rates'!$E$16,0)</f>
        <v>-81.964069057991949</v>
      </c>
      <c r="C15" s="209">
        <f>IFERROR('5. Logistic Cost (LC)'!C15/'Input-FX Rates'!$G$16,0)</f>
        <v>-128.24023160358871</v>
      </c>
      <c r="D15" s="209">
        <f>IFERROR('5. Logistic Cost (LC)'!D15/'Input-FX Rates'!$G$16,0)</f>
        <v>0</v>
      </c>
      <c r="E15" s="210">
        <f>IFERROR('5. Logistic Cost (LC)'!E15/'Input-FX Rates'!$G$16,0)</f>
        <v>-128.24023160358871</v>
      </c>
      <c r="F15" s="211">
        <f>IFERROR('5. Logistic Cost (LC)'!F15/'Input-FX Rates'!$G$16,0)</f>
        <v>6.8697986992962656</v>
      </c>
      <c r="G15" s="209">
        <f>IFERROR('5. Logistic Cost (LC)'!G15/'Input-FX Rates'!$G$16,0)</f>
        <v>0</v>
      </c>
      <c r="H15" s="209">
        <f>IFERROR('5. Logistic Cost (LC)'!H15/'Input-FX Rates'!$G$16,0)</f>
        <v>0</v>
      </c>
      <c r="I15" s="209">
        <f>IFERROR('5. Logistic Cost (LC)'!I15/'Input-FX Rates'!$G$16,0)</f>
        <v>0</v>
      </c>
      <c r="J15" s="209">
        <f>IFERROR('5. Logistic Cost (LC)'!J15/'Input-FX Rates'!$G$16,0)</f>
        <v>-0.48905822317456166</v>
      </c>
      <c r="K15" s="211">
        <f>IFERROR(M15-'5. Logistic Cost (LC)'!L15/'Input-FX Rates'!$G$16,0)</f>
        <v>3.8927686680658837</v>
      </c>
      <c r="L15" s="211">
        <f>IFERROR('5. Logistic Cost (LC)'!K15/'Input-FX Rates'!$H$16,0)</f>
        <v>0</v>
      </c>
      <c r="M15" s="405">
        <f>IFERROR('5. Logistic Cost (LC)'!L15/'Input-FX Rates'!$H$16,0)</f>
        <v>-117.96672245940113</v>
      </c>
      <c r="N15" s="393">
        <f t="shared" si="0"/>
        <v>-8.0111436292041871E-2</v>
      </c>
      <c r="O15" s="926" t="str">
        <f>IF(ISBLANK('5. Logistic Cost (LC)'!N15),"",'5. Logistic Cost (LC)'!N15)</f>
        <v/>
      </c>
      <c r="Q15" s="220" t="s">
        <v>522</v>
      </c>
    </row>
    <row r="16" spans="1:17" ht="15">
      <c r="A16" s="398" t="s">
        <v>523</v>
      </c>
      <c r="B16" s="211">
        <f>IFERROR('5. Logistic Cost (LC)'!B16/'Input-FX Rates'!$E$16,0)</f>
        <v>-167.74263745259512</v>
      </c>
      <c r="C16" s="209">
        <f>IFERROR('5. Logistic Cost (LC)'!C16/'Input-FX Rates'!$G$16,0)</f>
        <v>-262.44859392592753</v>
      </c>
      <c r="D16" s="209">
        <f>IFERROR('5. Logistic Cost (LC)'!D16/'Input-FX Rates'!$G$16,0)</f>
        <v>0</v>
      </c>
      <c r="E16" s="210">
        <f>IFERROR('5. Logistic Cost (LC)'!E16/'Input-FX Rates'!$G$16,0)</f>
        <v>-262.44859392592753</v>
      </c>
      <c r="F16" s="211">
        <f>IFERROR('5. Logistic Cost (LC)'!F16/'Input-FX Rates'!$G$16,0)</f>
        <v>14.060183255139593</v>
      </c>
      <c r="G16" s="209">
        <f>IFERROR('5. Logistic Cost (LC)'!G16/'Input-FX Rates'!$G$16,0)</f>
        <v>0</v>
      </c>
      <c r="H16" s="209">
        <f>IFERROR('5. Logistic Cost (LC)'!H16/'Input-FX Rates'!$G$16,0)</f>
        <v>0</v>
      </c>
      <c r="I16" s="209">
        <f>IFERROR('5. Logistic Cost (LC)'!I16/'Input-FX Rates'!$G$16,0)</f>
        <v>112.53917149529522</v>
      </c>
      <c r="J16" s="209">
        <f>IFERROR('5. Logistic Cost (LC)'!J16/'Input-FX Rates'!$G$16,0)</f>
        <v>2.4708477614382072E-4</v>
      </c>
      <c r="K16" s="211">
        <f>IFERROR(M16-'5. Logistic Cost (LC)'!L16/'Input-FX Rates'!$G$16,0)</f>
        <v>4.3396595136435394</v>
      </c>
      <c r="L16" s="211">
        <f>IFERROR('5. Logistic Cost (LC)'!K16/'Input-FX Rates'!$H$16,0)</f>
        <v>0</v>
      </c>
      <c r="M16" s="405">
        <f>IFERROR('5. Logistic Cost (LC)'!L16/'Input-FX Rates'!$H$16,0)</f>
        <v>-131.50933257707305</v>
      </c>
      <c r="N16" s="393">
        <f t="shared" si="0"/>
        <v>-0.49891393735494827</v>
      </c>
      <c r="O16" s="926" t="str">
        <f>IF(ISBLANK('5. Logistic Cost (LC)'!N16),"",'5. Logistic Cost (LC)'!N16)</f>
        <v>Gen2 Motor duty improvement</v>
      </c>
      <c r="Q16" s="220" t="s">
        <v>525</v>
      </c>
    </row>
    <row r="17" spans="1:17" ht="15">
      <c r="A17" s="398" t="s">
        <v>546</v>
      </c>
      <c r="B17" s="211">
        <f>IFERROR('5. Logistic Cost (LC)'!B17/'Input-FX Rates'!$E$16,0)</f>
        <v>-20.63268846851987</v>
      </c>
      <c r="C17" s="209">
        <f>IFERROR('5. Logistic Cost (LC)'!C17/'Input-FX Rates'!$G$16,0)</f>
        <v>-40.719936963770408</v>
      </c>
      <c r="D17" s="209">
        <f>IFERROR('5. Logistic Cost (LC)'!D17/'Input-FX Rates'!$G$16,0)</f>
        <v>0</v>
      </c>
      <c r="E17" s="210">
        <f>IFERROR('5. Logistic Cost (LC)'!E17/'Input-FX Rates'!$G$16,0)</f>
        <v>-40.719936963770408</v>
      </c>
      <c r="F17" s="211">
        <f>IFERROR('5. Logistic Cost (LC)'!F17/'Input-FX Rates'!$G$16,0)</f>
        <v>2.1814086505491201</v>
      </c>
      <c r="G17" s="209">
        <f>IFERROR('5. Logistic Cost (LC)'!G17/'Input-FX Rates'!$G$16,0)</f>
        <v>-14.891569243118308</v>
      </c>
      <c r="H17" s="209">
        <f>IFERROR('5. Logistic Cost (LC)'!H17/'Input-FX Rates'!$G$16,0)</f>
        <v>0</v>
      </c>
      <c r="I17" s="209">
        <f>IFERROR('5. Logistic Cost (LC)'!I17/'Input-FX Rates'!$G$16,0)</f>
        <v>0</v>
      </c>
      <c r="J17" s="209">
        <f>IFERROR('5. Logistic Cost (LC)'!J17/'Input-FX Rates'!$G$16,0)</f>
        <v>1.5543495848949181E-5</v>
      </c>
      <c r="K17" s="211">
        <f>IFERROR(M17-'5. Logistic Cost (LC)'!L17/'Input-FX Rates'!$G$16,0)</f>
        <v>1.7068095990506507</v>
      </c>
      <c r="L17" s="211">
        <f>IFERROR('5. Logistic Cost (LC)'!K17/'Input-FX Rates'!$H$16,0)</f>
        <v>0</v>
      </c>
      <c r="M17" s="405">
        <f>IFERROR('5. Logistic Cost (LC)'!L17/'Input-FX Rates'!$H$16,0)</f>
        <v>-51.723272413793097</v>
      </c>
      <c r="N17" s="393">
        <f t="shared" si="0"/>
        <v>0.27021985470686372</v>
      </c>
      <c r="O17" s="926" t="str">
        <f>IF(ISBLANK('5. Logistic Cost (LC)'!N17),"",'5. Logistic Cost (LC)'!N17)</f>
        <v/>
      </c>
      <c r="Q17" s="220" t="s">
        <v>527</v>
      </c>
    </row>
    <row r="18" spans="1:17" ht="15.75">
      <c r="A18" s="79" t="s">
        <v>528</v>
      </c>
      <c r="B18" s="689">
        <f>IFERROR('5. Logistic Cost (LC)'!B18/'Input-FX Rates'!$E$16,0)</f>
        <v>-565.60905279425583</v>
      </c>
      <c r="C18" s="404">
        <f>IFERROR('5. Logistic Cost (LC)'!C18/'Input-FX Rates'!$G$16,0)</f>
        <v>-1061.2616397293386</v>
      </c>
      <c r="D18" s="404">
        <f>IFERROR('5. Logistic Cost (LC)'!D18/'Input-FX Rates'!$G$16,0)</f>
        <v>-76.968556293965307</v>
      </c>
      <c r="E18" s="403">
        <f>IFERROR('5. Logistic Cost (LC)'!E18/'Input-FX Rates'!$G$16,0)</f>
        <v>-984.29308343537332</v>
      </c>
      <c r="F18" s="402">
        <f>IFERROR('5. Logistic Cost (LC)'!F18/'Input-FX Rates'!$G$16,0)</f>
        <v>52.729961684860768</v>
      </c>
      <c r="G18" s="401">
        <f>IFERROR('5. Logistic Cost (LC)'!G18/'Input-FX Rates'!$G$16,0)</f>
        <v>0</v>
      </c>
      <c r="H18" s="401">
        <f>IFERROR('5. Logistic Cost (LC)'!H18/'Input-FX Rates'!$G$16,0)</f>
        <v>-4.0425664331672353</v>
      </c>
      <c r="I18" s="401">
        <f>IFERROR('5. Logistic Cost (LC)'!I18/'Input-FX Rates'!$G$16,0)</f>
        <v>0</v>
      </c>
      <c r="J18" s="401">
        <f>IFERROR('5. Logistic Cost (LC)'!J18/'Input-FX Rates'!$G$16,0)</f>
        <v>126.57182793099079</v>
      </c>
      <c r="K18" s="400">
        <f>IFERROR(M18-'5. Logistic Cost (LC)'!L18/'Input-FX Rates'!$G$16,0)</f>
        <v>25.844369063561544</v>
      </c>
      <c r="L18" s="400">
        <f>IFERROR('5. Logistic Cost (LC)'!K18/'Input-FX Rates'!$H$16,0)</f>
        <v>0</v>
      </c>
      <c r="M18" s="399">
        <f>IFERROR('5. Logistic Cost (LC)'!L18/'Input-FX Rates'!$H$16,0)</f>
        <v>-783.18949118912747</v>
      </c>
      <c r="N18" s="381">
        <f t="shared" si="0"/>
        <v>-0.26202035212648411</v>
      </c>
      <c r="O18" s="927" t="str">
        <f>IF(ISBLANK('5. Logistic Cost (LC)'!N18),"",'5. Logistic Cost (LC)'!N18)</f>
        <v/>
      </c>
      <c r="Q18" s="220"/>
    </row>
    <row r="19" spans="1:17" ht="15">
      <c r="A19" s="398" t="s">
        <v>547</v>
      </c>
      <c r="B19" s="211">
        <f>IFERROR('5. Logistic Cost (LC)'!B19/'Input-FX Rates'!$E$16,0)</f>
        <v>-42.123975368775014</v>
      </c>
      <c r="C19" s="209">
        <f>IFERROR('5. Logistic Cost (LC)'!C19/'Input-FX Rates'!$G$16,0)</f>
        <v>-79.061399775587375</v>
      </c>
      <c r="D19" s="209">
        <f>IFERROR('5. Logistic Cost (LC)'!D19/'Input-FX Rates'!$G$16,0)</f>
        <v>0</v>
      </c>
      <c r="E19" s="210">
        <f>IFERROR('5. Logistic Cost (LC)'!E19/'Input-FX Rates'!$G$16,0)</f>
        <v>-79.061399775587375</v>
      </c>
      <c r="F19" s="211">
        <f>IFERROR('5. Logistic Cost (LC)'!F19/'Input-FX Rates'!$G$16,0)</f>
        <v>4.2352953714939643</v>
      </c>
      <c r="G19" s="209">
        <f>IFERROR('5. Logistic Cost (LC)'!G19/'Input-FX Rates'!$G$16,0)</f>
        <v>0</v>
      </c>
      <c r="H19" s="209">
        <f>IFERROR('5. Logistic Cost (LC)'!H19/'Input-FX Rates'!$G$16,0)</f>
        <v>-4.0425664331672353</v>
      </c>
      <c r="I19" s="209">
        <f>IFERROR('5. Logistic Cost (LC)'!I19/'Input-FX Rates'!$G$16,0)</f>
        <v>0</v>
      </c>
      <c r="J19" s="209">
        <f>IFERROR('5. Logistic Cost (LC)'!J19/'Input-FX Rates'!$G$16,0)</f>
        <v>-32.975667147032567</v>
      </c>
      <c r="K19" s="211">
        <f>IFERROR(M19-'5. Logistic Cost (LC)'!L19/'Input-FX Rates'!$G$16,0)</f>
        <v>3.5728372946380347</v>
      </c>
      <c r="L19" s="211">
        <f>IFERROR('5. Logistic Cost (LC)'!K19/'Input-FX Rates'!$H$16,0)</f>
        <v>0</v>
      </c>
      <c r="M19" s="405">
        <f>IFERROR('5. Logistic Cost (LC)'!L19/'Input-FX Rates'!$H$16,0)</f>
        <v>-108.27150068965518</v>
      </c>
      <c r="N19" s="393">
        <f t="shared" si="0"/>
        <v>0.36946096321314204</v>
      </c>
      <c r="O19" s="926" t="str">
        <f>IF(ISBLANK('5. Logistic Cost (LC)'!N19),"",'5. Logistic Cost (LC)'!N19)</f>
        <v>1HC Transfer to VK</v>
      </c>
      <c r="Q19" s="220" t="s">
        <v>530</v>
      </c>
    </row>
    <row r="20" spans="1:17" ht="15">
      <c r="A20" s="398" t="s">
        <v>531</v>
      </c>
      <c r="B20" s="211">
        <f>IFERROR('5. Logistic Cost (LC)'!B20/'Input-FX Rates'!$E$16,0)</f>
        <v>-360.91523264850144</v>
      </c>
      <c r="C20" s="209">
        <f>IFERROR('5. Logistic Cost (LC)'!C20/'Input-FX Rates'!$G$16,0)</f>
        <v>-676.01098203446088</v>
      </c>
      <c r="D20" s="209">
        <f>IFERROR('5. Logistic Cost (LC)'!D20/'Input-FX Rates'!$G$16,0)</f>
        <v>0</v>
      </c>
      <c r="E20" s="210">
        <f>IFERROR('5. Logistic Cost (LC)'!E20/'Input-FX Rates'!$G$16,0)</f>
        <v>-676.01098203446088</v>
      </c>
      <c r="F20" s="211">
        <f>IFERROR('5. Logistic Cost (LC)'!F20/'Input-FX Rates'!$G$16,0)</f>
        <v>36.214803181585232</v>
      </c>
      <c r="G20" s="209">
        <f>IFERROR('5. Logistic Cost (LC)'!G20/'Input-FX Rates'!$G$16,0)</f>
        <v>0</v>
      </c>
      <c r="H20" s="209">
        <f>IFERROR('5. Logistic Cost (LC)'!H20/'Input-FX Rates'!$G$16,0)</f>
        <v>0</v>
      </c>
      <c r="I20" s="209">
        <f>IFERROR('5. Logistic Cost (LC)'!I20/'Input-FX Rates'!$G$16,0)</f>
        <v>0</v>
      </c>
      <c r="J20" s="209">
        <f>IFERROR('5. Logistic Cost (LC)'!J20/'Input-FX Rates'!$G$16,0)</f>
        <v>117.59468571213777</v>
      </c>
      <c r="K20" s="211">
        <f>IFERROR(M20-'5. Logistic Cost (LC)'!L20/'Input-FX Rates'!$G$16,0)</f>
        <v>16.681586244186121</v>
      </c>
      <c r="L20" s="211">
        <f>IFERROR('5. Logistic Cost (LC)'!K20/'Input-FX Rates'!$H$16,0)</f>
        <v>0</v>
      </c>
      <c r="M20" s="405">
        <f>IFERROR('5. Logistic Cost (LC)'!L20/'Input-FX Rates'!$H$16,0)</f>
        <v>-505.51990689655173</v>
      </c>
      <c r="N20" s="393">
        <f t="shared" si="0"/>
        <v>-0.25220163528233641</v>
      </c>
      <c r="O20" s="926" t="str">
        <f>IF(ISBLANK('5. Logistic Cost (LC)'!N20),"",'5. Logistic Cost (LC)'!N20)</f>
        <v/>
      </c>
      <c r="Q20" s="220" t="s">
        <v>548</v>
      </c>
    </row>
    <row r="21" spans="1:17" ht="15">
      <c r="A21" s="398" t="s">
        <v>533</v>
      </c>
      <c r="B21" s="211">
        <f>IFERROR('5. Logistic Cost (LC)'!B21/'Input-FX Rates'!$E$16,0)</f>
        <v>-42.831053238870687</v>
      </c>
      <c r="C21" s="209">
        <f>IFERROR('5. Logistic Cost (LC)'!C21/'Input-FX Rates'!$G$16,0)</f>
        <v>-76.968556293965307</v>
      </c>
      <c r="D21" s="209">
        <f>IFERROR('5. Logistic Cost (LC)'!D21/'Input-FX Rates'!$G$16,0)</f>
        <v>-76.968556293965307</v>
      </c>
      <c r="E21" s="210">
        <f>IFERROR('5. Logistic Cost (LC)'!E21/'Input-FX Rates'!$G$16,0)</f>
        <v>0</v>
      </c>
      <c r="F21" s="211">
        <f>IFERROR('5. Logistic Cost (LC)'!F21/'Input-FX Rates'!$G$16,0)</f>
        <v>0</v>
      </c>
      <c r="G21" s="209">
        <f>IFERROR('5. Logistic Cost (LC)'!G21/'Input-FX Rates'!$G$16,0)</f>
        <v>0</v>
      </c>
      <c r="H21" s="209">
        <f>IFERROR('5. Logistic Cost (LC)'!H21/'Input-FX Rates'!$G$16,0)</f>
        <v>0</v>
      </c>
      <c r="I21" s="209">
        <f>IFERROR('5. Logistic Cost (LC)'!I21/'Input-FX Rates'!$G$16,0)</f>
        <v>0</v>
      </c>
      <c r="J21" s="209">
        <f>IFERROR('5. Logistic Cost (LC)'!J21/'Input-FX Rates'!$G$16,0)</f>
        <v>0</v>
      </c>
      <c r="K21" s="211">
        <f>IFERROR(M21-'5. Logistic Cost (LC)'!L21/'Input-FX Rates'!$G$16,0)</f>
        <v>0</v>
      </c>
      <c r="L21" s="211">
        <f>IFERROR('5. Logistic Cost (LC)'!K21/'Input-FX Rates'!$H$16,0)</f>
        <v>0</v>
      </c>
      <c r="M21" s="405">
        <f>IFERROR('5. Logistic Cost (LC)'!L21/'Input-FX Rates'!$H$16,0)</f>
        <v>0</v>
      </c>
      <c r="N21" s="393">
        <f t="shared" si="0"/>
        <v>-1</v>
      </c>
      <c r="O21" s="926" t="str">
        <f>IF(ISBLANK('5. Logistic Cost (LC)'!N21),"",'5. Logistic Cost (LC)'!N21)</f>
        <v/>
      </c>
      <c r="Q21" s="220" t="s">
        <v>534</v>
      </c>
    </row>
    <row r="22" spans="1:17" ht="15">
      <c r="A22" s="398" t="s">
        <v>535</v>
      </c>
      <c r="B22" s="211">
        <f>IFERROR('5. Logistic Cost (LC)'!B22/'Input-FX Rates'!$E$16,0)</f>
        <v>-21.840572711716359</v>
      </c>
      <c r="C22" s="209">
        <f>IFERROR('5. Logistic Cost (LC)'!C22/'Input-FX Rates'!$G$16,0)</f>
        <v>-38.41816765789104</v>
      </c>
      <c r="D22" s="209">
        <f>IFERROR('5. Logistic Cost (LC)'!D22/'Input-FX Rates'!$G$16,0)</f>
        <v>0</v>
      </c>
      <c r="E22" s="210">
        <f>IFERROR('5. Logistic Cost (LC)'!E22/'Input-FX Rates'!$G$16,0)</f>
        <v>-38.41816765789104</v>
      </c>
      <c r="F22" s="211">
        <f>IFERROR('5. Logistic Cost (LC)'!F22/'Input-FX Rates'!$G$16,0)</f>
        <v>2.0581611990321385</v>
      </c>
      <c r="G22" s="209">
        <f>IFERROR('5. Logistic Cost (LC)'!G22/'Input-FX Rates'!$G$16,0)</f>
        <v>0</v>
      </c>
      <c r="H22" s="209">
        <f>IFERROR('5. Logistic Cost (LC)'!H22/'Input-FX Rates'!$G$16,0)</f>
        <v>0</v>
      </c>
      <c r="I22" s="209">
        <f>IFERROR('5. Logistic Cost (LC)'!I22/'Input-FX Rates'!$G$16,0)</f>
        <v>0</v>
      </c>
      <c r="J22" s="209">
        <f>IFERROR('5. Logistic Cost (LC)'!J22/'Input-FX Rates'!$G$16,0)</f>
        <v>0.56198270111021686</v>
      </c>
      <c r="K22" s="211">
        <f>IFERROR(M22-'5. Logistic Cost (LC)'!L22/'Input-FX Rates'!$G$16,0)</f>
        <v>1.1435582405073106</v>
      </c>
      <c r="L22" s="211">
        <f>IFERROR('5. Logistic Cost (LC)'!K22/'Input-FX Rates'!$H$16,0)</f>
        <v>0</v>
      </c>
      <c r="M22" s="405">
        <f>IFERROR('5. Logistic Cost (LC)'!L22/'Input-FX Rates'!$H$16,0)</f>
        <v>-34.654465517241377</v>
      </c>
      <c r="N22" s="393">
        <f t="shared" si="0"/>
        <v>-9.7966726944526794E-2</v>
      </c>
      <c r="O22" s="926" t="str">
        <f>IF(ISBLANK('5. Logistic Cost (LC)'!N22),"",'5. Logistic Cost (LC)'!N22)</f>
        <v/>
      </c>
      <c r="Q22" s="220" t="s">
        <v>536</v>
      </c>
    </row>
    <row r="23" spans="1:17" ht="15">
      <c r="A23" s="398" t="s">
        <v>549</v>
      </c>
      <c r="B23" s="211">
        <f>IFERROR('5. Logistic Cost (LC)'!B23/'Input-FX Rates'!$E$16,0)</f>
        <v>-97.898218826392309</v>
      </c>
      <c r="C23" s="209">
        <f>IFERROR('5. Logistic Cost (LC)'!C23/'Input-FX Rates'!$G$16,0)</f>
        <v>-190.80253396743407</v>
      </c>
      <c r="D23" s="209">
        <f>IFERROR('5. Logistic Cost (LC)'!D23/'Input-FX Rates'!$G$16,0)</f>
        <v>0</v>
      </c>
      <c r="E23" s="210">
        <f>IFERROR('5. Logistic Cost (LC)'!E23/'Input-FX Rates'!$G$16,0)</f>
        <v>-190.80253396743407</v>
      </c>
      <c r="F23" s="211">
        <f>IFERROR('5. Logistic Cost (LC)'!F23/'Input-FX Rates'!$G$16,0)</f>
        <v>10.221701932749438</v>
      </c>
      <c r="G23" s="209">
        <f>IFERROR('5. Logistic Cost (LC)'!G23/'Input-FX Rates'!$G$16,0)</f>
        <v>0</v>
      </c>
      <c r="H23" s="209">
        <f>IFERROR('5. Logistic Cost (LC)'!H23/'Input-FX Rates'!$G$16,0)</f>
        <v>0</v>
      </c>
      <c r="I23" s="209">
        <f>IFERROR('5. Logistic Cost (LC)'!I23/'Input-FX Rates'!$G$16,0)</f>
        <v>0</v>
      </c>
      <c r="J23" s="209">
        <f>IFERROR('5. Logistic Cost (LC)'!J23/'Input-FX Rates'!$G$16,0)</f>
        <v>41.390826664775368</v>
      </c>
      <c r="K23" s="211">
        <f>IFERROR(M23-'5. Logistic Cost (LC)'!L23/'Input-FX Rates'!$G$16,0)</f>
        <v>4.446387284229985</v>
      </c>
      <c r="L23" s="211">
        <f>IFERROR('5. Logistic Cost (LC)'!K23/'Input-FX Rates'!$H$16,0)</f>
        <v>0</v>
      </c>
      <c r="M23" s="405">
        <f>IFERROR('5. Logistic Cost (LC)'!L23/'Input-FX Rates'!$H$16,0)</f>
        <v>-134.74361808567929</v>
      </c>
      <c r="N23" s="393">
        <f t="shared" si="0"/>
        <v>-0.29380592970176611</v>
      </c>
      <c r="O23" s="926" t="str">
        <f>IF(ISBLANK('5. Logistic Cost (LC)'!N23),"",'5. Logistic Cost (LC)'!N23)</f>
        <v/>
      </c>
      <c r="Q23" s="220" t="s">
        <v>538</v>
      </c>
    </row>
    <row r="24" spans="1:17" ht="15.75">
      <c r="A24" s="79" t="s">
        <v>539</v>
      </c>
      <c r="B24" s="689">
        <f>'5. Logistic Cost (LC)'!B24</f>
        <v>5</v>
      </c>
      <c r="C24" s="404">
        <f>'5. Logistic Cost (LC)'!C24</f>
        <v>4</v>
      </c>
      <c r="D24" s="404"/>
      <c r="E24" s="403">
        <f>'5. Logistic Cost (LC)'!E24</f>
        <v>4</v>
      </c>
      <c r="F24" s="402"/>
      <c r="G24" s="401"/>
      <c r="H24" s="401"/>
      <c r="I24" s="401"/>
      <c r="J24" s="401"/>
      <c r="K24" s="400"/>
      <c r="L24" s="400"/>
      <c r="M24" s="399">
        <f>'5. Logistic Cost (LC)'!L24</f>
        <v>4</v>
      </c>
      <c r="N24" s="381">
        <f>IFERROR(M24/C24-1,0)</f>
        <v>0</v>
      </c>
      <c r="O24" s="927" t="str">
        <f>IF(ISBLANK('5. Logistic Cost (LC)'!N24),"",'5. Logistic Cost (LC)'!N24)</f>
        <v/>
      </c>
      <c r="Q24" s="220" t="s">
        <v>540</v>
      </c>
    </row>
    <row r="25" spans="1:17" ht="15">
      <c r="A25" s="398" t="s">
        <v>541</v>
      </c>
      <c r="B25" s="211">
        <f>'5. Logistic Cost (LC)'!B25</f>
        <v>5</v>
      </c>
      <c r="C25" s="209">
        <f>'5. Logistic Cost (LC)'!C25</f>
        <v>4</v>
      </c>
      <c r="D25" s="209"/>
      <c r="E25" s="210">
        <f>'5. Logistic Cost (LC)'!E25</f>
        <v>4</v>
      </c>
      <c r="F25" s="211"/>
      <c r="G25" s="209"/>
      <c r="H25" s="209"/>
      <c r="I25" s="209"/>
      <c r="J25" s="209"/>
      <c r="K25" s="211"/>
      <c r="L25" s="211"/>
      <c r="M25" s="405">
        <f>'5. Logistic Cost (LC)'!L25</f>
        <v>4</v>
      </c>
      <c r="N25" s="375">
        <f>IFERROR(M25/C25-1,0)</f>
        <v>0</v>
      </c>
      <c r="O25" s="926" t="str">
        <f>IF(ISBLANK('5. Logistic Cost (LC)'!N25),"",'5. Logistic Cost (LC)'!N25)</f>
        <v/>
      </c>
    </row>
    <row r="26" spans="1:17" ht="15">
      <c r="A26" s="398" t="s">
        <v>542</v>
      </c>
      <c r="B26" s="211">
        <f>'5. Logistic Cost (LC)'!B26</f>
        <v>0</v>
      </c>
      <c r="C26" s="209">
        <f>'5. Logistic Cost (LC)'!C26</f>
        <v>0</v>
      </c>
      <c r="D26" s="209"/>
      <c r="E26" s="210">
        <f>'5. Logistic Cost (LC)'!E26</f>
        <v>0</v>
      </c>
      <c r="F26" s="211"/>
      <c r="G26" s="209"/>
      <c r="H26" s="209"/>
      <c r="I26" s="209"/>
      <c r="J26" s="209"/>
      <c r="K26" s="211"/>
      <c r="L26" s="211"/>
      <c r="M26" s="405">
        <f>'5. Logistic Cost (LC)'!L26</f>
        <v>0</v>
      </c>
      <c r="N26" s="375">
        <f>IFERROR(M26/C26-1,0)</f>
        <v>0</v>
      </c>
      <c r="O26" s="926" t="str">
        <f>IF(ISBLANK('5. Logistic Cost (LC)'!N26),"",'5. Logistic Cost (LC)'!N26)</f>
        <v/>
      </c>
      <c r="Q26" s="221" t="s">
        <v>543</v>
      </c>
    </row>
  </sheetData>
  <mergeCells count="3">
    <mergeCell ref="F4:K4"/>
    <mergeCell ref="L4:N4"/>
    <mergeCell ref="B4:E4"/>
  </mergeCells>
  <phoneticPr fontId="65" type="noConversion"/>
  <pageMargins left="0.70866141732283472" right="0.70866141732283472" top="0.74803149606299213" bottom="0.74803149606299213" header="0.31496062992125984" footer="0.31496062992125984"/>
  <pageSetup paperSize="9" scale="62" orientation="landscape" r:id="rId1"/>
  <customProperties>
    <customPr name="_pios_id" r:id="rId2"/>
  </customPropertie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4D104-F92E-43F7-9D99-0155A6697655}">
  <sheetPr>
    <tabColor rgb="FFFFFFCC"/>
  </sheetPr>
  <dimension ref="A1:T53"/>
  <sheetViews>
    <sheetView showGridLines="0" zoomScaleNormal="100" workbookViewId="0">
      <pane xSplit="2" ySplit="6" topLeftCell="C7" activePane="bottomRight" state="frozen"/>
      <selection pane="topRight" activeCell="A30" sqref="A30:G30"/>
      <selection pane="bottomLeft" activeCell="A30" sqref="A30:G30"/>
      <selection pane="bottomRight" activeCell="H37" sqref="H37"/>
    </sheetView>
  </sheetViews>
  <sheetFormatPr defaultColWidth="11.28515625" defaultRowHeight="15"/>
  <cols>
    <col min="1" max="1" width="21.28515625" style="725" customWidth="1"/>
    <col min="2" max="2" width="43" style="725" customWidth="1"/>
    <col min="3" max="3" width="20.28515625" style="725" customWidth="1"/>
    <col min="4" max="5" width="16.7109375" style="725" customWidth="1"/>
    <col min="6" max="17" width="13.7109375" style="725" customWidth="1"/>
    <col min="18" max="18" width="44.7109375" style="725" customWidth="1"/>
    <col min="19" max="19" width="11.28515625" style="725"/>
    <col min="20" max="20" width="59.28515625" style="725" customWidth="1"/>
    <col min="21" max="16384" width="11.28515625" style="411"/>
  </cols>
  <sheetData>
    <row r="1" spans="1:20" s="419" customFormat="1" ht="18">
      <c r="A1" s="60" t="str">
        <f>+'0. Instructions'!A1</f>
        <v>Budget 2024</v>
      </c>
      <c r="B1" s="423"/>
      <c r="C1" s="423"/>
      <c r="D1" s="423"/>
      <c r="E1" s="423"/>
      <c r="F1" s="423"/>
      <c r="G1" s="723"/>
      <c r="H1" s="422"/>
      <c r="I1" s="422"/>
      <c r="J1" s="422"/>
      <c r="K1" s="422"/>
      <c r="L1" s="422"/>
      <c r="M1" s="422"/>
      <c r="N1" s="421"/>
      <c r="O1" s="421"/>
      <c r="P1" s="420"/>
      <c r="Q1" s="420"/>
      <c r="R1" s="420" t="str">
        <f>'Input-FX Rates'!$H$1</f>
        <v>Plant ICH Icheon (242)</v>
      </c>
      <c r="S1" s="243"/>
      <c r="T1" s="397" t="s">
        <v>154</v>
      </c>
    </row>
    <row r="2" spans="1:20" s="419" customFormat="1" ht="18.75" thickBot="1">
      <c r="A2" s="55" t="s">
        <v>550</v>
      </c>
      <c r="B2" s="218"/>
      <c r="C2" s="218"/>
      <c r="D2" s="218"/>
      <c r="E2" s="218"/>
      <c r="F2" s="218"/>
      <c r="G2" s="218"/>
      <c r="H2" s="218"/>
      <c r="I2" s="218"/>
      <c r="J2" s="54"/>
      <c r="K2" s="55"/>
      <c r="L2" s="218"/>
      <c r="M2" s="218"/>
      <c r="N2" s="218"/>
      <c r="O2" s="218"/>
      <c r="P2" s="396"/>
      <c r="Q2" s="396"/>
      <c r="R2" s="54" t="str">
        <f>'Input-FX Rates'!$H$2</f>
        <v>7821 PL Drivetrain Controls (&amp; Electrification)</v>
      </c>
      <c r="S2" s="243"/>
      <c r="T2" s="95" t="s">
        <v>156</v>
      </c>
    </row>
    <row r="3" spans="1:20" s="419" customFormat="1" ht="12.75">
      <c r="A3" s="243"/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21"/>
    </row>
    <row r="4" spans="1:20" s="419" customFormat="1" ht="12.75">
      <c r="A4" s="243"/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</row>
    <row r="5" spans="1:20" s="418" customFormat="1" ht="31.5">
      <c r="A5" s="187"/>
      <c r="B5" s="690" t="str">
        <f>"Inventory Details"&amp;" in '000 "&amp;'Input-FX Rates'!$B$8</f>
        <v>Inventory Details in '000 KRW</v>
      </c>
      <c r="C5" s="691" t="s">
        <v>551</v>
      </c>
      <c r="D5" s="188" t="s">
        <v>552</v>
      </c>
      <c r="E5" s="187" t="s">
        <v>553</v>
      </c>
      <c r="F5" s="187" t="s">
        <v>554</v>
      </c>
      <c r="G5" s="187" t="s">
        <v>555</v>
      </c>
      <c r="H5" s="187" t="s">
        <v>556</v>
      </c>
      <c r="I5" s="187" t="s">
        <v>557</v>
      </c>
      <c r="J5" s="187" t="s">
        <v>558</v>
      </c>
      <c r="K5" s="187" t="s">
        <v>559</v>
      </c>
      <c r="L5" s="187" t="s">
        <v>560</v>
      </c>
      <c r="M5" s="187" t="s">
        <v>561</v>
      </c>
      <c r="N5" s="187" t="s">
        <v>562</v>
      </c>
      <c r="O5" s="187" t="s">
        <v>563</v>
      </c>
      <c r="P5" s="188" t="s">
        <v>564</v>
      </c>
      <c r="Q5" s="188" t="s">
        <v>565</v>
      </c>
      <c r="R5" s="187" t="s">
        <v>208</v>
      </c>
      <c r="S5" s="724"/>
      <c r="T5" s="724"/>
    </row>
    <row r="6" spans="1:20">
      <c r="B6" s="726"/>
      <c r="C6" s="727"/>
      <c r="D6" s="728"/>
      <c r="P6" s="728"/>
      <c r="Q6" s="728"/>
    </row>
    <row r="7" spans="1:20" ht="15.75">
      <c r="A7" s="214" t="s">
        <v>566</v>
      </c>
      <c r="B7" s="693">
        <f>'P&amp;L'!I8</f>
        <v>127417506.756</v>
      </c>
      <c r="C7" s="692">
        <f>+'P&amp;L'!F8</f>
        <v>78052717.702999994</v>
      </c>
      <c r="D7" s="80">
        <f>+'P&amp;L'!H8</f>
        <v>140545930.37400001</v>
      </c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6"/>
      <c r="Q7" s="415"/>
      <c r="R7" s="214"/>
      <c r="T7" s="725" t="s">
        <v>567</v>
      </c>
    </row>
    <row r="8" spans="1:20" ht="15.75">
      <c r="A8" s="214" t="s">
        <v>568</v>
      </c>
      <c r="B8" s="694"/>
      <c r="C8" s="692">
        <f t="shared" ref="C8:Q8" si="0">SUM(C9:C23)</f>
        <v>4615843.9230000004</v>
      </c>
      <c r="D8" s="80">
        <f t="shared" si="0"/>
        <v>3819673.4120139927</v>
      </c>
      <c r="E8" s="78">
        <f t="shared" si="0"/>
        <v>3729312.8139491077</v>
      </c>
      <c r="F8" s="78">
        <f t="shared" si="0"/>
        <v>3442718.0591990417</v>
      </c>
      <c r="G8" s="78">
        <f t="shared" si="0"/>
        <v>3553661.6423815987</v>
      </c>
      <c r="H8" s="78">
        <f t="shared" si="0"/>
        <v>3545795.9768448775</v>
      </c>
      <c r="I8" s="78">
        <f t="shared" si="0"/>
        <v>3360149.6906501586</v>
      </c>
      <c r="J8" s="78">
        <f t="shared" si="0"/>
        <v>4008245.9076184276</v>
      </c>
      <c r="K8" s="78">
        <f t="shared" si="0"/>
        <v>3607834.0155308931</v>
      </c>
      <c r="L8" s="78">
        <f t="shared" si="0"/>
        <v>3132248.1206386602</v>
      </c>
      <c r="M8" s="78">
        <f t="shared" si="0"/>
        <v>3770367.6034816359</v>
      </c>
      <c r="N8" s="78">
        <f t="shared" si="0"/>
        <v>3354886.2007345557</v>
      </c>
      <c r="O8" s="78">
        <f t="shared" si="0"/>
        <v>2963090.3883626517</v>
      </c>
      <c r="P8" s="78">
        <f t="shared" si="0"/>
        <v>3729192.1288859365</v>
      </c>
      <c r="Q8" s="414">
        <f t="shared" si="0"/>
        <v>3516458.5456897956</v>
      </c>
      <c r="R8" s="214"/>
      <c r="T8" s="725" t="s">
        <v>569</v>
      </c>
    </row>
    <row r="9" spans="1:20">
      <c r="A9" s="1042" t="s">
        <v>570</v>
      </c>
      <c r="B9" s="726" t="s">
        <v>571</v>
      </c>
      <c r="C9" s="155">
        <v>3346935.9230000004</v>
      </c>
      <c r="D9" s="715">
        <v>2711006.8120139926</v>
      </c>
      <c r="E9" s="729">
        <v>2917152.0189223331</v>
      </c>
      <c r="F9" s="729">
        <v>2656241.0051969974</v>
      </c>
      <c r="G9" s="155">
        <v>2788712.4386150031</v>
      </c>
      <c r="H9" s="155">
        <v>2804890.2349676662</v>
      </c>
      <c r="I9" s="155">
        <v>2620592.4609723329</v>
      </c>
      <c r="J9" s="155">
        <v>3269820.2874853322</v>
      </c>
      <c r="K9" s="155">
        <v>2870851.8700903323</v>
      </c>
      <c r="L9" s="155">
        <v>2396317.702206335</v>
      </c>
      <c r="M9" s="155">
        <v>3035399.3497743336</v>
      </c>
      <c r="N9" s="155">
        <v>2621258.3679130003</v>
      </c>
      <c r="O9" s="155">
        <v>2230579.7749693319</v>
      </c>
      <c r="P9" s="715">
        <v>2997882.5862180018</v>
      </c>
      <c r="Q9" s="730">
        <f>SUM(E9:P9)/12</f>
        <v>2767474.8414442502</v>
      </c>
      <c r="R9" s="155"/>
    </row>
    <row r="10" spans="1:20">
      <c r="A10" s="1042"/>
      <c r="B10" s="726" t="s">
        <v>572</v>
      </c>
      <c r="C10" s="155">
        <v>0</v>
      </c>
      <c r="D10" s="715">
        <v>0</v>
      </c>
      <c r="E10" s="729">
        <v>0</v>
      </c>
      <c r="F10" s="729">
        <v>0</v>
      </c>
      <c r="G10" s="155">
        <v>0</v>
      </c>
      <c r="H10" s="155">
        <v>0</v>
      </c>
      <c r="I10" s="155">
        <v>0</v>
      </c>
      <c r="J10" s="155">
        <v>0</v>
      </c>
      <c r="K10" s="155">
        <v>0</v>
      </c>
      <c r="L10" s="155">
        <v>0</v>
      </c>
      <c r="M10" s="155">
        <v>0</v>
      </c>
      <c r="N10" s="155">
        <v>0</v>
      </c>
      <c r="O10" s="155">
        <v>0</v>
      </c>
      <c r="P10" s="715">
        <v>0</v>
      </c>
      <c r="Q10" s="730">
        <f t="shared" ref="Q10:Q23" si="1">SUM(E10:P10)/12</f>
        <v>0</v>
      </c>
      <c r="R10" s="155"/>
    </row>
    <row r="11" spans="1:20">
      <c r="A11" s="1042"/>
      <c r="B11" s="726" t="s">
        <v>573</v>
      </c>
      <c r="C11" s="155">
        <v>0</v>
      </c>
      <c r="D11" s="715">
        <v>0</v>
      </c>
      <c r="E11" s="729">
        <v>0</v>
      </c>
      <c r="F11" s="729">
        <v>0</v>
      </c>
      <c r="G11" s="155">
        <v>0</v>
      </c>
      <c r="H11" s="155">
        <v>0</v>
      </c>
      <c r="I11" s="155">
        <v>0</v>
      </c>
      <c r="J11" s="155">
        <v>0</v>
      </c>
      <c r="K11" s="155">
        <v>0</v>
      </c>
      <c r="L11" s="155">
        <v>0</v>
      </c>
      <c r="M11" s="155">
        <v>0</v>
      </c>
      <c r="N11" s="155">
        <v>0</v>
      </c>
      <c r="O11" s="155">
        <v>0</v>
      </c>
      <c r="P11" s="715">
        <v>0</v>
      </c>
      <c r="Q11" s="730">
        <f t="shared" si="1"/>
        <v>0</v>
      </c>
      <c r="R11" s="155"/>
    </row>
    <row r="12" spans="1:20">
      <c r="A12" s="1042"/>
      <c r="B12" s="726" t="s">
        <v>574</v>
      </c>
      <c r="C12" s="155">
        <v>0</v>
      </c>
      <c r="D12" s="715">
        <v>0</v>
      </c>
      <c r="E12" s="729">
        <v>0</v>
      </c>
      <c r="F12" s="729">
        <v>0</v>
      </c>
      <c r="G12" s="155">
        <v>0</v>
      </c>
      <c r="H12" s="155">
        <v>0</v>
      </c>
      <c r="I12" s="155">
        <v>0</v>
      </c>
      <c r="J12" s="155">
        <v>0</v>
      </c>
      <c r="K12" s="155">
        <v>0</v>
      </c>
      <c r="L12" s="155">
        <v>0</v>
      </c>
      <c r="M12" s="155">
        <v>0</v>
      </c>
      <c r="N12" s="155">
        <v>0</v>
      </c>
      <c r="O12" s="155">
        <v>0</v>
      </c>
      <c r="P12" s="715">
        <v>0</v>
      </c>
      <c r="Q12" s="730">
        <f t="shared" si="1"/>
        <v>0</v>
      </c>
      <c r="R12" s="155"/>
    </row>
    <row r="13" spans="1:20">
      <c r="A13" s="1042"/>
      <c r="B13" s="726" t="s">
        <v>575</v>
      </c>
      <c r="C13" s="155">
        <v>0</v>
      </c>
      <c r="D13" s="715">
        <v>0</v>
      </c>
      <c r="E13" s="729">
        <v>0</v>
      </c>
      <c r="F13" s="729">
        <v>0</v>
      </c>
      <c r="G13" s="155">
        <v>0</v>
      </c>
      <c r="H13" s="155">
        <v>0</v>
      </c>
      <c r="I13" s="155">
        <v>0</v>
      </c>
      <c r="J13" s="155">
        <v>0</v>
      </c>
      <c r="K13" s="155">
        <v>0</v>
      </c>
      <c r="L13" s="155">
        <v>0</v>
      </c>
      <c r="M13" s="155">
        <v>0</v>
      </c>
      <c r="N13" s="155">
        <v>0</v>
      </c>
      <c r="O13" s="155">
        <v>0</v>
      </c>
      <c r="P13" s="715">
        <v>0</v>
      </c>
      <c r="Q13" s="730">
        <f t="shared" si="1"/>
        <v>0</v>
      </c>
      <c r="R13" s="155"/>
    </row>
    <row r="14" spans="1:20">
      <c r="A14" s="1041" t="s">
        <v>576</v>
      </c>
      <c r="B14" s="731" t="s">
        <v>577</v>
      </c>
      <c r="C14" s="155">
        <v>0</v>
      </c>
      <c r="D14" s="715">
        <v>0</v>
      </c>
      <c r="E14" s="729">
        <v>0</v>
      </c>
      <c r="F14" s="729">
        <v>0</v>
      </c>
      <c r="G14" s="155">
        <v>0</v>
      </c>
      <c r="H14" s="155">
        <v>0</v>
      </c>
      <c r="I14" s="155">
        <v>0</v>
      </c>
      <c r="J14" s="155">
        <v>0</v>
      </c>
      <c r="K14" s="155">
        <v>0</v>
      </c>
      <c r="L14" s="155">
        <v>0</v>
      </c>
      <c r="M14" s="155">
        <v>0</v>
      </c>
      <c r="N14" s="155">
        <v>0</v>
      </c>
      <c r="O14" s="155">
        <v>0</v>
      </c>
      <c r="P14" s="715">
        <v>0</v>
      </c>
      <c r="Q14" s="730">
        <f t="shared" si="1"/>
        <v>0</v>
      </c>
      <c r="R14" s="155"/>
    </row>
    <row r="15" spans="1:20">
      <c r="A15" s="1041"/>
      <c r="B15" s="731" t="s">
        <v>578</v>
      </c>
      <c r="C15" s="155">
        <v>0</v>
      </c>
      <c r="D15" s="715">
        <v>0</v>
      </c>
      <c r="E15" s="729">
        <v>0</v>
      </c>
      <c r="F15" s="729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715">
        <v>0</v>
      </c>
      <c r="Q15" s="730">
        <f t="shared" si="1"/>
        <v>0</v>
      </c>
      <c r="R15" s="155"/>
    </row>
    <row r="16" spans="1:20">
      <c r="A16" s="1041"/>
      <c r="B16" s="731" t="s">
        <v>579</v>
      </c>
      <c r="C16" s="155">
        <v>771208</v>
      </c>
      <c r="D16" s="715">
        <v>771208</v>
      </c>
      <c r="E16" s="729">
        <v>682643.4805047746</v>
      </c>
      <c r="F16" s="729">
        <v>681607.0505000439</v>
      </c>
      <c r="G16" s="155">
        <v>680521.84672859556</v>
      </c>
      <c r="H16" s="155">
        <v>679184.75566321076</v>
      </c>
      <c r="I16" s="155">
        <v>678032.29936782597</v>
      </c>
      <c r="J16" s="155">
        <v>676912.14849309507</v>
      </c>
      <c r="K16" s="155">
        <v>675469.95018056093</v>
      </c>
      <c r="L16" s="155">
        <v>674419.01331232535</v>
      </c>
      <c r="M16" s="155">
        <v>673457.72390730237</v>
      </c>
      <c r="N16" s="155">
        <v>672118.51862155541</v>
      </c>
      <c r="O16" s="155">
        <v>671002.08933331992</v>
      </c>
      <c r="P16" s="715">
        <v>669802.05186793488</v>
      </c>
      <c r="Q16" s="730">
        <f t="shared" si="1"/>
        <v>676264.24404004531</v>
      </c>
      <c r="R16" s="155" t="s">
        <v>580</v>
      </c>
    </row>
    <row r="17" spans="1:18">
      <c r="A17" s="1041"/>
      <c r="B17" s="731" t="s">
        <v>581</v>
      </c>
      <c r="C17" s="155">
        <v>497700</v>
      </c>
      <c r="D17" s="715">
        <v>78210</v>
      </c>
      <c r="E17" s="729">
        <v>0</v>
      </c>
      <c r="F17" s="729">
        <v>0</v>
      </c>
      <c r="G17" s="155">
        <v>0</v>
      </c>
      <c r="H17" s="155">
        <v>0</v>
      </c>
      <c r="I17" s="155">
        <v>0</v>
      </c>
      <c r="J17" s="155">
        <v>0</v>
      </c>
      <c r="K17" s="155">
        <v>0</v>
      </c>
      <c r="L17" s="155">
        <v>0</v>
      </c>
      <c r="M17" s="155">
        <v>0</v>
      </c>
      <c r="N17" s="155">
        <v>0</v>
      </c>
      <c r="O17" s="155">
        <v>0</v>
      </c>
      <c r="P17" s="715">
        <v>0</v>
      </c>
      <c r="Q17" s="730">
        <f t="shared" si="1"/>
        <v>0</v>
      </c>
      <c r="R17" s="155"/>
    </row>
    <row r="18" spans="1:18">
      <c r="A18" s="1041"/>
      <c r="B18" s="731" t="s">
        <v>574</v>
      </c>
      <c r="C18" s="155">
        <v>0</v>
      </c>
      <c r="D18" s="715">
        <v>0</v>
      </c>
      <c r="E18" s="729">
        <v>0</v>
      </c>
      <c r="F18" s="729">
        <v>0</v>
      </c>
      <c r="G18" s="155">
        <v>0</v>
      </c>
      <c r="H18" s="155">
        <v>0</v>
      </c>
      <c r="I18" s="155">
        <v>0</v>
      </c>
      <c r="J18" s="155">
        <v>0</v>
      </c>
      <c r="K18" s="155">
        <v>0</v>
      </c>
      <c r="L18" s="155">
        <v>0</v>
      </c>
      <c r="M18" s="155">
        <v>0</v>
      </c>
      <c r="N18" s="155">
        <v>0</v>
      </c>
      <c r="O18" s="155">
        <v>0</v>
      </c>
      <c r="P18" s="715">
        <v>0</v>
      </c>
      <c r="Q18" s="730">
        <f t="shared" si="1"/>
        <v>0</v>
      </c>
      <c r="R18" s="155"/>
    </row>
    <row r="19" spans="1:18">
      <c r="A19" s="1041"/>
      <c r="B19" s="731" t="s">
        <v>582</v>
      </c>
      <c r="C19" s="155">
        <v>0</v>
      </c>
      <c r="D19" s="715">
        <v>259248.6</v>
      </c>
      <c r="E19" s="729">
        <v>96018.392072000002</v>
      </c>
      <c r="F19" s="729">
        <v>71371.992752000006</v>
      </c>
      <c r="G19" s="155">
        <v>50930.075648000005</v>
      </c>
      <c r="H19" s="155">
        <v>28224.738084000001</v>
      </c>
      <c r="I19" s="155">
        <v>28029.739839999998</v>
      </c>
      <c r="J19" s="155">
        <v>28019.192870000003</v>
      </c>
      <c r="K19" s="155">
        <v>28019.192870000003</v>
      </c>
      <c r="L19" s="155">
        <v>28019.192870000003</v>
      </c>
      <c r="M19" s="155">
        <v>28019.192870000003</v>
      </c>
      <c r="N19" s="155">
        <v>28019.192870000003</v>
      </c>
      <c r="O19" s="155">
        <v>28019.192870000003</v>
      </c>
      <c r="P19" s="715">
        <v>28019.192870000003</v>
      </c>
      <c r="Q19" s="730">
        <f t="shared" si="1"/>
        <v>39225.774040500015</v>
      </c>
      <c r="R19" s="155"/>
    </row>
    <row r="20" spans="1:18">
      <c r="A20" s="1041"/>
      <c r="B20" s="732" t="s">
        <v>575</v>
      </c>
      <c r="C20" s="155">
        <v>0</v>
      </c>
      <c r="D20" s="715">
        <v>0</v>
      </c>
      <c r="E20" s="729">
        <v>33498.922450000005</v>
      </c>
      <c r="F20" s="729">
        <v>33498.010750000001</v>
      </c>
      <c r="G20" s="155">
        <v>33497.281390000004</v>
      </c>
      <c r="H20" s="155">
        <v>33496.24813</v>
      </c>
      <c r="I20" s="155">
        <v>33495.190470000001</v>
      </c>
      <c r="J20" s="155">
        <v>33494.278770000004</v>
      </c>
      <c r="K20" s="155">
        <v>33493.002390000001</v>
      </c>
      <c r="L20" s="155">
        <v>33492.212249999997</v>
      </c>
      <c r="M20" s="155">
        <v>33491.336929999998</v>
      </c>
      <c r="N20" s="155">
        <v>33490.121330000002</v>
      </c>
      <c r="O20" s="155">
        <v>33489.331190000004</v>
      </c>
      <c r="P20" s="715">
        <v>33488.297930000001</v>
      </c>
      <c r="Q20" s="730">
        <f t="shared" si="1"/>
        <v>33493.686164999999</v>
      </c>
      <c r="R20" s="155"/>
    </row>
    <row r="21" spans="1:18">
      <c r="A21" s="1041"/>
      <c r="B21" s="732" t="s">
        <v>583</v>
      </c>
      <c r="C21" s="155">
        <v>0</v>
      </c>
      <c r="D21" s="715">
        <v>0</v>
      </c>
      <c r="E21" s="729">
        <v>0</v>
      </c>
      <c r="F21" s="729">
        <v>0</v>
      </c>
      <c r="G21" s="155">
        <v>0</v>
      </c>
      <c r="H21" s="155">
        <v>0</v>
      </c>
      <c r="I21" s="155"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  <c r="O21" s="155">
        <v>0</v>
      </c>
      <c r="P21" s="715">
        <v>0</v>
      </c>
      <c r="Q21" s="730">
        <f t="shared" si="1"/>
        <v>0</v>
      </c>
      <c r="R21" s="155"/>
    </row>
    <row r="22" spans="1:18">
      <c r="A22" s="1041"/>
      <c r="B22" s="732" t="s">
        <v>584</v>
      </c>
      <c r="C22" s="155">
        <v>0</v>
      </c>
      <c r="D22" s="715">
        <v>0</v>
      </c>
      <c r="E22" s="729">
        <v>0</v>
      </c>
      <c r="F22" s="729">
        <v>0</v>
      </c>
      <c r="G22" s="155">
        <v>0</v>
      </c>
      <c r="H22" s="155">
        <v>0</v>
      </c>
      <c r="I22" s="155">
        <v>0</v>
      </c>
      <c r="J22" s="155">
        <v>0</v>
      </c>
      <c r="K22" s="155">
        <v>0</v>
      </c>
      <c r="L22" s="155">
        <v>0</v>
      </c>
      <c r="M22" s="155">
        <v>0</v>
      </c>
      <c r="N22" s="155">
        <v>0</v>
      </c>
      <c r="O22" s="155">
        <v>0</v>
      </c>
      <c r="P22" s="715">
        <v>0</v>
      </c>
      <c r="Q22" s="730">
        <f t="shared" si="1"/>
        <v>0</v>
      </c>
      <c r="R22" s="155"/>
    </row>
    <row r="23" spans="1:18">
      <c r="A23" s="1041"/>
      <c r="B23" s="732" t="s">
        <v>585</v>
      </c>
      <c r="C23" s="155">
        <v>0</v>
      </c>
      <c r="D23" s="715">
        <v>0</v>
      </c>
      <c r="E23" s="729">
        <v>0</v>
      </c>
      <c r="F23" s="729">
        <v>0</v>
      </c>
      <c r="G23" s="155">
        <v>0</v>
      </c>
      <c r="H23" s="155">
        <v>0</v>
      </c>
      <c r="I23" s="155">
        <v>0</v>
      </c>
      <c r="J23" s="155">
        <v>0</v>
      </c>
      <c r="K23" s="155">
        <v>0</v>
      </c>
      <c r="L23" s="155">
        <v>0</v>
      </c>
      <c r="M23" s="155">
        <v>0</v>
      </c>
      <c r="N23" s="155">
        <v>0</v>
      </c>
      <c r="O23" s="155">
        <v>0</v>
      </c>
      <c r="P23" s="715">
        <v>0</v>
      </c>
      <c r="Q23" s="730">
        <f t="shared" si="1"/>
        <v>0</v>
      </c>
      <c r="R23" s="155"/>
    </row>
    <row r="24" spans="1:18" ht="15.75">
      <c r="A24" s="214" t="s">
        <v>586</v>
      </c>
      <c r="B24" s="694"/>
      <c r="C24" s="692">
        <f t="shared" ref="C24:D24" si="2">SUM(C25:C31)</f>
        <v>599879.78799999994</v>
      </c>
      <c r="D24" s="80">
        <f t="shared" si="2"/>
        <v>357902.85737603297</v>
      </c>
      <c r="E24" s="78">
        <f>SUM(E25:E31)</f>
        <v>289252.61879750207</v>
      </c>
      <c r="F24" s="78">
        <f t="shared" ref="F24:P24" si="3">SUM(F25:F31)</f>
        <v>406623.90660434373</v>
      </c>
      <c r="G24" s="78">
        <f t="shared" si="3"/>
        <v>389956.42098844989</v>
      </c>
      <c r="H24" s="78">
        <f t="shared" si="3"/>
        <v>304163.38053066994</v>
      </c>
      <c r="I24" s="78">
        <f t="shared" si="3"/>
        <v>275335.33189523354</v>
      </c>
      <c r="J24" s="78">
        <f t="shared" si="3"/>
        <v>344169.164869042</v>
      </c>
      <c r="K24" s="78">
        <f t="shared" si="3"/>
        <v>344169.164869042</v>
      </c>
      <c r="L24" s="78">
        <f t="shared" si="3"/>
        <v>315778.51737541182</v>
      </c>
      <c r="M24" s="78">
        <f t="shared" si="3"/>
        <v>253522.52595773138</v>
      </c>
      <c r="N24" s="78">
        <f t="shared" si="3"/>
        <v>261324.28217752918</v>
      </c>
      <c r="O24" s="78">
        <f t="shared" si="3"/>
        <v>338011.6117193636</v>
      </c>
      <c r="P24" s="80">
        <f t="shared" si="3"/>
        <v>270409.28937549092</v>
      </c>
      <c r="Q24" s="80">
        <f>SUM(E24:P24)/12</f>
        <v>316059.68459665088</v>
      </c>
      <c r="R24" s="214"/>
    </row>
    <row r="25" spans="1:18">
      <c r="A25" s="1042" t="s">
        <v>570</v>
      </c>
      <c r="B25" s="726" t="s">
        <v>587</v>
      </c>
      <c r="C25" s="155">
        <v>599879.78799999994</v>
      </c>
      <c r="D25" s="715">
        <v>357902.85737603297</v>
      </c>
      <c r="E25" s="729">
        <v>289252.61879750207</v>
      </c>
      <c r="F25" s="729">
        <v>406623.90660434373</v>
      </c>
      <c r="G25" s="155">
        <v>389956.42098844989</v>
      </c>
      <c r="H25" s="155">
        <v>304163.38053066994</v>
      </c>
      <c r="I25" s="155">
        <v>275335.33189523354</v>
      </c>
      <c r="J25" s="155">
        <v>344169.164869042</v>
      </c>
      <c r="K25" s="155">
        <v>344169.164869042</v>
      </c>
      <c r="L25" s="155">
        <v>315778.51737541182</v>
      </c>
      <c r="M25" s="155">
        <v>253522.52595773138</v>
      </c>
      <c r="N25" s="155">
        <v>261324.28217752918</v>
      </c>
      <c r="O25" s="155">
        <v>338011.6117193636</v>
      </c>
      <c r="P25" s="715">
        <v>270409.28937549092</v>
      </c>
      <c r="Q25" s="730">
        <f t="shared" ref="Q25:Q32" si="4">SUM(E25:P25)/12</f>
        <v>316059.68459665088</v>
      </c>
      <c r="R25" s="155" t="s">
        <v>588</v>
      </c>
    </row>
    <row r="26" spans="1:18">
      <c r="A26" s="1042"/>
      <c r="B26" s="726" t="s">
        <v>574</v>
      </c>
      <c r="C26" s="155">
        <v>0</v>
      </c>
      <c r="D26" s="715">
        <v>0</v>
      </c>
      <c r="E26" s="729">
        <v>0</v>
      </c>
      <c r="F26" s="729">
        <v>0</v>
      </c>
      <c r="G26" s="155">
        <v>0</v>
      </c>
      <c r="H26" s="155">
        <v>0</v>
      </c>
      <c r="I26" s="155">
        <v>0</v>
      </c>
      <c r="J26" s="155">
        <v>0</v>
      </c>
      <c r="K26" s="155">
        <v>0</v>
      </c>
      <c r="L26" s="155">
        <v>0</v>
      </c>
      <c r="M26" s="155">
        <v>0</v>
      </c>
      <c r="N26" s="155">
        <v>0</v>
      </c>
      <c r="O26" s="155">
        <v>0</v>
      </c>
      <c r="P26" s="715">
        <v>0</v>
      </c>
      <c r="Q26" s="730">
        <f t="shared" si="4"/>
        <v>0</v>
      </c>
      <c r="R26" s="155"/>
    </row>
    <row r="27" spans="1:18">
      <c r="A27" s="1041" t="s">
        <v>576</v>
      </c>
      <c r="B27" s="731" t="s">
        <v>577</v>
      </c>
      <c r="C27" s="155">
        <v>0</v>
      </c>
      <c r="D27" s="715">
        <v>0</v>
      </c>
      <c r="E27" s="729">
        <v>0</v>
      </c>
      <c r="F27" s="729">
        <v>0</v>
      </c>
      <c r="G27" s="155">
        <v>0</v>
      </c>
      <c r="H27" s="155">
        <v>0</v>
      </c>
      <c r="I27" s="155">
        <v>0</v>
      </c>
      <c r="J27" s="155">
        <v>0</v>
      </c>
      <c r="K27" s="155">
        <v>0</v>
      </c>
      <c r="L27" s="155">
        <v>0</v>
      </c>
      <c r="M27" s="155">
        <v>0</v>
      </c>
      <c r="N27" s="155">
        <v>0</v>
      </c>
      <c r="O27" s="155">
        <v>0</v>
      </c>
      <c r="P27" s="715">
        <v>0</v>
      </c>
      <c r="Q27" s="730">
        <f t="shared" si="4"/>
        <v>0</v>
      </c>
      <c r="R27" s="155"/>
    </row>
    <row r="28" spans="1:18">
      <c r="A28" s="1041"/>
      <c r="B28" s="731" t="s">
        <v>581</v>
      </c>
      <c r="C28" s="155">
        <v>0</v>
      </c>
      <c r="D28" s="715">
        <v>0</v>
      </c>
      <c r="E28" s="729">
        <v>0</v>
      </c>
      <c r="F28" s="729">
        <v>0</v>
      </c>
      <c r="G28" s="155">
        <v>0</v>
      </c>
      <c r="H28" s="155">
        <v>0</v>
      </c>
      <c r="I28" s="155">
        <v>0</v>
      </c>
      <c r="J28" s="155">
        <v>0</v>
      </c>
      <c r="K28" s="155">
        <v>0</v>
      </c>
      <c r="L28" s="155">
        <v>0</v>
      </c>
      <c r="M28" s="155">
        <v>0</v>
      </c>
      <c r="N28" s="155">
        <v>0</v>
      </c>
      <c r="O28" s="155">
        <v>0</v>
      </c>
      <c r="P28" s="715">
        <v>0</v>
      </c>
      <c r="Q28" s="730">
        <f t="shared" si="4"/>
        <v>0</v>
      </c>
      <c r="R28" s="155"/>
    </row>
    <row r="29" spans="1:18">
      <c r="A29" s="1041"/>
      <c r="B29" s="731" t="s">
        <v>574</v>
      </c>
      <c r="C29" s="155">
        <v>0</v>
      </c>
      <c r="D29" s="715">
        <v>0</v>
      </c>
      <c r="E29" s="729">
        <v>0</v>
      </c>
      <c r="F29" s="729">
        <v>0</v>
      </c>
      <c r="G29" s="155">
        <v>0</v>
      </c>
      <c r="H29" s="155">
        <v>0</v>
      </c>
      <c r="I29" s="155">
        <v>0</v>
      </c>
      <c r="J29" s="155">
        <v>0</v>
      </c>
      <c r="K29" s="155">
        <v>0</v>
      </c>
      <c r="L29" s="155">
        <v>0</v>
      </c>
      <c r="M29" s="155">
        <v>0</v>
      </c>
      <c r="N29" s="155">
        <v>0</v>
      </c>
      <c r="O29" s="155">
        <v>0</v>
      </c>
      <c r="P29" s="715">
        <v>0</v>
      </c>
      <c r="Q29" s="730">
        <f t="shared" si="4"/>
        <v>0</v>
      </c>
      <c r="R29" s="155"/>
    </row>
    <row r="30" spans="1:18">
      <c r="A30" s="1041"/>
      <c r="B30" s="731" t="s">
        <v>583</v>
      </c>
      <c r="C30" s="155">
        <v>0</v>
      </c>
      <c r="D30" s="715">
        <v>0</v>
      </c>
      <c r="E30" s="729">
        <v>0</v>
      </c>
      <c r="F30" s="729">
        <v>0</v>
      </c>
      <c r="G30" s="155">
        <v>0</v>
      </c>
      <c r="H30" s="155">
        <v>0</v>
      </c>
      <c r="I30" s="155">
        <v>0</v>
      </c>
      <c r="J30" s="155">
        <v>0</v>
      </c>
      <c r="K30" s="155">
        <v>0</v>
      </c>
      <c r="L30" s="155">
        <v>0</v>
      </c>
      <c r="M30" s="155">
        <v>0</v>
      </c>
      <c r="N30" s="155">
        <v>0</v>
      </c>
      <c r="O30" s="155">
        <v>0</v>
      </c>
      <c r="P30" s="715">
        <v>0</v>
      </c>
      <c r="Q30" s="730">
        <f t="shared" si="4"/>
        <v>0</v>
      </c>
      <c r="R30" s="155"/>
    </row>
    <row r="31" spans="1:18">
      <c r="A31" s="1041"/>
      <c r="B31" s="731" t="s">
        <v>584</v>
      </c>
      <c r="C31" s="155">
        <v>0</v>
      </c>
      <c r="D31" s="715">
        <v>0</v>
      </c>
      <c r="E31" s="729">
        <v>0</v>
      </c>
      <c r="F31" s="729">
        <v>0</v>
      </c>
      <c r="G31" s="155">
        <v>0</v>
      </c>
      <c r="H31" s="155">
        <v>0</v>
      </c>
      <c r="I31" s="155">
        <v>0</v>
      </c>
      <c r="J31" s="155">
        <v>0</v>
      </c>
      <c r="K31" s="155">
        <v>0</v>
      </c>
      <c r="L31" s="155">
        <v>0</v>
      </c>
      <c r="M31" s="155">
        <v>0</v>
      </c>
      <c r="N31" s="155">
        <v>0</v>
      </c>
      <c r="O31" s="155">
        <v>0</v>
      </c>
      <c r="P31" s="715">
        <v>0</v>
      </c>
      <c r="Q31" s="730">
        <f t="shared" si="4"/>
        <v>0</v>
      </c>
      <c r="R31" s="155"/>
    </row>
    <row r="32" spans="1:18" ht="15.75">
      <c r="A32" s="214" t="s">
        <v>589</v>
      </c>
      <c r="B32" s="694"/>
      <c r="C32" s="692">
        <f t="shared" ref="C32:D32" si="5">SUM(C33:C43)</f>
        <v>525655.71499999997</v>
      </c>
      <c r="D32" s="80">
        <f t="shared" si="5"/>
        <v>514585.95415206044</v>
      </c>
      <c r="E32" s="78">
        <f>SUM(E33:E43)</f>
        <v>441607.05159923976</v>
      </c>
      <c r="F32" s="78">
        <f t="shared" ref="F32:P32" si="6">SUM(F33:F43)</f>
        <v>620799.85741121182</v>
      </c>
      <c r="G32" s="78">
        <f t="shared" si="6"/>
        <v>595353.31448618299</v>
      </c>
      <c r="H32" s="78">
        <f t="shared" si="6"/>
        <v>464371.57332926709</v>
      </c>
      <c r="I32" s="78">
        <f t="shared" si="6"/>
        <v>420359.28533623443</v>
      </c>
      <c r="J32" s="78">
        <f t="shared" si="6"/>
        <v>525449.10667029314</v>
      </c>
      <c r="K32" s="78">
        <f t="shared" si="6"/>
        <v>525449.10667029314</v>
      </c>
      <c r="L32" s="78">
        <f t="shared" si="6"/>
        <v>482104.60668001801</v>
      </c>
      <c r="M32" s="78">
        <f t="shared" si="6"/>
        <v>387057.29153852118</v>
      </c>
      <c r="N32" s="78">
        <f t="shared" si="6"/>
        <v>398968.36973668577</v>
      </c>
      <c r="O32" s="78">
        <f t="shared" si="6"/>
        <v>516048.26216696727</v>
      </c>
      <c r="P32" s="80">
        <f t="shared" si="6"/>
        <v>412838.60973357386</v>
      </c>
      <c r="Q32" s="80">
        <f t="shared" si="4"/>
        <v>482533.86961320735</v>
      </c>
      <c r="R32" s="214"/>
    </row>
    <row r="33" spans="1:18">
      <c r="A33" s="1042" t="s">
        <v>570</v>
      </c>
      <c r="B33" s="726" t="s">
        <v>590</v>
      </c>
      <c r="C33" s="155">
        <v>525655.71499999997</v>
      </c>
      <c r="D33" s="715">
        <v>514585.95415206044</v>
      </c>
      <c r="E33" s="729">
        <v>441607.05159923976</v>
      </c>
      <c r="F33" s="729">
        <v>620799.85741121182</v>
      </c>
      <c r="G33" s="155">
        <v>595353.31448618299</v>
      </c>
      <c r="H33" s="155">
        <v>464371.57332926709</v>
      </c>
      <c r="I33" s="155">
        <v>420359.28533623443</v>
      </c>
      <c r="J33" s="155">
        <v>525449.10667029314</v>
      </c>
      <c r="K33" s="155">
        <v>525449.10667029314</v>
      </c>
      <c r="L33" s="155">
        <v>482104.60668001801</v>
      </c>
      <c r="M33" s="155">
        <v>387057.29153852118</v>
      </c>
      <c r="N33" s="155">
        <v>398968.36973668577</v>
      </c>
      <c r="O33" s="155">
        <v>516048.26216696727</v>
      </c>
      <c r="P33" s="715">
        <v>412838.60973357386</v>
      </c>
      <c r="Q33" s="730">
        <f t="shared" ref="Q33:Q46" si="7">SUM(E33:P33)/12</f>
        <v>482533.86961320735</v>
      </c>
      <c r="R33" s="155" t="s">
        <v>591</v>
      </c>
    </row>
    <row r="34" spans="1:18">
      <c r="A34" s="1042"/>
      <c r="B34" s="726" t="s">
        <v>592</v>
      </c>
      <c r="C34" s="155">
        <v>0</v>
      </c>
      <c r="D34" s="715">
        <v>0</v>
      </c>
      <c r="E34" s="729">
        <v>0</v>
      </c>
      <c r="F34" s="729">
        <v>0</v>
      </c>
      <c r="G34" s="155">
        <v>0</v>
      </c>
      <c r="H34" s="155">
        <v>0</v>
      </c>
      <c r="I34" s="155">
        <v>0</v>
      </c>
      <c r="J34" s="155">
        <v>0</v>
      </c>
      <c r="K34" s="155">
        <v>0</v>
      </c>
      <c r="L34" s="155">
        <v>0</v>
      </c>
      <c r="M34" s="155">
        <v>0</v>
      </c>
      <c r="N34" s="155">
        <v>0</v>
      </c>
      <c r="O34" s="155">
        <v>0</v>
      </c>
      <c r="P34" s="715">
        <v>0</v>
      </c>
      <c r="Q34" s="730">
        <f t="shared" si="7"/>
        <v>0</v>
      </c>
      <c r="R34" s="155"/>
    </row>
    <row r="35" spans="1:18">
      <c r="A35" s="1042"/>
      <c r="B35" s="726" t="s">
        <v>574</v>
      </c>
      <c r="C35" s="155">
        <v>0</v>
      </c>
      <c r="D35" s="715">
        <v>0</v>
      </c>
      <c r="E35" s="729">
        <v>0</v>
      </c>
      <c r="F35" s="729">
        <v>0</v>
      </c>
      <c r="G35" s="155">
        <v>0</v>
      </c>
      <c r="H35" s="155">
        <v>0</v>
      </c>
      <c r="I35" s="155">
        <v>0</v>
      </c>
      <c r="J35" s="155">
        <v>0</v>
      </c>
      <c r="K35" s="155">
        <v>0</v>
      </c>
      <c r="L35" s="155">
        <v>0</v>
      </c>
      <c r="M35" s="155">
        <v>0</v>
      </c>
      <c r="N35" s="155">
        <v>0</v>
      </c>
      <c r="O35" s="155">
        <v>0</v>
      </c>
      <c r="P35" s="715">
        <v>0</v>
      </c>
      <c r="Q35" s="730">
        <f t="shared" si="7"/>
        <v>0</v>
      </c>
      <c r="R35" s="155"/>
    </row>
    <row r="36" spans="1:18">
      <c r="A36" s="1042"/>
      <c r="B36" s="726" t="s">
        <v>575</v>
      </c>
      <c r="C36" s="155">
        <v>0</v>
      </c>
      <c r="D36" s="715">
        <v>0</v>
      </c>
      <c r="E36" s="729">
        <v>0</v>
      </c>
      <c r="F36" s="729">
        <v>0</v>
      </c>
      <c r="G36" s="155">
        <v>0</v>
      </c>
      <c r="H36" s="155">
        <v>0</v>
      </c>
      <c r="I36" s="155">
        <v>0</v>
      </c>
      <c r="J36" s="155">
        <v>0</v>
      </c>
      <c r="K36" s="155">
        <v>0</v>
      </c>
      <c r="L36" s="155">
        <v>0</v>
      </c>
      <c r="M36" s="155">
        <v>0</v>
      </c>
      <c r="N36" s="155">
        <v>0</v>
      </c>
      <c r="O36" s="155">
        <v>0</v>
      </c>
      <c r="P36" s="715">
        <v>0</v>
      </c>
      <c r="Q36" s="730">
        <f t="shared" si="7"/>
        <v>0</v>
      </c>
      <c r="R36" s="155"/>
    </row>
    <row r="37" spans="1:18">
      <c r="A37" s="1041" t="s">
        <v>576</v>
      </c>
      <c r="B37" s="731" t="s">
        <v>577</v>
      </c>
      <c r="C37" s="155">
        <v>0</v>
      </c>
      <c r="D37" s="715">
        <v>0</v>
      </c>
      <c r="E37" s="729">
        <v>0</v>
      </c>
      <c r="F37" s="729">
        <v>0</v>
      </c>
      <c r="G37" s="155">
        <v>0</v>
      </c>
      <c r="H37" s="155">
        <v>0</v>
      </c>
      <c r="I37" s="155">
        <v>0</v>
      </c>
      <c r="J37" s="155">
        <v>0</v>
      </c>
      <c r="K37" s="155">
        <v>0</v>
      </c>
      <c r="L37" s="155">
        <v>0</v>
      </c>
      <c r="M37" s="155">
        <v>0</v>
      </c>
      <c r="N37" s="155">
        <v>0</v>
      </c>
      <c r="O37" s="155">
        <v>0</v>
      </c>
      <c r="P37" s="715">
        <v>0</v>
      </c>
      <c r="Q37" s="730">
        <f t="shared" si="7"/>
        <v>0</v>
      </c>
      <c r="R37" s="155"/>
    </row>
    <row r="38" spans="1:18">
      <c r="A38" s="1041"/>
      <c r="B38" s="731" t="s">
        <v>581</v>
      </c>
      <c r="C38" s="155">
        <v>0</v>
      </c>
      <c r="D38" s="715">
        <v>0</v>
      </c>
      <c r="E38" s="729">
        <v>0</v>
      </c>
      <c r="F38" s="729">
        <v>0</v>
      </c>
      <c r="G38" s="155">
        <v>0</v>
      </c>
      <c r="H38" s="155">
        <v>0</v>
      </c>
      <c r="I38" s="155">
        <v>0</v>
      </c>
      <c r="J38" s="155">
        <v>0</v>
      </c>
      <c r="K38" s="155">
        <v>0</v>
      </c>
      <c r="L38" s="155">
        <v>0</v>
      </c>
      <c r="M38" s="155">
        <v>0</v>
      </c>
      <c r="N38" s="155">
        <v>0</v>
      </c>
      <c r="O38" s="155">
        <v>0</v>
      </c>
      <c r="P38" s="715">
        <v>0</v>
      </c>
      <c r="Q38" s="730">
        <f t="shared" si="7"/>
        <v>0</v>
      </c>
      <c r="R38" s="155"/>
    </row>
    <row r="39" spans="1:18">
      <c r="A39" s="1041"/>
      <c r="B39" s="731" t="s">
        <v>574</v>
      </c>
      <c r="C39" s="155">
        <v>0</v>
      </c>
      <c r="D39" s="715">
        <v>0</v>
      </c>
      <c r="E39" s="729">
        <v>0</v>
      </c>
      <c r="F39" s="729">
        <v>0</v>
      </c>
      <c r="G39" s="155">
        <v>0</v>
      </c>
      <c r="H39" s="155">
        <v>0</v>
      </c>
      <c r="I39" s="155">
        <v>0</v>
      </c>
      <c r="J39" s="155">
        <v>0</v>
      </c>
      <c r="K39" s="155">
        <v>0</v>
      </c>
      <c r="L39" s="155">
        <v>0</v>
      </c>
      <c r="M39" s="155">
        <v>0</v>
      </c>
      <c r="N39" s="155">
        <v>0</v>
      </c>
      <c r="O39" s="155">
        <v>0</v>
      </c>
      <c r="P39" s="715">
        <v>0</v>
      </c>
      <c r="Q39" s="730">
        <f t="shared" si="7"/>
        <v>0</v>
      </c>
      <c r="R39" s="155"/>
    </row>
    <row r="40" spans="1:18">
      <c r="A40" s="1041"/>
      <c r="B40" s="731" t="s">
        <v>593</v>
      </c>
      <c r="C40" s="155">
        <v>0</v>
      </c>
      <c r="D40" s="715">
        <v>0</v>
      </c>
      <c r="E40" s="729">
        <v>0</v>
      </c>
      <c r="F40" s="729">
        <v>0</v>
      </c>
      <c r="G40" s="155">
        <v>0</v>
      </c>
      <c r="H40" s="155">
        <v>0</v>
      </c>
      <c r="I40" s="155">
        <v>0</v>
      </c>
      <c r="J40" s="155">
        <v>0</v>
      </c>
      <c r="K40" s="155">
        <v>0</v>
      </c>
      <c r="L40" s="155">
        <v>0</v>
      </c>
      <c r="M40" s="155">
        <v>0</v>
      </c>
      <c r="N40" s="155">
        <v>0</v>
      </c>
      <c r="O40" s="155">
        <v>0</v>
      </c>
      <c r="P40" s="715">
        <v>0</v>
      </c>
      <c r="Q40" s="730">
        <f t="shared" si="7"/>
        <v>0</v>
      </c>
      <c r="R40" s="155"/>
    </row>
    <row r="41" spans="1:18">
      <c r="A41" s="1041"/>
      <c r="B41" s="731" t="s">
        <v>575</v>
      </c>
      <c r="C41" s="155">
        <v>0</v>
      </c>
      <c r="D41" s="715">
        <v>0</v>
      </c>
      <c r="E41" s="729">
        <v>0</v>
      </c>
      <c r="F41" s="729">
        <v>0</v>
      </c>
      <c r="G41" s="155">
        <v>0</v>
      </c>
      <c r="H41" s="155">
        <v>0</v>
      </c>
      <c r="I41" s="155">
        <v>0</v>
      </c>
      <c r="J41" s="155">
        <v>0</v>
      </c>
      <c r="K41" s="155">
        <v>0</v>
      </c>
      <c r="L41" s="155">
        <v>0</v>
      </c>
      <c r="M41" s="155">
        <v>0</v>
      </c>
      <c r="N41" s="155">
        <v>0</v>
      </c>
      <c r="O41" s="155">
        <v>0</v>
      </c>
      <c r="P41" s="715">
        <v>0</v>
      </c>
      <c r="Q41" s="730">
        <f t="shared" si="7"/>
        <v>0</v>
      </c>
      <c r="R41" s="155"/>
    </row>
    <row r="42" spans="1:18">
      <c r="A42" s="1041"/>
      <c r="B42" s="731" t="s">
        <v>583</v>
      </c>
      <c r="C42" s="729">
        <v>0</v>
      </c>
      <c r="D42" s="715">
        <v>0</v>
      </c>
      <c r="E42" s="729">
        <v>0</v>
      </c>
      <c r="F42" s="729">
        <v>0</v>
      </c>
      <c r="G42" s="155">
        <v>0</v>
      </c>
      <c r="H42" s="155">
        <v>0</v>
      </c>
      <c r="I42" s="155">
        <v>0</v>
      </c>
      <c r="J42" s="155">
        <v>0</v>
      </c>
      <c r="K42" s="155">
        <v>0</v>
      </c>
      <c r="L42" s="155">
        <v>0</v>
      </c>
      <c r="M42" s="155">
        <v>0</v>
      </c>
      <c r="N42" s="155">
        <v>0</v>
      </c>
      <c r="O42" s="155">
        <v>0</v>
      </c>
      <c r="P42" s="715">
        <v>0</v>
      </c>
      <c r="Q42" s="730">
        <f t="shared" si="7"/>
        <v>0</v>
      </c>
      <c r="R42" s="155"/>
    </row>
    <row r="43" spans="1:18">
      <c r="A43" s="1041"/>
      <c r="B43" s="731" t="s">
        <v>584</v>
      </c>
      <c r="C43" s="729">
        <v>0</v>
      </c>
      <c r="D43" s="715">
        <v>0</v>
      </c>
      <c r="E43" s="729">
        <v>0</v>
      </c>
      <c r="F43" s="729">
        <v>0</v>
      </c>
      <c r="G43" s="155">
        <v>0</v>
      </c>
      <c r="H43" s="155">
        <v>0</v>
      </c>
      <c r="I43" s="155">
        <v>0</v>
      </c>
      <c r="J43" s="155">
        <v>0</v>
      </c>
      <c r="K43" s="155">
        <v>0</v>
      </c>
      <c r="L43" s="155">
        <v>0</v>
      </c>
      <c r="M43" s="155">
        <v>0</v>
      </c>
      <c r="N43" s="155">
        <v>0</v>
      </c>
      <c r="O43" s="155">
        <v>0</v>
      </c>
      <c r="P43" s="715">
        <v>0</v>
      </c>
      <c r="Q43" s="730">
        <f t="shared" si="7"/>
        <v>0</v>
      </c>
      <c r="R43" s="155"/>
    </row>
    <row r="44" spans="1:18" ht="15.75">
      <c r="A44" s="815" t="s">
        <v>594</v>
      </c>
      <c r="B44" s="910"/>
      <c r="C44" s="911"/>
      <c r="D44" s="912"/>
      <c r="E44" s="913"/>
      <c r="F44" s="913"/>
      <c r="G44" s="816"/>
      <c r="H44" s="816"/>
      <c r="I44" s="816"/>
      <c r="J44" s="816"/>
      <c r="K44" s="816"/>
      <c r="L44" s="816"/>
      <c r="M44" s="816"/>
      <c r="N44" s="816"/>
      <c r="O44" s="816"/>
      <c r="P44" s="914"/>
      <c r="Q44" s="915">
        <f t="shared" si="7"/>
        <v>0</v>
      </c>
      <c r="R44" s="816"/>
    </row>
    <row r="45" spans="1:18" ht="15.75">
      <c r="A45" s="412" t="s">
        <v>595</v>
      </c>
      <c r="B45" s="908"/>
      <c r="C45" s="909"/>
      <c r="D45" s="359"/>
      <c r="E45" s="729"/>
      <c r="F45" s="729"/>
      <c r="G45" s="155"/>
      <c r="H45" s="155"/>
      <c r="I45" s="155"/>
      <c r="J45" s="155"/>
      <c r="K45" s="155"/>
      <c r="L45" s="155"/>
      <c r="M45" s="155"/>
      <c r="N45" s="155"/>
      <c r="O45" s="155"/>
      <c r="P45" s="715"/>
      <c r="Q45" s="905">
        <f t="shared" si="7"/>
        <v>0</v>
      </c>
      <c r="R45" s="155"/>
    </row>
    <row r="46" spans="1:18" ht="15.75">
      <c r="A46" s="214" t="s">
        <v>596</v>
      </c>
      <c r="B46" s="694"/>
      <c r="C46" s="692">
        <f>KeyData!F8</f>
        <v>5741379.426</v>
      </c>
      <c r="D46" s="80">
        <f>+'7. BS-Key Figures (LC)'!E10</f>
        <v>4692162.2230000002</v>
      </c>
      <c r="E46" s="78">
        <f>+'7. BS-Key Figures (LC)'!F10</f>
        <v>4460172.4850000003</v>
      </c>
      <c r="F46" s="78">
        <f>+'7. BS-Key Figures (LC)'!G10</f>
        <v>4470141.8230000008</v>
      </c>
      <c r="G46" s="78">
        <f>+'7. BS-Key Figures (LC)'!H10</f>
        <v>4538971.3770000003</v>
      </c>
      <c r="H46" s="78">
        <f>+'7. BS-Key Figures (LC)'!I10</f>
        <v>4314330.9309999999</v>
      </c>
      <c r="I46" s="78">
        <f>+'7. BS-Key Figures (LC)'!J10</f>
        <v>4055844.3079999997</v>
      </c>
      <c r="J46" s="78">
        <f>+'7. BS-Key Figures (LC)'!K10</f>
        <v>4877864.18</v>
      </c>
      <c r="K46" s="78">
        <f>+'7. BS-Key Figures (LC)'!L10</f>
        <v>4477452.2879999997</v>
      </c>
      <c r="L46" s="78">
        <f>+'7. BS-Key Figures (LC)'!M10</f>
        <v>3930131.2449999996</v>
      </c>
      <c r="M46" s="78">
        <f>+'7. BS-Key Figures (LC)'!N10</f>
        <v>4410947.4210000001</v>
      </c>
      <c r="N46" s="78">
        <f>+'7. BS-Key Figures (LC)'!O10</f>
        <v>4015178.8530000001</v>
      </c>
      <c r="O46" s="78">
        <f>+'7. BS-Key Figures (LC)'!P10</f>
        <v>3817150.2620000001</v>
      </c>
      <c r="P46" s="80">
        <f>+'7. BS-Key Figures (LC)'!Q10</f>
        <v>4412440.0279999999</v>
      </c>
      <c r="Q46" s="80">
        <f t="shared" si="7"/>
        <v>4315052.1000833334</v>
      </c>
      <c r="R46" s="214"/>
    </row>
    <row r="47" spans="1:18" ht="15.75">
      <c r="A47" s="214" t="s">
        <v>597</v>
      </c>
      <c r="B47" s="694"/>
      <c r="C47" s="417"/>
      <c r="D47" s="413">
        <f>IFERROR((D7/D46),0)</f>
        <v>29.953339994315026</v>
      </c>
      <c r="E47" s="259">
        <f>IFERROR(($B$7/E46),0)</f>
        <v>28.567842877045145</v>
      </c>
      <c r="F47" s="259">
        <f t="shared" ref="F47:P47" si="8">IFERROR(($B$7/F46),0)</f>
        <v>28.504130696794668</v>
      </c>
      <c r="G47" s="259">
        <f t="shared" si="8"/>
        <v>28.071890340981984</v>
      </c>
      <c r="H47" s="259">
        <f t="shared" si="8"/>
        <v>29.533549649717401</v>
      </c>
      <c r="I47" s="259">
        <f t="shared" si="8"/>
        <v>31.415778585157664</v>
      </c>
      <c r="J47" s="259">
        <f t="shared" si="8"/>
        <v>26.121577406445951</v>
      </c>
      <c r="K47" s="259">
        <f t="shared" si="8"/>
        <v>28.457591183604816</v>
      </c>
      <c r="L47" s="259">
        <f t="shared" si="8"/>
        <v>32.420674733980803</v>
      </c>
      <c r="M47" s="259">
        <f t="shared" si="8"/>
        <v>28.88665281961428</v>
      </c>
      <c r="N47" s="259">
        <f t="shared" si="8"/>
        <v>31.733955427862977</v>
      </c>
      <c r="O47" s="259">
        <f t="shared" si="8"/>
        <v>33.380270099516451</v>
      </c>
      <c r="P47" s="413">
        <f t="shared" si="8"/>
        <v>28.876881260129842</v>
      </c>
      <c r="Q47" s="413">
        <f>IFERROR(($B$7/Q46),0)</f>
        <v>29.528613745715671</v>
      </c>
      <c r="R47" s="214"/>
    </row>
    <row r="49" spans="2:17">
      <c r="B49" s="725" t="s">
        <v>598</v>
      </c>
      <c r="C49" s="96">
        <f t="shared" ref="C49:P49" si="9">+C46-C32-C24-C8</f>
        <v>0</v>
      </c>
      <c r="D49" s="96">
        <f t="shared" si="9"/>
        <v>-5.4208608344197273E-4</v>
      </c>
      <c r="E49" s="96">
        <f t="shared" si="9"/>
        <v>6.5415073186159134E-4</v>
      </c>
      <c r="F49" s="96">
        <f t="shared" si="9"/>
        <v>-2.1459627896547318E-4</v>
      </c>
      <c r="G49" s="96">
        <f t="shared" si="9"/>
        <v>-8.5623143240809441E-4</v>
      </c>
      <c r="H49" s="96">
        <f t="shared" si="9"/>
        <v>2.9518548399209976E-4</v>
      </c>
      <c r="I49" s="96">
        <f t="shared" si="9"/>
        <v>1.1837296187877655E-4</v>
      </c>
      <c r="J49" s="96">
        <f t="shared" si="9"/>
        <v>8.4223691374063492E-4</v>
      </c>
      <c r="K49" s="96">
        <f t="shared" si="9"/>
        <v>9.2977145686745644E-4</v>
      </c>
      <c r="L49" s="96">
        <f t="shared" si="9"/>
        <v>3.05909663438797E-4</v>
      </c>
      <c r="M49" s="96">
        <f t="shared" si="9"/>
        <v>2.2111460566520691E-5</v>
      </c>
      <c r="N49" s="96">
        <f t="shared" si="9"/>
        <v>3.512292169034481E-4</v>
      </c>
      <c r="O49" s="96">
        <f t="shared" si="9"/>
        <v>-2.4898257106542587E-4</v>
      </c>
      <c r="P49" s="96">
        <f t="shared" si="9"/>
        <v>4.9984082579612732E-6</v>
      </c>
      <c r="Q49" s="96"/>
    </row>
    <row r="51" spans="2:17">
      <c r="B51" s="725" t="s">
        <v>599</v>
      </c>
      <c r="C51" s="96">
        <f>KeyData!F9-C8</f>
        <v>0</v>
      </c>
      <c r="D51" s="96">
        <f>KeyData!G9-D8</f>
        <v>-1.3992656022310257E-5</v>
      </c>
      <c r="E51" s="96">
        <f>KeyData_seasonal!D9-E8</f>
        <v>5.0892587751150131E-5</v>
      </c>
      <c r="F51" s="96">
        <f>KeyData_seasonal!E9-F8</f>
        <v>-1.9904132932424545E-4</v>
      </c>
      <c r="G51" s="96">
        <f>KeyData_seasonal!F9-G8</f>
        <v>-3.8159824907779694E-4</v>
      </c>
      <c r="H51" s="96">
        <f>KeyData_seasonal!G9-H8</f>
        <v>1.5512295067310333E-4</v>
      </c>
      <c r="I51" s="96">
        <f>KeyData_seasonal!H9-I8</f>
        <v>3.4984201192855835E-4</v>
      </c>
      <c r="J51" s="96">
        <f>KeyData_seasonal!I9-J8</f>
        <v>3.8157310336828232E-4</v>
      </c>
      <c r="K51" s="96">
        <f>KeyData_seasonal!J9-K8</f>
        <v>4.6910764649510384E-4</v>
      </c>
      <c r="L51" s="96">
        <f>KeyData_seasonal!K9-L8</f>
        <v>3.6134058609604836E-4</v>
      </c>
      <c r="M51" s="96">
        <f>KeyData_seasonal!L9-M8</f>
        <v>-4.8163533210754395E-4</v>
      </c>
      <c r="N51" s="96">
        <f>KeyData_seasonal!M9-N8</f>
        <v>2.6544462889432907E-4</v>
      </c>
      <c r="O51" s="96">
        <f>KeyData_seasonal!N9-O8</f>
        <v>-3.6265142261981964E-4</v>
      </c>
      <c r="P51" s="96">
        <f>KeyData_seasonal!O9-P8</f>
        <v>1.1406373232603073E-4</v>
      </c>
    </row>
    <row r="52" spans="2:17">
      <c r="B52" s="725" t="s">
        <v>600</v>
      </c>
      <c r="C52" s="96">
        <f>(KeyData!F10+KeyData!F11)-C24</f>
        <v>0</v>
      </c>
      <c r="D52" s="96">
        <f>(KeyData!G10+KeyData!G11)-D24</f>
        <v>-3.760329564101994E-4</v>
      </c>
      <c r="E52" s="96">
        <f>(KeyData_seasonal!D10+KeyData_seasonal!D11)-E24</f>
        <v>2.024979330599308E-4</v>
      </c>
      <c r="F52" s="96">
        <f>(KeyData_seasonal!E10+KeyData_seasonal!E11)-F24</f>
        <v>3.9565627230331302E-4</v>
      </c>
      <c r="G52" s="96">
        <f>(KeyData_seasonal!F10+KeyData_seasonal!F11)-G24</f>
        <v>1.1550146155059338E-5</v>
      </c>
      <c r="H52" s="96">
        <f>(KeyData_seasonal!G10+KeyData_seasonal!G11)-H24</f>
        <v>4.6933011617511511E-4</v>
      </c>
      <c r="I52" s="96">
        <f>(KeyData_seasonal!H10+KeyData_seasonal!H11)-I24</f>
        <v>1.0476651368662715E-4</v>
      </c>
      <c r="J52" s="96">
        <f>(KeyData_seasonal!I10+KeyData_seasonal!I11)-J24</f>
        <v>1.3095804024487734E-4</v>
      </c>
      <c r="K52" s="96">
        <f>(KeyData_seasonal!J10+KeyData_seasonal!J11)-K24</f>
        <v>1.3095804024487734E-4</v>
      </c>
      <c r="L52" s="96">
        <f>(KeyData_seasonal!K10+KeyData_seasonal!K11)-L24</f>
        <v>-3.7541176425293088E-4</v>
      </c>
      <c r="M52" s="96">
        <f>(KeyData_seasonal!L10+KeyData_seasonal!L11)-M24</f>
        <v>4.2268657125532627E-5</v>
      </c>
      <c r="N52" s="96">
        <f>(KeyData_seasonal!M10+KeyData_seasonal!M11)-N24</f>
        <v>-1.7752914573065937E-4</v>
      </c>
      <c r="O52" s="96">
        <f>(KeyData_seasonal!N10+KeyData_seasonal!N11)-O24</f>
        <v>2.8063642093911767E-4</v>
      </c>
      <c r="P52" s="96">
        <f>(KeyData_seasonal!O10+KeyData_seasonal!O11)-P24</f>
        <v>-3.754909266717732E-4</v>
      </c>
    </row>
    <row r="53" spans="2:17">
      <c r="B53" s="725" t="s">
        <v>601</v>
      </c>
      <c r="C53" s="96">
        <f>KeyData!F12-'5.1 Inventory (LC)'!C32</f>
        <v>0</v>
      </c>
      <c r="D53" s="96">
        <f>KeyData!G12-'5.1 Inventory (LC)'!D32</f>
        <v>-1.5206041280180216E-4</v>
      </c>
      <c r="E53" s="96">
        <f>KeyData_seasonal!D12-E32</f>
        <v>4.0076026925817132E-4</v>
      </c>
      <c r="F53" s="96">
        <f>KeyData_seasonal!E12-F32</f>
        <v>-4.1121174581348896E-4</v>
      </c>
      <c r="G53" s="96">
        <f>KeyData_seasonal!F12-G32</f>
        <v>-4.861828638240695E-4</v>
      </c>
      <c r="H53" s="96">
        <f>KeyData_seasonal!G12-H32</f>
        <v>-3.2926694257184863E-4</v>
      </c>
      <c r="I53" s="96">
        <f>KeyData_seasonal!H12-I32</f>
        <v>-3.3623428316786885E-4</v>
      </c>
      <c r="J53" s="96">
        <f>KeyData_seasonal!I12-J32</f>
        <v>3.2970705069601536E-4</v>
      </c>
      <c r="K53" s="96">
        <f>KeyData_seasonal!J12-K32</f>
        <v>3.2970705069601536E-4</v>
      </c>
      <c r="L53" s="96">
        <f>KeyData_seasonal!K12-L32</f>
        <v>3.1998218037188053E-4</v>
      </c>
      <c r="M53" s="96">
        <f>KeyData_seasonal!L12-M32</f>
        <v>4.6147900866344571E-4</v>
      </c>
      <c r="N53" s="96">
        <f>KeyData_seasonal!M12-N32</f>
        <v>2.633144031278789E-4</v>
      </c>
      <c r="O53" s="96">
        <f>KeyData_seasonal!N12-O32</f>
        <v>-1.6696710372343659E-4</v>
      </c>
      <c r="P53" s="96">
        <f>KeyData_seasonal!O12-P32</f>
        <v>2.664263010956347E-4</v>
      </c>
    </row>
  </sheetData>
  <mergeCells count="6">
    <mergeCell ref="A14:A23"/>
    <mergeCell ref="A9:A13"/>
    <mergeCell ref="A27:A31"/>
    <mergeCell ref="A25:A26"/>
    <mergeCell ref="A37:A43"/>
    <mergeCell ref="A33:A36"/>
  </mergeCells>
  <phoneticPr fontId="65" type="noConversion"/>
  <conditionalFormatting sqref="C51:P53">
    <cfRule type="cellIs" dxfId="3" priority="1" operator="notEqual">
      <formula>0</formula>
    </cfRule>
  </conditionalFormatting>
  <conditionalFormatting sqref="C49:Q49">
    <cfRule type="cellIs" dxfId="2" priority="2" operator="notEqual">
      <formula>0</formula>
    </cfRule>
  </conditionalFormatting>
  <pageMargins left="0.7" right="0.7" top="0.78740157499999996" bottom="0.78740157499999996" header="0.3" footer="0.3"/>
  <pageSetup paperSize="9" orientation="portrait" r:id="rId1"/>
  <customProperties>
    <customPr name="_pios_id" r:id="rId2"/>
  </customPropertie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9FC4-2C95-4742-99C7-F83257801509}">
  <dimension ref="A1:U47"/>
  <sheetViews>
    <sheetView showGridLines="0" zoomScale="80" zoomScaleNormal="80" workbookViewId="0">
      <pane xSplit="2" ySplit="6" topLeftCell="C10" activePane="bottomRight" state="frozen"/>
      <selection pane="topRight" activeCell="A30" sqref="A30:G30"/>
      <selection pane="bottomLeft" activeCell="A30" sqref="A30:G30"/>
      <selection pane="bottomRight" activeCell="R47" sqref="R47"/>
    </sheetView>
  </sheetViews>
  <sheetFormatPr defaultColWidth="11.28515625" defaultRowHeight="15"/>
  <cols>
    <col min="1" max="1" width="21.28515625" style="725" customWidth="1"/>
    <col min="2" max="2" width="43" style="725" customWidth="1"/>
    <col min="3" max="3" width="13.7109375" style="725" bestFit="1" customWidth="1"/>
    <col min="4" max="6" width="16.7109375" style="725" customWidth="1"/>
    <col min="7" max="13" width="13.7109375" style="725" bestFit="1" customWidth="1"/>
    <col min="14" max="17" width="13.28515625" style="725" bestFit="1" customWidth="1"/>
    <col min="18" max="18" width="11.7109375" style="725" customWidth="1"/>
    <col min="19" max="19" width="26.28515625" style="725" customWidth="1"/>
    <col min="20" max="20" width="4.28515625" style="725" customWidth="1"/>
    <col min="21" max="21" width="59.28515625" style="725" customWidth="1"/>
    <col min="22" max="16384" width="11.28515625" style="411"/>
  </cols>
  <sheetData>
    <row r="1" spans="1:21" s="419" customFormat="1" ht="18">
      <c r="A1" s="60" t="str">
        <f>+'0. Instructions'!A1</f>
        <v>Budget 2024</v>
      </c>
      <c r="B1" s="423"/>
      <c r="C1" s="423"/>
      <c r="D1" s="423"/>
      <c r="E1" s="423"/>
      <c r="F1" s="423"/>
      <c r="G1" s="423"/>
      <c r="H1" s="422"/>
      <c r="I1" s="422"/>
      <c r="J1" s="422"/>
      <c r="K1" s="422"/>
      <c r="L1" s="422"/>
      <c r="M1" s="422"/>
      <c r="N1" s="422"/>
      <c r="O1" s="421"/>
      <c r="P1" s="421"/>
      <c r="Q1" s="420"/>
      <c r="R1" s="420"/>
      <c r="S1" s="420" t="str">
        <f>'Input-FX Rates'!$H$1</f>
        <v>Plant ICH Icheon (242)</v>
      </c>
      <c r="T1" s="243"/>
      <c r="U1" s="397" t="s">
        <v>154</v>
      </c>
    </row>
    <row r="2" spans="1:21" s="419" customFormat="1" ht="18.75" thickBot="1">
      <c r="A2" s="55" t="s">
        <v>550</v>
      </c>
      <c r="B2" s="218"/>
      <c r="C2" s="218"/>
      <c r="D2" s="218"/>
      <c r="E2" s="218"/>
      <c r="F2" s="218"/>
      <c r="G2" s="218"/>
      <c r="H2" s="218"/>
      <c r="I2" s="218"/>
      <c r="J2" s="218"/>
      <c r="K2" s="54"/>
      <c r="L2" s="55"/>
      <c r="M2" s="218"/>
      <c r="N2" s="218"/>
      <c r="O2" s="218"/>
      <c r="P2" s="218"/>
      <c r="Q2" s="396"/>
      <c r="R2" s="396"/>
      <c r="S2" s="54" t="str">
        <f>'Input-FX Rates'!$H$2</f>
        <v>7821 PL Drivetrain Controls (&amp; Electrification)</v>
      </c>
      <c r="T2" s="243"/>
      <c r="U2" s="95" t="s">
        <v>156</v>
      </c>
    </row>
    <row r="3" spans="1:21" s="419" customFormat="1" ht="12.75">
      <c r="A3" s="243"/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21"/>
    </row>
    <row r="4" spans="1:21" s="419" customFormat="1" ht="15.75">
      <c r="A4" s="243"/>
      <c r="B4" s="243"/>
      <c r="C4" s="243"/>
      <c r="D4" s="818" t="s">
        <v>602</v>
      </c>
      <c r="E4" s="818" t="s">
        <v>603</v>
      </c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</row>
    <row r="5" spans="1:21" s="418" customFormat="1" ht="31.5">
      <c r="A5" s="187"/>
      <c r="B5" s="188" t="str">
        <f>"Inventory Details"&amp;" in '000 "&amp;"in EUR"</f>
        <v>Inventory Details in '000 in EUR</v>
      </c>
      <c r="C5" s="691" t="s">
        <v>551</v>
      </c>
      <c r="D5" s="187" t="s">
        <v>604</v>
      </c>
      <c r="E5" s="187" t="s">
        <v>604</v>
      </c>
      <c r="F5" s="660" t="s">
        <v>553</v>
      </c>
      <c r="G5" s="187" t="s">
        <v>554</v>
      </c>
      <c r="H5" s="187" t="s">
        <v>555</v>
      </c>
      <c r="I5" s="187" t="s">
        <v>556</v>
      </c>
      <c r="J5" s="187" t="s">
        <v>557</v>
      </c>
      <c r="K5" s="187" t="s">
        <v>558</v>
      </c>
      <c r="L5" s="187" t="s">
        <v>559</v>
      </c>
      <c r="M5" s="187" t="s">
        <v>560</v>
      </c>
      <c r="N5" s="187" t="s">
        <v>561</v>
      </c>
      <c r="O5" s="187" t="s">
        <v>562</v>
      </c>
      <c r="P5" s="187" t="s">
        <v>563</v>
      </c>
      <c r="Q5" s="188" t="s">
        <v>564</v>
      </c>
      <c r="R5" s="188" t="s">
        <v>565</v>
      </c>
      <c r="S5" s="187" t="s">
        <v>208</v>
      </c>
      <c r="T5" s="724"/>
      <c r="U5" s="724"/>
    </row>
    <row r="6" spans="1:21">
      <c r="B6" s="728"/>
      <c r="C6" s="736"/>
      <c r="D6" s="824"/>
      <c r="F6" s="819"/>
      <c r="Q6" s="728"/>
      <c r="R6" s="728"/>
    </row>
    <row r="7" spans="1:21" ht="15.75">
      <c r="A7" s="214" t="s">
        <v>566</v>
      </c>
      <c r="B7" s="80">
        <f>+'5.1 Inventory (LC)'!B7/'Input-FX Rates'!H16</f>
        <v>87874.142590344825</v>
      </c>
      <c r="C7" s="78">
        <f>+'5.1 Inventory (LC)'!C7/'Input-FX Rates'!$E$13</f>
        <v>54564.386322677157</v>
      </c>
      <c r="D7" s="78">
        <f>+'5.1 Inventory (LC)'!D7/'Input-FX Rates'!$G$16</f>
        <v>100126.74994033898</v>
      </c>
      <c r="E7" s="78"/>
      <c r="F7" s="820"/>
      <c r="G7" s="78"/>
      <c r="H7" s="78"/>
      <c r="I7" s="78"/>
      <c r="J7" s="78"/>
      <c r="K7" s="78"/>
      <c r="L7" s="78"/>
      <c r="M7" s="78"/>
      <c r="N7" s="78"/>
      <c r="O7" s="78"/>
      <c r="P7" s="78"/>
      <c r="Q7" s="80"/>
      <c r="R7" s="80"/>
      <c r="S7" s="412" t="str">
        <f>IF(ISBLANK('5.1 Inventory (LC)'!R7),"",'5.1 Inventory (LC)'!R7)</f>
        <v/>
      </c>
      <c r="U7" s="725" t="s">
        <v>567</v>
      </c>
    </row>
    <row r="8" spans="1:21" ht="15.75">
      <c r="A8" s="214" t="s">
        <v>568</v>
      </c>
      <c r="B8" s="215"/>
      <c r="C8" s="78">
        <f>+'5.1 Inventory (LC)'!C8/'Input-FX Rates'!$E$13</f>
        <v>3226.8023258090002</v>
      </c>
      <c r="D8" s="78">
        <f>+'5.1 Inventory (LC)'!D8/'Input-FX Rates'!$G$13</f>
        <v>2684.6172420677485</v>
      </c>
      <c r="E8" s="78">
        <f>+'5.1 Inventory (LC)'!D8/'Input-FX Rates'!$H$13</f>
        <v>2634.2575255268916</v>
      </c>
      <c r="F8" s="820">
        <f t="shared" ref="F8:Q8" si="0">SUM(F9:F23)</f>
        <v>2571.93987168904</v>
      </c>
      <c r="G8" s="78">
        <f t="shared" si="0"/>
        <v>2374.2883166889942</v>
      </c>
      <c r="H8" s="78">
        <f t="shared" si="0"/>
        <v>2450.8011326769647</v>
      </c>
      <c r="I8" s="78">
        <f t="shared" si="0"/>
        <v>2445.3765357550874</v>
      </c>
      <c r="J8" s="78">
        <f t="shared" si="0"/>
        <v>2317.3446142414891</v>
      </c>
      <c r="K8" s="78">
        <f t="shared" si="0"/>
        <v>2764.3075224954673</v>
      </c>
      <c r="L8" s="78">
        <f t="shared" si="0"/>
        <v>2488.1613900213056</v>
      </c>
      <c r="M8" s="78">
        <f t="shared" si="0"/>
        <v>2160.1711176818344</v>
      </c>
      <c r="N8" s="78">
        <f t="shared" si="0"/>
        <v>2600.2535196425074</v>
      </c>
      <c r="O8" s="78">
        <f t="shared" si="0"/>
        <v>2313.7146211962454</v>
      </c>
      <c r="P8" s="78">
        <f t="shared" si="0"/>
        <v>2043.5106126638977</v>
      </c>
      <c r="Q8" s="80">
        <f t="shared" si="0"/>
        <v>2571.8566406109908</v>
      </c>
      <c r="R8" s="80">
        <f>SUM(F8:Q8)/12</f>
        <v>2425.1438246136518</v>
      </c>
      <c r="S8" s="412" t="str">
        <f>IF(ISBLANK('5.1 Inventory (LC)'!R8),"",'5.1 Inventory (LC)'!R8)</f>
        <v/>
      </c>
      <c r="U8" s="725" t="s">
        <v>569</v>
      </c>
    </row>
    <row r="9" spans="1:21">
      <c r="A9" s="1042" t="s">
        <v>570</v>
      </c>
      <c r="B9" s="726" t="s">
        <v>571</v>
      </c>
      <c r="C9" s="333">
        <f>+'5.1 Inventory (LC)'!C9/'Input-FX Rates'!$E$13</f>
        <v>2339.7456241654845</v>
      </c>
      <c r="D9" s="223">
        <f>+'5.1 Inventory (LC)'!D9/'Input-FX Rates'!$G$13</f>
        <v>1905.4025948931633</v>
      </c>
      <c r="E9" s="223">
        <f>+'5.1 Inventory (LC)'!D9/'Input-FX Rates'!$H$13</f>
        <v>1869.6598703544776</v>
      </c>
      <c r="F9" s="821">
        <f>+'5.1 Inventory (LC)'!E9/'Input-FX Rates'!$H$13</f>
        <v>2011.8289785671263</v>
      </c>
      <c r="G9" s="733">
        <f>+'5.1 Inventory (LC)'!F9/'Input-FX Rates'!$H$13</f>
        <v>1831.8903484117225</v>
      </c>
      <c r="H9" s="734">
        <f>+'5.1 Inventory (LC)'!G9/'Input-FX Rates'!$H$13</f>
        <v>1923.2499576655193</v>
      </c>
      <c r="I9" s="734">
        <f>+'5.1 Inventory (LC)'!H9/'Input-FX Rates'!$H$13</f>
        <v>1934.4070585983904</v>
      </c>
      <c r="J9" s="734">
        <f>+'5.1 Inventory (LC)'!I9/'Input-FX Rates'!$H$13</f>
        <v>1807.3051454981605</v>
      </c>
      <c r="K9" s="734">
        <f>+'5.1 Inventory (LC)'!J9/'Input-FX Rates'!$H$13</f>
        <v>2255.0484741278156</v>
      </c>
      <c r="L9" s="734">
        <f>+'5.1 Inventory (LC)'!K9/'Input-FX Rates'!$H$13</f>
        <v>1979.8978414416085</v>
      </c>
      <c r="M9" s="734">
        <f>+'5.1 Inventory (LC)'!L9/'Input-FX Rates'!$H$13</f>
        <v>1652.6328980733344</v>
      </c>
      <c r="N9" s="734">
        <f>+'5.1 Inventory (LC)'!M9/'Input-FX Rates'!$H$13</f>
        <v>2093.3788619133334</v>
      </c>
      <c r="O9" s="734">
        <f>+'5.1 Inventory (LC)'!N9/'Input-FX Rates'!$H$13</f>
        <v>1807.7643916641382</v>
      </c>
      <c r="P9" s="734">
        <f>+'5.1 Inventory (LC)'!O9/'Input-FX Rates'!$H$13</f>
        <v>1538.3308792891944</v>
      </c>
      <c r="Q9" s="735">
        <f>+'5.1 Inventory (LC)'!P9/'Input-FX Rates'!$H$13</f>
        <v>2067.5052318744838</v>
      </c>
      <c r="R9" s="730">
        <f>SUM(F9:Q9)/12</f>
        <v>1908.6033389270694</v>
      </c>
      <c r="S9" s="906" t="str">
        <f>IF(ISBLANK('5.1 Inventory (LC)'!R9),"",'5.1 Inventory (LC)'!R9)</f>
        <v/>
      </c>
    </row>
    <row r="10" spans="1:21">
      <c r="A10" s="1042"/>
      <c r="B10" s="726" t="s">
        <v>572</v>
      </c>
      <c r="C10" s="333">
        <f>+'5.1 Inventory (LC)'!C10/'Input-FX Rates'!$E$13</f>
        <v>0</v>
      </c>
      <c r="D10" s="223">
        <f>+'5.1 Inventory (LC)'!D10/'Input-FX Rates'!$G$13</f>
        <v>0</v>
      </c>
      <c r="E10" s="223">
        <f>+'5.1 Inventory (LC)'!D10/'Input-FX Rates'!$H$13</f>
        <v>0</v>
      </c>
      <c r="F10" s="821">
        <f>+'5.1 Inventory (LC)'!E10/'Input-FX Rates'!$H$13</f>
        <v>0</v>
      </c>
      <c r="G10" s="733">
        <f>+'5.1 Inventory (LC)'!F10/'Input-FX Rates'!$H$13</f>
        <v>0</v>
      </c>
      <c r="H10" s="734">
        <f>+'5.1 Inventory (LC)'!G10/'Input-FX Rates'!$H$13</f>
        <v>0</v>
      </c>
      <c r="I10" s="734">
        <f>+'5.1 Inventory (LC)'!H10/'Input-FX Rates'!$H$13</f>
        <v>0</v>
      </c>
      <c r="J10" s="734">
        <f>+'5.1 Inventory (LC)'!I10/'Input-FX Rates'!$H$13</f>
        <v>0</v>
      </c>
      <c r="K10" s="734">
        <f>+'5.1 Inventory (LC)'!J10/'Input-FX Rates'!$H$13</f>
        <v>0</v>
      </c>
      <c r="L10" s="734">
        <f>+'5.1 Inventory (LC)'!K10/'Input-FX Rates'!$H$13</f>
        <v>0</v>
      </c>
      <c r="M10" s="734">
        <f>+'5.1 Inventory (LC)'!L10/'Input-FX Rates'!$H$13</f>
        <v>0</v>
      </c>
      <c r="N10" s="734">
        <f>+'5.1 Inventory (LC)'!M10/'Input-FX Rates'!$H$13</f>
        <v>0</v>
      </c>
      <c r="O10" s="734">
        <f>+'5.1 Inventory (LC)'!N10/'Input-FX Rates'!$H$13</f>
        <v>0</v>
      </c>
      <c r="P10" s="734">
        <f>+'5.1 Inventory (LC)'!O10/'Input-FX Rates'!$H$13</f>
        <v>0</v>
      </c>
      <c r="Q10" s="735">
        <f>+'5.1 Inventory (LC)'!P10/'Input-FX Rates'!$H$13</f>
        <v>0</v>
      </c>
      <c r="R10" s="730">
        <f t="shared" ref="R10:R46" si="1">SUM(F10:Q10)/12</f>
        <v>0</v>
      </c>
      <c r="S10" s="906" t="str">
        <f>IF(ISBLANK('5.1 Inventory (LC)'!R10),"",'5.1 Inventory (LC)'!R10)</f>
        <v/>
      </c>
    </row>
    <row r="11" spans="1:21">
      <c r="A11" s="1042"/>
      <c r="B11" s="726" t="s">
        <v>573</v>
      </c>
      <c r="C11" s="333">
        <f>+'5.1 Inventory (LC)'!C11/'Input-FX Rates'!$E$13</f>
        <v>0</v>
      </c>
      <c r="D11" s="223">
        <f>+'5.1 Inventory (LC)'!D11/'Input-FX Rates'!$G$13</f>
        <v>0</v>
      </c>
      <c r="E11" s="223">
        <f>+'5.1 Inventory (LC)'!D11/'Input-FX Rates'!$H$13</f>
        <v>0</v>
      </c>
      <c r="F11" s="821">
        <f>+'5.1 Inventory (LC)'!E11/'Input-FX Rates'!$H$13</f>
        <v>0</v>
      </c>
      <c r="G11" s="733">
        <f>+'5.1 Inventory (LC)'!F11/'Input-FX Rates'!$H$13</f>
        <v>0</v>
      </c>
      <c r="H11" s="734">
        <f>+'5.1 Inventory (LC)'!G11/'Input-FX Rates'!$H$13</f>
        <v>0</v>
      </c>
      <c r="I11" s="734">
        <f>+'5.1 Inventory (LC)'!H11/'Input-FX Rates'!$H$13</f>
        <v>0</v>
      </c>
      <c r="J11" s="734">
        <f>+'5.1 Inventory (LC)'!I11/'Input-FX Rates'!$H$13</f>
        <v>0</v>
      </c>
      <c r="K11" s="734">
        <f>+'5.1 Inventory (LC)'!J11/'Input-FX Rates'!$H$13</f>
        <v>0</v>
      </c>
      <c r="L11" s="734">
        <f>+'5.1 Inventory (LC)'!K11/'Input-FX Rates'!$H$13</f>
        <v>0</v>
      </c>
      <c r="M11" s="734">
        <f>+'5.1 Inventory (LC)'!L11/'Input-FX Rates'!$H$13</f>
        <v>0</v>
      </c>
      <c r="N11" s="734">
        <f>+'5.1 Inventory (LC)'!M11/'Input-FX Rates'!$H$13</f>
        <v>0</v>
      </c>
      <c r="O11" s="734">
        <f>+'5.1 Inventory (LC)'!N11/'Input-FX Rates'!$H$13</f>
        <v>0</v>
      </c>
      <c r="P11" s="734">
        <f>+'5.1 Inventory (LC)'!O11/'Input-FX Rates'!$H$13</f>
        <v>0</v>
      </c>
      <c r="Q11" s="735">
        <f>+'5.1 Inventory (LC)'!P11/'Input-FX Rates'!$H$13</f>
        <v>0</v>
      </c>
      <c r="R11" s="730">
        <f t="shared" si="1"/>
        <v>0</v>
      </c>
      <c r="S11" s="906" t="str">
        <f>IF(ISBLANK('5.1 Inventory (LC)'!R11),"",'5.1 Inventory (LC)'!R11)</f>
        <v/>
      </c>
    </row>
    <row r="12" spans="1:21">
      <c r="A12" s="1042"/>
      <c r="B12" s="726" t="s">
        <v>574</v>
      </c>
      <c r="C12" s="333">
        <f>+'5.1 Inventory (LC)'!C12/'Input-FX Rates'!$E$13</f>
        <v>0</v>
      </c>
      <c r="D12" s="223">
        <f>+'5.1 Inventory (LC)'!D12/'Input-FX Rates'!$G$13</f>
        <v>0</v>
      </c>
      <c r="E12" s="223">
        <f>+'5.1 Inventory (LC)'!D12/'Input-FX Rates'!$H$13</f>
        <v>0</v>
      </c>
      <c r="F12" s="821">
        <f>+'5.1 Inventory (LC)'!E12/'Input-FX Rates'!$H$13</f>
        <v>0</v>
      </c>
      <c r="G12" s="733">
        <f>+'5.1 Inventory (LC)'!F12/'Input-FX Rates'!$H$13</f>
        <v>0</v>
      </c>
      <c r="H12" s="734">
        <f>+'5.1 Inventory (LC)'!G12/'Input-FX Rates'!$H$13</f>
        <v>0</v>
      </c>
      <c r="I12" s="734">
        <f>+'5.1 Inventory (LC)'!H12/'Input-FX Rates'!$H$13</f>
        <v>0</v>
      </c>
      <c r="J12" s="734">
        <f>+'5.1 Inventory (LC)'!I12/'Input-FX Rates'!$H$13</f>
        <v>0</v>
      </c>
      <c r="K12" s="734">
        <f>+'5.1 Inventory (LC)'!J12/'Input-FX Rates'!$H$13</f>
        <v>0</v>
      </c>
      <c r="L12" s="734">
        <f>+'5.1 Inventory (LC)'!K12/'Input-FX Rates'!$H$13</f>
        <v>0</v>
      </c>
      <c r="M12" s="734">
        <f>+'5.1 Inventory (LC)'!L12/'Input-FX Rates'!$H$13</f>
        <v>0</v>
      </c>
      <c r="N12" s="734">
        <f>+'5.1 Inventory (LC)'!M12/'Input-FX Rates'!$H$13</f>
        <v>0</v>
      </c>
      <c r="O12" s="734">
        <f>+'5.1 Inventory (LC)'!N12/'Input-FX Rates'!$H$13</f>
        <v>0</v>
      </c>
      <c r="P12" s="734">
        <f>+'5.1 Inventory (LC)'!O12/'Input-FX Rates'!$H$13</f>
        <v>0</v>
      </c>
      <c r="Q12" s="735">
        <f>+'5.1 Inventory (LC)'!P12/'Input-FX Rates'!$H$13</f>
        <v>0</v>
      </c>
      <c r="R12" s="730">
        <f t="shared" si="1"/>
        <v>0</v>
      </c>
      <c r="S12" s="906" t="str">
        <f>IF(ISBLANK('5.1 Inventory (LC)'!R12),"",'5.1 Inventory (LC)'!R12)</f>
        <v/>
      </c>
    </row>
    <row r="13" spans="1:21">
      <c r="A13" s="1042"/>
      <c r="B13" s="726" t="s">
        <v>575</v>
      </c>
      <c r="C13" s="333">
        <f>+'5.1 Inventory (LC)'!C13/'Input-FX Rates'!$E$13</f>
        <v>0</v>
      </c>
      <c r="D13" s="223">
        <f>+'5.1 Inventory (LC)'!D13/'Input-FX Rates'!$G$13</f>
        <v>0</v>
      </c>
      <c r="E13" s="223">
        <f>+'5.1 Inventory (LC)'!D13/'Input-FX Rates'!$H$13</f>
        <v>0</v>
      </c>
      <c r="F13" s="821">
        <f>+'5.1 Inventory (LC)'!E13/'Input-FX Rates'!$H$13</f>
        <v>0</v>
      </c>
      <c r="G13" s="733">
        <f>+'5.1 Inventory (LC)'!F13/'Input-FX Rates'!$H$13</f>
        <v>0</v>
      </c>
      <c r="H13" s="734">
        <f>+'5.1 Inventory (LC)'!G13/'Input-FX Rates'!$H$13</f>
        <v>0</v>
      </c>
      <c r="I13" s="734">
        <f>+'5.1 Inventory (LC)'!H13/'Input-FX Rates'!$H$13</f>
        <v>0</v>
      </c>
      <c r="J13" s="734">
        <f>+'5.1 Inventory (LC)'!I13/'Input-FX Rates'!$H$13</f>
        <v>0</v>
      </c>
      <c r="K13" s="734">
        <f>+'5.1 Inventory (LC)'!J13/'Input-FX Rates'!$H$13</f>
        <v>0</v>
      </c>
      <c r="L13" s="734">
        <f>+'5.1 Inventory (LC)'!K13/'Input-FX Rates'!$H$13</f>
        <v>0</v>
      </c>
      <c r="M13" s="734">
        <f>+'5.1 Inventory (LC)'!L13/'Input-FX Rates'!$H$13</f>
        <v>0</v>
      </c>
      <c r="N13" s="734">
        <f>+'5.1 Inventory (LC)'!M13/'Input-FX Rates'!$H$13</f>
        <v>0</v>
      </c>
      <c r="O13" s="734">
        <f>+'5.1 Inventory (LC)'!N13/'Input-FX Rates'!$H$13</f>
        <v>0</v>
      </c>
      <c r="P13" s="734">
        <f>+'5.1 Inventory (LC)'!O13/'Input-FX Rates'!$H$13</f>
        <v>0</v>
      </c>
      <c r="Q13" s="735">
        <f>+'5.1 Inventory (LC)'!P13/'Input-FX Rates'!$H$13</f>
        <v>0</v>
      </c>
      <c r="R13" s="730">
        <f t="shared" si="1"/>
        <v>0</v>
      </c>
      <c r="S13" s="906" t="str">
        <f>IF(ISBLANK('5.1 Inventory (LC)'!R13),"",'5.1 Inventory (LC)'!R13)</f>
        <v/>
      </c>
    </row>
    <row r="14" spans="1:21">
      <c r="A14" s="1041" t="s">
        <v>576</v>
      </c>
      <c r="B14" s="731" t="s">
        <v>577</v>
      </c>
      <c r="C14" s="737">
        <f>+'5.1 Inventory (LC)'!C14/'Input-FX Rates'!$E$13</f>
        <v>0</v>
      </c>
      <c r="D14" s="817">
        <f>+'5.1 Inventory (LC)'!D14/'Input-FX Rates'!$G$13</f>
        <v>0</v>
      </c>
      <c r="E14" s="817">
        <f>+'5.1 Inventory (LC)'!D14/'Input-FX Rates'!$H$13</f>
        <v>0</v>
      </c>
      <c r="F14" s="822">
        <f>+'5.1 Inventory (LC)'!E14/'Input-FX Rates'!$H$13</f>
        <v>0</v>
      </c>
      <c r="G14" s="738">
        <f>+'5.1 Inventory (LC)'!F14/'Input-FX Rates'!$H$13</f>
        <v>0</v>
      </c>
      <c r="H14" s="739">
        <f>+'5.1 Inventory (LC)'!G14/'Input-FX Rates'!$H$13</f>
        <v>0</v>
      </c>
      <c r="I14" s="739">
        <f>+'5.1 Inventory (LC)'!H14/'Input-FX Rates'!$H$13</f>
        <v>0</v>
      </c>
      <c r="J14" s="739">
        <f>+'5.1 Inventory (LC)'!I14/'Input-FX Rates'!$H$13</f>
        <v>0</v>
      </c>
      <c r="K14" s="739">
        <f>+'5.1 Inventory (LC)'!J14/'Input-FX Rates'!$H$13</f>
        <v>0</v>
      </c>
      <c r="L14" s="739">
        <f>+'5.1 Inventory (LC)'!K14/'Input-FX Rates'!$H$13</f>
        <v>0</v>
      </c>
      <c r="M14" s="739">
        <f>+'5.1 Inventory (LC)'!L14/'Input-FX Rates'!$H$13</f>
        <v>0</v>
      </c>
      <c r="N14" s="739">
        <f>+'5.1 Inventory (LC)'!M14/'Input-FX Rates'!$H$13</f>
        <v>0</v>
      </c>
      <c r="O14" s="739">
        <f>+'5.1 Inventory (LC)'!N14/'Input-FX Rates'!$H$13</f>
        <v>0</v>
      </c>
      <c r="P14" s="739">
        <f>+'5.1 Inventory (LC)'!O14/'Input-FX Rates'!$H$13</f>
        <v>0</v>
      </c>
      <c r="Q14" s="740">
        <f>+'5.1 Inventory (LC)'!P14/'Input-FX Rates'!$H$13</f>
        <v>0</v>
      </c>
      <c r="R14" s="741">
        <f t="shared" si="1"/>
        <v>0</v>
      </c>
      <c r="S14" s="907" t="str">
        <f>IF(ISBLANK('5.1 Inventory (LC)'!R14),"",'5.1 Inventory (LC)'!R14)</f>
        <v/>
      </c>
    </row>
    <row r="15" spans="1:21">
      <c r="A15" s="1041"/>
      <c r="B15" s="731" t="s">
        <v>578</v>
      </c>
      <c r="C15" s="737">
        <f>+'5.1 Inventory (LC)'!C15/'Input-FX Rates'!$E$13</f>
        <v>0</v>
      </c>
      <c r="D15" s="817">
        <f>+'5.1 Inventory (LC)'!D15/'Input-FX Rates'!$G$13</f>
        <v>0</v>
      </c>
      <c r="E15" s="817">
        <f>+'5.1 Inventory (LC)'!D15/'Input-FX Rates'!$H$13</f>
        <v>0</v>
      </c>
      <c r="F15" s="822">
        <f>+'5.1 Inventory (LC)'!E15/'Input-FX Rates'!$H$13</f>
        <v>0</v>
      </c>
      <c r="G15" s="738">
        <f>+'5.1 Inventory (LC)'!F15/'Input-FX Rates'!$H$13</f>
        <v>0</v>
      </c>
      <c r="H15" s="739">
        <f>+'5.1 Inventory (LC)'!G15/'Input-FX Rates'!$H$13</f>
        <v>0</v>
      </c>
      <c r="I15" s="739">
        <f>+'5.1 Inventory (LC)'!H15/'Input-FX Rates'!$H$13</f>
        <v>0</v>
      </c>
      <c r="J15" s="739">
        <f>+'5.1 Inventory (LC)'!I15/'Input-FX Rates'!$H$13</f>
        <v>0</v>
      </c>
      <c r="K15" s="739">
        <f>+'5.1 Inventory (LC)'!J15/'Input-FX Rates'!$H$13</f>
        <v>0</v>
      </c>
      <c r="L15" s="739">
        <f>+'5.1 Inventory (LC)'!K15/'Input-FX Rates'!$H$13</f>
        <v>0</v>
      </c>
      <c r="M15" s="739">
        <f>+'5.1 Inventory (LC)'!L15/'Input-FX Rates'!$H$13</f>
        <v>0</v>
      </c>
      <c r="N15" s="739">
        <f>+'5.1 Inventory (LC)'!M15/'Input-FX Rates'!$H$13</f>
        <v>0</v>
      </c>
      <c r="O15" s="739">
        <f>+'5.1 Inventory (LC)'!N15/'Input-FX Rates'!$H$13</f>
        <v>0</v>
      </c>
      <c r="P15" s="739">
        <f>+'5.1 Inventory (LC)'!O15/'Input-FX Rates'!$H$13</f>
        <v>0</v>
      </c>
      <c r="Q15" s="740">
        <f>+'5.1 Inventory (LC)'!P15/'Input-FX Rates'!$H$13</f>
        <v>0</v>
      </c>
      <c r="R15" s="741">
        <f t="shared" si="1"/>
        <v>0</v>
      </c>
      <c r="S15" s="907" t="str">
        <f>IF(ISBLANK('5.1 Inventory (LC)'!R15),"",'5.1 Inventory (LC)'!R15)</f>
        <v/>
      </c>
    </row>
    <row r="16" spans="1:21">
      <c r="A16" s="1041"/>
      <c r="B16" s="731" t="s">
        <v>579</v>
      </c>
      <c r="C16" s="737">
        <f>+'5.1 Inventory (LC)'!C16/'Input-FX Rates'!$E$13</f>
        <v>539.12909742951615</v>
      </c>
      <c r="D16" s="817">
        <f>+'5.1 Inventory (LC)'!D16/'Input-FX Rates'!$G$13</f>
        <v>542.03542310936189</v>
      </c>
      <c r="E16" s="817">
        <f>+'5.1 Inventory (LC)'!D16/'Input-FX Rates'!$H$13</f>
        <v>531.86758620689659</v>
      </c>
      <c r="F16" s="822">
        <f>+'5.1 Inventory (LC)'!E16/'Input-FX Rates'!$H$13</f>
        <v>470.78860724467216</v>
      </c>
      <c r="G16" s="738">
        <f>+'5.1 Inventory (LC)'!F16/'Input-FX Rates'!$H$13</f>
        <v>470.07382793106478</v>
      </c>
      <c r="H16" s="739">
        <f>+'5.1 Inventory (LC)'!G16/'Input-FX Rates'!$H$13</f>
        <v>469.32541153696246</v>
      </c>
      <c r="I16" s="739">
        <f>+'5.1 Inventory (LC)'!H16/'Input-FX Rates'!$H$13</f>
        <v>468.40327976773153</v>
      </c>
      <c r="J16" s="739">
        <f>+'5.1 Inventory (LC)'!I16/'Input-FX Rates'!$H$13</f>
        <v>467.60848232263862</v>
      </c>
      <c r="K16" s="739">
        <f>+'5.1 Inventory (LC)'!J16/'Input-FX Rates'!$H$13</f>
        <v>466.83596447799658</v>
      </c>
      <c r="L16" s="739">
        <f>+'5.1 Inventory (LC)'!K16/'Input-FX Rates'!$H$13</f>
        <v>465.841344952111</v>
      </c>
      <c r="M16" s="739">
        <f>+'5.1 Inventory (LC)'!L16/'Input-FX Rates'!$H$13</f>
        <v>465.11656090505198</v>
      </c>
      <c r="N16" s="739">
        <f>+'5.1 Inventory (LC)'!M16/'Input-FX Rates'!$H$13</f>
        <v>464.45360269469131</v>
      </c>
      <c r="O16" s="739">
        <f>+'5.1 Inventory (LC)'!N16/'Input-FX Rates'!$H$13</f>
        <v>463.53001284245198</v>
      </c>
      <c r="P16" s="739">
        <f>+'5.1 Inventory (LC)'!O16/'Input-FX Rates'!$H$13</f>
        <v>462.76006160918615</v>
      </c>
      <c r="Q16" s="740">
        <f>+'5.1 Inventory (LC)'!P16/'Input-FX Rates'!$H$13</f>
        <v>461.93244956409302</v>
      </c>
      <c r="R16" s="741">
        <f t="shared" si="1"/>
        <v>466.38913382072104</v>
      </c>
      <c r="S16" s="907" t="str">
        <f>IF(ISBLANK('5.1 Inventory (LC)'!R16),"",'5.1 Inventory (LC)'!R16)</f>
        <v>ATB stock will decrease according to demand</v>
      </c>
    </row>
    <row r="17" spans="1:19">
      <c r="A17" s="1041"/>
      <c r="B17" s="731" t="s">
        <v>581</v>
      </c>
      <c r="C17" s="737">
        <f>+'5.1 Inventory (LC)'!C17/'Input-FX Rates'!$E$13</f>
        <v>347.92760421399959</v>
      </c>
      <c r="D17" s="817">
        <f>+'5.1 Inventory (LC)'!D17/'Input-FX Rates'!$G$13</f>
        <v>54.969075063255552</v>
      </c>
      <c r="E17" s="817">
        <f>+'5.1 Inventory (LC)'!D17/'Input-FX Rates'!$H$13</f>
        <v>53.937931034482759</v>
      </c>
      <c r="F17" s="822">
        <f>+'5.1 Inventory (LC)'!E17/'Input-FX Rates'!$H$13</f>
        <v>0</v>
      </c>
      <c r="G17" s="738">
        <f>+'5.1 Inventory (LC)'!F17/'Input-FX Rates'!$H$13</f>
        <v>0</v>
      </c>
      <c r="H17" s="739">
        <f>+'5.1 Inventory (LC)'!G17/'Input-FX Rates'!$H$13</f>
        <v>0</v>
      </c>
      <c r="I17" s="739">
        <f>+'5.1 Inventory (LC)'!H17/'Input-FX Rates'!$H$13</f>
        <v>0</v>
      </c>
      <c r="J17" s="739">
        <f>+'5.1 Inventory (LC)'!I17/'Input-FX Rates'!$H$13</f>
        <v>0</v>
      </c>
      <c r="K17" s="739">
        <f>+'5.1 Inventory (LC)'!J17/'Input-FX Rates'!$H$13</f>
        <v>0</v>
      </c>
      <c r="L17" s="739">
        <f>+'5.1 Inventory (LC)'!K17/'Input-FX Rates'!$H$13</f>
        <v>0</v>
      </c>
      <c r="M17" s="739">
        <f>+'5.1 Inventory (LC)'!L17/'Input-FX Rates'!$H$13</f>
        <v>0</v>
      </c>
      <c r="N17" s="739">
        <f>+'5.1 Inventory (LC)'!M17/'Input-FX Rates'!$H$13</f>
        <v>0</v>
      </c>
      <c r="O17" s="739">
        <f>+'5.1 Inventory (LC)'!N17/'Input-FX Rates'!$H$13</f>
        <v>0</v>
      </c>
      <c r="P17" s="739">
        <f>+'5.1 Inventory (LC)'!O17/'Input-FX Rates'!$H$13</f>
        <v>0</v>
      </c>
      <c r="Q17" s="740">
        <f>+'5.1 Inventory (LC)'!P17/'Input-FX Rates'!$H$13</f>
        <v>0</v>
      </c>
      <c r="R17" s="741">
        <f t="shared" si="1"/>
        <v>0</v>
      </c>
      <c r="S17" s="907" t="str">
        <f>IF(ISBLANK('5.1 Inventory (LC)'!R17),"",'5.1 Inventory (LC)'!R17)</f>
        <v/>
      </c>
    </row>
    <row r="18" spans="1:19">
      <c r="A18" s="1041"/>
      <c r="B18" s="731" t="s">
        <v>574</v>
      </c>
      <c r="C18" s="737">
        <f>+'5.1 Inventory (LC)'!C18/'Input-FX Rates'!$E$13</f>
        <v>0</v>
      </c>
      <c r="D18" s="817">
        <f>+'5.1 Inventory (LC)'!D18/'Input-FX Rates'!$G$13</f>
        <v>0</v>
      </c>
      <c r="E18" s="817">
        <f>+'5.1 Inventory (LC)'!D18/'Input-FX Rates'!$H$13</f>
        <v>0</v>
      </c>
      <c r="F18" s="822">
        <f>+'5.1 Inventory (LC)'!E18/'Input-FX Rates'!$H$13</f>
        <v>0</v>
      </c>
      <c r="G18" s="738">
        <f>+'5.1 Inventory (LC)'!F18/'Input-FX Rates'!$H$13</f>
        <v>0</v>
      </c>
      <c r="H18" s="739">
        <f>+'5.1 Inventory (LC)'!G18/'Input-FX Rates'!$H$13</f>
        <v>0</v>
      </c>
      <c r="I18" s="739">
        <f>+'5.1 Inventory (LC)'!H18/'Input-FX Rates'!$H$13</f>
        <v>0</v>
      </c>
      <c r="J18" s="739">
        <f>+'5.1 Inventory (LC)'!I18/'Input-FX Rates'!$H$13</f>
        <v>0</v>
      </c>
      <c r="K18" s="739">
        <f>+'5.1 Inventory (LC)'!J18/'Input-FX Rates'!$H$13</f>
        <v>0</v>
      </c>
      <c r="L18" s="739">
        <f>+'5.1 Inventory (LC)'!K18/'Input-FX Rates'!$H$13</f>
        <v>0</v>
      </c>
      <c r="M18" s="739">
        <f>+'5.1 Inventory (LC)'!L18/'Input-FX Rates'!$H$13</f>
        <v>0</v>
      </c>
      <c r="N18" s="739">
        <f>+'5.1 Inventory (LC)'!M18/'Input-FX Rates'!$H$13</f>
        <v>0</v>
      </c>
      <c r="O18" s="739">
        <f>+'5.1 Inventory (LC)'!N18/'Input-FX Rates'!$H$13</f>
        <v>0</v>
      </c>
      <c r="P18" s="739">
        <f>+'5.1 Inventory (LC)'!O18/'Input-FX Rates'!$H$13</f>
        <v>0</v>
      </c>
      <c r="Q18" s="740">
        <f>+'5.1 Inventory (LC)'!P18/'Input-FX Rates'!$H$13</f>
        <v>0</v>
      </c>
      <c r="R18" s="741">
        <f t="shared" si="1"/>
        <v>0</v>
      </c>
      <c r="S18" s="907" t="str">
        <f>IF(ISBLANK('5.1 Inventory (LC)'!R18),"",'5.1 Inventory (LC)'!R18)</f>
        <v/>
      </c>
    </row>
    <row r="19" spans="1:19">
      <c r="A19" s="1041"/>
      <c r="B19" s="731" t="s">
        <v>582</v>
      </c>
      <c r="C19" s="737">
        <f>+'5.1 Inventory (LC)'!C19/'Input-FX Rates'!$E$13</f>
        <v>0</v>
      </c>
      <c r="D19" s="817">
        <f>+'5.1 Inventory (LC)'!D19/'Input-FX Rates'!$G$13</f>
        <v>182.21014900196795</v>
      </c>
      <c r="E19" s="817">
        <f>+'5.1 Inventory (LC)'!D19/'Input-FX Rates'!$H$13</f>
        <v>178.79213793103449</v>
      </c>
      <c r="F19" s="822">
        <f>+'5.1 Inventory (LC)'!E19/'Input-FX Rates'!$H$13</f>
        <v>66.219580739310345</v>
      </c>
      <c r="G19" s="738">
        <f>+'5.1 Inventory (LC)'!F19/'Input-FX Rates'!$H$13</f>
        <v>49.222063966896556</v>
      </c>
      <c r="H19" s="739">
        <f>+'5.1 Inventory (LC)'!G19/'Input-FX Rates'!$H$13</f>
        <v>35.124190102068972</v>
      </c>
      <c r="I19" s="739">
        <f>+'5.1 Inventory (LC)'!H19/'Input-FX Rates'!$H$13</f>
        <v>19.465336609655171</v>
      </c>
      <c r="J19" s="739">
        <f>+'5.1 Inventory (LC)'!I19/'Input-FX Rates'!$H$13</f>
        <v>19.330855062068963</v>
      </c>
      <c r="K19" s="739">
        <f>+'5.1 Inventory (LC)'!J19/'Input-FX Rates'!$H$13</f>
        <v>19.323581289655174</v>
      </c>
      <c r="L19" s="739">
        <f>+'5.1 Inventory (LC)'!K19/'Input-FX Rates'!$H$13</f>
        <v>19.323581289655174</v>
      </c>
      <c r="M19" s="739">
        <f>+'5.1 Inventory (LC)'!L19/'Input-FX Rates'!$H$13</f>
        <v>19.323581289655174</v>
      </c>
      <c r="N19" s="739">
        <f>+'5.1 Inventory (LC)'!M19/'Input-FX Rates'!$H$13</f>
        <v>19.323581289655174</v>
      </c>
      <c r="O19" s="739">
        <f>+'5.1 Inventory (LC)'!N19/'Input-FX Rates'!$H$13</f>
        <v>19.323581289655174</v>
      </c>
      <c r="P19" s="739">
        <f>+'5.1 Inventory (LC)'!O19/'Input-FX Rates'!$H$13</f>
        <v>19.323581289655174</v>
      </c>
      <c r="Q19" s="740">
        <f>+'5.1 Inventory (LC)'!P19/'Input-FX Rates'!$H$13</f>
        <v>19.323581289655174</v>
      </c>
      <c r="R19" s="741">
        <f t="shared" si="1"/>
        <v>27.052257958965523</v>
      </c>
      <c r="S19" s="907" t="str">
        <f>IF(ISBLANK('5.1 Inventory (LC)'!R19),"",'5.1 Inventory (LC)'!R19)</f>
        <v/>
      </c>
    </row>
    <row r="20" spans="1:19">
      <c r="A20" s="1041"/>
      <c r="B20" s="732" t="s">
        <v>575</v>
      </c>
      <c r="C20" s="737">
        <f>+'5.1 Inventory (LC)'!C20/'Input-FX Rates'!$E$13</f>
        <v>0</v>
      </c>
      <c r="D20" s="817">
        <f>+'5.1 Inventory (LC)'!D20/'Input-FX Rates'!$G$13</f>
        <v>0</v>
      </c>
      <c r="E20" s="817">
        <f>+'5.1 Inventory (LC)'!D20/'Input-FX Rates'!$H$13</f>
        <v>0</v>
      </c>
      <c r="F20" s="822">
        <f>+'5.1 Inventory (LC)'!E20/'Input-FX Rates'!$H$13</f>
        <v>23.102705137931039</v>
      </c>
      <c r="G20" s="738">
        <f>+'5.1 Inventory (LC)'!F20/'Input-FX Rates'!$H$13</f>
        <v>23.102076379310347</v>
      </c>
      <c r="H20" s="739">
        <f>+'5.1 Inventory (LC)'!G20/'Input-FX Rates'!$H$13</f>
        <v>23.101573372413796</v>
      </c>
      <c r="I20" s="739">
        <f>+'5.1 Inventory (LC)'!H20/'Input-FX Rates'!$H$13</f>
        <v>23.100860779310345</v>
      </c>
      <c r="J20" s="739">
        <f>+'5.1 Inventory (LC)'!I20/'Input-FX Rates'!$H$13</f>
        <v>23.10013135862069</v>
      </c>
      <c r="K20" s="739">
        <f>+'5.1 Inventory (LC)'!J20/'Input-FX Rates'!$H$13</f>
        <v>23.099502600000005</v>
      </c>
      <c r="L20" s="739">
        <f>+'5.1 Inventory (LC)'!K20/'Input-FX Rates'!$H$13</f>
        <v>23.098622337931037</v>
      </c>
      <c r="M20" s="739">
        <f>+'5.1 Inventory (LC)'!L20/'Input-FX Rates'!$H$13</f>
        <v>23.098077413793103</v>
      </c>
      <c r="N20" s="739">
        <f>+'5.1 Inventory (LC)'!M20/'Input-FX Rates'!$H$13</f>
        <v>23.097473744827585</v>
      </c>
      <c r="O20" s="739">
        <f>+'5.1 Inventory (LC)'!N20/'Input-FX Rates'!$H$13</f>
        <v>23.0966354</v>
      </c>
      <c r="P20" s="739">
        <f>+'5.1 Inventory (LC)'!O20/'Input-FX Rates'!$H$13</f>
        <v>23.096090475862074</v>
      </c>
      <c r="Q20" s="740">
        <f>+'5.1 Inventory (LC)'!P20/'Input-FX Rates'!$H$13</f>
        <v>23.095377882758623</v>
      </c>
      <c r="R20" s="741">
        <f t="shared" si="1"/>
        <v>23.099093906896556</v>
      </c>
      <c r="S20" s="907" t="str">
        <f>IF(ISBLANK('5.1 Inventory (LC)'!R20),"",'5.1 Inventory (LC)'!R20)</f>
        <v/>
      </c>
    </row>
    <row r="21" spans="1:19">
      <c r="A21" s="1041"/>
      <c r="B21" s="732" t="s">
        <v>583</v>
      </c>
      <c r="C21" s="737">
        <f>+'5.1 Inventory (LC)'!C21/'Input-FX Rates'!$E$13</f>
        <v>0</v>
      </c>
      <c r="D21" s="817">
        <f>+'5.1 Inventory (LC)'!D21/'Input-FX Rates'!$G$13</f>
        <v>0</v>
      </c>
      <c r="E21" s="817">
        <f>+'5.1 Inventory (LC)'!D21/'Input-FX Rates'!$H$13</f>
        <v>0</v>
      </c>
      <c r="F21" s="822">
        <f>+'5.1 Inventory (LC)'!E21/'Input-FX Rates'!$H$13</f>
        <v>0</v>
      </c>
      <c r="G21" s="738">
        <f>+'5.1 Inventory (LC)'!F21/'Input-FX Rates'!$H$13</f>
        <v>0</v>
      </c>
      <c r="H21" s="739">
        <f>+'5.1 Inventory (LC)'!G21/'Input-FX Rates'!$H$13</f>
        <v>0</v>
      </c>
      <c r="I21" s="739">
        <f>+'5.1 Inventory (LC)'!H21/'Input-FX Rates'!$H$13</f>
        <v>0</v>
      </c>
      <c r="J21" s="739">
        <f>+'5.1 Inventory (LC)'!I21/'Input-FX Rates'!$H$13</f>
        <v>0</v>
      </c>
      <c r="K21" s="739">
        <f>+'5.1 Inventory (LC)'!J21/'Input-FX Rates'!$H$13</f>
        <v>0</v>
      </c>
      <c r="L21" s="739">
        <f>+'5.1 Inventory (LC)'!K21/'Input-FX Rates'!$H$13</f>
        <v>0</v>
      </c>
      <c r="M21" s="739">
        <f>+'5.1 Inventory (LC)'!L21/'Input-FX Rates'!$H$13</f>
        <v>0</v>
      </c>
      <c r="N21" s="739">
        <f>+'5.1 Inventory (LC)'!M21/'Input-FX Rates'!$H$13</f>
        <v>0</v>
      </c>
      <c r="O21" s="739">
        <f>+'5.1 Inventory (LC)'!N21/'Input-FX Rates'!$H$13</f>
        <v>0</v>
      </c>
      <c r="P21" s="739">
        <f>+'5.1 Inventory (LC)'!O21/'Input-FX Rates'!$H$13</f>
        <v>0</v>
      </c>
      <c r="Q21" s="740">
        <f>+'5.1 Inventory (LC)'!P21/'Input-FX Rates'!$H$13</f>
        <v>0</v>
      </c>
      <c r="R21" s="741">
        <f t="shared" si="1"/>
        <v>0</v>
      </c>
      <c r="S21" s="907" t="str">
        <f>IF(ISBLANK('5.1 Inventory (LC)'!R21),"",'5.1 Inventory (LC)'!R21)</f>
        <v/>
      </c>
    </row>
    <row r="22" spans="1:19">
      <c r="A22" s="1041"/>
      <c r="B22" s="732" t="s">
        <v>584</v>
      </c>
      <c r="C22" s="737">
        <f>+'5.1 Inventory (LC)'!C22/'Input-FX Rates'!$E$13</f>
        <v>0</v>
      </c>
      <c r="D22" s="817">
        <f>+'5.1 Inventory (LC)'!D22/'Input-FX Rates'!$G$13</f>
        <v>0</v>
      </c>
      <c r="E22" s="817">
        <f>+'5.1 Inventory (LC)'!D22/'Input-FX Rates'!$H$13</f>
        <v>0</v>
      </c>
      <c r="F22" s="822">
        <f>+'5.1 Inventory (LC)'!E22/'Input-FX Rates'!$H$13</f>
        <v>0</v>
      </c>
      <c r="G22" s="738">
        <f>+'5.1 Inventory (LC)'!F22/'Input-FX Rates'!$H$13</f>
        <v>0</v>
      </c>
      <c r="H22" s="739">
        <f>+'5.1 Inventory (LC)'!G22/'Input-FX Rates'!$H$13</f>
        <v>0</v>
      </c>
      <c r="I22" s="739">
        <f>+'5.1 Inventory (LC)'!H22/'Input-FX Rates'!$H$13</f>
        <v>0</v>
      </c>
      <c r="J22" s="739">
        <f>+'5.1 Inventory (LC)'!I22/'Input-FX Rates'!$H$13</f>
        <v>0</v>
      </c>
      <c r="K22" s="739">
        <f>+'5.1 Inventory (LC)'!J22/'Input-FX Rates'!$H$13</f>
        <v>0</v>
      </c>
      <c r="L22" s="739">
        <f>+'5.1 Inventory (LC)'!K22/'Input-FX Rates'!$H$13</f>
        <v>0</v>
      </c>
      <c r="M22" s="739">
        <f>+'5.1 Inventory (LC)'!L22/'Input-FX Rates'!$H$13</f>
        <v>0</v>
      </c>
      <c r="N22" s="739">
        <f>+'5.1 Inventory (LC)'!M22/'Input-FX Rates'!$H$13</f>
        <v>0</v>
      </c>
      <c r="O22" s="739">
        <f>+'5.1 Inventory (LC)'!N22/'Input-FX Rates'!$H$13</f>
        <v>0</v>
      </c>
      <c r="P22" s="739">
        <f>+'5.1 Inventory (LC)'!O22/'Input-FX Rates'!$H$13</f>
        <v>0</v>
      </c>
      <c r="Q22" s="740">
        <f>+'5.1 Inventory (LC)'!P22/'Input-FX Rates'!$H$13</f>
        <v>0</v>
      </c>
      <c r="R22" s="741">
        <f t="shared" si="1"/>
        <v>0</v>
      </c>
      <c r="S22" s="907" t="str">
        <f>IF(ISBLANK('5.1 Inventory (LC)'!R22),"",'5.1 Inventory (LC)'!R22)</f>
        <v/>
      </c>
    </row>
    <row r="23" spans="1:19">
      <c r="A23" s="1041"/>
      <c r="B23" s="732" t="s">
        <v>585</v>
      </c>
      <c r="C23" s="737">
        <f>+'5.1 Inventory (LC)'!C23/'Input-FX Rates'!$E$13</f>
        <v>0</v>
      </c>
      <c r="D23" s="817">
        <f>+'5.1 Inventory (LC)'!D23/'Input-FX Rates'!$G$13</f>
        <v>0</v>
      </c>
      <c r="E23" s="817">
        <f>+'5.1 Inventory (LC)'!D23/'Input-FX Rates'!$H$13</f>
        <v>0</v>
      </c>
      <c r="F23" s="822">
        <f>+'5.1 Inventory (LC)'!E23/'Input-FX Rates'!$H$13</f>
        <v>0</v>
      </c>
      <c r="G23" s="738">
        <f>+'5.1 Inventory (LC)'!F23/'Input-FX Rates'!$H$13</f>
        <v>0</v>
      </c>
      <c r="H23" s="739">
        <f>+'5.1 Inventory (LC)'!G23/'Input-FX Rates'!$H$13</f>
        <v>0</v>
      </c>
      <c r="I23" s="739">
        <f>+'5.1 Inventory (LC)'!H23/'Input-FX Rates'!$H$13</f>
        <v>0</v>
      </c>
      <c r="J23" s="739">
        <f>+'5.1 Inventory (LC)'!I23/'Input-FX Rates'!$H$13</f>
        <v>0</v>
      </c>
      <c r="K23" s="739">
        <f>+'5.1 Inventory (LC)'!J23/'Input-FX Rates'!$H$13</f>
        <v>0</v>
      </c>
      <c r="L23" s="739">
        <f>+'5.1 Inventory (LC)'!K23/'Input-FX Rates'!$H$13</f>
        <v>0</v>
      </c>
      <c r="M23" s="739">
        <f>+'5.1 Inventory (LC)'!L23/'Input-FX Rates'!$H$13</f>
        <v>0</v>
      </c>
      <c r="N23" s="739">
        <f>+'5.1 Inventory (LC)'!M23/'Input-FX Rates'!$H$13</f>
        <v>0</v>
      </c>
      <c r="O23" s="739">
        <f>+'5.1 Inventory (LC)'!N23/'Input-FX Rates'!$H$13</f>
        <v>0</v>
      </c>
      <c r="P23" s="739">
        <f>+'5.1 Inventory (LC)'!O23/'Input-FX Rates'!$H$13</f>
        <v>0</v>
      </c>
      <c r="Q23" s="740">
        <f>+'5.1 Inventory (LC)'!P23/'Input-FX Rates'!$H$13</f>
        <v>0</v>
      </c>
      <c r="R23" s="741">
        <f t="shared" si="1"/>
        <v>0</v>
      </c>
      <c r="S23" s="907" t="str">
        <f>IF(ISBLANK('5.1 Inventory (LC)'!R23),"",'5.1 Inventory (LC)'!R23)</f>
        <v/>
      </c>
    </row>
    <row r="24" spans="1:19" ht="15.75">
      <c r="A24" s="214" t="s">
        <v>586</v>
      </c>
      <c r="B24" s="215"/>
      <c r="C24" s="78">
        <f>+'5.1 Inventory (LC)'!C24/'Input-FX Rates'!$E$13</f>
        <v>419.35852412144254</v>
      </c>
      <c r="D24" s="78">
        <f>+'5.1 Inventory (LC)'!D24/'Input-FX Rates'!$G$13</f>
        <v>251.54825511388319</v>
      </c>
      <c r="E24" s="78">
        <f>+'5.1 Inventory (LC)'!D24/'Input-FX Rates'!$H$13</f>
        <v>246.82955681105722</v>
      </c>
      <c r="F24" s="820">
        <f t="shared" ref="F24:Q24" si="2">SUM(F25:F31)</f>
        <v>199.48456468793248</v>
      </c>
      <c r="G24" s="78">
        <f t="shared" si="2"/>
        <v>280.43028041678878</v>
      </c>
      <c r="H24" s="78">
        <f t="shared" si="2"/>
        <v>268.93546275065512</v>
      </c>
      <c r="I24" s="78">
        <f t="shared" si="2"/>
        <v>209.76784864184134</v>
      </c>
      <c r="J24" s="78">
        <f t="shared" si="2"/>
        <v>189.88643578981623</v>
      </c>
      <c r="K24" s="78">
        <f t="shared" si="2"/>
        <v>237.35804473727035</v>
      </c>
      <c r="L24" s="78">
        <f t="shared" si="2"/>
        <v>237.35804473727035</v>
      </c>
      <c r="M24" s="78">
        <f t="shared" si="2"/>
        <v>217.77828784511161</v>
      </c>
      <c r="N24" s="78">
        <f t="shared" si="2"/>
        <v>174.84312135015958</v>
      </c>
      <c r="O24" s="78">
        <f t="shared" si="2"/>
        <v>180.22364288105462</v>
      </c>
      <c r="P24" s="78">
        <f t="shared" si="2"/>
        <v>233.11145635818178</v>
      </c>
      <c r="Q24" s="80">
        <f t="shared" si="2"/>
        <v>186.48916508654546</v>
      </c>
      <c r="R24" s="80">
        <f t="shared" si="1"/>
        <v>217.97219627355233</v>
      </c>
      <c r="S24" s="412" t="str">
        <f>IF(ISBLANK('5.1 Inventory (LC)'!R24),"",'5.1 Inventory (LC)'!R24)</f>
        <v/>
      </c>
    </row>
    <row r="25" spans="1:19">
      <c r="A25" s="1042" t="s">
        <v>570</v>
      </c>
      <c r="B25" s="726" t="s">
        <v>587</v>
      </c>
      <c r="C25" s="333">
        <f>+'5.1 Inventory (LC)'!C25/'Input-FX Rates'!$E$13</f>
        <v>419.35852412144254</v>
      </c>
      <c r="D25" s="223">
        <f>+'5.1 Inventory (LC)'!D25/'Input-FX Rates'!$G$13</f>
        <v>251.54825511388319</v>
      </c>
      <c r="E25" s="223">
        <f>+'5.1 Inventory (LC)'!D25/'Input-FX Rates'!$H$13</f>
        <v>246.82955681105722</v>
      </c>
      <c r="F25" s="821">
        <f>+'5.1 Inventory (LC)'!E25/'Input-FX Rates'!$H$13</f>
        <v>199.48456468793248</v>
      </c>
      <c r="G25" s="733">
        <f>+'5.1 Inventory (LC)'!F25/'Input-FX Rates'!$H$13</f>
        <v>280.43028041678878</v>
      </c>
      <c r="H25" s="733">
        <f>+'5.1 Inventory (LC)'!G25/'Input-FX Rates'!$H$13</f>
        <v>268.93546275065512</v>
      </c>
      <c r="I25" s="733">
        <f>+'5.1 Inventory (LC)'!H25/'Input-FX Rates'!$H$13</f>
        <v>209.76784864184134</v>
      </c>
      <c r="J25" s="733">
        <f>+'5.1 Inventory (LC)'!I25/'Input-FX Rates'!$H$13</f>
        <v>189.88643578981623</v>
      </c>
      <c r="K25" s="733">
        <f>+'5.1 Inventory (LC)'!J25/'Input-FX Rates'!$H$13</f>
        <v>237.35804473727035</v>
      </c>
      <c r="L25" s="733">
        <f>+'5.1 Inventory (LC)'!K25/'Input-FX Rates'!$H$13</f>
        <v>237.35804473727035</v>
      </c>
      <c r="M25" s="733">
        <f>+'5.1 Inventory (LC)'!L25/'Input-FX Rates'!$H$13</f>
        <v>217.77828784511161</v>
      </c>
      <c r="N25" s="733">
        <f>+'5.1 Inventory (LC)'!M25/'Input-FX Rates'!$H$13</f>
        <v>174.84312135015958</v>
      </c>
      <c r="O25" s="733">
        <f>+'5.1 Inventory (LC)'!N25/'Input-FX Rates'!$H$13</f>
        <v>180.22364288105462</v>
      </c>
      <c r="P25" s="733">
        <f>+'5.1 Inventory (LC)'!O25/'Input-FX Rates'!$H$13</f>
        <v>233.11145635818178</v>
      </c>
      <c r="Q25" s="735">
        <f>+'5.1 Inventory (LC)'!P25/'Input-FX Rates'!$H$13</f>
        <v>186.48916508654546</v>
      </c>
      <c r="R25" s="730">
        <f t="shared" si="1"/>
        <v>217.97219627355233</v>
      </c>
      <c r="S25" s="906" t="str">
        <f>IF(ISBLANK('5.1 Inventory (LC)'!R25),"",'5.1 Inventory (LC)'!R25)</f>
        <v>1.5 Days of ROC</v>
      </c>
    </row>
    <row r="26" spans="1:19">
      <c r="A26" s="1042"/>
      <c r="B26" s="726" t="s">
        <v>574</v>
      </c>
      <c r="C26" s="333">
        <f>+'5.1 Inventory (LC)'!C26/'Input-FX Rates'!$E$13</f>
        <v>0</v>
      </c>
      <c r="D26" s="223">
        <f>+'5.1 Inventory (LC)'!D26/'Input-FX Rates'!$G$13</f>
        <v>0</v>
      </c>
      <c r="E26" s="223">
        <f>+'5.1 Inventory (LC)'!D26/'Input-FX Rates'!$H$13</f>
        <v>0</v>
      </c>
      <c r="F26" s="821">
        <f>+'5.1 Inventory (LC)'!E26/'Input-FX Rates'!$H$13</f>
        <v>0</v>
      </c>
      <c r="G26" s="733">
        <f>+'5.1 Inventory (LC)'!F26/'Input-FX Rates'!$H$13</f>
        <v>0</v>
      </c>
      <c r="H26" s="733">
        <f>+'5.1 Inventory (LC)'!G26/'Input-FX Rates'!$H$13</f>
        <v>0</v>
      </c>
      <c r="I26" s="733">
        <f>+'5.1 Inventory (LC)'!H26/'Input-FX Rates'!$H$13</f>
        <v>0</v>
      </c>
      <c r="J26" s="733">
        <f>+'5.1 Inventory (LC)'!I26/'Input-FX Rates'!$H$13</f>
        <v>0</v>
      </c>
      <c r="K26" s="733">
        <f>+'5.1 Inventory (LC)'!J26/'Input-FX Rates'!$H$13</f>
        <v>0</v>
      </c>
      <c r="L26" s="733">
        <f>+'5.1 Inventory (LC)'!K26/'Input-FX Rates'!$H$13</f>
        <v>0</v>
      </c>
      <c r="M26" s="733">
        <f>+'5.1 Inventory (LC)'!L26/'Input-FX Rates'!$H$13</f>
        <v>0</v>
      </c>
      <c r="N26" s="733">
        <f>+'5.1 Inventory (LC)'!M26/'Input-FX Rates'!$H$13</f>
        <v>0</v>
      </c>
      <c r="O26" s="733">
        <f>+'5.1 Inventory (LC)'!N26/'Input-FX Rates'!$H$13</f>
        <v>0</v>
      </c>
      <c r="P26" s="733">
        <f>+'5.1 Inventory (LC)'!O26/'Input-FX Rates'!$H$13</f>
        <v>0</v>
      </c>
      <c r="Q26" s="735">
        <f>+'5.1 Inventory (LC)'!P26/'Input-FX Rates'!$H$13</f>
        <v>0</v>
      </c>
      <c r="R26" s="730">
        <f t="shared" si="1"/>
        <v>0</v>
      </c>
      <c r="S26" s="906" t="str">
        <f>IF(ISBLANK('5.1 Inventory (LC)'!R26),"",'5.1 Inventory (LC)'!R26)</f>
        <v/>
      </c>
    </row>
    <row r="27" spans="1:19">
      <c r="A27" s="1041" t="s">
        <v>576</v>
      </c>
      <c r="B27" s="731" t="s">
        <v>577</v>
      </c>
      <c r="C27" s="737">
        <f>+'5.1 Inventory (LC)'!C27/'Input-FX Rates'!$E$13</f>
        <v>0</v>
      </c>
      <c r="D27" s="817">
        <f>+'5.1 Inventory (LC)'!D27/'Input-FX Rates'!$G$13</f>
        <v>0</v>
      </c>
      <c r="E27" s="817">
        <f>+'5.1 Inventory (LC)'!D27/'Input-FX Rates'!$H$13</f>
        <v>0</v>
      </c>
      <c r="F27" s="822">
        <f>+'5.1 Inventory (LC)'!E27/'Input-FX Rates'!$H$13</f>
        <v>0</v>
      </c>
      <c r="G27" s="738">
        <f>+'5.1 Inventory (LC)'!F27/'Input-FX Rates'!$H$13</f>
        <v>0</v>
      </c>
      <c r="H27" s="738">
        <f>+'5.1 Inventory (LC)'!G27/'Input-FX Rates'!$H$13</f>
        <v>0</v>
      </c>
      <c r="I27" s="738">
        <f>+'5.1 Inventory (LC)'!H27/'Input-FX Rates'!$H$13</f>
        <v>0</v>
      </c>
      <c r="J27" s="738">
        <f>+'5.1 Inventory (LC)'!I27/'Input-FX Rates'!$H$13</f>
        <v>0</v>
      </c>
      <c r="K27" s="738">
        <f>+'5.1 Inventory (LC)'!J27/'Input-FX Rates'!$H$13</f>
        <v>0</v>
      </c>
      <c r="L27" s="738">
        <f>+'5.1 Inventory (LC)'!K27/'Input-FX Rates'!$H$13</f>
        <v>0</v>
      </c>
      <c r="M27" s="738">
        <f>+'5.1 Inventory (LC)'!L27/'Input-FX Rates'!$H$13</f>
        <v>0</v>
      </c>
      <c r="N27" s="738">
        <f>+'5.1 Inventory (LC)'!M27/'Input-FX Rates'!$H$13</f>
        <v>0</v>
      </c>
      <c r="O27" s="738">
        <f>+'5.1 Inventory (LC)'!N27/'Input-FX Rates'!$H$13</f>
        <v>0</v>
      </c>
      <c r="P27" s="738">
        <f>+'5.1 Inventory (LC)'!O27/'Input-FX Rates'!$H$13</f>
        <v>0</v>
      </c>
      <c r="Q27" s="740">
        <f>+'5.1 Inventory (LC)'!P27/'Input-FX Rates'!$H$13</f>
        <v>0</v>
      </c>
      <c r="R27" s="741">
        <f t="shared" si="1"/>
        <v>0</v>
      </c>
      <c r="S27" s="907" t="str">
        <f>IF(ISBLANK('5.1 Inventory (LC)'!R27),"",'5.1 Inventory (LC)'!R27)</f>
        <v/>
      </c>
    </row>
    <row r="28" spans="1:19">
      <c r="A28" s="1041"/>
      <c r="B28" s="731" t="s">
        <v>581</v>
      </c>
      <c r="C28" s="737">
        <f>+'5.1 Inventory (LC)'!C28/'Input-FX Rates'!$E$13</f>
        <v>0</v>
      </c>
      <c r="D28" s="817">
        <f>+'5.1 Inventory (LC)'!D28/'Input-FX Rates'!$G$13</f>
        <v>0</v>
      </c>
      <c r="E28" s="817">
        <f>+'5.1 Inventory (LC)'!D28/'Input-FX Rates'!$H$13</f>
        <v>0</v>
      </c>
      <c r="F28" s="822">
        <f>+'5.1 Inventory (LC)'!E28/'Input-FX Rates'!$H$13</f>
        <v>0</v>
      </c>
      <c r="G28" s="738">
        <f>+'5.1 Inventory (LC)'!F28/'Input-FX Rates'!$H$13</f>
        <v>0</v>
      </c>
      <c r="H28" s="738">
        <f>+'5.1 Inventory (LC)'!G28/'Input-FX Rates'!$H$13</f>
        <v>0</v>
      </c>
      <c r="I28" s="738">
        <f>+'5.1 Inventory (LC)'!H28/'Input-FX Rates'!$H$13</f>
        <v>0</v>
      </c>
      <c r="J28" s="738">
        <f>+'5.1 Inventory (LC)'!I28/'Input-FX Rates'!$H$13</f>
        <v>0</v>
      </c>
      <c r="K28" s="738">
        <f>+'5.1 Inventory (LC)'!J28/'Input-FX Rates'!$H$13</f>
        <v>0</v>
      </c>
      <c r="L28" s="738">
        <f>+'5.1 Inventory (LC)'!K28/'Input-FX Rates'!$H$13</f>
        <v>0</v>
      </c>
      <c r="M28" s="738">
        <f>+'5.1 Inventory (LC)'!L28/'Input-FX Rates'!$H$13</f>
        <v>0</v>
      </c>
      <c r="N28" s="738">
        <f>+'5.1 Inventory (LC)'!M28/'Input-FX Rates'!$H$13</f>
        <v>0</v>
      </c>
      <c r="O28" s="738">
        <f>+'5.1 Inventory (LC)'!N28/'Input-FX Rates'!$H$13</f>
        <v>0</v>
      </c>
      <c r="P28" s="738">
        <f>+'5.1 Inventory (LC)'!O28/'Input-FX Rates'!$H$13</f>
        <v>0</v>
      </c>
      <c r="Q28" s="740">
        <f>+'5.1 Inventory (LC)'!P28/'Input-FX Rates'!$H$13</f>
        <v>0</v>
      </c>
      <c r="R28" s="741">
        <f t="shared" si="1"/>
        <v>0</v>
      </c>
      <c r="S28" s="907" t="str">
        <f>IF(ISBLANK('5.1 Inventory (LC)'!R28),"",'5.1 Inventory (LC)'!R28)</f>
        <v/>
      </c>
    </row>
    <row r="29" spans="1:19">
      <c r="A29" s="1041"/>
      <c r="B29" s="731" t="s">
        <v>574</v>
      </c>
      <c r="C29" s="737">
        <f>+'5.1 Inventory (LC)'!C29/'Input-FX Rates'!$E$13</f>
        <v>0</v>
      </c>
      <c r="D29" s="817">
        <f>+'5.1 Inventory (LC)'!D29/'Input-FX Rates'!$G$13</f>
        <v>0</v>
      </c>
      <c r="E29" s="817">
        <f>+'5.1 Inventory (LC)'!D29/'Input-FX Rates'!$H$13</f>
        <v>0</v>
      </c>
      <c r="F29" s="822">
        <f>+'5.1 Inventory (LC)'!E29/'Input-FX Rates'!$H$13</f>
        <v>0</v>
      </c>
      <c r="G29" s="738">
        <f>+'5.1 Inventory (LC)'!F29/'Input-FX Rates'!$H$13</f>
        <v>0</v>
      </c>
      <c r="H29" s="738">
        <f>+'5.1 Inventory (LC)'!G29/'Input-FX Rates'!$H$13</f>
        <v>0</v>
      </c>
      <c r="I29" s="738">
        <f>+'5.1 Inventory (LC)'!H29/'Input-FX Rates'!$H$13</f>
        <v>0</v>
      </c>
      <c r="J29" s="738">
        <f>+'5.1 Inventory (LC)'!I29/'Input-FX Rates'!$H$13</f>
        <v>0</v>
      </c>
      <c r="K29" s="738">
        <f>+'5.1 Inventory (LC)'!J29/'Input-FX Rates'!$H$13</f>
        <v>0</v>
      </c>
      <c r="L29" s="738">
        <f>+'5.1 Inventory (LC)'!K29/'Input-FX Rates'!$H$13</f>
        <v>0</v>
      </c>
      <c r="M29" s="738">
        <f>+'5.1 Inventory (LC)'!L29/'Input-FX Rates'!$H$13</f>
        <v>0</v>
      </c>
      <c r="N29" s="738">
        <f>+'5.1 Inventory (LC)'!M29/'Input-FX Rates'!$H$13</f>
        <v>0</v>
      </c>
      <c r="O29" s="738">
        <f>+'5.1 Inventory (LC)'!N29/'Input-FX Rates'!$H$13</f>
        <v>0</v>
      </c>
      <c r="P29" s="738">
        <f>+'5.1 Inventory (LC)'!O29/'Input-FX Rates'!$H$13</f>
        <v>0</v>
      </c>
      <c r="Q29" s="740">
        <f>+'5.1 Inventory (LC)'!P29/'Input-FX Rates'!$H$13</f>
        <v>0</v>
      </c>
      <c r="R29" s="741">
        <f t="shared" si="1"/>
        <v>0</v>
      </c>
      <c r="S29" s="907" t="str">
        <f>IF(ISBLANK('5.1 Inventory (LC)'!R29),"",'5.1 Inventory (LC)'!R29)</f>
        <v/>
      </c>
    </row>
    <row r="30" spans="1:19">
      <c r="A30" s="1041"/>
      <c r="B30" s="731" t="s">
        <v>583</v>
      </c>
      <c r="C30" s="737">
        <f>+'5.1 Inventory (LC)'!C30/'Input-FX Rates'!$E$13</f>
        <v>0</v>
      </c>
      <c r="D30" s="817">
        <f>+'5.1 Inventory (LC)'!D30/'Input-FX Rates'!$G$13</f>
        <v>0</v>
      </c>
      <c r="E30" s="817">
        <f>+'5.1 Inventory (LC)'!D30/'Input-FX Rates'!$H$13</f>
        <v>0</v>
      </c>
      <c r="F30" s="822">
        <f>+'5.1 Inventory (LC)'!E30/'Input-FX Rates'!$H$13</f>
        <v>0</v>
      </c>
      <c r="G30" s="738">
        <f>+'5.1 Inventory (LC)'!F30/'Input-FX Rates'!$H$13</f>
        <v>0</v>
      </c>
      <c r="H30" s="738">
        <f>+'5.1 Inventory (LC)'!G30/'Input-FX Rates'!$H$13</f>
        <v>0</v>
      </c>
      <c r="I30" s="738">
        <f>+'5.1 Inventory (LC)'!H30/'Input-FX Rates'!$H$13</f>
        <v>0</v>
      </c>
      <c r="J30" s="738">
        <f>+'5.1 Inventory (LC)'!I30/'Input-FX Rates'!$H$13</f>
        <v>0</v>
      </c>
      <c r="K30" s="738">
        <f>+'5.1 Inventory (LC)'!J30/'Input-FX Rates'!$H$13</f>
        <v>0</v>
      </c>
      <c r="L30" s="738">
        <f>+'5.1 Inventory (LC)'!K30/'Input-FX Rates'!$H$13</f>
        <v>0</v>
      </c>
      <c r="M30" s="738">
        <f>+'5.1 Inventory (LC)'!L30/'Input-FX Rates'!$H$13</f>
        <v>0</v>
      </c>
      <c r="N30" s="738">
        <f>+'5.1 Inventory (LC)'!M30/'Input-FX Rates'!$H$13</f>
        <v>0</v>
      </c>
      <c r="O30" s="738">
        <f>+'5.1 Inventory (LC)'!N30/'Input-FX Rates'!$H$13</f>
        <v>0</v>
      </c>
      <c r="P30" s="738">
        <f>+'5.1 Inventory (LC)'!O30/'Input-FX Rates'!$H$13</f>
        <v>0</v>
      </c>
      <c r="Q30" s="740">
        <f>+'5.1 Inventory (LC)'!P30/'Input-FX Rates'!$H$13</f>
        <v>0</v>
      </c>
      <c r="R30" s="741">
        <f t="shared" si="1"/>
        <v>0</v>
      </c>
      <c r="S30" s="907" t="str">
        <f>IF(ISBLANK('5.1 Inventory (LC)'!R30),"",'5.1 Inventory (LC)'!R30)</f>
        <v/>
      </c>
    </row>
    <row r="31" spans="1:19">
      <c r="A31" s="1041"/>
      <c r="B31" s="731" t="s">
        <v>584</v>
      </c>
      <c r="C31" s="737">
        <f>+'5.1 Inventory (LC)'!C31/'Input-FX Rates'!$E$13</f>
        <v>0</v>
      </c>
      <c r="D31" s="817">
        <f>+'5.1 Inventory (LC)'!D31/'Input-FX Rates'!$G$13</f>
        <v>0</v>
      </c>
      <c r="E31" s="817">
        <f>+'5.1 Inventory (LC)'!D31/'Input-FX Rates'!$H$13</f>
        <v>0</v>
      </c>
      <c r="F31" s="822">
        <f>+'5.1 Inventory (LC)'!E31/'Input-FX Rates'!$H$13</f>
        <v>0</v>
      </c>
      <c r="G31" s="738">
        <f>+'5.1 Inventory (LC)'!F31/'Input-FX Rates'!$H$13</f>
        <v>0</v>
      </c>
      <c r="H31" s="738">
        <f>+'5.1 Inventory (LC)'!G31/'Input-FX Rates'!$H$13</f>
        <v>0</v>
      </c>
      <c r="I31" s="738">
        <f>+'5.1 Inventory (LC)'!H31/'Input-FX Rates'!$H$13</f>
        <v>0</v>
      </c>
      <c r="J31" s="738">
        <f>+'5.1 Inventory (LC)'!I31/'Input-FX Rates'!$H$13</f>
        <v>0</v>
      </c>
      <c r="K31" s="738">
        <f>+'5.1 Inventory (LC)'!J31/'Input-FX Rates'!$H$13</f>
        <v>0</v>
      </c>
      <c r="L31" s="738">
        <f>+'5.1 Inventory (LC)'!K31/'Input-FX Rates'!$H$13</f>
        <v>0</v>
      </c>
      <c r="M31" s="738">
        <f>+'5.1 Inventory (LC)'!L31/'Input-FX Rates'!$H$13</f>
        <v>0</v>
      </c>
      <c r="N31" s="738">
        <f>+'5.1 Inventory (LC)'!M31/'Input-FX Rates'!$H$13</f>
        <v>0</v>
      </c>
      <c r="O31" s="738">
        <f>+'5.1 Inventory (LC)'!N31/'Input-FX Rates'!$H$13</f>
        <v>0</v>
      </c>
      <c r="P31" s="738">
        <f>+'5.1 Inventory (LC)'!O31/'Input-FX Rates'!$H$13</f>
        <v>0</v>
      </c>
      <c r="Q31" s="740">
        <f>+'5.1 Inventory (LC)'!P31/'Input-FX Rates'!$H$13</f>
        <v>0</v>
      </c>
      <c r="R31" s="741">
        <f t="shared" si="1"/>
        <v>0</v>
      </c>
      <c r="S31" s="907" t="str">
        <f>IF(ISBLANK('5.1 Inventory (LC)'!R31),"",'5.1 Inventory (LC)'!R31)</f>
        <v/>
      </c>
    </row>
    <row r="32" spans="1:19" ht="15.75">
      <c r="A32" s="214" t="s">
        <v>589</v>
      </c>
      <c r="B32" s="215"/>
      <c r="C32" s="78">
        <f>+'5.1 Inventory (LC)'!C32/'Input-FX Rates'!$E$13</f>
        <v>367.47063203003205</v>
      </c>
      <c r="D32" s="78">
        <f>+'5.1 Inventory (LC)'!D32/'Input-FX Rates'!$G$13</f>
        <v>361.67132003940151</v>
      </c>
      <c r="E32" s="78">
        <f>+'5.1 Inventory (LC)'!D32/'Input-FX Rates'!$H$13</f>
        <v>354.88686493245547</v>
      </c>
      <c r="F32" s="820">
        <f t="shared" ref="F32:Q32" si="3">SUM(F33:F43)</f>
        <v>304.55658730982054</v>
      </c>
      <c r="G32" s="78">
        <f t="shared" si="3"/>
        <v>428.13783269738747</v>
      </c>
      <c r="H32" s="78">
        <f t="shared" si="3"/>
        <v>410.5884927490917</v>
      </c>
      <c r="I32" s="78">
        <f t="shared" si="3"/>
        <v>320.25625746846009</v>
      </c>
      <c r="J32" s="78">
        <f t="shared" si="3"/>
        <v>289.90295540429963</v>
      </c>
      <c r="K32" s="78">
        <f t="shared" si="3"/>
        <v>362.37869425537457</v>
      </c>
      <c r="L32" s="78">
        <f t="shared" si="3"/>
        <v>362.37869425537457</v>
      </c>
      <c r="M32" s="78">
        <f t="shared" si="3"/>
        <v>332.48593564139173</v>
      </c>
      <c r="N32" s="78">
        <f t="shared" si="3"/>
        <v>266.93606313001459</v>
      </c>
      <c r="O32" s="78">
        <f t="shared" si="3"/>
        <v>275.15059981840398</v>
      </c>
      <c r="P32" s="78">
        <f t="shared" si="3"/>
        <v>355.89535321859813</v>
      </c>
      <c r="Q32" s="80">
        <f t="shared" si="3"/>
        <v>284.71628257487851</v>
      </c>
      <c r="R32" s="80">
        <f t="shared" si="1"/>
        <v>332.78197904359132</v>
      </c>
      <c r="S32" s="412" t="str">
        <f>IF(ISBLANK('5.1 Inventory (LC)'!R32),"",'5.1 Inventory (LC)'!R32)</f>
        <v/>
      </c>
    </row>
    <row r="33" spans="1:19">
      <c r="A33" s="1042" t="s">
        <v>570</v>
      </c>
      <c r="B33" s="726" t="s">
        <v>590</v>
      </c>
      <c r="C33" s="333">
        <f>+'5.1 Inventory (LC)'!C33/'Input-FX Rates'!$E$13</f>
        <v>367.47063203003205</v>
      </c>
      <c r="D33" s="223">
        <f>+'5.1 Inventory (LC)'!D33/'Input-FX Rates'!$G$13</f>
        <v>361.67132003940151</v>
      </c>
      <c r="E33" s="223">
        <f>+'5.1 Inventory (LC)'!D33/'Input-FX Rates'!$H$13</f>
        <v>354.88686493245547</v>
      </c>
      <c r="F33" s="821">
        <f>+'5.1 Inventory (LC)'!E33/'Input-FX Rates'!$H$13</f>
        <v>304.55658730982054</v>
      </c>
      <c r="G33" s="733">
        <f>+'5.1 Inventory (LC)'!F33/'Input-FX Rates'!$H$13</f>
        <v>428.13783269738747</v>
      </c>
      <c r="H33" s="734">
        <f>+'5.1 Inventory (LC)'!G33/'Input-FX Rates'!$H$13</f>
        <v>410.5884927490917</v>
      </c>
      <c r="I33" s="734">
        <f>+'5.1 Inventory (LC)'!H33/'Input-FX Rates'!$H$13</f>
        <v>320.25625746846009</v>
      </c>
      <c r="J33" s="734">
        <f>+'5.1 Inventory (LC)'!I33/'Input-FX Rates'!$H$13</f>
        <v>289.90295540429963</v>
      </c>
      <c r="K33" s="734">
        <f>+'5.1 Inventory (LC)'!J33/'Input-FX Rates'!$H$13</f>
        <v>362.37869425537457</v>
      </c>
      <c r="L33" s="734">
        <f>+'5.1 Inventory (LC)'!K33/'Input-FX Rates'!$H$13</f>
        <v>362.37869425537457</v>
      </c>
      <c r="M33" s="734">
        <f>+'5.1 Inventory (LC)'!L33/'Input-FX Rates'!$H$13</f>
        <v>332.48593564139173</v>
      </c>
      <c r="N33" s="734">
        <f>+'5.1 Inventory (LC)'!M33/'Input-FX Rates'!$H$13</f>
        <v>266.93606313001459</v>
      </c>
      <c r="O33" s="734">
        <f>+'5.1 Inventory (LC)'!N33/'Input-FX Rates'!$H$13</f>
        <v>275.15059981840398</v>
      </c>
      <c r="P33" s="734">
        <f>+'5.1 Inventory (LC)'!O33/'Input-FX Rates'!$H$13</f>
        <v>355.89535321859813</v>
      </c>
      <c r="Q33" s="735">
        <f>+'5.1 Inventory (LC)'!P33/'Input-FX Rates'!$H$13</f>
        <v>284.71628257487851</v>
      </c>
      <c r="R33" s="730">
        <f t="shared" si="1"/>
        <v>332.78197904359132</v>
      </c>
      <c r="S33" s="906" t="str">
        <f>IF(ISBLANK('5.1 Inventory (LC)'!R33),"",'5.1 Inventory (LC)'!R33)</f>
        <v>2.2 Days of ROC</v>
      </c>
    </row>
    <row r="34" spans="1:19">
      <c r="A34" s="1042"/>
      <c r="B34" s="726" t="s">
        <v>592</v>
      </c>
      <c r="C34" s="333">
        <f>+'5.1 Inventory (LC)'!C34/'Input-FX Rates'!$E$13</f>
        <v>0</v>
      </c>
      <c r="D34" s="223">
        <f>+'5.1 Inventory (LC)'!D34/'Input-FX Rates'!$G$13</f>
        <v>0</v>
      </c>
      <c r="E34" s="223">
        <f>+'5.1 Inventory (LC)'!D34/'Input-FX Rates'!$H$13</f>
        <v>0</v>
      </c>
      <c r="F34" s="821">
        <f>+'5.1 Inventory (LC)'!E34/'Input-FX Rates'!$H$13</f>
        <v>0</v>
      </c>
      <c r="G34" s="733">
        <f>+'5.1 Inventory (LC)'!F34/'Input-FX Rates'!$H$13</f>
        <v>0</v>
      </c>
      <c r="H34" s="734">
        <f>+'5.1 Inventory (LC)'!G34/'Input-FX Rates'!$H$13</f>
        <v>0</v>
      </c>
      <c r="I34" s="734">
        <f>+'5.1 Inventory (LC)'!H34/'Input-FX Rates'!$H$13</f>
        <v>0</v>
      </c>
      <c r="J34" s="734">
        <f>+'5.1 Inventory (LC)'!I34/'Input-FX Rates'!$H$13</f>
        <v>0</v>
      </c>
      <c r="K34" s="734">
        <f>+'5.1 Inventory (LC)'!J34/'Input-FX Rates'!$H$13</f>
        <v>0</v>
      </c>
      <c r="L34" s="734">
        <f>+'5.1 Inventory (LC)'!K34/'Input-FX Rates'!$H$13</f>
        <v>0</v>
      </c>
      <c r="M34" s="734">
        <f>+'5.1 Inventory (LC)'!L34/'Input-FX Rates'!$H$13</f>
        <v>0</v>
      </c>
      <c r="N34" s="734">
        <f>+'5.1 Inventory (LC)'!M34/'Input-FX Rates'!$H$13</f>
        <v>0</v>
      </c>
      <c r="O34" s="734">
        <f>+'5.1 Inventory (LC)'!N34/'Input-FX Rates'!$H$13</f>
        <v>0</v>
      </c>
      <c r="P34" s="734">
        <f>+'5.1 Inventory (LC)'!O34/'Input-FX Rates'!$H$13</f>
        <v>0</v>
      </c>
      <c r="Q34" s="735">
        <f>+'5.1 Inventory (LC)'!P34/'Input-FX Rates'!$H$13</f>
        <v>0</v>
      </c>
      <c r="R34" s="730">
        <f t="shared" si="1"/>
        <v>0</v>
      </c>
      <c r="S34" s="906" t="str">
        <f>IF(ISBLANK('5.1 Inventory (LC)'!R34),"",'5.1 Inventory (LC)'!R34)</f>
        <v/>
      </c>
    </row>
    <row r="35" spans="1:19">
      <c r="A35" s="1042"/>
      <c r="B35" s="726" t="s">
        <v>574</v>
      </c>
      <c r="C35" s="333">
        <f>+'5.1 Inventory (LC)'!C35/'Input-FX Rates'!$E$13</f>
        <v>0</v>
      </c>
      <c r="D35" s="223">
        <f>+'5.1 Inventory (LC)'!D35/'Input-FX Rates'!$G$13</f>
        <v>0</v>
      </c>
      <c r="E35" s="223">
        <f>+'5.1 Inventory (LC)'!D35/'Input-FX Rates'!$H$13</f>
        <v>0</v>
      </c>
      <c r="F35" s="821">
        <f>+'5.1 Inventory (LC)'!E35/'Input-FX Rates'!$H$13</f>
        <v>0</v>
      </c>
      <c r="G35" s="733">
        <f>+'5.1 Inventory (LC)'!F35/'Input-FX Rates'!$H$13</f>
        <v>0</v>
      </c>
      <c r="H35" s="734">
        <f>+'5.1 Inventory (LC)'!G35/'Input-FX Rates'!$H$13</f>
        <v>0</v>
      </c>
      <c r="I35" s="734">
        <f>+'5.1 Inventory (LC)'!H35/'Input-FX Rates'!$H$13</f>
        <v>0</v>
      </c>
      <c r="J35" s="734">
        <f>+'5.1 Inventory (LC)'!I35/'Input-FX Rates'!$H$13</f>
        <v>0</v>
      </c>
      <c r="K35" s="734">
        <f>+'5.1 Inventory (LC)'!J35/'Input-FX Rates'!$H$13</f>
        <v>0</v>
      </c>
      <c r="L35" s="734">
        <f>+'5.1 Inventory (LC)'!K35/'Input-FX Rates'!$H$13</f>
        <v>0</v>
      </c>
      <c r="M35" s="734">
        <f>+'5.1 Inventory (LC)'!L35/'Input-FX Rates'!$H$13</f>
        <v>0</v>
      </c>
      <c r="N35" s="734">
        <f>+'5.1 Inventory (LC)'!M35/'Input-FX Rates'!$H$13</f>
        <v>0</v>
      </c>
      <c r="O35" s="734">
        <f>+'5.1 Inventory (LC)'!N35/'Input-FX Rates'!$H$13</f>
        <v>0</v>
      </c>
      <c r="P35" s="734">
        <f>+'5.1 Inventory (LC)'!O35/'Input-FX Rates'!$H$13</f>
        <v>0</v>
      </c>
      <c r="Q35" s="735">
        <f>+'5.1 Inventory (LC)'!P35/'Input-FX Rates'!$H$13</f>
        <v>0</v>
      </c>
      <c r="R35" s="730">
        <f t="shared" si="1"/>
        <v>0</v>
      </c>
      <c r="S35" s="906" t="str">
        <f>IF(ISBLANK('5.1 Inventory (LC)'!R35),"",'5.1 Inventory (LC)'!R35)</f>
        <v/>
      </c>
    </row>
    <row r="36" spans="1:19">
      <c r="A36" s="1042"/>
      <c r="B36" s="726" t="s">
        <v>575</v>
      </c>
      <c r="C36" s="333">
        <f>+'5.1 Inventory (LC)'!C36/'Input-FX Rates'!$E$13</f>
        <v>0</v>
      </c>
      <c r="D36" s="223">
        <f>+'5.1 Inventory (LC)'!D36/'Input-FX Rates'!$G$13</f>
        <v>0</v>
      </c>
      <c r="E36" s="223">
        <f>+'5.1 Inventory (LC)'!D36/'Input-FX Rates'!$H$13</f>
        <v>0</v>
      </c>
      <c r="F36" s="821">
        <f>+'5.1 Inventory (LC)'!E36/'Input-FX Rates'!$H$13</f>
        <v>0</v>
      </c>
      <c r="G36" s="733">
        <f>+'5.1 Inventory (LC)'!F36/'Input-FX Rates'!$H$13</f>
        <v>0</v>
      </c>
      <c r="H36" s="734">
        <f>+'5.1 Inventory (LC)'!G36/'Input-FX Rates'!$H$13</f>
        <v>0</v>
      </c>
      <c r="I36" s="734">
        <f>+'5.1 Inventory (LC)'!H36/'Input-FX Rates'!$H$13</f>
        <v>0</v>
      </c>
      <c r="J36" s="734">
        <f>+'5.1 Inventory (LC)'!I36/'Input-FX Rates'!$H$13</f>
        <v>0</v>
      </c>
      <c r="K36" s="734">
        <f>+'5.1 Inventory (LC)'!J36/'Input-FX Rates'!$H$13</f>
        <v>0</v>
      </c>
      <c r="L36" s="734">
        <f>+'5.1 Inventory (LC)'!K36/'Input-FX Rates'!$H$13</f>
        <v>0</v>
      </c>
      <c r="M36" s="734">
        <f>+'5.1 Inventory (LC)'!L36/'Input-FX Rates'!$H$13</f>
        <v>0</v>
      </c>
      <c r="N36" s="734">
        <f>+'5.1 Inventory (LC)'!M36/'Input-FX Rates'!$H$13</f>
        <v>0</v>
      </c>
      <c r="O36" s="734">
        <f>+'5.1 Inventory (LC)'!N36/'Input-FX Rates'!$H$13</f>
        <v>0</v>
      </c>
      <c r="P36" s="734">
        <f>+'5.1 Inventory (LC)'!O36/'Input-FX Rates'!$H$13</f>
        <v>0</v>
      </c>
      <c r="Q36" s="735">
        <f>+'5.1 Inventory (LC)'!P36/'Input-FX Rates'!$H$13</f>
        <v>0</v>
      </c>
      <c r="R36" s="730">
        <f t="shared" si="1"/>
        <v>0</v>
      </c>
      <c r="S36" s="906" t="str">
        <f>IF(ISBLANK('5.1 Inventory (LC)'!R36),"",'5.1 Inventory (LC)'!R36)</f>
        <v/>
      </c>
    </row>
    <row r="37" spans="1:19">
      <c r="A37" s="1041" t="s">
        <v>576</v>
      </c>
      <c r="B37" s="731" t="s">
        <v>577</v>
      </c>
      <c r="C37" s="737">
        <f>+'5.1 Inventory (LC)'!C37/'Input-FX Rates'!$E$13</f>
        <v>0</v>
      </c>
      <c r="D37" s="817">
        <f>+'5.1 Inventory (LC)'!D37/'Input-FX Rates'!$G$13</f>
        <v>0</v>
      </c>
      <c r="E37" s="817">
        <f>+'5.1 Inventory (LC)'!D37/'Input-FX Rates'!$H$13</f>
        <v>0</v>
      </c>
      <c r="F37" s="822">
        <f>+'5.1 Inventory (LC)'!E37/'Input-FX Rates'!$H$13</f>
        <v>0</v>
      </c>
      <c r="G37" s="738">
        <f>+'5.1 Inventory (LC)'!F37/'Input-FX Rates'!$H$13</f>
        <v>0</v>
      </c>
      <c r="H37" s="739">
        <f>+'5.1 Inventory (LC)'!G37/'Input-FX Rates'!$H$13</f>
        <v>0</v>
      </c>
      <c r="I37" s="739">
        <f>+'5.1 Inventory (LC)'!H37/'Input-FX Rates'!$H$13</f>
        <v>0</v>
      </c>
      <c r="J37" s="739">
        <f>+'5.1 Inventory (LC)'!I37/'Input-FX Rates'!$H$13</f>
        <v>0</v>
      </c>
      <c r="K37" s="739">
        <f>+'5.1 Inventory (LC)'!J37/'Input-FX Rates'!$H$13</f>
        <v>0</v>
      </c>
      <c r="L37" s="739">
        <f>+'5.1 Inventory (LC)'!K37/'Input-FX Rates'!$H$13</f>
        <v>0</v>
      </c>
      <c r="M37" s="739">
        <f>+'5.1 Inventory (LC)'!L37/'Input-FX Rates'!$H$13</f>
        <v>0</v>
      </c>
      <c r="N37" s="739">
        <f>+'5.1 Inventory (LC)'!M37/'Input-FX Rates'!$H$13</f>
        <v>0</v>
      </c>
      <c r="O37" s="739">
        <f>+'5.1 Inventory (LC)'!N37/'Input-FX Rates'!$H$13</f>
        <v>0</v>
      </c>
      <c r="P37" s="739">
        <f>+'5.1 Inventory (LC)'!O37/'Input-FX Rates'!$H$13</f>
        <v>0</v>
      </c>
      <c r="Q37" s="740">
        <f>+'5.1 Inventory (LC)'!P37/'Input-FX Rates'!$H$13</f>
        <v>0</v>
      </c>
      <c r="R37" s="741">
        <f t="shared" si="1"/>
        <v>0</v>
      </c>
      <c r="S37" s="907" t="str">
        <f>IF(ISBLANK('5.1 Inventory (LC)'!R37),"",'5.1 Inventory (LC)'!R37)</f>
        <v/>
      </c>
    </row>
    <row r="38" spans="1:19">
      <c r="A38" s="1041"/>
      <c r="B38" s="731" t="s">
        <v>581</v>
      </c>
      <c r="C38" s="737">
        <f>+'5.1 Inventory (LC)'!C38/'Input-FX Rates'!$E$13</f>
        <v>0</v>
      </c>
      <c r="D38" s="817">
        <f>+'5.1 Inventory (LC)'!D38/'Input-FX Rates'!$G$13</f>
        <v>0</v>
      </c>
      <c r="E38" s="817">
        <f>+'5.1 Inventory (LC)'!D38/'Input-FX Rates'!$H$13</f>
        <v>0</v>
      </c>
      <c r="F38" s="822">
        <f>+'5.1 Inventory (LC)'!E38/'Input-FX Rates'!$H$13</f>
        <v>0</v>
      </c>
      <c r="G38" s="738">
        <f>+'5.1 Inventory (LC)'!F38/'Input-FX Rates'!$H$13</f>
        <v>0</v>
      </c>
      <c r="H38" s="739">
        <f>+'5.1 Inventory (LC)'!G38/'Input-FX Rates'!$H$13</f>
        <v>0</v>
      </c>
      <c r="I38" s="739">
        <f>+'5.1 Inventory (LC)'!H38/'Input-FX Rates'!$H$13</f>
        <v>0</v>
      </c>
      <c r="J38" s="739">
        <f>+'5.1 Inventory (LC)'!I38/'Input-FX Rates'!$H$13</f>
        <v>0</v>
      </c>
      <c r="K38" s="739">
        <f>+'5.1 Inventory (LC)'!J38/'Input-FX Rates'!$H$13</f>
        <v>0</v>
      </c>
      <c r="L38" s="739">
        <f>+'5.1 Inventory (LC)'!K38/'Input-FX Rates'!$H$13</f>
        <v>0</v>
      </c>
      <c r="M38" s="739">
        <f>+'5.1 Inventory (LC)'!L38/'Input-FX Rates'!$H$13</f>
        <v>0</v>
      </c>
      <c r="N38" s="739">
        <f>+'5.1 Inventory (LC)'!M38/'Input-FX Rates'!$H$13</f>
        <v>0</v>
      </c>
      <c r="O38" s="739">
        <f>+'5.1 Inventory (LC)'!N38/'Input-FX Rates'!$H$13</f>
        <v>0</v>
      </c>
      <c r="P38" s="739">
        <f>+'5.1 Inventory (LC)'!O38/'Input-FX Rates'!$H$13</f>
        <v>0</v>
      </c>
      <c r="Q38" s="740">
        <f>+'5.1 Inventory (LC)'!P38/'Input-FX Rates'!$H$13</f>
        <v>0</v>
      </c>
      <c r="R38" s="741">
        <f t="shared" si="1"/>
        <v>0</v>
      </c>
      <c r="S38" s="907" t="str">
        <f>IF(ISBLANK('5.1 Inventory (LC)'!R38),"",'5.1 Inventory (LC)'!R38)</f>
        <v/>
      </c>
    </row>
    <row r="39" spans="1:19">
      <c r="A39" s="1041"/>
      <c r="B39" s="731" t="s">
        <v>574</v>
      </c>
      <c r="C39" s="737">
        <f>+'5.1 Inventory (LC)'!C39/'Input-FX Rates'!$E$13</f>
        <v>0</v>
      </c>
      <c r="D39" s="817">
        <f>+'5.1 Inventory (LC)'!D39/'Input-FX Rates'!$G$13</f>
        <v>0</v>
      </c>
      <c r="E39" s="817">
        <f>+'5.1 Inventory (LC)'!D39/'Input-FX Rates'!$H$13</f>
        <v>0</v>
      </c>
      <c r="F39" s="822">
        <f>+'5.1 Inventory (LC)'!E39/'Input-FX Rates'!$H$13</f>
        <v>0</v>
      </c>
      <c r="G39" s="738">
        <f>+'5.1 Inventory (LC)'!F39/'Input-FX Rates'!$H$13</f>
        <v>0</v>
      </c>
      <c r="H39" s="739">
        <f>+'5.1 Inventory (LC)'!G39/'Input-FX Rates'!$H$13</f>
        <v>0</v>
      </c>
      <c r="I39" s="739">
        <f>+'5.1 Inventory (LC)'!H39/'Input-FX Rates'!$H$13</f>
        <v>0</v>
      </c>
      <c r="J39" s="739">
        <f>+'5.1 Inventory (LC)'!I39/'Input-FX Rates'!$H$13</f>
        <v>0</v>
      </c>
      <c r="K39" s="739">
        <f>+'5.1 Inventory (LC)'!J39/'Input-FX Rates'!$H$13</f>
        <v>0</v>
      </c>
      <c r="L39" s="739">
        <f>+'5.1 Inventory (LC)'!K39/'Input-FX Rates'!$H$13</f>
        <v>0</v>
      </c>
      <c r="M39" s="739">
        <f>+'5.1 Inventory (LC)'!L39/'Input-FX Rates'!$H$13</f>
        <v>0</v>
      </c>
      <c r="N39" s="739">
        <f>+'5.1 Inventory (LC)'!M39/'Input-FX Rates'!$H$13</f>
        <v>0</v>
      </c>
      <c r="O39" s="739">
        <f>+'5.1 Inventory (LC)'!N39/'Input-FX Rates'!$H$13</f>
        <v>0</v>
      </c>
      <c r="P39" s="739">
        <f>+'5.1 Inventory (LC)'!O39/'Input-FX Rates'!$H$13</f>
        <v>0</v>
      </c>
      <c r="Q39" s="740">
        <f>+'5.1 Inventory (LC)'!P39/'Input-FX Rates'!$H$13</f>
        <v>0</v>
      </c>
      <c r="R39" s="741">
        <f t="shared" si="1"/>
        <v>0</v>
      </c>
      <c r="S39" s="907" t="str">
        <f>IF(ISBLANK('5.1 Inventory (LC)'!R39),"",'5.1 Inventory (LC)'!R39)</f>
        <v/>
      </c>
    </row>
    <row r="40" spans="1:19">
      <c r="A40" s="1041"/>
      <c r="B40" s="731" t="s">
        <v>593</v>
      </c>
      <c r="C40" s="737">
        <f>+'5.1 Inventory (LC)'!C40/'Input-FX Rates'!$E$13</f>
        <v>0</v>
      </c>
      <c r="D40" s="817">
        <f>+'5.1 Inventory (LC)'!D40/'Input-FX Rates'!$G$13</f>
        <v>0</v>
      </c>
      <c r="E40" s="817">
        <f>+'5.1 Inventory (LC)'!D40/'Input-FX Rates'!$H$13</f>
        <v>0</v>
      </c>
      <c r="F40" s="822">
        <f>+'5.1 Inventory (LC)'!E40/'Input-FX Rates'!$H$13</f>
        <v>0</v>
      </c>
      <c r="G40" s="738">
        <f>+'5.1 Inventory (LC)'!F40/'Input-FX Rates'!$H$13</f>
        <v>0</v>
      </c>
      <c r="H40" s="739">
        <f>+'5.1 Inventory (LC)'!G40/'Input-FX Rates'!$H$13</f>
        <v>0</v>
      </c>
      <c r="I40" s="739">
        <f>+'5.1 Inventory (LC)'!H40/'Input-FX Rates'!$H$13</f>
        <v>0</v>
      </c>
      <c r="J40" s="739">
        <f>+'5.1 Inventory (LC)'!I40/'Input-FX Rates'!$H$13</f>
        <v>0</v>
      </c>
      <c r="K40" s="739">
        <f>+'5.1 Inventory (LC)'!J40/'Input-FX Rates'!$H$13</f>
        <v>0</v>
      </c>
      <c r="L40" s="739">
        <f>+'5.1 Inventory (LC)'!K40/'Input-FX Rates'!$H$13</f>
        <v>0</v>
      </c>
      <c r="M40" s="739">
        <f>+'5.1 Inventory (LC)'!L40/'Input-FX Rates'!$H$13</f>
        <v>0</v>
      </c>
      <c r="N40" s="739">
        <f>+'5.1 Inventory (LC)'!M40/'Input-FX Rates'!$H$13</f>
        <v>0</v>
      </c>
      <c r="O40" s="739">
        <f>+'5.1 Inventory (LC)'!N40/'Input-FX Rates'!$H$13</f>
        <v>0</v>
      </c>
      <c r="P40" s="739">
        <f>+'5.1 Inventory (LC)'!O40/'Input-FX Rates'!$H$13</f>
        <v>0</v>
      </c>
      <c r="Q40" s="740">
        <f>+'5.1 Inventory (LC)'!P40/'Input-FX Rates'!$H$13</f>
        <v>0</v>
      </c>
      <c r="R40" s="741">
        <f t="shared" si="1"/>
        <v>0</v>
      </c>
      <c r="S40" s="907" t="str">
        <f>IF(ISBLANK('5.1 Inventory (LC)'!R40),"",'5.1 Inventory (LC)'!R40)</f>
        <v/>
      </c>
    </row>
    <row r="41" spans="1:19">
      <c r="A41" s="1041"/>
      <c r="B41" s="731" t="s">
        <v>575</v>
      </c>
      <c r="C41" s="737">
        <f>+'5.1 Inventory (LC)'!C41/'Input-FX Rates'!$E$13</f>
        <v>0</v>
      </c>
      <c r="D41" s="817">
        <f>+'5.1 Inventory (LC)'!D41/'Input-FX Rates'!$G$13</f>
        <v>0</v>
      </c>
      <c r="E41" s="817">
        <f>+'5.1 Inventory (LC)'!D41/'Input-FX Rates'!$H$13</f>
        <v>0</v>
      </c>
      <c r="F41" s="822">
        <f>+'5.1 Inventory (LC)'!E41/'Input-FX Rates'!$H$13</f>
        <v>0</v>
      </c>
      <c r="G41" s="738">
        <f>+'5.1 Inventory (LC)'!F41/'Input-FX Rates'!$H$13</f>
        <v>0</v>
      </c>
      <c r="H41" s="739">
        <f>+'5.1 Inventory (LC)'!G41/'Input-FX Rates'!$H$13</f>
        <v>0</v>
      </c>
      <c r="I41" s="739">
        <f>+'5.1 Inventory (LC)'!H41/'Input-FX Rates'!$H$13</f>
        <v>0</v>
      </c>
      <c r="J41" s="739">
        <f>+'5.1 Inventory (LC)'!I41/'Input-FX Rates'!$H$13</f>
        <v>0</v>
      </c>
      <c r="K41" s="739">
        <f>+'5.1 Inventory (LC)'!J41/'Input-FX Rates'!$H$13</f>
        <v>0</v>
      </c>
      <c r="L41" s="739">
        <f>+'5.1 Inventory (LC)'!K41/'Input-FX Rates'!$H$13</f>
        <v>0</v>
      </c>
      <c r="M41" s="739">
        <f>+'5.1 Inventory (LC)'!L41/'Input-FX Rates'!$H$13</f>
        <v>0</v>
      </c>
      <c r="N41" s="739">
        <f>+'5.1 Inventory (LC)'!M41/'Input-FX Rates'!$H$13</f>
        <v>0</v>
      </c>
      <c r="O41" s="739">
        <f>+'5.1 Inventory (LC)'!N41/'Input-FX Rates'!$H$13</f>
        <v>0</v>
      </c>
      <c r="P41" s="739">
        <f>+'5.1 Inventory (LC)'!O41/'Input-FX Rates'!$H$13</f>
        <v>0</v>
      </c>
      <c r="Q41" s="740">
        <f>+'5.1 Inventory (LC)'!P41/'Input-FX Rates'!$H$13</f>
        <v>0</v>
      </c>
      <c r="R41" s="741">
        <f t="shared" si="1"/>
        <v>0</v>
      </c>
      <c r="S41" s="907" t="str">
        <f>IF(ISBLANK('5.1 Inventory (LC)'!R41),"",'5.1 Inventory (LC)'!R41)</f>
        <v/>
      </c>
    </row>
    <row r="42" spans="1:19">
      <c r="A42" s="1041"/>
      <c r="B42" s="731" t="s">
        <v>583</v>
      </c>
      <c r="C42" s="737">
        <f>+'5.1 Inventory (LC)'!C42/'Input-FX Rates'!$E$13</f>
        <v>0</v>
      </c>
      <c r="D42" s="817">
        <f>+'5.1 Inventory (LC)'!D42/'Input-FX Rates'!$G$13</f>
        <v>0</v>
      </c>
      <c r="E42" s="817">
        <f>+'5.1 Inventory (LC)'!D42/'Input-FX Rates'!$H$13</f>
        <v>0</v>
      </c>
      <c r="F42" s="822">
        <f>+'5.1 Inventory (LC)'!E42/'Input-FX Rates'!$H$13</f>
        <v>0</v>
      </c>
      <c r="G42" s="738">
        <f>+'5.1 Inventory (LC)'!F42/'Input-FX Rates'!$H$13</f>
        <v>0</v>
      </c>
      <c r="H42" s="739">
        <f>+'5.1 Inventory (LC)'!G42/'Input-FX Rates'!$H$13</f>
        <v>0</v>
      </c>
      <c r="I42" s="739">
        <f>+'5.1 Inventory (LC)'!H42/'Input-FX Rates'!$H$13</f>
        <v>0</v>
      </c>
      <c r="J42" s="739">
        <f>+'5.1 Inventory (LC)'!I42/'Input-FX Rates'!$H$13</f>
        <v>0</v>
      </c>
      <c r="K42" s="739">
        <f>+'5.1 Inventory (LC)'!J42/'Input-FX Rates'!$H$13</f>
        <v>0</v>
      </c>
      <c r="L42" s="739">
        <f>+'5.1 Inventory (LC)'!K42/'Input-FX Rates'!$H$13</f>
        <v>0</v>
      </c>
      <c r="M42" s="739">
        <f>+'5.1 Inventory (LC)'!L42/'Input-FX Rates'!$H$13</f>
        <v>0</v>
      </c>
      <c r="N42" s="739">
        <f>+'5.1 Inventory (LC)'!M42/'Input-FX Rates'!$H$13</f>
        <v>0</v>
      </c>
      <c r="O42" s="739">
        <f>+'5.1 Inventory (LC)'!N42/'Input-FX Rates'!$H$13</f>
        <v>0</v>
      </c>
      <c r="P42" s="739">
        <f>+'5.1 Inventory (LC)'!O42/'Input-FX Rates'!$H$13</f>
        <v>0</v>
      </c>
      <c r="Q42" s="740">
        <f>+'5.1 Inventory (LC)'!P42/'Input-FX Rates'!$H$13</f>
        <v>0</v>
      </c>
      <c r="R42" s="741">
        <f t="shared" si="1"/>
        <v>0</v>
      </c>
      <c r="S42" s="907" t="str">
        <f>IF(ISBLANK('5.1 Inventory (LC)'!R42),"",'5.1 Inventory (LC)'!R42)</f>
        <v/>
      </c>
    </row>
    <row r="43" spans="1:19">
      <c r="A43" s="1041"/>
      <c r="B43" s="731" t="s">
        <v>584</v>
      </c>
      <c r="C43" s="737">
        <f>+'5.1 Inventory (LC)'!C43/'Input-FX Rates'!$E$13</f>
        <v>0</v>
      </c>
      <c r="D43" s="817">
        <f>+'5.1 Inventory (LC)'!D43/'Input-FX Rates'!$G$13</f>
        <v>0</v>
      </c>
      <c r="E43" s="817">
        <f>+'5.1 Inventory (LC)'!D43/'Input-FX Rates'!$H$13</f>
        <v>0</v>
      </c>
      <c r="F43" s="822">
        <f>+'5.1 Inventory (LC)'!E43/'Input-FX Rates'!$H$13</f>
        <v>0</v>
      </c>
      <c r="G43" s="738">
        <f>+'5.1 Inventory (LC)'!F43/'Input-FX Rates'!$H$13</f>
        <v>0</v>
      </c>
      <c r="H43" s="739">
        <f>+'5.1 Inventory (LC)'!G43/'Input-FX Rates'!$H$13</f>
        <v>0</v>
      </c>
      <c r="I43" s="739">
        <f>+'5.1 Inventory (LC)'!H43/'Input-FX Rates'!$H$13</f>
        <v>0</v>
      </c>
      <c r="J43" s="739">
        <f>+'5.1 Inventory (LC)'!I43/'Input-FX Rates'!$H$13</f>
        <v>0</v>
      </c>
      <c r="K43" s="739">
        <f>+'5.1 Inventory (LC)'!J43/'Input-FX Rates'!$H$13</f>
        <v>0</v>
      </c>
      <c r="L43" s="739">
        <f>+'5.1 Inventory (LC)'!K43/'Input-FX Rates'!$H$13</f>
        <v>0</v>
      </c>
      <c r="M43" s="739">
        <f>+'5.1 Inventory (LC)'!L43/'Input-FX Rates'!$H$13</f>
        <v>0</v>
      </c>
      <c r="N43" s="739">
        <f>+'5.1 Inventory (LC)'!M43/'Input-FX Rates'!$H$13</f>
        <v>0</v>
      </c>
      <c r="O43" s="739">
        <f>+'5.1 Inventory (LC)'!N43/'Input-FX Rates'!$H$13</f>
        <v>0</v>
      </c>
      <c r="P43" s="739">
        <f>+'5.1 Inventory (LC)'!O43/'Input-FX Rates'!$H$13</f>
        <v>0</v>
      </c>
      <c r="Q43" s="740">
        <f>+'5.1 Inventory (LC)'!P43/'Input-FX Rates'!$H$13</f>
        <v>0</v>
      </c>
      <c r="R43" s="741">
        <f t="shared" si="1"/>
        <v>0</v>
      </c>
      <c r="S43" s="907" t="str">
        <f>IF(ISBLANK('5.1 Inventory (LC)'!R43),"",'5.1 Inventory (LC)'!R43)</f>
        <v/>
      </c>
    </row>
    <row r="44" spans="1:19" ht="15.75">
      <c r="A44" s="412" t="s">
        <v>594</v>
      </c>
      <c r="B44" s="902"/>
      <c r="C44" s="903">
        <f>+'5.1 Inventory (LC)'!C44/'Input-FX Rates'!$E$13</f>
        <v>0</v>
      </c>
      <c r="D44" s="903">
        <f>+'5.1 Inventory (LC)'!D44/'Input-FX Rates'!$G$13</f>
        <v>0</v>
      </c>
      <c r="E44" s="903">
        <f>+'5.1 Inventory (LC)'!D44/'Input-FX Rates'!$H$13</f>
        <v>0</v>
      </c>
      <c r="F44" s="904">
        <f>+'5.1 Inventory (LC)'!E44/'Input-FX Rates'!$H$13</f>
        <v>0</v>
      </c>
      <c r="G44" s="903">
        <f>+'5.1 Inventory (LC)'!F44/'Input-FX Rates'!$H$13</f>
        <v>0</v>
      </c>
      <c r="H44" s="903">
        <f>+'5.1 Inventory (LC)'!G44/'Input-FX Rates'!$H$13</f>
        <v>0</v>
      </c>
      <c r="I44" s="903">
        <f>+'5.1 Inventory (LC)'!H44/'Input-FX Rates'!$H$13</f>
        <v>0</v>
      </c>
      <c r="J44" s="903">
        <f>+'5.1 Inventory (LC)'!I44/'Input-FX Rates'!$H$13</f>
        <v>0</v>
      </c>
      <c r="K44" s="903">
        <f>+'5.1 Inventory (LC)'!J44/'Input-FX Rates'!$H$13</f>
        <v>0</v>
      </c>
      <c r="L44" s="903">
        <f>+'5.1 Inventory (LC)'!K44/'Input-FX Rates'!$H$13</f>
        <v>0</v>
      </c>
      <c r="M44" s="903">
        <f>+'5.1 Inventory (LC)'!L44/'Input-FX Rates'!$H$13</f>
        <v>0</v>
      </c>
      <c r="N44" s="903">
        <f>+'5.1 Inventory (LC)'!M44/'Input-FX Rates'!$H$13</f>
        <v>0</v>
      </c>
      <c r="O44" s="903">
        <f>+'5.1 Inventory (LC)'!N44/'Input-FX Rates'!$H$13</f>
        <v>0</v>
      </c>
      <c r="P44" s="903">
        <f>+'5.1 Inventory (LC)'!O44/'Input-FX Rates'!$H$13</f>
        <v>0</v>
      </c>
      <c r="Q44" s="905">
        <f>+'5.1 Inventory (LC)'!P44/'Input-FX Rates'!$H$13</f>
        <v>0</v>
      </c>
      <c r="R44" s="905">
        <f t="shared" si="1"/>
        <v>0</v>
      </c>
      <c r="S44" s="412" t="str">
        <f>IF(ISBLANK('5.1 Inventory (LC)'!R44),"",'5.1 Inventory (LC)'!R44)</f>
        <v/>
      </c>
    </row>
    <row r="45" spans="1:19" ht="15.75">
      <c r="A45" s="412" t="s">
        <v>595</v>
      </c>
      <c r="B45" s="902"/>
      <c r="C45" s="903">
        <f>+'5.1 Inventory (LC)'!C45/'Input-FX Rates'!$E$13</f>
        <v>0</v>
      </c>
      <c r="D45" s="903">
        <f>+'5.1 Inventory (LC)'!D45/'Input-FX Rates'!$G$13</f>
        <v>0</v>
      </c>
      <c r="E45" s="903">
        <f>+'5.1 Inventory (LC)'!D45/'Input-FX Rates'!$H$13</f>
        <v>0</v>
      </c>
      <c r="F45" s="904">
        <f>+'5.1 Inventory (LC)'!E45/'Input-FX Rates'!$H$13</f>
        <v>0</v>
      </c>
      <c r="G45" s="903">
        <f>+'5.1 Inventory (LC)'!F45/'Input-FX Rates'!$H$13</f>
        <v>0</v>
      </c>
      <c r="H45" s="903">
        <f>+'5.1 Inventory (LC)'!G45/'Input-FX Rates'!$H$13</f>
        <v>0</v>
      </c>
      <c r="I45" s="903">
        <f>+'5.1 Inventory (LC)'!H45/'Input-FX Rates'!$H$13</f>
        <v>0</v>
      </c>
      <c r="J45" s="903">
        <f>+'5.1 Inventory (LC)'!I45/'Input-FX Rates'!$H$13</f>
        <v>0</v>
      </c>
      <c r="K45" s="903">
        <f>+'5.1 Inventory (LC)'!J45/'Input-FX Rates'!$H$13</f>
        <v>0</v>
      </c>
      <c r="L45" s="903">
        <f>+'5.1 Inventory (LC)'!K45/'Input-FX Rates'!$H$13</f>
        <v>0</v>
      </c>
      <c r="M45" s="903">
        <f>+'5.1 Inventory (LC)'!L45/'Input-FX Rates'!$H$13</f>
        <v>0</v>
      </c>
      <c r="N45" s="903">
        <f>+'5.1 Inventory (LC)'!M45/'Input-FX Rates'!$H$13</f>
        <v>0</v>
      </c>
      <c r="O45" s="903">
        <f>+'5.1 Inventory (LC)'!N45/'Input-FX Rates'!$H$13</f>
        <v>0</v>
      </c>
      <c r="P45" s="903">
        <f>+'5.1 Inventory (LC)'!O45/'Input-FX Rates'!$H$13</f>
        <v>0</v>
      </c>
      <c r="Q45" s="905">
        <f>+'5.1 Inventory (LC)'!P45/'Input-FX Rates'!$H$13</f>
        <v>0</v>
      </c>
      <c r="R45" s="905">
        <f t="shared" si="1"/>
        <v>0</v>
      </c>
      <c r="S45" s="412" t="str">
        <f>IF(ISBLANK('5.1 Inventory (LC)'!R45),"",'5.1 Inventory (LC)'!R45)</f>
        <v/>
      </c>
    </row>
    <row r="46" spans="1:19" ht="15.75">
      <c r="A46" s="214" t="s">
        <v>596</v>
      </c>
      <c r="B46" s="215"/>
      <c r="C46" s="78">
        <f>+'5.1 Inventory (LC)'!C46/'Input-FX Rates'!$E$13</f>
        <v>4013.6314819604745</v>
      </c>
      <c r="D46" s="78">
        <f>+'5.1 Inventory (LC)'!D46/'Input-FX Rates'!$G$13</f>
        <v>3297.8368168400339</v>
      </c>
      <c r="E46" s="78">
        <f>+'5.1 Inventory (LC)'!D46/'Input-FX Rates'!$H$13</f>
        <v>3235.9739468965518</v>
      </c>
      <c r="F46" s="820">
        <f>+'5.1 Inventory (LC)'!E46/'Input-FX Rates'!$H$13</f>
        <v>3075.9810241379314</v>
      </c>
      <c r="G46" s="78">
        <f>+'5.1 Inventory (LC)'!F46/'Input-FX Rates'!$H$13</f>
        <v>3082.8564296551731</v>
      </c>
      <c r="H46" s="78">
        <f>+'5.1 Inventory (LC)'!G46/'Input-FX Rates'!$H$13</f>
        <v>3130.3250875862072</v>
      </c>
      <c r="I46" s="78">
        <f>+'5.1 Inventory (LC)'!H46/'Input-FX Rates'!$H$13</f>
        <v>2975.4006420689652</v>
      </c>
      <c r="J46" s="78">
        <f>+'5.1 Inventory (LC)'!I46/'Input-FX Rates'!$H$13</f>
        <v>2797.1340055172413</v>
      </c>
      <c r="K46" s="78">
        <f>+'5.1 Inventory (LC)'!J46/'Input-FX Rates'!$H$13</f>
        <v>3364.0442620689655</v>
      </c>
      <c r="L46" s="78">
        <f>+'5.1 Inventory (LC)'!K46/'Input-FX Rates'!$H$13</f>
        <v>3087.8981296551724</v>
      </c>
      <c r="M46" s="78">
        <f>+'5.1 Inventory (LC)'!L46/'Input-FX Rates'!$H$13</f>
        <v>2710.4353413793101</v>
      </c>
      <c r="N46" s="78">
        <f>+'5.1 Inventory (LC)'!M46/'Input-FX Rates'!$H$13</f>
        <v>3042.032704137931</v>
      </c>
      <c r="O46" s="78">
        <f>+'5.1 Inventory (LC)'!N46/'Input-FX Rates'!$H$13</f>
        <v>2769.0888641379311</v>
      </c>
      <c r="P46" s="78">
        <f>+'5.1 Inventory (LC)'!O46/'Input-FX Rates'!$H$13</f>
        <v>2632.5174220689655</v>
      </c>
      <c r="Q46" s="80">
        <f>+'5.1 Inventory (LC)'!P46/'Input-FX Rates'!$H$13</f>
        <v>3043.0620882758622</v>
      </c>
      <c r="R46" s="80">
        <f t="shared" si="1"/>
        <v>2975.8980000574716</v>
      </c>
      <c r="S46" s="412" t="str">
        <f>IF(ISBLANK('5.1 Inventory (LC)'!R46),"",'5.1 Inventory (LC)'!R46)</f>
        <v/>
      </c>
    </row>
    <row r="47" spans="1:19" ht="15.75">
      <c r="A47" s="214" t="s">
        <v>597</v>
      </c>
      <c r="B47" s="215"/>
      <c r="C47" s="417"/>
      <c r="D47" s="259">
        <f>'5.1 Inventory (LC)'!D47</f>
        <v>29.953339994315026</v>
      </c>
      <c r="E47" s="259">
        <f>IFERROR((E7/E46),0)</f>
        <v>0</v>
      </c>
      <c r="F47" s="823">
        <f>'5.1 Inventory (LC)'!E47</f>
        <v>28.567842877045145</v>
      </c>
      <c r="G47" s="259">
        <f>'5.1 Inventory (LC)'!F47</f>
        <v>28.504130696794668</v>
      </c>
      <c r="H47" s="259">
        <f>'5.1 Inventory (LC)'!G47</f>
        <v>28.071890340981984</v>
      </c>
      <c r="I47" s="259">
        <f>'5.1 Inventory (LC)'!H47</f>
        <v>29.533549649717401</v>
      </c>
      <c r="J47" s="259">
        <f>'5.1 Inventory (LC)'!I47</f>
        <v>31.415778585157664</v>
      </c>
      <c r="K47" s="259">
        <f>'5.1 Inventory (LC)'!J47</f>
        <v>26.121577406445951</v>
      </c>
      <c r="L47" s="259">
        <f>'5.1 Inventory (LC)'!K47</f>
        <v>28.457591183604816</v>
      </c>
      <c r="M47" s="259">
        <f>'5.1 Inventory (LC)'!L47</f>
        <v>32.420674733980803</v>
      </c>
      <c r="N47" s="259">
        <f>'5.1 Inventory (LC)'!M47</f>
        <v>28.88665281961428</v>
      </c>
      <c r="O47" s="259">
        <f>'5.1 Inventory (LC)'!N47</f>
        <v>31.733955427862977</v>
      </c>
      <c r="P47" s="259">
        <f>'5.1 Inventory (LC)'!O47</f>
        <v>33.380270099516451</v>
      </c>
      <c r="Q47" s="413">
        <f>'5.1 Inventory (LC)'!P47</f>
        <v>28.876881260129842</v>
      </c>
      <c r="R47" s="413">
        <f>'5.1 Inventory (LC)'!Q47</f>
        <v>29.528613745715671</v>
      </c>
      <c r="S47" s="412" t="str">
        <f>IF(ISBLANK('5.1 Inventory (LC)'!R47),"",'5.1 Inventory (LC)'!R47)</f>
        <v/>
      </c>
    </row>
  </sheetData>
  <mergeCells count="6">
    <mergeCell ref="A37:A43"/>
    <mergeCell ref="A9:A13"/>
    <mergeCell ref="A14:A23"/>
    <mergeCell ref="A25:A26"/>
    <mergeCell ref="A27:A31"/>
    <mergeCell ref="A33:A36"/>
  </mergeCells>
  <phoneticPr fontId="65" type="noConversion"/>
  <pageMargins left="0.7" right="0.7" top="0.78740157499999996" bottom="0.78740157499999996" header="0.3" footer="0.3"/>
  <pageSetup paperSize="9" orientation="portrait" r:id="rId1"/>
  <customProperties>
    <customPr name="_pios_id" r:id="rId2"/>
  </customProperties>
  <ignoredErrors>
    <ignoredError sqref="C9:S4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54B0-9DC8-4FD8-AAE8-4DBAEA0C7AB2}">
  <sheetPr>
    <tabColor theme="6"/>
  </sheetPr>
  <dimension ref="A1:Q35"/>
  <sheetViews>
    <sheetView showGridLines="0" topLeftCell="A51" workbookViewId="0">
      <selection activeCell="E64" sqref="E64"/>
    </sheetView>
  </sheetViews>
  <sheetFormatPr defaultColWidth="9.28515625" defaultRowHeight="12.75"/>
  <cols>
    <col min="1" max="17" width="9.28515625" style="2"/>
    <col min="18" max="16384" width="9.28515625" style="1"/>
  </cols>
  <sheetData>
    <row r="1" spans="1:1">
      <c r="A1" s="2" t="s">
        <v>0</v>
      </c>
    </row>
    <row r="3" spans="1:1">
      <c r="A3" s="4"/>
    </row>
    <row r="4" spans="1:1">
      <c r="A4" s="4"/>
    </row>
    <row r="5" spans="1:1">
      <c r="A5" s="4"/>
    </row>
    <row r="6" spans="1:1">
      <c r="A6" s="4"/>
    </row>
    <row r="7" spans="1:1">
      <c r="A7" s="4"/>
    </row>
    <row r="8" spans="1:1">
      <c r="A8" s="4"/>
    </row>
    <row r="9" spans="1:1">
      <c r="A9" s="4"/>
    </row>
    <row r="10" spans="1:1">
      <c r="A10" s="4"/>
    </row>
    <row r="11" spans="1:1">
      <c r="A11" s="4"/>
    </row>
    <row r="12" spans="1:1">
      <c r="A12" s="4"/>
    </row>
    <row r="13" spans="1:1">
      <c r="A13" s="4"/>
    </row>
    <row r="14" spans="1:1">
      <c r="A14" s="806"/>
    </row>
    <row r="15" spans="1:1">
      <c r="A15" s="4"/>
    </row>
    <row r="16" spans="1:1">
      <c r="A16" s="4"/>
    </row>
    <row r="17" spans="1:5">
      <c r="A17" s="4"/>
    </row>
    <row r="18" spans="1:5">
      <c r="A18" s="4"/>
      <c r="E18" s="3"/>
    </row>
    <row r="19" spans="1:5">
      <c r="A19" s="4"/>
    </row>
    <row r="20" spans="1:5">
      <c r="A20" s="4"/>
    </row>
    <row r="21" spans="1:5">
      <c r="A21" s="4"/>
    </row>
    <row r="22" spans="1:5">
      <c r="A22" s="806"/>
    </row>
    <row r="23" spans="1:5">
      <c r="A23" s="4"/>
    </row>
    <row r="24" spans="1:5">
      <c r="A24" s="4"/>
    </row>
    <row r="25" spans="1:5">
      <c r="A25" s="4"/>
    </row>
    <row r="26" spans="1:5">
      <c r="A26" s="4"/>
    </row>
    <row r="27" spans="1:5">
      <c r="A27" s="4"/>
    </row>
    <row r="28" spans="1:5">
      <c r="A28" s="4"/>
    </row>
    <row r="29" spans="1:5">
      <c r="A29" s="4"/>
    </row>
    <row r="30" spans="1:5">
      <c r="A30" s="4"/>
    </row>
    <row r="31" spans="1:5">
      <c r="A31" s="4"/>
    </row>
    <row r="32" spans="1:5">
      <c r="A32" s="4"/>
    </row>
    <row r="33" spans="1:1">
      <c r="A33" s="4"/>
    </row>
    <row r="34" spans="1:1">
      <c r="A34" s="4"/>
    </row>
    <row r="35" spans="1:1">
      <c r="A35" s="4"/>
    </row>
  </sheetData>
  <phoneticPr fontId="65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C9DB8-4F72-43C5-96DA-FCD777F72F0E}">
  <sheetPr>
    <tabColor rgb="FFFFFFCC"/>
    <pageSetUpPr fitToPage="1"/>
  </sheetPr>
  <dimension ref="A1:W42"/>
  <sheetViews>
    <sheetView showGridLines="0" zoomScaleNormal="100" workbookViewId="0">
      <pane xSplit="2" ySplit="5" topLeftCell="C6" activePane="bottomRight" state="frozen"/>
      <selection pane="topRight" activeCell="A30" sqref="A30:G30"/>
      <selection pane="bottomLeft" activeCell="A30" sqref="A30:G30"/>
      <selection pane="bottomRight" activeCell="I27" sqref="I27"/>
    </sheetView>
  </sheetViews>
  <sheetFormatPr defaultColWidth="9.28515625" defaultRowHeight="12.75" customHeight="1" outlineLevelCol="1"/>
  <cols>
    <col min="1" max="1" width="42.7109375" style="221" customWidth="1"/>
    <col min="2" max="2" width="18.7109375" style="221" customWidth="1"/>
    <col min="3" max="5" width="12.7109375" style="221" customWidth="1"/>
    <col min="6" max="16" width="12.7109375" style="221" customWidth="1" outlineLevel="1"/>
    <col min="17" max="17" width="14.28515625" style="221" customWidth="1"/>
    <col min="18" max="18" width="14.7109375" style="221" customWidth="1"/>
    <col min="19" max="20" width="12.7109375" style="221" customWidth="1"/>
    <col min="21" max="21" width="35.28515625" style="221" customWidth="1"/>
    <col min="22" max="22" width="8.7109375" style="221" customWidth="1"/>
    <col min="23" max="23" width="129.7109375" style="221" bestFit="1" customWidth="1"/>
    <col min="24" max="16384" width="9.28515625" style="221"/>
  </cols>
  <sheetData>
    <row r="1" spans="1:23" ht="19.899999999999999" customHeight="1">
      <c r="A1" s="60" t="str">
        <f>+'0. Instructions'!A1</f>
        <v>Budget 2024</v>
      </c>
      <c r="B1" s="448"/>
      <c r="C1" s="448"/>
      <c r="D1" s="60"/>
      <c r="E1" s="60"/>
      <c r="F1" s="60"/>
      <c r="G1" s="654"/>
      <c r="H1" s="60"/>
      <c r="I1" s="60"/>
      <c r="J1" s="60"/>
      <c r="K1" s="60"/>
      <c r="L1" s="60"/>
      <c r="M1" s="60"/>
      <c r="N1" s="60"/>
      <c r="O1" s="60"/>
      <c r="P1" s="60"/>
      <c r="Q1" s="60"/>
      <c r="R1" s="397"/>
      <c r="S1" s="397"/>
      <c r="T1" s="57"/>
      <c r="U1" s="57" t="str">
        <f>'Input-FX Rates'!$H$1</f>
        <v>Plant ICH Icheon (242)</v>
      </c>
      <c r="V1" s="397"/>
      <c r="W1" s="397" t="s">
        <v>154</v>
      </c>
    </row>
    <row r="2" spans="1:23" ht="19.899999999999999" customHeight="1" thickBot="1">
      <c r="A2" s="55" t="s">
        <v>605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4"/>
      <c r="U2" s="54" t="str">
        <f>'Input-FX Rates'!$H$2</f>
        <v>7821 PL Drivetrain Controls (&amp; Electrification)</v>
      </c>
      <c r="V2" s="423"/>
      <c r="W2" s="95" t="s">
        <v>156</v>
      </c>
    </row>
    <row r="4" spans="1:23" ht="25.15" customHeight="1">
      <c r="A4" s="1035"/>
      <c r="B4" s="1036"/>
      <c r="C4" s="1035" t="s">
        <v>606</v>
      </c>
      <c r="D4" s="1035"/>
      <c r="E4" s="1036"/>
      <c r="F4" s="1035" t="s">
        <v>607</v>
      </c>
      <c r="G4" s="1035"/>
      <c r="H4" s="1035"/>
      <c r="I4" s="1035"/>
      <c r="J4" s="1035"/>
      <c r="K4" s="1035"/>
      <c r="L4" s="1035"/>
      <c r="M4" s="1035"/>
      <c r="N4" s="1035"/>
      <c r="O4" s="1035"/>
      <c r="P4" s="1035"/>
      <c r="Q4" s="1035"/>
      <c r="R4" s="1036"/>
      <c r="S4" s="305"/>
      <c r="T4" s="771"/>
      <c r="U4" s="187" t="s">
        <v>208</v>
      </c>
    </row>
    <row r="5" spans="1:23" ht="60.6" customHeight="1">
      <c r="A5" s="1035"/>
      <c r="B5" s="1038"/>
      <c r="C5" s="187" t="s">
        <v>608</v>
      </c>
      <c r="D5" s="187" t="s">
        <v>609</v>
      </c>
      <c r="E5" s="658" t="s">
        <v>610</v>
      </c>
      <c r="F5" s="187" t="s">
        <v>553</v>
      </c>
      <c r="G5" s="187" t="s">
        <v>554</v>
      </c>
      <c r="H5" s="187" t="s">
        <v>555</v>
      </c>
      <c r="I5" s="187" t="s">
        <v>556</v>
      </c>
      <c r="J5" s="187" t="s">
        <v>557</v>
      </c>
      <c r="K5" s="187" t="s">
        <v>558</v>
      </c>
      <c r="L5" s="187" t="s">
        <v>559</v>
      </c>
      <c r="M5" s="187" t="s">
        <v>560</v>
      </c>
      <c r="N5" s="187" t="s">
        <v>561</v>
      </c>
      <c r="O5" s="187" t="s">
        <v>562</v>
      </c>
      <c r="P5" s="187" t="s">
        <v>563</v>
      </c>
      <c r="Q5" s="187" t="s">
        <v>611</v>
      </c>
      <c r="R5" s="658" t="s">
        <v>612</v>
      </c>
      <c r="S5" s="187" t="s">
        <v>613</v>
      </c>
      <c r="T5" s="658" t="s">
        <v>614</v>
      </c>
      <c r="U5" s="187"/>
    </row>
    <row r="6" spans="1:23" ht="17.649999999999999" customHeight="1">
      <c r="A6" s="214" t="s">
        <v>195</v>
      </c>
      <c r="B6" s="452" t="str">
        <f>"in '000 "&amp;'Input-FX Rates'!$B$8</f>
        <v>in '000 KRW</v>
      </c>
      <c r="C6" s="78">
        <f>+'2. Variable (LC)'!B6</f>
        <v>78052717.702999994</v>
      </c>
      <c r="D6" s="78">
        <f>+'2. Variable (LC)'!C6</f>
        <v>140545930.37400001</v>
      </c>
      <c r="E6" s="265">
        <f>+'2. Variable (LC)'!C6</f>
        <v>140545930.37400001</v>
      </c>
      <c r="F6" s="78">
        <f>+'4. Fix Cost (LC) '!D7</f>
        <v>11127901.289999999</v>
      </c>
      <c r="G6" s="78">
        <f>+'4. Fix Cost (LC) '!E7</f>
        <v>10434389.289999999</v>
      </c>
      <c r="H6" s="78">
        <f>+'4. Fix Cost (LC) '!F7</f>
        <v>11994791.289999999</v>
      </c>
      <c r="I6" s="78">
        <f>+'4. Fix Cost (LC) '!G7</f>
        <v>11697014.333000001</v>
      </c>
      <c r="J6" s="78">
        <f>+'4. Fix Cost (LC) '!H7</f>
        <v>10596707.132999999</v>
      </c>
      <c r="K6" s="78">
        <f>+'4. Fix Cost (LC) '!I7</f>
        <v>10596707.132999999</v>
      </c>
      <c r="L6" s="78">
        <f>+'4. Fix Cost (LC) '!J7</f>
        <v>10596707.132999999</v>
      </c>
      <c r="M6" s="78">
        <f>+'4. Fix Cost (LC) '!K7</f>
        <v>9729817.1339999996</v>
      </c>
      <c r="N6" s="78">
        <f>+'4. Fix Cost (LC) '!L7</f>
        <v>9764157.2880000006</v>
      </c>
      <c r="O6" s="78">
        <f>+'4. Fix Cost (LC) '!M7</f>
        <v>10061934.243000001</v>
      </c>
      <c r="P6" s="78">
        <f>+'4. Fix Cost (LC) '!N7</f>
        <v>10408690.243000001</v>
      </c>
      <c r="Q6" s="78">
        <f>+'4. Fix Cost (LC) '!O7</f>
        <v>10408690.245999999</v>
      </c>
      <c r="R6" s="265">
        <f>+'2. Variable (LC)'!M6</f>
        <v>127417506.756</v>
      </c>
      <c r="S6" s="78">
        <f t="shared" ref="S6:S19" si="0">R6-E6</f>
        <v>-13128423.618000016</v>
      </c>
      <c r="T6" s="504">
        <f t="shared" ref="T6:T19" si="1">IFERROR(R6/E6-1,0)</f>
        <v>-9.341020108561382E-2</v>
      </c>
      <c r="U6" s="428"/>
      <c r="W6" s="267" t="s">
        <v>615</v>
      </c>
    </row>
    <row r="7" spans="1:23" ht="16.149999999999999" customHeight="1">
      <c r="A7" s="315" t="s">
        <v>616</v>
      </c>
      <c r="B7" s="331" t="s">
        <v>226</v>
      </c>
      <c r="C7" s="361">
        <v>36</v>
      </c>
      <c r="D7" s="361">
        <v>40</v>
      </c>
      <c r="E7" s="446">
        <v>37</v>
      </c>
      <c r="F7" s="447"/>
      <c r="G7" s="447"/>
      <c r="H7" s="447"/>
      <c r="I7" s="447"/>
      <c r="J7" s="447"/>
      <c r="K7" s="447"/>
      <c r="L7" s="447"/>
      <c r="M7" s="447"/>
      <c r="N7" s="447"/>
      <c r="O7" s="447"/>
      <c r="P7" s="447"/>
      <c r="Q7" s="361">
        <v>36</v>
      </c>
      <c r="R7" s="446">
        <v>36</v>
      </c>
      <c r="S7" s="209">
        <f t="shared" si="0"/>
        <v>-1</v>
      </c>
      <c r="T7" s="296">
        <f t="shared" si="1"/>
        <v>-2.7027027027026973E-2</v>
      </c>
      <c r="U7" s="438" t="s">
        <v>617</v>
      </c>
      <c r="W7" s="267" t="s">
        <v>618</v>
      </c>
    </row>
    <row r="8" spans="1:23" ht="16.149999999999999" customHeight="1">
      <c r="A8" s="315" t="s">
        <v>619</v>
      </c>
      <c r="B8" s="331" t="s">
        <v>226</v>
      </c>
      <c r="C8" s="361">
        <v>9</v>
      </c>
      <c r="D8" s="361">
        <v>9</v>
      </c>
      <c r="E8" s="446">
        <v>9</v>
      </c>
      <c r="F8" s="447"/>
      <c r="G8" s="447"/>
      <c r="H8" s="447"/>
      <c r="I8" s="447"/>
      <c r="J8" s="447"/>
      <c r="K8" s="447"/>
      <c r="L8" s="447"/>
      <c r="M8" s="447"/>
      <c r="N8" s="447"/>
      <c r="O8" s="447"/>
      <c r="P8" s="447"/>
      <c r="Q8" s="361">
        <v>10</v>
      </c>
      <c r="R8" s="446">
        <v>10</v>
      </c>
      <c r="S8" s="209">
        <f t="shared" si="0"/>
        <v>1</v>
      </c>
      <c r="T8" s="296">
        <f t="shared" si="1"/>
        <v>0.11111111111111116</v>
      </c>
      <c r="U8" s="438" t="s">
        <v>620</v>
      </c>
      <c r="W8" s="267" t="s">
        <v>621</v>
      </c>
    </row>
    <row r="9" spans="1:23" ht="16.149999999999999" customHeight="1">
      <c r="A9" s="315" t="s">
        <v>622</v>
      </c>
      <c r="B9" s="331" t="s">
        <v>226</v>
      </c>
      <c r="C9" s="361">
        <v>3</v>
      </c>
      <c r="D9" s="361">
        <v>3</v>
      </c>
      <c r="E9" s="446">
        <v>3</v>
      </c>
      <c r="F9" s="447"/>
      <c r="G9" s="447"/>
      <c r="H9" s="447"/>
      <c r="I9" s="447"/>
      <c r="J9" s="447"/>
      <c r="K9" s="447"/>
      <c r="L9" s="447"/>
      <c r="M9" s="447"/>
      <c r="N9" s="447"/>
      <c r="O9" s="447"/>
      <c r="P9" s="447"/>
      <c r="Q9" s="361">
        <v>2</v>
      </c>
      <c r="R9" s="446">
        <v>2</v>
      </c>
      <c r="S9" s="209">
        <f t="shared" si="0"/>
        <v>-1</v>
      </c>
      <c r="T9" s="296">
        <f t="shared" si="1"/>
        <v>-0.33333333333333337</v>
      </c>
      <c r="U9" s="438"/>
      <c r="W9" s="221" t="s">
        <v>623</v>
      </c>
    </row>
    <row r="10" spans="1:23" ht="16.149999999999999" customHeight="1">
      <c r="A10" s="315" t="s">
        <v>624</v>
      </c>
      <c r="B10" s="331" t="s">
        <v>226</v>
      </c>
      <c r="C10" s="361">
        <v>2</v>
      </c>
      <c r="D10" s="361">
        <v>1</v>
      </c>
      <c r="E10" s="446">
        <v>1.6</v>
      </c>
      <c r="F10" s="447"/>
      <c r="G10" s="447"/>
      <c r="H10" s="447"/>
      <c r="I10" s="447"/>
      <c r="J10" s="447"/>
      <c r="K10" s="447"/>
      <c r="L10" s="447"/>
      <c r="M10" s="447"/>
      <c r="N10" s="447"/>
      <c r="O10" s="447"/>
      <c r="P10" s="447"/>
      <c r="Q10" s="361">
        <v>2</v>
      </c>
      <c r="R10" s="446">
        <v>2</v>
      </c>
      <c r="S10" s="209">
        <f t="shared" si="0"/>
        <v>0.39999999999999991</v>
      </c>
      <c r="T10" s="296">
        <f t="shared" si="1"/>
        <v>0.25</v>
      </c>
      <c r="U10" s="438"/>
      <c r="W10" s="267" t="s">
        <v>625</v>
      </c>
    </row>
    <row r="11" spans="1:23" ht="16.149999999999999" customHeight="1">
      <c r="A11" s="214" t="s">
        <v>626</v>
      </c>
      <c r="B11" s="452"/>
      <c r="C11" s="78">
        <f>SUM(C7:C10)</f>
        <v>50</v>
      </c>
      <c r="D11" s="78">
        <f>SUM(D7:D10)</f>
        <v>53</v>
      </c>
      <c r="E11" s="265">
        <f>SUM(E7:E10)</f>
        <v>50.6</v>
      </c>
      <c r="F11" s="417"/>
      <c r="G11" s="417"/>
      <c r="H11" s="417"/>
      <c r="I11" s="417"/>
      <c r="J11" s="417"/>
      <c r="K11" s="417"/>
      <c r="L11" s="417"/>
      <c r="M11" s="417"/>
      <c r="N11" s="417"/>
      <c r="O11" s="417"/>
      <c r="P11" s="417"/>
      <c r="Q11" s="78">
        <f>SUM(Q7:Q10)</f>
        <v>50</v>
      </c>
      <c r="R11" s="265">
        <f>SUM(R7:R10)</f>
        <v>50</v>
      </c>
      <c r="S11" s="78">
        <f t="shared" si="0"/>
        <v>-0.60000000000000142</v>
      </c>
      <c r="T11" s="504">
        <f t="shared" si="1"/>
        <v>-1.1857707509881465E-2</v>
      </c>
      <c r="U11" s="428"/>
      <c r="W11" s="267"/>
    </row>
    <row r="12" spans="1:23" ht="16.149999999999999" customHeight="1">
      <c r="A12" s="315" t="s">
        <v>627</v>
      </c>
      <c r="B12" s="331" t="s">
        <v>243</v>
      </c>
      <c r="C12" s="361">
        <v>2</v>
      </c>
      <c r="D12" s="361">
        <v>2</v>
      </c>
      <c r="E12" s="446">
        <v>2</v>
      </c>
      <c r="F12" s="361">
        <v>2</v>
      </c>
      <c r="G12" s="361">
        <v>2</v>
      </c>
      <c r="H12" s="361">
        <v>2</v>
      </c>
      <c r="I12" s="361">
        <v>2</v>
      </c>
      <c r="J12" s="361">
        <v>2</v>
      </c>
      <c r="K12" s="361">
        <v>2</v>
      </c>
      <c r="L12" s="361">
        <v>2</v>
      </c>
      <c r="M12" s="361">
        <v>2</v>
      </c>
      <c r="N12" s="361">
        <v>2</v>
      </c>
      <c r="O12" s="361">
        <v>2</v>
      </c>
      <c r="P12" s="361">
        <v>2</v>
      </c>
      <c r="Q12" s="361">
        <v>2</v>
      </c>
      <c r="R12" s="445">
        <f t="shared" ref="R12:R17" si="2">SUM(F12:Q12)/12</f>
        <v>2</v>
      </c>
      <c r="S12" s="209">
        <f t="shared" si="0"/>
        <v>0</v>
      </c>
      <c r="T12" s="296">
        <f t="shared" si="1"/>
        <v>0</v>
      </c>
      <c r="U12" s="438"/>
      <c r="W12" s="267" t="s">
        <v>628</v>
      </c>
    </row>
    <row r="13" spans="1:23" ht="16.149999999999999" customHeight="1">
      <c r="A13" s="315" t="s">
        <v>622</v>
      </c>
      <c r="B13" s="331" t="s">
        <v>243</v>
      </c>
      <c r="C13" s="361"/>
      <c r="D13" s="361"/>
      <c r="E13" s="446"/>
      <c r="F13" s="361"/>
      <c r="G13" s="361"/>
      <c r="H13" s="361"/>
      <c r="I13" s="361"/>
      <c r="J13" s="361"/>
      <c r="K13" s="361"/>
      <c r="L13" s="361"/>
      <c r="M13" s="361"/>
      <c r="N13" s="361"/>
      <c r="O13" s="361"/>
      <c r="P13" s="361"/>
      <c r="Q13" s="361"/>
      <c r="R13" s="445">
        <f t="shared" si="2"/>
        <v>0</v>
      </c>
      <c r="S13" s="209">
        <f t="shared" si="0"/>
        <v>0</v>
      </c>
      <c r="T13" s="296">
        <f t="shared" si="1"/>
        <v>0</v>
      </c>
      <c r="U13" s="438"/>
      <c r="W13" s="267" t="s">
        <v>629</v>
      </c>
    </row>
    <row r="14" spans="1:23" ht="16.149999999999999" customHeight="1">
      <c r="A14" s="315" t="s">
        <v>630</v>
      </c>
      <c r="B14" s="331" t="s">
        <v>243</v>
      </c>
      <c r="C14" s="361"/>
      <c r="D14" s="361"/>
      <c r="E14" s="446"/>
      <c r="F14" s="361"/>
      <c r="G14" s="361"/>
      <c r="H14" s="361"/>
      <c r="I14" s="361"/>
      <c r="J14" s="361"/>
      <c r="K14" s="361"/>
      <c r="L14" s="361"/>
      <c r="M14" s="361"/>
      <c r="N14" s="361"/>
      <c r="O14" s="361"/>
      <c r="P14" s="361"/>
      <c r="Q14" s="361"/>
      <c r="R14" s="445">
        <f t="shared" si="2"/>
        <v>0</v>
      </c>
      <c r="S14" s="209">
        <f t="shared" si="0"/>
        <v>0</v>
      </c>
      <c r="T14" s="296">
        <f t="shared" si="1"/>
        <v>0</v>
      </c>
      <c r="U14" s="438"/>
      <c r="W14" s="267" t="s">
        <v>631</v>
      </c>
    </row>
    <row r="15" spans="1:23" ht="16.149999999999999" customHeight="1">
      <c r="A15" s="315" t="s">
        <v>624</v>
      </c>
      <c r="B15" s="331" t="s">
        <v>243</v>
      </c>
      <c r="C15" s="361"/>
      <c r="D15" s="361"/>
      <c r="E15" s="446"/>
      <c r="F15" s="361"/>
      <c r="G15" s="361"/>
      <c r="H15" s="361"/>
      <c r="I15" s="361"/>
      <c r="J15" s="361"/>
      <c r="K15" s="361"/>
      <c r="L15" s="361"/>
      <c r="M15" s="361"/>
      <c r="N15" s="361"/>
      <c r="O15" s="361"/>
      <c r="P15" s="361"/>
      <c r="Q15" s="361"/>
      <c r="R15" s="445">
        <f t="shared" si="2"/>
        <v>0</v>
      </c>
      <c r="S15" s="209">
        <f t="shared" si="0"/>
        <v>0</v>
      </c>
      <c r="T15" s="296">
        <f t="shared" si="1"/>
        <v>0</v>
      </c>
      <c r="U15" s="438"/>
      <c r="W15" s="267" t="s">
        <v>632</v>
      </c>
    </row>
    <row r="16" spans="1:23" ht="16.149999999999999" customHeight="1">
      <c r="A16" s="315" t="s">
        <v>633</v>
      </c>
      <c r="B16" s="331" t="s">
        <v>243</v>
      </c>
      <c r="C16" s="361"/>
      <c r="D16" s="361"/>
      <c r="E16" s="446"/>
      <c r="F16" s="361"/>
      <c r="G16" s="361"/>
      <c r="H16" s="361"/>
      <c r="I16" s="361"/>
      <c r="J16" s="361"/>
      <c r="K16" s="361"/>
      <c r="L16" s="361"/>
      <c r="M16" s="361"/>
      <c r="N16" s="361"/>
      <c r="O16" s="361"/>
      <c r="P16" s="361"/>
      <c r="Q16" s="361"/>
      <c r="R16" s="445">
        <f t="shared" si="2"/>
        <v>0</v>
      </c>
      <c r="S16" s="209">
        <f t="shared" si="0"/>
        <v>0</v>
      </c>
      <c r="T16" s="296">
        <f t="shared" si="1"/>
        <v>0</v>
      </c>
      <c r="U16" s="438"/>
      <c r="W16" s="267" t="s">
        <v>634</v>
      </c>
    </row>
    <row r="17" spans="1:23" ht="16.149999999999999" customHeight="1">
      <c r="A17" s="349" t="s">
        <v>635</v>
      </c>
      <c r="B17" s="331" t="s">
        <v>243</v>
      </c>
      <c r="C17" s="361"/>
      <c r="D17" s="361"/>
      <c r="E17" s="446"/>
      <c r="F17" s="361"/>
      <c r="G17" s="361"/>
      <c r="H17" s="361"/>
      <c r="I17" s="361"/>
      <c r="J17" s="361"/>
      <c r="K17" s="361"/>
      <c r="L17" s="361"/>
      <c r="M17" s="361"/>
      <c r="N17" s="361"/>
      <c r="O17" s="361"/>
      <c r="P17" s="361"/>
      <c r="Q17" s="361"/>
      <c r="R17" s="445">
        <f t="shared" si="2"/>
        <v>0</v>
      </c>
      <c r="S17" s="209">
        <f t="shared" si="0"/>
        <v>0</v>
      </c>
      <c r="T17" s="296">
        <f t="shared" si="1"/>
        <v>0</v>
      </c>
      <c r="U17" s="438"/>
      <c r="W17" s="267" t="s">
        <v>635</v>
      </c>
    </row>
    <row r="18" spans="1:23" ht="16.149999999999999" customHeight="1">
      <c r="A18" s="214" t="s">
        <v>636</v>
      </c>
      <c r="B18" s="452"/>
      <c r="C18" s="78">
        <f t="shared" ref="C18" si="3">SUM(C12:C17)</f>
        <v>2</v>
      </c>
      <c r="D18" s="78">
        <f t="shared" ref="D18:R18" si="4">SUM(D12:D17)</f>
        <v>2</v>
      </c>
      <c r="E18" s="265">
        <f t="shared" si="4"/>
        <v>2</v>
      </c>
      <c r="F18" s="78">
        <f t="shared" si="4"/>
        <v>2</v>
      </c>
      <c r="G18" s="78">
        <f t="shared" si="4"/>
        <v>2</v>
      </c>
      <c r="H18" s="78">
        <f t="shared" si="4"/>
        <v>2</v>
      </c>
      <c r="I18" s="78">
        <f t="shared" si="4"/>
        <v>2</v>
      </c>
      <c r="J18" s="78">
        <f t="shared" si="4"/>
        <v>2</v>
      </c>
      <c r="K18" s="78">
        <f t="shared" si="4"/>
        <v>2</v>
      </c>
      <c r="L18" s="78">
        <f t="shared" si="4"/>
        <v>2</v>
      </c>
      <c r="M18" s="78">
        <f t="shared" si="4"/>
        <v>2</v>
      </c>
      <c r="N18" s="78">
        <f t="shared" si="4"/>
        <v>2</v>
      </c>
      <c r="O18" s="78">
        <f t="shared" si="4"/>
        <v>2</v>
      </c>
      <c r="P18" s="78">
        <f t="shared" si="4"/>
        <v>2</v>
      </c>
      <c r="Q18" s="78">
        <f>SUM(Q12:Q17)</f>
        <v>2</v>
      </c>
      <c r="R18" s="265">
        <f t="shared" si="4"/>
        <v>2</v>
      </c>
      <c r="S18" s="78">
        <f t="shared" si="0"/>
        <v>0</v>
      </c>
      <c r="T18" s="504">
        <f t="shared" si="1"/>
        <v>0</v>
      </c>
      <c r="U18" s="428"/>
      <c r="W18" s="267"/>
    </row>
    <row r="19" spans="1:23" ht="19.899999999999999" customHeight="1">
      <c r="A19" s="214" t="s">
        <v>637</v>
      </c>
      <c r="B19" s="452"/>
      <c r="C19" s="78">
        <f>C18+C11</f>
        <v>52</v>
      </c>
      <c r="D19" s="78">
        <f>D18+D11</f>
        <v>55</v>
      </c>
      <c r="E19" s="265">
        <f>E18+E11</f>
        <v>52.6</v>
      </c>
      <c r="F19" s="417"/>
      <c r="G19" s="417"/>
      <c r="H19" s="417"/>
      <c r="I19" s="417"/>
      <c r="J19" s="417"/>
      <c r="K19" s="417"/>
      <c r="L19" s="417"/>
      <c r="M19" s="417"/>
      <c r="N19" s="417"/>
      <c r="O19" s="417"/>
      <c r="P19" s="417"/>
      <c r="Q19" s="78">
        <f>Q18+Q11</f>
        <v>52</v>
      </c>
      <c r="R19" s="265">
        <f>R18+R11</f>
        <v>52</v>
      </c>
      <c r="S19" s="78">
        <f t="shared" si="0"/>
        <v>-0.60000000000000142</v>
      </c>
      <c r="T19" s="504">
        <f t="shared" si="1"/>
        <v>-1.1406844106463865E-2</v>
      </c>
      <c r="U19" s="428"/>
      <c r="W19" s="267"/>
    </row>
    <row r="20" spans="1:23" ht="15" customHeight="1">
      <c r="A20" s="444"/>
      <c r="B20" s="785"/>
      <c r="C20" s="442"/>
      <c r="D20" s="442"/>
      <c r="E20" s="443"/>
      <c r="F20" s="442"/>
      <c r="G20" s="442"/>
      <c r="H20" s="442"/>
      <c r="I20" s="442"/>
      <c r="J20" s="442"/>
      <c r="K20" s="442"/>
      <c r="L20" s="442"/>
      <c r="M20" s="442"/>
      <c r="N20" s="442"/>
      <c r="O20" s="442"/>
      <c r="P20" s="442"/>
      <c r="Q20" s="442"/>
      <c r="R20" s="443"/>
      <c r="S20" s="442"/>
      <c r="T20" s="786"/>
      <c r="U20" s="441"/>
      <c r="V20" s="440"/>
      <c r="W20" s="439"/>
    </row>
    <row r="21" spans="1:23" ht="19.899999999999999" customHeight="1">
      <c r="A21" s="214" t="s">
        <v>638</v>
      </c>
      <c r="B21" s="452" t="s">
        <v>226</v>
      </c>
      <c r="C21" s="655">
        <v>0</v>
      </c>
      <c r="D21" s="655">
        <v>0</v>
      </c>
      <c r="E21" s="803">
        <v>0</v>
      </c>
      <c r="F21" s="417"/>
      <c r="G21" s="417"/>
      <c r="H21" s="417"/>
      <c r="I21" s="417"/>
      <c r="J21" s="417"/>
      <c r="K21" s="417"/>
      <c r="L21" s="417"/>
      <c r="M21" s="417"/>
      <c r="N21" s="417"/>
      <c r="O21" s="417"/>
      <c r="P21" s="417"/>
      <c r="Q21" s="805">
        <v>0</v>
      </c>
      <c r="R21" s="803">
        <v>0</v>
      </c>
      <c r="S21" s="78">
        <f>R21-E21</f>
        <v>0</v>
      </c>
      <c r="T21" s="504">
        <f>IFERROR(R21/E21-1,0)</f>
        <v>0</v>
      </c>
      <c r="U21" s="438"/>
      <c r="V21" s="437"/>
      <c r="W21" s="267" t="s">
        <v>639</v>
      </c>
    </row>
    <row r="22" spans="1:23" ht="19.899999999999999" customHeight="1">
      <c r="A22" s="214" t="s">
        <v>638</v>
      </c>
      <c r="B22" s="452" t="s">
        <v>243</v>
      </c>
      <c r="C22" s="655">
        <v>21</v>
      </c>
      <c r="D22" s="655">
        <v>22</v>
      </c>
      <c r="E22" s="803">
        <v>22</v>
      </c>
      <c r="F22" s="417"/>
      <c r="G22" s="417"/>
      <c r="H22" s="417"/>
      <c r="I22" s="417"/>
      <c r="J22" s="417"/>
      <c r="K22" s="417"/>
      <c r="L22" s="417"/>
      <c r="M22" s="417"/>
      <c r="N22" s="417"/>
      <c r="O22" s="417"/>
      <c r="P22" s="417"/>
      <c r="Q22" s="805">
        <v>21</v>
      </c>
      <c r="R22" s="803">
        <v>21</v>
      </c>
      <c r="S22" s="78">
        <f>R22-E22</f>
        <v>-1</v>
      </c>
      <c r="T22" s="504">
        <f>IFERROR(R22/E22-1,0)</f>
        <v>-4.5454545454545414E-2</v>
      </c>
      <c r="U22" s="438"/>
      <c r="V22" s="437"/>
      <c r="W22" s="267" t="s">
        <v>640</v>
      </c>
    </row>
    <row r="23" spans="1:23" ht="15" customHeight="1">
      <c r="A23" s="436"/>
      <c r="B23" s="784"/>
      <c r="C23" s="434"/>
      <c r="D23" s="434"/>
      <c r="E23" s="435"/>
      <c r="F23" s="434"/>
      <c r="G23" s="434"/>
      <c r="H23" s="434"/>
      <c r="I23" s="434"/>
      <c r="J23" s="434"/>
      <c r="K23" s="434"/>
      <c r="L23" s="434"/>
      <c r="M23" s="434"/>
      <c r="N23" s="434"/>
      <c r="O23" s="434"/>
      <c r="P23" s="434"/>
      <c r="Q23" s="434"/>
      <c r="R23" s="435"/>
      <c r="S23" s="434"/>
      <c r="T23" s="787"/>
      <c r="U23" s="433"/>
      <c r="V23" s="431"/>
      <c r="W23" s="432"/>
    </row>
    <row r="24" spans="1:23" ht="19.899999999999999" customHeight="1">
      <c r="A24" s="214" t="s">
        <v>641</v>
      </c>
      <c r="B24" s="452"/>
      <c r="C24" s="78">
        <f>KeyData!F22</f>
        <v>50</v>
      </c>
      <c r="D24" s="78">
        <f>KeyData!G22</f>
        <v>53</v>
      </c>
      <c r="E24" s="782">
        <v>52.5</v>
      </c>
      <c r="F24" s="417"/>
      <c r="G24" s="417"/>
      <c r="H24" s="417"/>
      <c r="I24" s="417"/>
      <c r="J24" s="417"/>
      <c r="K24" s="417"/>
      <c r="L24" s="417"/>
      <c r="M24" s="417"/>
      <c r="N24" s="417"/>
      <c r="O24" s="417"/>
      <c r="P24" s="417"/>
      <c r="Q24" s="78">
        <f>KeyData!H22</f>
        <v>50</v>
      </c>
      <c r="R24" s="803">
        <v>52</v>
      </c>
      <c r="S24" s="78">
        <f>R24-E24</f>
        <v>-0.5</v>
      </c>
      <c r="T24" s="504">
        <f>IFERROR(R24/E24-1,0)</f>
        <v>-9.52380952380949E-3</v>
      </c>
      <c r="U24" s="428"/>
      <c r="V24" s="431"/>
      <c r="W24" s="267" t="s">
        <v>642</v>
      </c>
    </row>
    <row r="25" spans="1:23" ht="19.899999999999999" customHeight="1">
      <c r="A25" s="214" t="s">
        <v>643</v>
      </c>
      <c r="B25" s="452"/>
      <c r="C25" s="78">
        <f>KeyData!F23</f>
        <v>23</v>
      </c>
      <c r="D25" s="78">
        <f>KeyData!G23</f>
        <v>24</v>
      </c>
      <c r="E25" s="782">
        <v>22</v>
      </c>
      <c r="F25" s="417"/>
      <c r="G25" s="417"/>
      <c r="H25" s="417"/>
      <c r="I25" s="417"/>
      <c r="J25" s="417"/>
      <c r="K25" s="417"/>
      <c r="L25" s="417"/>
      <c r="M25" s="417"/>
      <c r="N25" s="417"/>
      <c r="O25" s="417"/>
      <c r="P25" s="417"/>
      <c r="Q25" s="78">
        <f>KeyData!H23</f>
        <v>23</v>
      </c>
      <c r="R25" s="803">
        <v>21</v>
      </c>
      <c r="S25" s="78">
        <f>R25-E25</f>
        <v>-1</v>
      </c>
      <c r="T25" s="504">
        <f>IFERROR(R25/E25-1,0)</f>
        <v>-4.5454545454545414E-2</v>
      </c>
      <c r="U25" s="428"/>
      <c r="V25" s="431"/>
      <c r="W25" s="430" t="s">
        <v>644</v>
      </c>
    </row>
    <row r="26" spans="1:23" s="226" customFormat="1" ht="15" customHeight="1">
      <c r="A26" s="221" t="s">
        <v>498</v>
      </c>
      <c r="B26" s="783"/>
      <c r="C26" s="96">
        <f>SUM(C24:C25)-SUM(C11,C18,C21,C22)</f>
        <v>0</v>
      </c>
      <c r="D26" s="96">
        <f>SUM(D24:D25)-SUM(D11,D18,D21,D22)</f>
        <v>0</v>
      </c>
      <c r="E26" s="780">
        <f>SUM(E24:E25)-E21-E18-E11-E22</f>
        <v>-0.10000000000000142</v>
      </c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>
        <f>SUM(Q24:Q25)-SUM(Q11,Q18,Q21,Q22)</f>
        <v>0</v>
      </c>
      <c r="R26" s="780">
        <f>SUM(R24:R25)-R21-R18-R11-R22</f>
        <v>0</v>
      </c>
      <c r="S26" s="96"/>
      <c r="T26" s="780"/>
      <c r="U26" s="656"/>
      <c r="V26" s="657"/>
      <c r="W26" s="657"/>
    </row>
    <row r="27" spans="1:23" s="226" customFormat="1" ht="15" customHeight="1">
      <c r="A27" s="221"/>
      <c r="B27" s="783"/>
      <c r="C27" s="96"/>
      <c r="D27" s="96"/>
      <c r="E27" s="780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780"/>
      <c r="S27" s="96"/>
      <c r="T27" s="780"/>
      <c r="U27" s="656"/>
      <c r="V27" s="657"/>
      <c r="W27" s="657"/>
    </row>
    <row r="28" spans="1:23" ht="15" customHeight="1">
      <c r="A28" s="214" t="s">
        <v>645</v>
      </c>
      <c r="B28" s="452"/>
      <c r="C28" s="214"/>
      <c r="D28" s="78"/>
      <c r="E28" s="265">
        <f>IFERROR('2. Variable (LC)'!C17/E11,0)</f>
        <v>-83012.778168780758</v>
      </c>
      <c r="F28" s="78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78"/>
      <c r="R28" s="265">
        <f>IFERROR('2. Variable (LC)'!M17/(R11-6),0)</f>
        <v>-69805.07827272726</v>
      </c>
      <c r="S28" s="78">
        <f>R28-E28</f>
        <v>13207.699896053498</v>
      </c>
      <c r="T28" s="504">
        <f>IFERROR(R28/E28-1,0)</f>
        <v>-0.15910441967379685</v>
      </c>
      <c r="U28" s="428"/>
      <c r="W28" s="267" t="s">
        <v>646</v>
      </c>
    </row>
    <row r="29" spans="1:23" s="349" customFormat="1" ht="15" customHeight="1">
      <c r="A29" s="974" t="s">
        <v>647</v>
      </c>
      <c r="B29" s="784"/>
      <c r="C29" s="315"/>
      <c r="D29" s="315"/>
      <c r="E29" s="977">
        <v>66744.307000000001</v>
      </c>
      <c r="F29" s="315"/>
      <c r="G29" s="315"/>
      <c r="H29" s="315"/>
      <c r="I29" s="315"/>
      <c r="J29" s="315"/>
      <c r="K29" s="315"/>
      <c r="L29" s="315"/>
      <c r="M29" s="315"/>
      <c r="N29" s="315"/>
      <c r="O29" s="315"/>
      <c r="P29" s="315"/>
      <c r="Q29" s="315"/>
      <c r="R29" s="779">
        <v>69329.149999999994</v>
      </c>
      <c r="S29" s="978">
        <f>R29-E29</f>
        <v>2584.8429999999935</v>
      </c>
      <c r="T29" s="781">
        <f>IFERROR(R29/E29-1,0)</f>
        <v>3.8727542710121909E-2</v>
      </c>
      <c r="U29" s="427" t="s">
        <v>648</v>
      </c>
      <c r="W29" s="220" t="s">
        <v>649</v>
      </c>
    </row>
    <row r="30" spans="1:23" s="349" customFormat="1" ht="15" customHeight="1">
      <c r="A30" s="974" t="s">
        <v>650</v>
      </c>
      <c r="B30" s="784"/>
      <c r="C30" s="315"/>
      <c r="D30" s="315"/>
      <c r="E30" s="977">
        <v>90425.967999999993</v>
      </c>
      <c r="F30" s="315"/>
      <c r="G30" s="315"/>
      <c r="H30" s="315"/>
      <c r="I30" s="315"/>
      <c r="J30" s="315"/>
      <c r="K30" s="315"/>
      <c r="L30" s="315"/>
      <c r="M30" s="315"/>
      <c r="N30" s="315"/>
      <c r="O30" s="315"/>
      <c r="P30" s="315"/>
      <c r="Q30" s="315"/>
      <c r="R30" s="779">
        <v>93949.058000000005</v>
      </c>
      <c r="S30" s="978">
        <f>R30-E30</f>
        <v>3523.0900000000111</v>
      </c>
      <c r="T30" s="781">
        <f>IFERROR(R30/E30-1,0)</f>
        <v>3.8961042695169201E-2</v>
      </c>
      <c r="U30" s="427" t="s">
        <v>648</v>
      </c>
      <c r="W30" s="349" t="s">
        <v>651</v>
      </c>
    </row>
    <row r="31" spans="1:23" s="349" customFormat="1" ht="15" customHeight="1">
      <c r="A31" s="974" t="s">
        <v>652</v>
      </c>
      <c r="B31" s="784"/>
      <c r="C31" s="979"/>
      <c r="D31" s="315"/>
      <c r="E31" s="977">
        <v>132218.34299999999</v>
      </c>
      <c r="F31" s="315"/>
      <c r="G31" s="315"/>
      <c r="H31" s="315"/>
      <c r="I31" s="315"/>
      <c r="J31" s="315"/>
      <c r="K31" s="315"/>
      <c r="L31" s="315"/>
      <c r="M31" s="315"/>
      <c r="N31" s="315"/>
      <c r="O31" s="315"/>
      <c r="P31" s="315"/>
      <c r="Q31" s="315"/>
      <c r="R31" s="779">
        <v>137914.19899999999</v>
      </c>
      <c r="S31" s="978">
        <f>R31-E31</f>
        <v>5695.8559999999998</v>
      </c>
      <c r="T31" s="781">
        <f>IFERROR(R31/E31-1,0)</f>
        <v>4.3079166405829206E-2</v>
      </c>
      <c r="U31" s="427" t="s">
        <v>653</v>
      </c>
      <c r="W31" s="220" t="s">
        <v>654</v>
      </c>
    </row>
    <row r="32" spans="1:23" s="349" customFormat="1" ht="15" customHeight="1">
      <c r="A32" s="974" t="s">
        <v>655</v>
      </c>
      <c r="B32" s="784"/>
      <c r="C32" s="979"/>
      <c r="D32" s="315"/>
      <c r="E32" s="435"/>
      <c r="F32" s="315"/>
      <c r="G32" s="315"/>
      <c r="H32" s="315"/>
      <c r="I32" s="315"/>
      <c r="J32" s="315"/>
      <c r="K32" s="315"/>
      <c r="L32" s="315"/>
      <c r="M32" s="315"/>
      <c r="N32" s="315"/>
      <c r="O32" s="315"/>
      <c r="P32" s="315"/>
      <c r="Q32" s="315"/>
      <c r="R32" s="779">
        <v>97223</v>
      </c>
      <c r="S32" s="978"/>
      <c r="T32" s="781"/>
      <c r="U32" s="427" t="s">
        <v>656</v>
      </c>
      <c r="W32" s="220" t="s">
        <v>657</v>
      </c>
    </row>
    <row r="33" spans="1:23" s="349" customFormat="1" ht="15" customHeight="1">
      <c r="A33" s="974" t="s">
        <v>658</v>
      </c>
      <c r="B33" s="784"/>
      <c r="C33" s="979"/>
      <c r="D33" s="315"/>
      <c r="E33" s="435"/>
      <c r="F33" s="315"/>
      <c r="G33" s="315"/>
      <c r="H33" s="315"/>
      <c r="I33" s="315"/>
      <c r="J33" s="315"/>
      <c r="K33" s="315"/>
      <c r="L33" s="315"/>
      <c r="M33" s="315"/>
      <c r="N33" s="315"/>
      <c r="O33" s="315"/>
      <c r="P33" s="315"/>
      <c r="Q33" s="315"/>
      <c r="R33" s="779">
        <v>8620656</v>
      </c>
      <c r="S33" s="978"/>
      <c r="T33" s="781"/>
      <c r="U33" s="427"/>
      <c r="W33" s="220" t="s">
        <v>659</v>
      </c>
    </row>
    <row r="34" spans="1:23" ht="15" customHeight="1">
      <c r="A34" s="426"/>
      <c r="B34" s="770"/>
      <c r="C34" s="695"/>
      <c r="D34" s="327"/>
      <c r="E34" s="770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770"/>
      <c r="S34" s="425"/>
      <c r="T34" s="781"/>
      <c r="U34" s="327"/>
      <c r="W34" s="267"/>
    </row>
    <row r="35" spans="1:23" ht="31.5">
      <c r="A35" s="214" t="s">
        <v>660</v>
      </c>
      <c r="B35" s="452"/>
      <c r="C35" s="214"/>
      <c r="D35" s="78"/>
      <c r="E35" s="265"/>
      <c r="F35" s="78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78" t="s">
        <v>661</v>
      </c>
      <c r="R35" s="853" t="s">
        <v>662</v>
      </c>
      <c r="S35" s="78"/>
      <c r="T35" s="504"/>
      <c r="U35" s="428"/>
      <c r="W35" s="267" t="s">
        <v>663</v>
      </c>
    </row>
    <row r="36" spans="1:23" s="349" customFormat="1" ht="15" customHeight="1">
      <c r="A36" s="974" t="s">
        <v>664</v>
      </c>
      <c r="B36" s="331" t="s">
        <v>665</v>
      </c>
      <c r="C36" s="447"/>
      <c r="D36" s="447"/>
      <c r="E36" s="769"/>
      <c r="F36" s="447"/>
      <c r="G36" s="447"/>
      <c r="H36" s="447"/>
      <c r="I36" s="447"/>
      <c r="J36" s="447"/>
      <c r="K36" s="447"/>
      <c r="L36" s="447"/>
      <c r="M36" s="447"/>
      <c r="N36" s="447"/>
      <c r="O36" s="447"/>
      <c r="P36" s="447"/>
      <c r="Q36" s="825">
        <f>VLOOKUP('Input-FX Rates'!C4,Settings!$AH$5:$AK$54,3,FALSE)</f>
        <v>3.7499999999999999E-2</v>
      </c>
      <c r="R36" s="900">
        <f>Q36</f>
        <v>3.7499999999999999E-2</v>
      </c>
      <c r="S36" s="975"/>
      <c r="T36" s="976"/>
      <c r="U36" s="424"/>
      <c r="W36" s="220" t="s">
        <v>666</v>
      </c>
    </row>
    <row r="37" spans="1:23" s="349" customFormat="1" ht="15" customHeight="1">
      <c r="A37" s="974" t="s">
        <v>667</v>
      </c>
      <c r="B37" s="331" t="s">
        <v>665</v>
      </c>
      <c r="C37" s="447"/>
      <c r="D37" s="447"/>
      <c r="E37" s="769"/>
      <c r="F37" s="447"/>
      <c r="G37" s="447"/>
      <c r="H37" s="447"/>
      <c r="I37" s="447"/>
      <c r="J37" s="447"/>
      <c r="K37" s="447"/>
      <c r="L37" s="447"/>
      <c r="M37" s="447"/>
      <c r="N37" s="447"/>
      <c r="O37" s="447"/>
      <c r="P37" s="447"/>
      <c r="Q37" s="825">
        <f>VLOOKUP('Input-FX Rates'!C4,Settings!$AH$5:$AK$54,4,FALSE)</f>
        <v>4.1300000000000003E-2</v>
      </c>
      <c r="R37" s="900">
        <f>Q37</f>
        <v>4.1300000000000003E-2</v>
      </c>
      <c r="S37" s="975"/>
      <c r="T37" s="976"/>
      <c r="U37" s="424"/>
      <c r="W37" s="220" t="s">
        <v>666</v>
      </c>
    </row>
    <row r="38" spans="1:23" s="349" customFormat="1" ht="12.75" customHeight="1">
      <c r="A38" s="349" t="s">
        <v>668</v>
      </c>
      <c r="B38" s="331" t="str">
        <f>"in '000 "&amp;'Input-FX Rates'!$B$8</f>
        <v>in '000 KRW</v>
      </c>
      <c r="C38" s="447"/>
      <c r="D38" s="447"/>
      <c r="E38" s="769"/>
      <c r="F38" s="447"/>
      <c r="G38" s="447"/>
      <c r="H38" s="447"/>
      <c r="I38" s="447"/>
      <c r="J38" s="447"/>
      <c r="K38" s="447"/>
      <c r="L38" s="447"/>
      <c r="M38" s="447"/>
      <c r="N38" s="447"/>
      <c r="O38" s="447"/>
      <c r="P38" s="447"/>
      <c r="Q38" s="898">
        <f>('2. Variable (LC)'!M17/(1+'6. HC (LC)'!Q36))-'2. Variable (LC)'!M17</f>
        <v>111015.30520481942</v>
      </c>
      <c r="R38" s="443">
        <f>('2. Variable (LC)'!M17/(1+'6. HC (LC)'!R36))-'2. Variable (LC)'!M17</f>
        <v>111015.30520481942</v>
      </c>
      <c r="S38" s="975"/>
      <c r="T38" s="976"/>
      <c r="U38" s="424"/>
      <c r="W38" s="349" t="s">
        <v>669</v>
      </c>
    </row>
    <row r="39" spans="1:23" s="349" customFormat="1" ht="12.75" customHeight="1">
      <c r="A39" s="349" t="s">
        <v>670</v>
      </c>
      <c r="B39" s="331" t="str">
        <f>"in '000 "&amp;'Input-FX Rates'!$B$8</f>
        <v>in '000 KRW</v>
      </c>
      <c r="C39" s="447"/>
      <c r="D39" s="447"/>
      <c r="E39" s="769"/>
      <c r="F39" s="447"/>
      <c r="G39" s="447"/>
      <c r="H39" s="447"/>
      <c r="I39" s="447"/>
      <c r="J39" s="447"/>
      <c r="K39" s="447"/>
      <c r="L39" s="447"/>
      <c r="M39" s="447"/>
      <c r="N39" s="447"/>
      <c r="O39" s="447"/>
      <c r="P39" s="447"/>
      <c r="Q39" s="898">
        <f>'4. Fix Cost (LC) '!P10/(1+'6. HC (LC)'!Q37)-'4. Fix Cost (LC) '!P10</f>
        <v>24510.293033131748</v>
      </c>
      <c r="R39" s="443">
        <f>'4. Fix Cost (LC) '!P10/(1+'6. HC (LC)'!R37)-'4. Fix Cost (LC) '!P10</f>
        <v>24510.293033131748</v>
      </c>
      <c r="S39" s="975"/>
      <c r="T39" s="976"/>
      <c r="U39" s="424"/>
      <c r="W39" s="349" t="s">
        <v>671</v>
      </c>
    </row>
    <row r="40" spans="1:23" ht="12.75" customHeight="1">
      <c r="U40" s="899"/>
    </row>
    <row r="42" spans="1:23" ht="12.75" customHeight="1">
      <c r="Q42" s="858"/>
      <c r="S42" s="859"/>
    </row>
  </sheetData>
  <mergeCells count="4">
    <mergeCell ref="A4:B4"/>
    <mergeCell ref="A5:B5"/>
    <mergeCell ref="F4:R4"/>
    <mergeCell ref="C4:E4"/>
  </mergeCells>
  <phoneticPr fontId="65" type="noConversion"/>
  <conditionalFormatting sqref="C26:T27">
    <cfRule type="cellIs" dxfId="1" priority="1" operator="not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7" orientation="landscape" r:id="rId1"/>
  <customProperties>
    <customPr name="_pios_id" r:id="rId2"/>
    <customPr name="CofWorksheetType" r:id="rId3"/>
  </customProperties>
  <ignoredErrors>
    <ignoredError sqref="Q36:Q37" unlockedFormula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CAF1-3FE6-4770-AF30-1B131A71A66C}">
  <sheetPr>
    <pageSetUpPr fitToPage="1"/>
  </sheetPr>
  <dimension ref="A1:XFC39"/>
  <sheetViews>
    <sheetView showGridLines="0" zoomScaleNormal="100" workbookViewId="0">
      <pane xSplit="2" ySplit="5" topLeftCell="C6" activePane="bottomRight" state="frozen"/>
      <selection pane="topRight" activeCell="A30" sqref="A30:G30"/>
      <selection pane="bottomLeft" activeCell="A30" sqref="A30:G30"/>
      <selection pane="bottomRight" activeCell="R24" sqref="R24:R25"/>
    </sheetView>
  </sheetViews>
  <sheetFormatPr defaultColWidth="9.28515625" defaultRowHeight="12.75" customHeight="1" outlineLevelCol="1"/>
  <cols>
    <col min="1" max="1" width="33.28515625" style="221" customWidth="1"/>
    <col min="2" max="2" width="18.7109375" style="221" customWidth="1"/>
    <col min="3" max="6" width="12.7109375" style="221" customWidth="1"/>
    <col min="7" max="16" width="12.7109375" style="221" hidden="1" customWidth="1" outlineLevel="1"/>
    <col min="17" max="17" width="17.28515625" style="221" customWidth="1" collapsed="1"/>
    <col min="18" max="18" width="17.28515625" style="221" customWidth="1"/>
    <col min="19" max="20" width="12.7109375" style="221" customWidth="1"/>
    <col min="21" max="21" width="41.28515625" style="221" customWidth="1"/>
    <col min="22" max="22" width="9.28515625" style="221"/>
    <col min="23" max="23" width="129.7109375" style="221" bestFit="1" customWidth="1"/>
    <col min="24" max="16384" width="9.28515625" style="221"/>
  </cols>
  <sheetData>
    <row r="1" spans="1:23" ht="19.899999999999999" customHeight="1">
      <c r="A1" s="60" t="str">
        <f>+'0. Instructions'!A1</f>
        <v>Budget 2024</v>
      </c>
      <c r="B1" s="448"/>
      <c r="C1" s="448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397"/>
      <c r="S1" s="397"/>
      <c r="T1" s="397"/>
      <c r="U1" s="57" t="str">
        <f>'Input-FX Rates'!$H$1</f>
        <v>Plant ICH Icheon (242)</v>
      </c>
      <c r="W1" s="397" t="s">
        <v>154</v>
      </c>
    </row>
    <row r="2" spans="1:23" ht="19.899999999999999" customHeight="1" thickBot="1">
      <c r="A2" s="55" t="s">
        <v>605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4" t="str">
        <f>'Input-FX Rates'!$H$2</f>
        <v>7821 PL Drivetrain Controls (&amp; Electrification)</v>
      </c>
      <c r="W2" s="95" t="s">
        <v>156</v>
      </c>
    </row>
    <row r="4" spans="1:23" ht="25.15" customHeight="1">
      <c r="A4" s="1035"/>
      <c r="B4" s="1036"/>
      <c r="C4" s="1037" t="s">
        <v>606</v>
      </c>
      <c r="D4" s="1035"/>
      <c r="E4" s="1036"/>
      <c r="F4" s="1037" t="s">
        <v>607</v>
      </c>
      <c r="G4" s="1035"/>
      <c r="H4" s="1035"/>
      <c r="I4" s="1035"/>
      <c r="J4" s="1035"/>
      <c r="K4" s="1035"/>
      <c r="L4" s="1035"/>
      <c r="M4" s="1035"/>
      <c r="N4" s="1035"/>
      <c r="O4" s="1035"/>
      <c r="P4" s="1035"/>
      <c r="Q4" s="1035"/>
      <c r="R4" s="1036"/>
      <c r="S4" s="305"/>
      <c r="T4" s="771"/>
      <c r="U4" s="187" t="s">
        <v>208</v>
      </c>
    </row>
    <row r="5" spans="1:23" ht="64.5" customHeight="1">
      <c r="A5" s="1035"/>
      <c r="B5" s="1038"/>
      <c r="C5" s="187" t="s">
        <v>608</v>
      </c>
      <c r="D5" s="187" t="s">
        <v>609</v>
      </c>
      <c r="E5" s="658" t="s">
        <v>610</v>
      </c>
      <c r="F5" s="187" t="s">
        <v>553</v>
      </c>
      <c r="G5" s="187" t="s">
        <v>554</v>
      </c>
      <c r="H5" s="187" t="s">
        <v>555</v>
      </c>
      <c r="I5" s="187" t="s">
        <v>556</v>
      </c>
      <c r="J5" s="187" t="s">
        <v>557</v>
      </c>
      <c r="K5" s="187" t="s">
        <v>558</v>
      </c>
      <c r="L5" s="187" t="s">
        <v>559</v>
      </c>
      <c r="M5" s="187" t="s">
        <v>560</v>
      </c>
      <c r="N5" s="187" t="s">
        <v>561</v>
      </c>
      <c r="O5" s="187" t="s">
        <v>562</v>
      </c>
      <c r="P5" s="187" t="s">
        <v>563</v>
      </c>
      <c r="Q5" s="187" t="s">
        <v>611</v>
      </c>
      <c r="R5" s="658" t="s">
        <v>612</v>
      </c>
      <c r="S5" s="187" t="s">
        <v>613</v>
      </c>
      <c r="T5" s="658" t="s">
        <v>614</v>
      </c>
      <c r="U5" s="187"/>
    </row>
    <row r="6" spans="1:23" ht="15.75">
      <c r="A6" s="214" t="s">
        <v>195</v>
      </c>
      <c r="B6" s="452" t="str">
        <f>"in '000 "&amp;"EUR"</f>
        <v>in '000 EUR</v>
      </c>
      <c r="C6" s="78">
        <f>+'6. HC (LC)'!C6/'Input-FX Rates'!$F$16</f>
        <v>55718.001789595619</v>
      </c>
      <c r="D6" s="78">
        <f>+'6. HC (LC)'!D6/'Input-FX Rates'!$G$16</f>
        <v>100126.74994033898</v>
      </c>
      <c r="E6" s="265">
        <f>+'6. HC (LC)'!E6/'Input-FX Rates'!$G$16</f>
        <v>100126.74994033898</v>
      </c>
      <c r="F6" s="78">
        <f>+'6. HC (LC)'!F6/'Input-FX Rates'!$H$16</f>
        <v>7674.4146827586201</v>
      </c>
      <c r="G6" s="78">
        <f>+'6. HC (LC)'!G6/'Input-FX Rates'!$H$16</f>
        <v>7196.1305448275853</v>
      </c>
      <c r="H6" s="78">
        <f>+'6. HC (LC)'!H6/'Input-FX Rates'!$H$16</f>
        <v>8272.2698551724134</v>
      </c>
      <c r="I6" s="78">
        <f>+'6. HC (LC)'!I6/'Input-FX Rates'!$H$16</f>
        <v>8066.9064365517243</v>
      </c>
      <c r="J6" s="78">
        <f>+'6. HC (LC)'!J6/'Input-FX Rates'!$H$16</f>
        <v>7308.073884827586</v>
      </c>
      <c r="K6" s="78">
        <f>+'6. HC (LC)'!K6/'Input-FX Rates'!$H$16</f>
        <v>7308.073884827586</v>
      </c>
      <c r="L6" s="78">
        <f>+'6. HC (LC)'!L6/'Input-FX Rates'!$H$16</f>
        <v>7308.073884827586</v>
      </c>
      <c r="M6" s="78">
        <f>+'6. HC (LC)'!M6/'Input-FX Rates'!$H$16</f>
        <v>6710.218713103448</v>
      </c>
      <c r="N6" s="78">
        <f>+'6. HC (LC)'!N6/'Input-FX Rates'!$H$16</f>
        <v>6733.9015779310348</v>
      </c>
      <c r="O6" s="78">
        <f>+'6. HC (LC)'!O6/'Input-FX Rates'!$H$16</f>
        <v>6939.2649951724143</v>
      </c>
      <c r="P6" s="78">
        <f>+'6. HC (LC)'!P6/'Input-FX Rates'!$H$16</f>
        <v>7178.4070641379312</v>
      </c>
      <c r="Q6" s="78">
        <f>+'6. HC (LC)'!Q6/'Input-FX Rates'!$H$16</f>
        <v>7178.4070662068962</v>
      </c>
      <c r="R6" s="265">
        <f>+'6. HC (LC)'!R6/'Input-FX Rates'!$H$16</f>
        <v>87874.142590344825</v>
      </c>
      <c r="S6" s="78">
        <f t="shared" ref="S6:S19" si="0">R6-E6</f>
        <v>-12252.607349994156</v>
      </c>
      <c r="T6" s="504">
        <f t="shared" ref="T6:T19" si="1">IFERROR(R6/E6-1,0)</f>
        <v>-0.12237096837053962</v>
      </c>
      <c r="U6" s="896" t="str">
        <f>IF(ISBLANK('6. HC (LC)'!U6),"",'6. HC (LC)'!U6)</f>
        <v/>
      </c>
      <c r="W6" s="267" t="s">
        <v>615</v>
      </c>
    </row>
    <row r="7" spans="1:23" ht="15">
      <c r="A7" s="315" t="s">
        <v>616</v>
      </c>
      <c r="B7" s="331" t="s">
        <v>226</v>
      </c>
      <c r="C7" s="365">
        <f>+'6. HC (LC)'!C7</f>
        <v>36</v>
      </c>
      <c r="D7" s="365">
        <f>+'6. HC (LC)'!D7</f>
        <v>40</v>
      </c>
      <c r="E7" s="445">
        <f>+'6. HC (LC)'!E7</f>
        <v>37</v>
      </c>
      <c r="F7" s="447"/>
      <c r="G7" s="447"/>
      <c r="H7" s="447"/>
      <c r="I7" s="447"/>
      <c r="J7" s="447"/>
      <c r="K7" s="447"/>
      <c r="L7" s="447"/>
      <c r="M7" s="447"/>
      <c r="N7" s="447"/>
      <c r="O7" s="447"/>
      <c r="P7" s="447"/>
      <c r="Q7" s="365">
        <f>+'6. HC (LC)'!Q7</f>
        <v>36</v>
      </c>
      <c r="R7" s="445">
        <f>+'6. HC (LC)'!R7</f>
        <v>36</v>
      </c>
      <c r="S7" s="209">
        <f t="shared" si="0"/>
        <v>-1</v>
      </c>
      <c r="T7" s="296">
        <f t="shared" si="1"/>
        <v>-2.7027027027026973E-2</v>
      </c>
      <c r="U7" s="450" t="str">
        <f>IF(ISBLANK('6. HC (LC)'!U7),"",'6. HC (LC)'!U7)</f>
        <v>HC -1 due to cc31004 transfers to ENC.</v>
      </c>
      <c r="W7" s="267" t="s">
        <v>618</v>
      </c>
    </row>
    <row r="8" spans="1:23" ht="15">
      <c r="A8" s="315" t="s">
        <v>619</v>
      </c>
      <c r="B8" s="331" t="s">
        <v>226</v>
      </c>
      <c r="C8" s="365">
        <f>+'6. HC (LC)'!C8</f>
        <v>9</v>
      </c>
      <c r="D8" s="365">
        <f>+'6. HC (LC)'!D8</f>
        <v>9</v>
      </c>
      <c r="E8" s="445">
        <f>+'6. HC (LC)'!E8</f>
        <v>9</v>
      </c>
      <c r="F8" s="447"/>
      <c r="G8" s="447"/>
      <c r="H8" s="447"/>
      <c r="I8" s="447"/>
      <c r="J8" s="447"/>
      <c r="K8" s="447"/>
      <c r="L8" s="447"/>
      <c r="M8" s="447"/>
      <c r="N8" s="447"/>
      <c r="O8" s="447"/>
      <c r="P8" s="447"/>
      <c r="Q8" s="365">
        <f>+'6. HC (LC)'!Q8</f>
        <v>10</v>
      </c>
      <c r="R8" s="445">
        <f>+'6. HC (LC)'!R8</f>
        <v>10</v>
      </c>
      <c r="S8" s="209">
        <f t="shared" si="0"/>
        <v>1</v>
      </c>
      <c r="T8" s="296">
        <f t="shared" si="1"/>
        <v>0.11111111111111116</v>
      </c>
      <c r="U8" s="450" t="str">
        <f>IF(ISBLANK('6. HC (LC)'!U8),"",'6. HC (LC)'!U8)</f>
        <v>SMD Technician +1</v>
      </c>
      <c r="W8" s="267" t="s">
        <v>621</v>
      </c>
    </row>
    <row r="9" spans="1:23" ht="15">
      <c r="A9" s="315" t="s">
        <v>622</v>
      </c>
      <c r="B9" s="331" t="s">
        <v>226</v>
      </c>
      <c r="C9" s="365">
        <f>+'6. HC (LC)'!C9</f>
        <v>3</v>
      </c>
      <c r="D9" s="365">
        <f>+'6. HC (LC)'!D9</f>
        <v>3</v>
      </c>
      <c r="E9" s="445">
        <f>+'6. HC (LC)'!E9</f>
        <v>3</v>
      </c>
      <c r="F9" s="447"/>
      <c r="G9" s="447"/>
      <c r="H9" s="447"/>
      <c r="I9" s="447"/>
      <c r="J9" s="447"/>
      <c r="K9" s="447"/>
      <c r="L9" s="447"/>
      <c r="M9" s="447"/>
      <c r="N9" s="447"/>
      <c r="O9" s="447"/>
      <c r="P9" s="447"/>
      <c r="Q9" s="365">
        <f>+'6. HC (LC)'!Q9</f>
        <v>2</v>
      </c>
      <c r="R9" s="445">
        <f>+'6. HC (LC)'!R9</f>
        <v>2</v>
      </c>
      <c r="S9" s="209">
        <f t="shared" si="0"/>
        <v>-1</v>
      </c>
      <c r="T9" s="296">
        <f t="shared" si="1"/>
        <v>-0.33333333333333337</v>
      </c>
      <c r="U9" s="450" t="str">
        <f>IF(ISBLANK('6. HC (LC)'!U9),"",'6. HC (LC)'!U9)</f>
        <v/>
      </c>
      <c r="W9" s="221" t="s">
        <v>623</v>
      </c>
    </row>
    <row r="10" spans="1:23" ht="15">
      <c r="A10" s="315" t="s">
        <v>624</v>
      </c>
      <c r="B10" s="331" t="s">
        <v>226</v>
      </c>
      <c r="C10" s="365">
        <f>+'6. HC (LC)'!C10</f>
        <v>2</v>
      </c>
      <c r="D10" s="365">
        <f>+'6. HC (LC)'!D10</f>
        <v>1</v>
      </c>
      <c r="E10" s="445">
        <f>+'6. HC (LC)'!E10</f>
        <v>1.6</v>
      </c>
      <c r="F10" s="447"/>
      <c r="G10" s="447"/>
      <c r="H10" s="447"/>
      <c r="I10" s="447"/>
      <c r="J10" s="447"/>
      <c r="K10" s="447"/>
      <c r="L10" s="447"/>
      <c r="M10" s="447"/>
      <c r="N10" s="447"/>
      <c r="O10" s="447"/>
      <c r="P10" s="447"/>
      <c r="Q10" s="365">
        <f>+'6. HC (LC)'!Q10</f>
        <v>2</v>
      </c>
      <c r="R10" s="445">
        <f>+'6. HC (LC)'!R10</f>
        <v>2</v>
      </c>
      <c r="S10" s="209">
        <f t="shared" si="0"/>
        <v>0.39999999999999991</v>
      </c>
      <c r="T10" s="296">
        <f t="shared" si="1"/>
        <v>0.25</v>
      </c>
      <c r="U10" s="450" t="str">
        <f>IF(ISBLANK('6. HC (LC)'!U10),"",'6. HC (LC)'!U10)</f>
        <v/>
      </c>
      <c r="W10" s="267" t="s">
        <v>625</v>
      </c>
    </row>
    <row r="11" spans="1:23" ht="15.75">
      <c r="A11" s="214" t="s">
        <v>626</v>
      </c>
      <c r="B11" s="452"/>
      <c r="C11" s="78">
        <f t="shared" ref="C11:R11" si="2">SUM(C7:C10)</f>
        <v>50</v>
      </c>
      <c r="D11" s="78">
        <f t="shared" si="2"/>
        <v>53</v>
      </c>
      <c r="E11" s="265">
        <f t="shared" si="2"/>
        <v>50.6</v>
      </c>
      <c r="F11" s="417"/>
      <c r="G11" s="417"/>
      <c r="H11" s="417"/>
      <c r="I11" s="417"/>
      <c r="J11" s="417"/>
      <c r="K11" s="417"/>
      <c r="L11" s="417"/>
      <c r="M11" s="417"/>
      <c r="N11" s="417"/>
      <c r="O11" s="417"/>
      <c r="P11" s="417"/>
      <c r="Q11" s="78">
        <f t="shared" si="2"/>
        <v>50</v>
      </c>
      <c r="R11" s="265">
        <f t="shared" si="2"/>
        <v>50</v>
      </c>
      <c r="S11" s="78">
        <f t="shared" si="0"/>
        <v>-0.60000000000000142</v>
      </c>
      <c r="T11" s="504">
        <f t="shared" si="1"/>
        <v>-1.1857707509881465E-2</v>
      </c>
      <c r="U11" s="896" t="str">
        <f>IF(ISBLANK('6. HC (LC)'!U11),"",'6. HC (LC)'!U11)</f>
        <v/>
      </c>
      <c r="W11" s="267"/>
    </row>
    <row r="12" spans="1:23" ht="15">
      <c r="A12" s="315" t="s">
        <v>627</v>
      </c>
      <c r="B12" s="331" t="s">
        <v>243</v>
      </c>
      <c r="C12" s="365">
        <f>+'6. HC (LC)'!C12</f>
        <v>2</v>
      </c>
      <c r="D12" s="365">
        <f>+'6. HC (LC)'!D12</f>
        <v>2</v>
      </c>
      <c r="E12" s="445">
        <f>+'6. HC (LC)'!E12</f>
        <v>2</v>
      </c>
      <c r="F12" s="365">
        <f>+'6. HC (LC)'!F12</f>
        <v>2</v>
      </c>
      <c r="G12" s="365">
        <f>+'6. HC (LC)'!G12</f>
        <v>2</v>
      </c>
      <c r="H12" s="365">
        <f>+'6. HC (LC)'!H12</f>
        <v>2</v>
      </c>
      <c r="I12" s="365">
        <f>+'6. HC (LC)'!I12</f>
        <v>2</v>
      </c>
      <c r="J12" s="365">
        <f>+'6. HC (LC)'!J12</f>
        <v>2</v>
      </c>
      <c r="K12" s="365">
        <f>+'6. HC (LC)'!K12</f>
        <v>2</v>
      </c>
      <c r="L12" s="365">
        <f>+'6. HC (LC)'!L12</f>
        <v>2</v>
      </c>
      <c r="M12" s="365">
        <f>+'6. HC (LC)'!M12</f>
        <v>2</v>
      </c>
      <c r="N12" s="365">
        <f>+'6. HC (LC)'!N12</f>
        <v>2</v>
      </c>
      <c r="O12" s="365">
        <f>+'6. HC (LC)'!O12</f>
        <v>2</v>
      </c>
      <c r="P12" s="365">
        <f>+'6. HC (LC)'!P12</f>
        <v>2</v>
      </c>
      <c r="Q12" s="365">
        <f>+'6. HC (LC)'!Q12</f>
        <v>2</v>
      </c>
      <c r="R12" s="445">
        <f>+'6. HC (LC)'!R12</f>
        <v>2</v>
      </c>
      <c r="S12" s="209">
        <f t="shared" si="0"/>
        <v>0</v>
      </c>
      <c r="T12" s="296">
        <f t="shared" si="1"/>
        <v>0</v>
      </c>
      <c r="U12" s="450" t="str">
        <f>IF(ISBLANK('6. HC (LC)'!U12),"",'6. HC (LC)'!U12)</f>
        <v/>
      </c>
      <c r="W12" s="267" t="s">
        <v>628</v>
      </c>
    </row>
    <row r="13" spans="1:23" ht="15">
      <c r="A13" s="315" t="s">
        <v>622</v>
      </c>
      <c r="B13" s="331" t="s">
        <v>243</v>
      </c>
      <c r="C13" s="365">
        <f>+'6. HC (LC)'!C13</f>
        <v>0</v>
      </c>
      <c r="D13" s="365">
        <f>+'6. HC (LC)'!D13</f>
        <v>0</v>
      </c>
      <c r="E13" s="445">
        <f>+'6. HC (LC)'!E13</f>
        <v>0</v>
      </c>
      <c r="F13" s="365">
        <f>+'6. HC (LC)'!F13</f>
        <v>0</v>
      </c>
      <c r="G13" s="365">
        <f>+'6. HC (LC)'!G13</f>
        <v>0</v>
      </c>
      <c r="H13" s="365">
        <f>+'6. HC (LC)'!H13</f>
        <v>0</v>
      </c>
      <c r="I13" s="365">
        <f>+'6. HC (LC)'!I13</f>
        <v>0</v>
      </c>
      <c r="J13" s="365">
        <f>+'6. HC (LC)'!J13</f>
        <v>0</v>
      </c>
      <c r="K13" s="365">
        <f>+'6. HC (LC)'!K13</f>
        <v>0</v>
      </c>
      <c r="L13" s="365">
        <f>+'6. HC (LC)'!L13</f>
        <v>0</v>
      </c>
      <c r="M13" s="365">
        <f>+'6. HC (LC)'!M13</f>
        <v>0</v>
      </c>
      <c r="N13" s="365">
        <f>+'6. HC (LC)'!N13</f>
        <v>0</v>
      </c>
      <c r="O13" s="365">
        <f>+'6. HC (LC)'!O13</f>
        <v>0</v>
      </c>
      <c r="P13" s="365">
        <f>+'6. HC (LC)'!P13</f>
        <v>0</v>
      </c>
      <c r="Q13" s="365">
        <f>+'6. HC (LC)'!Q13</f>
        <v>0</v>
      </c>
      <c r="R13" s="445">
        <f>+'6. HC (LC)'!R13</f>
        <v>0</v>
      </c>
      <c r="S13" s="209">
        <f t="shared" si="0"/>
        <v>0</v>
      </c>
      <c r="T13" s="296">
        <f t="shared" si="1"/>
        <v>0</v>
      </c>
      <c r="U13" s="450" t="str">
        <f>IF(ISBLANK('6. HC (LC)'!U13),"",'6. HC (LC)'!U13)</f>
        <v/>
      </c>
      <c r="W13" s="267" t="s">
        <v>629</v>
      </c>
    </row>
    <row r="14" spans="1:23" ht="15">
      <c r="A14" s="315" t="s">
        <v>630</v>
      </c>
      <c r="B14" s="331" t="s">
        <v>243</v>
      </c>
      <c r="C14" s="365">
        <f>+'6. HC (LC)'!C14</f>
        <v>0</v>
      </c>
      <c r="D14" s="365">
        <f>+'6. HC (LC)'!D14</f>
        <v>0</v>
      </c>
      <c r="E14" s="445">
        <f>+'6. HC (LC)'!E14</f>
        <v>0</v>
      </c>
      <c r="F14" s="365">
        <f>+'6. HC (LC)'!F14</f>
        <v>0</v>
      </c>
      <c r="G14" s="365">
        <f>+'6. HC (LC)'!G14</f>
        <v>0</v>
      </c>
      <c r="H14" s="365">
        <f>+'6. HC (LC)'!H14</f>
        <v>0</v>
      </c>
      <c r="I14" s="365">
        <f>+'6. HC (LC)'!I14</f>
        <v>0</v>
      </c>
      <c r="J14" s="365">
        <f>+'6. HC (LC)'!J14</f>
        <v>0</v>
      </c>
      <c r="K14" s="365">
        <f>+'6. HC (LC)'!K14</f>
        <v>0</v>
      </c>
      <c r="L14" s="365">
        <f>+'6. HC (LC)'!L14</f>
        <v>0</v>
      </c>
      <c r="M14" s="365">
        <f>+'6. HC (LC)'!M14</f>
        <v>0</v>
      </c>
      <c r="N14" s="365">
        <f>+'6. HC (LC)'!N14</f>
        <v>0</v>
      </c>
      <c r="O14" s="365">
        <f>+'6. HC (LC)'!O14</f>
        <v>0</v>
      </c>
      <c r="P14" s="365">
        <f>+'6. HC (LC)'!P14</f>
        <v>0</v>
      </c>
      <c r="Q14" s="365">
        <f>+'6. HC (LC)'!Q14</f>
        <v>0</v>
      </c>
      <c r="R14" s="445">
        <f>+'6. HC (LC)'!R14</f>
        <v>0</v>
      </c>
      <c r="S14" s="209">
        <f t="shared" si="0"/>
        <v>0</v>
      </c>
      <c r="T14" s="296">
        <f t="shared" si="1"/>
        <v>0</v>
      </c>
      <c r="U14" s="450" t="str">
        <f>IF(ISBLANK('6. HC (LC)'!U14),"",'6. HC (LC)'!U14)</f>
        <v/>
      </c>
      <c r="W14" s="267" t="s">
        <v>631</v>
      </c>
    </row>
    <row r="15" spans="1:23" ht="15">
      <c r="A15" s="315" t="s">
        <v>624</v>
      </c>
      <c r="B15" s="331" t="s">
        <v>243</v>
      </c>
      <c r="C15" s="365">
        <f>+'6. HC (LC)'!C15</f>
        <v>0</v>
      </c>
      <c r="D15" s="365">
        <f>+'6. HC (LC)'!D15</f>
        <v>0</v>
      </c>
      <c r="E15" s="445">
        <f>+'6. HC (LC)'!E15</f>
        <v>0</v>
      </c>
      <c r="F15" s="365">
        <f>+'6. HC (LC)'!F15</f>
        <v>0</v>
      </c>
      <c r="G15" s="365">
        <f>+'6. HC (LC)'!G15</f>
        <v>0</v>
      </c>
      <c r="H15" s="365">
        <f>+'6. HC (LC)'!H15</f>
        <v>0</v>
      </c>
      <c r="I15" s="365">
        <f>+'6. HC (LC)'!I15</f>
        <v>0</v>
      </c>
      <c r="J15" s="365">
        <f>+'6. HC (LC)'!J15</f>
        <v>0</v>
      </c>
      <c r="K15" s="365">
        <f>+'6. HC (LC)'!K15</f>
        <v>0</v>
      </c>
      <c r="L15" s="365">
        <f>+'6. HC (LC)'!L15</f>
        <v>0</v>
      </c>
      <c r="M15" s="365">
        <f>+'6. HC (LC)'!M15</f>
        <v>0</v>
      </c>
      <c r="N15" s="365">
        <f>+'6. HC (LC)'!N15</f>
        <v>0</v>
      </c>
      <c r="O15" s="365">
        <f>+'6. HC (LC)'!O15</f>
        <v>0</v>
      </c>
      <c r="P15" s="365">
        <f>+'6. HC (LC)'!P15</f>
        <v>0</v>
      </c>
      <c r="Q15" s="365">
        <f>+'6. HC (LC)'!Q15</f>
        <v>0</v>
      </c>
      <c r="R15" s="445">
        <f>+'6. HC (LC)'!R15</f>
        <v>0</v>
      </c>
      <c r="S15" s="209">
        <f t="shared" si="0"/>
        <v>0</v>
      </c>
      <c r="T15" s="296">
        <f t="shared" si="1"/>
        <v>0</v>
      </c>
      <c r="U15" s="450" t="str">
        <f>IF(ISBLANK('6. HC (LC)'!U15),"",'6. HC (LC)'!U15)</f>
        <v/>
      </c>
      <c r="W15" s="267" t="s">
        <v>632</v>
      </c>
    </row>
    <row r="16" spans="1:23" ht="15">
      <c r="A16" s="315" t="s">
        <v>633</v>
      </c>
      <c r="B16" s="331" t="s">
        <v>243</v>
      </c>
      <c r="C16" s="365">
        <f>+'6. HC (LC)'!C16</f>
        <v>0</v>
      </c>
      <c r="D16" s="365">
        <f>+'6. HC (LC)'!D16</f>
        <v>0</v>
      </c>
      <c r="E16" s="445">
        <f>+'6. HC (LC)'!E16</f>
        <v>0</v>
      </c>
      <c r="F16" s="365">
        <f>+'6. HC (LC)'!F16</f>
        <v>0</v>
      </c>
      <c r="G16" s="365">
        <f>+'6. HC (LC)'!G16</f>
        <v>0</v>
      </c>
      <c r="H16" s="365">
        <f>+'6. HC (LC)'!H16</f>
        <v>0</v>
      </c>
      <c r="I16" s="365">
        <f>+'6. HC (LC)'!I16</f>
        <v>0</v>
      </c>
      <c r="J16" s="365">
        <f>+'6. HC (LC)'!J16</f>
        <v>0</v>
      </c>
      <c r="K16" s="365">
        <f>+'6. HC (LC)'!K16</f>
        <v>0</v>
      </c>
      <c r="L16" s="365">
        <f>+'6. HC (LC)'!L16</f>
        <v>0</v>
      </c>
      <c r="M16" s="365">
        <f>+'6. HC (LC)'!M16</f>
        <v>0</v>
      </c>
      <c r="N16" s="365">
        <f>+'6. HC (LC)'!N16</f>
        <v>0</v>
      </c>
      <c r="O16" s="365">
        <f>+'6. HC (LC)'!O16</f>
        <v>0</v>
      </c>
      <c r="P16" s="365">
        <f>+'6. HC (LC)'!P16</f>
        <v>0</v>
      </c>
      <c r="Q16" s="365">
        <f>+'6. HC (LC)'!Q16</f>
        <v>0</v>
      </c>
      <c r="R16" s="445">
        <f>+'6. HC (LC)'!R16</f>
        <v>0</v>
      </c>
      <c r="S16" s="209">
        <f t="shared" si="0"/>
        <v>0</v>
      </c>
      <c r="T16" s="296">
        <f t="shared" si="1"/>
        <v>0</v>
      </c>
      <c r="U16" s="450" t="str">
        <f>IF(ISBLANK('6. HC (LC)'!U16),"",'6. HC (LC)'!U16)</f>
        <v/>
      </c>
      <c r="W16" s="267" t="s">
        <v>634</v>
      </c>
    </row>
    <row r="17" spans="1:23" ht="15">
      <c r="A17" s="349" t="s">
        <v>635</v>
      </c>
      <c r="B17" s="331" t="s">
        <v>243</v>
      </c>
      <c r="C17" s="365">
        <f>+'6. HC (LC)'!C17</f>
        <v>0</v>
      </c>
      <c r="D17" s="365">
        <f>+'6. HC (LC)'!D17</f>
        <v>0</v>
      </c>
      <c r="E17" s="445">
        <f>+'6. HC (LC)'!E17</f>
        <v>0</v>
      </c>
      <c r="F17" s="365">
        <f>+'6. HC (LC)'!F17</f>
        <v>0</v>
      </c>
      <c r="G17" s="365">
        <f>+'6. HC (LC)'!G17</f>
        <v>0</v>
      </c>
      <c r="H17" s="365">
        <f>+'6. HC (LC)'!H17</f>
        <v>0</v>
      </c>
      <c r="I17" s="365">
        <f>+'6. HC (LC)'!I17</f>
        <v>0</v>
      </c>
      <c r="J17" s="365">
        <f>+'6. HC (LC)'!J17</f>
        <v>0</v>
      </c>
      <c r="K17" s="365">
        <f>+'6. HC (LC)'!K17</f>
        <v>0</v>
      </c>
      <c r="L17" s="365">
        <f>+'6. HC (LC)'!L17</f>
        <v>0</v>
      </c>
      <c r="M17" s="365">
        <f>+'6. HC (LC)'!M17</f>
        <v>0</v>
      </c>
      <c r="N17" s="365">
        <f>+'6. HC (LC)'!N17</f>
        <v>0</v>
      </c>
      <c r="O17" s="365">
        <f>+'6. HC (LC)'!O17</f>
        <v>0</v>
      </c>
      <c r="P17" s="365">
        <f>+'6. HC (LC)'!P17</f>
        <v>0</v>
      </c>
      <c r="Q17" s="365">
        <f>+'6. HC (LC)'!Q17</f>
        <v>0</v>
      </c>
      <c r="R17" s="445">
        <f>+'6. HC (LC)'!R17</f>
        <v>0</v>
      </c>
      <c r="S17" s="209">
        <f t="shared" si="0"/>
        <v>0</v>
      </c>
      <c r="T17" s="296">
        <f t="shared" si="1"/>
        <v>0</v>
      </c>
      <c r="U17" s="450" t="str">
        <f>IF(ISBLANK('6. HC (LC)'!U17),"",'6. HC (LC)'!U17)</f>
        <v/>
      </c>
      <c r="W17" s="267" t="s">
        <v>635</v>
      </c>
    </row>
    <row r="18" spans="1:23" ht="15.75">
      <c r="A18" s="214" t="s">
        <v>636</v>
      </c>
      <c r="B18" s="452"/>
      <c r="C18" s="78">
        <f t="shared" ref="C18" si="3">SUM(C12:C17)</f>
        <v>2</v>
      </c>
      <c r="D18" s="78">
        <f t="shared" ref="D18:R18" si="4">SUM(D12:D17)</f>
        <v>2</v>
      </c>
      <c r="E18" s="265">
        <f t="shared" si="4"/>
        <v>2</v>
      </c>
      <c r="F18" s="78">
        <f t="shared" si="4"/>
        <v>2</v>
      </c>
      <c r="G18" s="78">
        <f t="shared" si="4"/>
        <v>2</v>
      </c>
      <c r="H18" s="78">
        <f t="shared" si="4"/>
        <v>2</v>
      </c>
      <c r="I18" s="78">
        <f t="shared" si="4"/>
        <v>2</v>
      </c>
      <c r="J18" s="78">
        <f t="shared" si="4"/>
        <v>2</v>
      </c>
      <c r="K18" s="78">
        <f t="shared" si="4"/>
        <v>2</v>
      </c>
      <c r="L18" s="78">
        <f t="shared" si="4"/>
        <v>2</v>
      </c>
      <c r="M18" s="78">
        <f t="shared" si="4"/>
        <v>2</v>
      </c>
      <c r="N18" s="78">
        <f t="shared" si="4"/>
        <v>2</v>
      </c>
      <c r="O18" s="78">
        <f t="shared" si="4"/>
        <v>2</v>
      </c>
      <c r="P18" s="78">
        <f t="shared" si="4"/>
        <v>2</v>
      </c>
      <c r="Q18" s="78">
        <f t="shared" si="4"/>
        <v>2</v>
      </c>
      <c r="R18" s="265">
        <f t="shared" si="4"/>
        <v>2</v>
      </c>
      <c r="S18" s="78">
        <f t="shared" si="0"/>
        <v>0</v>
      </c>
      <c r="T18" s="504">
        <f t="shared" si="1"/>
        <v>0</v>
      </c>
      <c r="U18" s="896" t="str">
        <f>IF(ISBLANK('6. HC (LC)'!U18),"",'6. HC (LC)'!U18)</f>
        <v/>
      </c>
      <c r="W18" s="267"/>
    </row>
    <row r="19" spans="1:23" ht="15.75">
      <c r="A19" s="214" t="s">
        <v>637</v>
      </c>
      <c r="B19" s="452"/>
      <c r="C19" s="78">
        <f>C18+C11</f>
        <v>52</v>
      </c>
      <c r="D19" s="78">
        <f>D18+D11</f>
        <v>55</v>
      </c>
      <c r="E19" s="265">
        <f>E18+E11</f>
        <v>52.6</v>
      </c>
      <c r="F19" s="417"/>
      <c r="G19" s="417"/>
      <c r="H19" s="417"/>
      <c r="I19" s="417"/>
      <c r="J19" s="417"/>
      <c r="K19" s="417"/>
      <c r="L19" s="417"/>
      <c r="M19" s="417"/>
      <c r="N19" s="417"/>
      <c r="O19" s="417"/>
      <c r="P19" s="417"/>
      <c r="Q19" s="78">
        <f>Q18+Q11</f>
        <v>52</v>
      </c>
      <c r="R19" s="265">
        <f>R18+R11</f>
        <v>52</v>
      </c>
      <c r="S19" s="78">
        <f t="shared" si="0"/>
        <v>-0.60000000000000142</v>
      </c>
      <c r="T19" s="504">
        <f t="shared" si="1"/>
        <v>-1.1406844106463865E-2</v>
      </c>
      <c r="U19" s="896" t="str">
        <f>IF(ISBLANK('6. HC (LC)'!U19),"",'6. HC (LC)'!U19)</f>
        <v/>
      </c>
      <c r="W19" s="267"/>
    </row>
    <row r="20" spans="1:23" ht="15">
      <c r="A20" s="444"/>
      <c r="B20" s="785"/>
      <c r="C20" s="444"/>
      <c r="D20" s="442"/>
      <c r="E20" s="443"/>
      <c r="F20" s="442"/>
      <c r="G20" s="442"/>
      <c r="H20" s="442"/>
      <c r="I20" s="442"/>
      <c r="J20" s="442"/>
      <c r="K20" s="442"/>
      <c r="L20" s="442"/>
      <c r="M20" s="442"/>
      <c r="N20" s="442"/>
      <c r="O20" s="442"/>
      <c r="P20" s="442"/>
      <c r="Q20" s="442"/>
      <c r="R20" s="443"/>
      <c r="S20" s="442"/>
      <c r="T20" s="786"/>
      <c r="U20" s="441" t="str">
        <f>IF(ISBLANK('6. HC (LC)'!U20),"",'6. HC (LC)'!U20)</f>
        <v/>
      </c>
      <c r="W20" s="439"/>
    </row>
    <row r="21" spans="1:23" ht="15.75">
      <c r="A21" s="214" t="s">
        <v>638</v>
      </c>
      <c r="B21" s="452" t="s">
        <v>226</v>
      </c>
      <c r="C21" s="78">
        <f>+'6. HC (LC)'!C21</f>
        <v>0</v>
      </c>
      <c r="D21" s="78">
        <f>+'6. HC (LC)'!D21</f>
        <v>0</v>
      </c>
      <c r="E21" s="265">
        <f>+'6. HC (LC)'!E21</f>
        <v>0</v>
      </c>
      <c r="F21" s="417"/>
      <c r="G21" s="417"/>
      <c r="H21" s="417"/>
      <c r="I21" s="417"/>
      <c r="J21" s="417"/>
      <c r="K21" s="417"/>
      <c r="L21" s="417"/>
      <c r="M21" s="417"/>
      <c r="N21" s="417"/>
      <c r="O21" s="417"/>
      <c r="P21" s="417"/>
      <c r="Q21" s="742">
        <f>+'6. HC (LC)'!Q21</f>
        <v>0</v>
      </c>
      <c r="R21" s="788">
        <f>+'6. HC (LC)'!R21</f>
        <v>0</v>
      </c>
      <c r="S21" s="78">
        <f>R21-E21</f>
        <v>0</v>
      </c>
      <c r="T21" s="504">
        <f>IFERROR(R21/E21-1,0)</f>
        <v>0</v>
      </c>
      <c r="U21" s="896" t="str">
        <f>IF(ISBLANK('6. HC (LC)'!U21),"",'6. HC (LC)'!U21)</f>
        <v/>
      </c>
      <c r="W21" s="267" t="s">
        <v>639</v>
      </c>
    </row>
    <row r="22" spans="1:23" ht="15.75">
      <c r="A22" s="214" t="s">
        <v>638</v>
      </c>
      <c r="B22" s="452" t="s">
        <v>243</v>
      </c>
      <c r="C22" s="78">
        <f>+'6. HC (LC)'!C22</f>
        <v>21</v>
      </c>
      <c r="D22" s="78">
        <f>+'6. HC (LC)'!D22</f>
        <v>22</v>
      </c>
      <c r="E22" s="265">
        <f>+'6. HC (LC)'!E22</f>
        <v>22</v>
      </c>
      <c r="F22" s="417"/>
      <c r="G22" s="417"/>
      <c r="H22" s="417"/>
      <c r="I22" s="417"/>
      <c r="J22" s="417"/>
      <c r="K22" s="417"/>
      <c r="L22" s="417"/>
      <c r="M22" s="417"/>
      <c r="N22" s="417"/>
      <c r="O22" s="417"/>
      <c r="P22" s="417"/>
      <c r="Q22" s="742">
        <f>+'6. HC (LC)'!Q22</f>
        <v>21</v>
      </c>
      <c r="R22" s="788">
        <f>+'6. HC (LC)'!R22</f>
        <v>21</v>
      </c>
      <c r="S22" s="78">
        <f>R22-E22</f>
        <v>-1</v>
      </c>
      <c r="T22" s="504">
        <f>IFERROR(R22/E22-1,0)</f>
        <v>-4.5454545454545414E-2</v>
      </c>
      <c r="U22" s="896" t="str">
        <f>IF(ISBLANK('6. HC (LC)'!U22),"",'6. HC (LC)'!U22)</f>
        <v/>
      </c>
      <c r="W22" s="267" t="s">
        <v>640</v>
      </c>
    </row>
    <row r="23" spans="1:23" ht="15.75">
      <c r="A23" s="436"/>
      <c r="B23" s="784"/>
      <c r="C23" s="436"/>
      <c r="D23" s="434"/>
      <c r="E23" s="435"/>
      <c r="F23" s="743"/>
      <c r="G23" s="743"/>
      <c r="H23" s="743"/>
      <c r="I23" s="743"/>
      <c r="J23" s="743"/>
      <c r="K23" s="743"/>
      <c r="L23" s="743"/>
      <c r="M23" s="743"/>
      <c r="N23" s="743"/>
      <c r="O23" s="743"/>
      <c r="P23" s="743"/>
      <c r="Q23" s="743"/>
      <c r="R23" s="744"/>
      <c r="S23" s="434"/>
      <c r="T23" s="787"/>
      <c r="U23" s="441" t="str">
        <f>IF(ISBLANK('6. HC (LC)'!U23),"",'6. HC (LC)'!U23)</f>
        <v/>
      </c>
      <c r="W23" s="432"/>
    </row>
    <row r="24" spans="1:23" ht="15.75">
      <c r="A24" s="214" t="s">
        <v>641</v>
      </c>
      <c r="B24" s="452"/>
      <c r="C24" s="78">
        <f>KeyData!F22</f>
        <v>50</v>
      </c>
      <c r="D24" s="78">
        <f>KeyData!G22</f>
        <v>53</v>
      </c>
      <c r="E24" s="265">
        <f>+'6. HC (LC)'!E24</f>
        <v>52.5</v>
      </c>
      <c r="F24" s="417"/>
      <c r="G24" s="417"/>
      <c r="H24" s="417"/>
      <c r="I24" s="417"/>
      <c r="J24" s="417"/>
      <c r="K24" s="417"/>
      <c r="L24" s="417"/>
      <c r="M24" s="417"/>
      <c r="N24" s="417"/>
      <c r="O24" s="417"/>
      <c r="P24" s="417"/>
      <c r="Q24" s="78">
        <f>KeyData!H22</f>
        <v>50</v>
      </c>
      <c r="R24" s="788">
        <f>+'6. HC (LC)'!R24</f>
        <v>52</v>
      </c>
      <c r="S24" s="78">
        <f>R24-E24</f>
        <v>-0.5</v>
      </c>
      <c r="T24" s="504">
        <f>IFERROR(R24/E24-1,0)</f>
        <v>-9.52380952380949E-3</v>
      </c>
      <c r="U24" s="896" t="str">
        <f>IF(ISBLANK('6. HC (LC)'!U24),"",'6. HC (LC)'!U24)</f>
        <v/>
      </c>
      <c r="W24" s="267" t="s">
        <v>642</v>
      </c>
    </row>
    <row r="25" spans="1:23" ht="15.75">
      <c r="A25" s="214" t="s">
        <v>643</v>
      </c>
      <c r="B25" s="452"/>
      <c r="C25" s="78">
        <f>KeyData!F23</f>
        <v>23</v>
      </c>
      <c r="D25" s="78">
        <f>KeyData!G23</f>
        <v>24</v>
      </c>
      <c r="E25" s="265">
        <f>+'6. HC (LC)'!E25</f>
        <v>22</v>
      </c>
      <c r="F25" s="417"/>
      <c r="G25" s="417"/>
      <c r="H25" s="417"/>
      <c r="I25" s="417"/>
      <c r="J25" s="417"/>
      <c r="K25" s="417"/>
      <c r="L25" s="417"/>
      <c r="M25" s="417"/>
      <c r="N25" s="417"/>
      <c r="O25" s="417"/>
      <c r="P25" s="417"/>
      <c r="Q25" s="78">
        <f>KeyData!H23</f>
        <v>23</v>
      </c>
      <c r="R25" s="788">
        <f>+'6. HC (LC)'!R25</f>
        <v>21</v>
      </c>
      <c r="S25" s="78">
        <f>R25-E25</f>
        <v>-1</v>
      </c>
      <c r="T25" s="504">
        <f>IFERROR(R25/E25-1,0)</f>
        <v>-4.5454545454545414E-2</v>
      </c>
      <c r="U25" s="896" t="str">
        <f>IF(ISBLANK('6. HC (LC)'!U25),"",'6. HC (LC)'!U25)</f>
        <v/>
      </c>
      <c r="W25" s="430" t="s">
        <v>644</v>
      </c>
    </row>
    <row r="26" spans="1:23" ht="15.75">
      <c r="A26" s="221" t="s">
        <v>498</v>
      </c>
      <c r="B26" s="783"/>
      <c r="C26" s="96">
        <f>SUM(C24:C25)-SUM(C11,C18,C21,C22)</f>
        <v>0</v>
      </c>
      <c r="D26" s="96">
        <f>SUM(D24:D25)-SUM(D11,D18,D21,D22)</f>
        <v>0</v>
      </c>
      <c r="E26" s="780">
        <f>SUM(E24:E25)-E21-E18-E11-E22</f>
        <v>-0.10000000000000142</v>
      </c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>
        <f>SUM(Q24:Q25)-SUM(Q11,Q18,Q21,Q22)</f>
        <v>0</v>
      </c>
      <c r="R26" s="780">
        <f>SUM(R24:R25)-R21-R18-R11-R22</f>
        <v>0</v>
      </c>
      <c r="S26" s="96"/>
      <c r="T26" s="780"/>
      <c r="U26" s="288" t="str">
        <f>IF(ISBLANK('6. HC (LC)'!U26),"",'6. HC (LC)'!U26)</f>
        <v/>
      </c>
      <c r="W26" s="657"/>
    </row>
    <row r="27" spans="1:23" ht="15.75">
      <c r="B27" s="783"/>
      <c r="C27" s="96"/>
      <c r="D27" s="96"/>
      <c r="E27" s="780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780"/>
      <c r="S27" s="96"/>
      <c r="T27" s="780"/>
      <c r="U27" s="288"/>
      <c r="W27" s="657"/>
    </row>
    <row r="28" spans="1:23" ht="15.75">
      <c r="A28" s="214" t="s">
        <v>645</v>
      </c>
      <c r="B28" s="452"/>
      <c r="C28" s="78"/>
      <c r="D28" s="78"/>
      <c r="E28" s="265">
        <f>+'6. HC (LC)'!E28/'Input-FX Rates'!$G$16</f>
        <v>-59.139383541310742</v>
      </c>
      <c r="F28" s="214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78"/>
      <c r="R28" s="265">
        <f>+'6. HC (LC)'!R28/'Input-FX Rates'!$H$16</f>
        <v>-48.141433291536039</v>
      </c>
      <c r="S28" s="78">
        <f>R28-E28</f>
        <v>10.997950249774703</v>
      </c>
      <c r="T28" s="504">
        <f>IFERROR(R28/E28-1,0)</f>
        <v>-0.18596660281540278</v>
      </c>
      <c r="U28" s="896" t="str">
        <f>IF(ISBLANK('6. HC (LC)'!U28),"",'6. HC (LC)'!U28)</f>
        <v/>
      </c>
      <c r="W28" s="267" t="s">
        <v>646</v>
      </c>
    </row>
    <row r="29" spans="1:23" s="349" customFormat="1" ht="15">
      <c r="A29" s="974" t="s">
        <v>647</v>
      </c>
      <c r="B29" s="331"/>
      <c r="C29" s="980"/>
      <c r="D29" s="365"/>
      <c r="E29" s="445">
        <f>+'6. HC (LC)'!E29/'Input-FX Rates'!$G$16</f>
        <v>47.549512953855718</v>
      </c>
      <c r="F29" s="365"/>
      <c r="G29" s="315"/>
      <c r="H29" s="315"/>
      <c r="I29" s="315"/>
      <c r="J29" s="315"/>
      <c r="K29" s="315"/>
      <c r="L29" s="315"/>
      <c r="M29" s="315"/>
      <c r="N29" s="315"/>
      <c r="O29" s="315"/>
      <c r="P29" s="315"/>
      <c r="Q29" s="449"/>
      <c r="R29" s="789">
        <f>+'6. HC (LC)'!R29/'Input-FX Rates'!$H$16</f>
        <v>47.813206896551719</v>
      </c>
      <c r="S29" s="425">
        <f>R29-E29</f>
        <v>0.26369394269600122</v>
      </c>
      <c r="T29" s="781">
        <f>IFERROR(R29/E29-1,0)</f>
        <v>5.5456707401377869E-3</v>
      </c>
      <c r="U29" s="897" t="str">
        <f>IF(ISBLANK('6. HC (LC)'!U29),"",'6. HC (LC)'!U29)</f>
        <v>Plant total figure, E01-297(around 4.6K EUR) posted under fix cost area not variable(employee benefit program, present for employee, medical exam, sick and health care, shuttle bus)</v>
      </c>
      <c r="W29" s="220" t="s">
        <v>649</v>
      </c>
    </row>
    <row r="30" spans="1:23" s="349" customFormat="1" ht="15">
      <c r="A30" s="974" t="s">
        <v>650</v>
      </c>
      <c r="B30" s="331"/>
      <c r="C30" s="980"/>
      <c r="D30" s="365"/>
      <c r="E30" s="445">
        <f>+'6. HC (LC)'!E30/'Input-FX Rates'!$G$16</f>
        <v>64.420636456393837</v>
      </c>
      <c r="F30" s="365"/>
      <c r="G30" s="315"/>
      <c r="H30" s="315"/>
      <c r="I30" s="315"/>
      <c r="J30" s="315"/>
      <c r="K30" s="315"/>
      <c r="L30" s="315"/>
      <c r="M30" s="315"/>
      <c r="N30" s="315"/>
      <c r="O30" s="315"/>
      <c r="P30" s="315"/>
      <c r="Q30" s="449"/>
      <c r="R30" s="789">
        <f>+'6. HC (LC)'!R30/'Input-FX Rates'!$H$16</f>
        <v>64.792453793103448</v>
      </c>
      <c r="S30" s="425">
        <f>R30-E30</f>
        <v>0.37181733670961137</v>
      </c>
      <c r="T30" s="781">
        <f>IFERROR(R30/E30-1,0)</f>
        <v>5.7717116309661254E-3</v>
      </c>
      <c r="U30" s="897" t="str">
        <f>IF(ISBLANK('6. HC (LC)'!U30),"",'6. HC (LC)'!U30)</f>
        <v>Plant total figure, E01-297(around 4.6K EUR) posted under fix cost area not variable(employee benefit program, present for employee, medical exam, sick and health care, shuttle bus)</v>
      </c>
      <c r="W30" s="349" t="s">
        <v>651</v>
      </c>
    </row>
    <row r="31" spans="1:23" s="349" customFormat="1" ht="15">
      <c r="A31" s="974" t="s">
        <v>652</v>
      </c>
      <c r="B31" s="331"/>
      <c r="C31" s="980"/>
      <c r="D31" s="365"/>
      <c r="E31" s="445">
        <f>+'6. HC (LC)'!E31/'Input-FX Rates'!$G$16</f>
        <v>94.19406831530722</v>
      </c>
      <c r="F31" s="365"/>
      <c r="G31" s="315"/>
      <c r="H31" s="315"/>
      <c r="I31" s="315"/>
      <c r="J31" s="315"/>
      <c r="K31" s="315"/>
      <c r="L31" s="315"/>
      <c r="M31" s="315"/>
      <c r="N31" s="315"/>
      <c r="O31" s="315"/>
      <c r="P31" s="315"/>
      <c r="Q31" s="449"/>
      <c r="R31" s="789">
        <f>+'6. HC (LC)'!R31/'Input-FX Rates'!$H$16</f>
        <v>95.113240689655171</v>
      </c>
      <c r="S31" s="425">
        <f>R31-E31</f>
        <v>0.9191723743479514</v>
      </c>
      <c r="T31" s="781">
        <f>IFERROR(R31/E31-1,0)</f>
        <v>9.7582829873223975E-3</v>
      </c>
      <c r="U31" s="897" t="str">
        <f>IF(ISBLANK('6. HC (LC)'!U31),"",'6. HC (LC)'!U31)</f>
        <v>Plant total figure</v>
      </c>
      <c r="W31" s="220" t="s">
        <v>654</v>
      </c>
    </row>
    <row r="32" spans="1:23" s="349" customFormat="1" ht="15">
      <c r="A32" s="974" t="s">
        <v>655</v>
      </c>
      <c r="B32" s="784"/>
      <c r="C32" s="979"/>
      <c r="D32" s="315"/>
      <c r="E32" s="435"/>
      <c r="F32" s="315"/>
      <c r="G32" s="315"/>
      <c r="H32" s="315"/>
      <c r="I32" s="315"/>
      <c r="J32" s="315"/>
      <c r="K32" s="315"/>
      <c r="L32" s="315"/>
      <c r="M32" s="315"/>
      <c r="N32" s="315"/>
      <c r="O32" s="315"/>
      <c r="P32" s="315"/>
      <c r="Q32" s="315"/>
      <c r="R32" s="789">
        <f>'6. HC (LC)'!R32</f>
        <v>97223</v>
      </c>
      <c r="S32" s="978"/>
      <c r="T32" s="781"/>
      <c r="U32" s="897" t="str">
        <f>IF(ISBLANK('6. HC (LC)'!U32),"",'6. HC (LC)'!U32)</f>
        <v>Include overtime</v>
      </c>
      <c r="W32" s="220" t="s">
        <v>657</v>
      </c>
    </row>
    <row r="33" spans="1:1020 1028:2047 2055:3071 3073:5115 5123:6142 6150:9210 9218:10237 10245:11264 11272:12288 12290:13305 13313:14332 14340:15359 15367:16383" s="349" customFormat="1" ht="15">
      <c r="A33" s="974" t="s">
        <v>658</v>
      </c>
      <c r="B33" s="784"/>
      <c r="C33" s="979"/>
      <c r="D33" s="315"/>
      <c r="E33" s="435"/>
      <c r="F33" s="315"/>
      <c r="G33" s="315"/>
      <c r="H33" s="315"/>
      <c r="I33" s="315"/>
      <c r="J33" s="315"/>
      <c r="K33" s="315"/>
      <c r="L33" s="315"/>
      <c r="M33" s="315"/>
      <c r="N33" s="315"/>
      <c r="O33" s="315"/>
      <c r="P33" s="315"/>
      <c r="Q33" s="315"/>
      <c r="R33" s="789">
        <f>'6. HC (LC)'!R33</f>
        <v>8620656</v>
      </c>
      <c r="S33" s="978"/>
      <c r="T33" s="781"/>
      <c r="U33" s="897" t="str">
        <f>IF(ISBLANK('6. HC (LC)'!U33),"",'6. HC (LC)'!U33)</f>
        <v/>
      </c>
      <c r="W33" s="220" t="s">
        <v>659</v>
      </c>
    </row>
    <row r="34" spans="1:1020 1028:2047 2055:3071 3073:5115 5123:6142 6150:9210 9218:10237 10245:11264 11272:12288 12290:13305 13313:14332 14340:15359 15367:16383" ht="15">
      <c r="A34" s="426"/>
      <c r="B34" s="770"/>
      <c r="C34" s="695"/>
      <c r="D34" s="327"/>
      <c r="E34" s="770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770"/>
      <c r="S34" s="425"/>
      <c r="T34" s="781"/>
      <c r="U34" s="327"/>
      <c r="W34" s="267"/>
    </row>
    <row r="35" spans="1:1020 1028:2047 2055:3071 3073:5115 5123:6142 6150:9210 9218:10237 10245:11264 11272:12288 12290:13305 13313:14332 14340:15359 15367:16383" s="772" customFormat="1" ht="31.5">
      <c r="A35" s="214" t="s">
        <v>660</v>
      </c>
      <c r="B35" s="452"/>
      <c r="C35" s="214"/>
      <c r="D35" s="78"/>
      <c r="E35" s="265"/>
      <c r="F35" s="78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78" t="s">
        <v>661</v>
      </c>
      <c r="R35" s="853" t="s">
        <v>662</v>
      </c>
      <c r="S35" s="78"/>
      <c r="T35" s="504"/>
      <c r="U35" s="428"/>
      <c r="W35" s="267" t="s">
        <v>663</v>
      </c>
      <c r="AA35" s="1043"/>
      <c r="AB35" s="1043"/>
      <c r="AC35" s="773"/>
      <c r="AE35" s="773"/>
      <c r="AF35" s="773"/>
      <c r="AN35" s="1043"/>
      <c r="AO35" s="1043"/>
      <c r="AP35" s="773"/>
      <c r="AR35" s="773"/>
      <c r="AS35" s="773"/>
      <c r="BA35" s="1043"/>
      <c r="BB35" s="1043"/>
      <c r="BC35" s="773"/>
      <c r="BE35" s="773"/>
      <c r="BF35" s="773"/>
      <c r="BN35" s="1043"/>
      <c r="BO35" s="1043"/>
      <c r="BP35" s="773"/>
      <c r="BR35" s="773"/>
      <c r="BS35" s="773"/>
      <c r="CA35" s="1043"/>
      <c r="CB35" s="1043"/>
      <c r="CC35" s="773"/>
      <c r="CE35" s="773"/>
      <c r="CF35" s="773"/>
      <c r="CN35" s="1043"/>
      <c r="CO35" s="1043"/>
      <c r="CP35" s="773"/>
      <c r="CR35" s="773"/>
      <c r="CS35" s="773"/>
      <c r="DA35" s="1043"/>
      <c r="DB35" s="1043"/>
      <c r="DC35" s="773"/>
      <c r="DE35" s="773"/>
      <c r="DF35" s="773"/>
      <c r="DN35" s="1043"/>
      <c r="DO35" s="1043"/>
      <c r="DP35" s="773"/>
      <c r="DR35" s="773"/>
      <c r="DS35" s="773"/>
      <c r="EA35" s="1043"/>
      <c r="EB35" s="1043"/>
      <c r="EC35" s="773"/>
      <c r="EE35" s="773"/>
      <c r="EF35" s="773"/>
      <c r="EN35" s="1043"/>
      <c r="EO35" s="1043"/>
      <c r="EP35" s="773"/>
      <c r="ER35" s="773"/>
      <c r="ES35" s="773"/>
      <c r="FA35" s="1043"/>
      <c r="FB35" s="1043"/>
      <c r="FC35" s="773"/>
      <c r="FE35" s="773"/>
      <c r="FF35" s="773"/>
      <c r="FN35" s="1043"/>
      <c r="FO35" s="1043"/>
      <c r="FP35" s="773"/>
      <c r="FR35" s="773"/>
      <c r="FS35" s="773"/>
      <c r="GA35" s="1043"/>
      <c r="GB35" s="1043"/>
      <c r="GC35" s="773"/>
      <c r="GE35" s="773"/>
      <c r="GF35" s="773"/>
      <c r="GN35" s="1043"/>
      <c r="GO35" s="1043"/>
      <c r="GP35" s="773"/>
      <c r="GR35" s="773"/>
      <c r="GS35" s="773"/>
      <c r="HA35" s="1043"/>
      <c r="HB35" s="1043"/>
      <c r="HC35" s="773"/>
      <c r="HE35" s="773"/>
      <c r="HF35" s="773"/>
      <c r="HN35" s="1043"/>
      <c r="HO35" s="1043"/>
      <c r="HP35" s="773"/>
      <c r="HR35" s="773"/>
      <c r="HS35" s="773"/>
      <c r="IA35" s="1043"/>
      <c r="IB35" s="1043"/>
      <c r="IC35" s="773"/>
      <c r="IE35" s="773"/>
      <c r="IF35" s="773"/>
      <c r="IN35" s="1043"/>
      <c r="IO35" s="1043"/>
      <c r="IP35" s="773"/>
      <c r="IR35" s="773"/>
      <c r="IS35" s="773"/>
      <c r="JA35" s="1043"/>
      <c r="JB35" s="1043"/>
      <c r="JC35" s="773"/>
      <c r="JE35" s="773"/>
      <c r="JF35" s="773"/>
      <c r="JN35" s="1043"/>
      <c r="JO35" s="1043"/>
      <c r="JP35" s="773"/>
      <c r="JR35" s="773"/>
      <c r="JS35" s="773"/>
      <c r="KA35" s="1043"/>
      <c r="KB35" s="1043"/>
      <c r="KC35" s="773"/>
      <c r="KE35" s="773"/>
      <c r="KF35" s="773"/>
      <c r="KN35" s="1043"/>
      <c r="KO35" s="1043"/>
      <c r="KP35" s="773"/>
      <c r="KR35" s="773"/>
      <c r="KS35" s="773"/>
      <c r="LA35" s="1043"/>
      <c r="LB35" s="1043"/>
      <c r="LC35" s="773"/>
      <c r="LE35" s="773"/>
      <c r="LF35" s="773"/>
      <c r="LN35" s="1043"/>
      <c r="LO35" s="1043"/>
      <c r="LP35" s="773"/>
      <c r="LR35" s="773"/>
      <c r="LS35" s="773"/>
      <c r="MA35" s="1043"/>
      <c r="MB35" s="1043"/>
      <c r="MC35" s="773"/>
      <c r="ME35" s="773"/>
      <c r="MF35" s="773"/>
      <c r="MN35" s="1043"/>
      <c r="MO35" s="1043"/>
      <c r="MP35" s="773"/>
      <c r="MR35" s="773"/>
      <c r="MS35" s="773"/>
      <c r="NA35" s="1043"/>
      <c r="NB35" s="1043"/>
      <c r="NC35" s="773"/>
      <c r="NE35" s="773"/>
      <c r="NF35" s="773"/>
      <c r="NN35" s="1043"/>
      <c r="NO35" s="1043"/>
      <c r="NP35" s="773"/>
      <c r="NR35" s="773"/>
      <c r="NS35" s="773"/>
      <c r="OA35" s="1043"/>
      <c r="OB35" s="1043"/>
      <c r="OC35" s="773"/>
      <c r="OE35" s="773"/>
      <c r="OF35" s="773"/>
      <c r="ON35" s="1043"/>
      <c r="OO35" s="1043"/>
      <c r="OP35" s="773"/>
      <c r="OR35" s="773"/>
      <c r="OS35" s="773"/>
      <c r="PA35" s="1043"/>
      <c r="PB35" s="1043"/>
      <c r="PC35" s="773"/>
      <c r="PE35" s="773"/>
      <c r="PF35" s="773"/>
      <c r="PN35" s="1043"/>
      <c r="PO35" s="1043"/>
      <c r="PP35" s="773"/>
      <c r="PR35" s="773"/>
      <c r="PS35" s="773"/>
      <c r="QA35" s="1043"/>
      <c r="QB35" s="1043"/>
      <c r="QC35" s="773"/>
      <c r="QE35" s="773"/>
      <c r="QF35" s="773"/>
      <c r="QN35" s="1043"/>
      <c r="QO35" s="1043"/>
      <c r="QP35" s="773"/>
      <c r="QR35" s="773"/>
      <c r="QS35" s="773"/>
      <c r="RA35" s="1043"/>
      <c r="RB35" s="1043"/>
      <c r="RC35" s="773"/>
      <c r="RE35" s="773"/>
      <c r="RF35" s="773"/>
      <c r="RN35" s="1043"/>
      <c r="RO35" s="1043"/>
      <c r="RP35" s="773"/>
      <c r="RR35" s="773"/>
      <c r="RS35" s="773"/>
      <c r="SA35" s="1043"/>
      <c r="SB35" s="1043"/>
      <c r="SC35" s="773"/>
      <c r="SE35" s="773"/>
      <c r="SF35" s="773"/>
      <c r="SN35" s="1043"/>
      <c r="SO35" s="1043"/>
      <c r="SP35" s="773"/>
      <c r="SR35" s="773"/>
      <c r="SS35" s="773"/>
      <c r="TA35" s="1043"/>
      <c r="TB35" s="1043"/>
      <c r="TC35" s="773"/>
      <c r="TE35" s="773"/>
      <c r="TF35" s="773"/>
      <c r="TN35" s="1043"/>
      <c r="TO35" s="1043"/>
      <c r="TP35" s="773"/>
      <c r="TR35" s="773"/>
      <c r="TS35" s="773"/>
      <c r="UA35" s="1043"/>
      <c r="UB35" s="1043"/>
      <c r="UC35" s="773"/>
      <c r="UE35" s="773"/>
      <c r="UF35" s="773"/>
      <c r="UN35" s="1043"/>
      <c r="UO35" s="1043"/>
      <c r="UP35" s="773"/>
      <c r="UR35" s="773"/>
      <c r="US35" s="773"/>
      <c r="VA35" s="1043"/>
      <c r="VB35" s="1043"/>
      <c r="VC35" s="773"/>
      <c r="VE35" s="773"/>
      <c r="VF35" s="773"/>
      <c r="VN35" s="1043"/>
      <c r="VO35" s="1043"/>
      <c r="VP35" s="773"/>
      <c r="VR35" s="773"/>
      <c r="VS35" s="773"/>
      <c r="WA35" s="1043"/>
      <c r="WB35" s="1043"/>
      <c r="WC35" s="773"/>
      <c r="WE35" s="773"/>
      <c r="WF35" s="773"/>
      <c r="WN35" s="1043"/>
      <c r="WO35" s="1043"/>
      <c r="WP35" s="773"/>
      <c r="WR35" s="773"/>
      <c r="WS35" s="773"/>
      <c r="XA35" s="1043"/>
      <c r="XB35" s="1043"/>
      <c r="XC35" s="773"/>
      <c r="XE35" s="773"/>
      <c r="XF35" s="773"/>
      <c r="XN35" s="1043"/>
      <c r="XO35" s="1043"/>
      <c r="XP35" s="773"/>
      <c r="XR35" s="773"/>
      <c r="XS35" s="773"/>
      <c r="YA35" s="1043"/>
      <c r="YB35" s="1043"/>
      <c r="YC35" s="773"/>
      <c r="YE35" s="773"/>
      <c r="YF35" s="773"/>
      <c r="YN35" s="1043"/>
      <c r="YO35" s="1043"/>
      <c r="YP35" s="773"/>
      <c r="YR35" s="773"/>
      <c r="YS35" s="773"/>
      <c r="ZA35" s="1043"/>
      <c r="ZB35" s="1043"/>
      <c r="ZC35" s="773"/>
      <c r="ZE35" s="773"/>
      <c r="ZF35" s="773"/>
      <c r="ZN35" s="1043"/>
      <c r="ZO35" s="1043"/>
      <c r="ZP35" s="773"/>
      <c r="ZR35" s="773"/>
      <c r="ZS35" s="773"/>
      <c r="AAA35" s="1043"/>
      <c r="AAB35" s="1043"/>
      <c r="AAC35" s="773"/>
      <c r="AAE35" s="773"/>
      <c r="AAF35" s="773"/>
      <c r="AAN35" s="1043"/>
      <c r="AAO35" s="1043"/>
      <c r="AAP35" s="773"/>
      <c r="AAR35" s="773"/>
      <c r="AAS35" s="773"/>
      <c r="ABA35" s="1043"/>
      <c r="ABB35" s="1043"/>
      <c r="ABC35" s="773"/>
      <c r="ABE35" s="773"/>
      <c r="ABF35" s="773"/>
      <c r="ABN35" s="1043"/>
      <c r="ABO35" s="1043"/>
      <c r="ABP35" s="773"/>
      <c r="ABR35" s="773"/>
      <c r="ABS35" s="773"/>
      <c r="ACA35" s="1043"/>
      <c r="ACB35" s="1043"/>
      <c r="ACC35" s="773"/>
      <c r="ACE35" s="773"/>
      <c r="ACF35" s="773"/>
      <c r="ACN35" s="1043"/>
      <c r="ACO35" s="1043"/>
      <c r="ACP35" s="773"/>
      <c r="ACR35" s="773"/>
      <c r="ACS35" s="773"/>
      <c r="ADA35" s="1043"/>
      <c r="ADB35" s="1043"/>
      <c r="ADC35" s="773"/>
      <c r="ADE35" s="773"/>
      <c r="ADF35" s="773"/>
      <c r="ADN35" s="1043"/>
      <c r="ADO35" s="1043"/>
      <c r="ADP35" s="773"/>
      <c r="ADR35" s="773"/>
      <c r="ADS35" s="773"/>
      <c r="AEA35" s="1043"/>
      <c r="AEB35" s="1043"/>
      <c r="AEC35" s="773"/>
      <c r="AEE35" s="773"/>
      <c r="AEF35" s="773"/>
      <c r="AEN35" s="1043"/>
      <c r="AEO35" s="1043"/>
      <c r="AEP35" s="773"/>
      <c r="AER35" s="773"/>
      <c r="AES35" s="773"/>
      <c r="AFA35" s="1043"/>
      <c r="AFB35" s="1043"/>
      <c r="AFC35" s="773"/>
      <c r="AFE35" s="773"/>
      <c r="AFF35" s="773"/>
      <c r="AFN35" s="1043"/>
      <c r="AFO35" s="1043"/>
      <c r="AFP35" s="773"/>
      <c r="AFR35" s="773"/>
      <c r="AFS35" s="773"/>
      <c r="AGA35" s="1043"/>
      <c r="AGB35" s="1043"/>
      <c r="AGC35" s="773"/>
      <c r="AGE35" s="773"/>
      <c r="AGF35" s="773"/>
      <c r="AGN35" s="1043"/>
      <c r="AGO35" s="1043"/>
      <c r="AGP35" s="773"/>
      <c r="AGR35" s="773"/>
      <c r="AGS35" s="773"/>
      <c r="AHA35" s="1043"/>
      <c r="AHB35" s="1043"/>
      <c r="AHC35" s="773"/>
      <c r="AHE35" s="773"/>
      <c r="AHF35" s="773"/>
      <c r="AHN35" s="1043"/>
      <c r="AHO35" s="1043"/>
      <c r="AHP35" s="773"/>
      <c r="AHR35" s="773"/>
      <c r="AHS35" s="773"/>
      <c r="AIA35" s="1043"/>
      <c r="AIB35" s="1043"/>
      <c r="AIC35" s="773"/>
      <c r="AIE35" s="773"/>
      <c r="AIF35" s="773"/>
      <c r="AIN35" s="1043"/>
      <c r="AIO35" s="1043"/>
      <c r="AIP35" s="773"/>
      <c r="AIR35" s="773"/>
      <c r="AIS35" s="773"/>
      <c r="AJA35" s="1043"/>
      <c r="AJB35" s="1043"/>
      <c r="AJC35" s="773"/>
      <c r="AJE35" s="773"/>
      <c r="AJF35" s="773"/>
      <c r="AJN35" s="1043"/>
      <c r="AJO35" s="1043"/>
      <c r="AJP35" s="773"/>
      <c r="AJR35" s="773"/>
      <c r="AJS35" s="773"/>
      <c r="AKA35" s="1043"/>
      <c r="AKB35" s="1043"/>
      <c r="AKC35" s="773"/>
      <c r="AKE35" s="773"/>
      <c r="AKF35" s="773"/>
      <c r="AKN35" s="1043"/>
      <c r="AKO35" s="1043"/>
      <c r="AKP35" s="773"/>
      <c r="AKR35" s="773"/>
      <c r="AKS35" s="773"/>
      <c r="ALA35" s="1043"/>
      <c r="ALB35" s="1043"/>
      <c r="ALC35" s="773"/>
      <c r="ALE35" s="773"/>
      <c r="ALF35" s="773"/>
      <c r="ALN35" s="1043"/>
      <c r="ALO35" s="1043"/>
      <c r="ALP35" s="773"/>
      <c r="ALR35" s="773"/>
      <c r="ALS35" s="773"/>
      <c r="AMA35" s="1043"/>
      <c r="AMB35" s="1043"/>
      <c r="AMC35" s="773"/>
      <c r="AME35" s="773"/>
      <c r="AMF35" s="773"/>
      <c r="AMN35" s="1043"/>
      <c r="AMO35" s="1043"/>
      <c r="AMP35" s="773"/>
      <c r="AMR35" s="773"/>
      <c r="AMS35" s="773"/>
      <c r="ANA35" s="1043"/>
      <c r="ANB35" s="1043"/>
      <c r="ANC35" s="773"/>
      <c r="ANE35" s="773"/>
      <c r="ANF35" s="773"/>
      <c r="ANN35" s="1043"/>
      <c r="ANO35" s="1043"/>
      <c r="ANP35" s="773"/>
      <c r="ANR35" s="773"/>
      <c r="ANS35" s="773"/>
      <c r="AOA35" s="1043"/>
      <c r="AOB35" s="1043"/>
      <c r="AOC35" s="773"/>
      <c r="AOE35" s="773"/>
      <c r="AOF35" s="773"/>
      <c r="AON35" s="1043"/>
      <c r="AOO35" s="1043"/>
      <c r="AOP35" s="773"/>
      <c r="AOR35" s="773"/>
      <c r="AOS35" s="773"/>
      <c r="APA35" s="1043"/>
      <c r="APB35" s="1043"/>
      <c r="APC35" s="773"/>
      <c r="APE35" s="773"/>
      <c r="APF35" s="773"/>
      <c r="APN35" s="1043"/>
      <c r="APO35" s="1043"/>
      <c r="APP35" s="773"/>
      <c r="APR35" s="773"/>
      <c r="APS35" s="773"/>
      <c r="AQA35" s="1043"/>
      <c r="AQB35" s="1043"/>
      <c r="AQC35" s="773"/>
      <c r="AQE35" s="773"/>
      <c r="AQF35" s="773"/>
      <c r="AQN35" s="1043"/>
      <c r="AQO35" s="1043"/>
      <c r="AQP35" s="773"/>
      <c r="AQR35" s="773"/>
      <c r="AQS35" s="773"/>
      <c r="ARA35" s="1043"/>
      <c r="ARB35" s="1043"/>
      <c r="ARC35" s="773"/>
      <c r="ARE35" s="773"/>
      <c r="ARF35" s="773"/>
      <c r="ARN35" s="1043"/>
      <c r="ARO35" s="1043"/>
      <c r="ARP35" s="773"/>
      <c r="ARR35" s="773"/>
      <c r="ARS35" s="773"/>
      <c r="ASA35" s="1043"/>
      <c r="ASB35" s="1043"/>
      <c r="ASC35" s="773"/>
      <c r="ASE35" s="773"/>
      <c r="ASF35" s="773"/>
      <c r="ASN35" s="1043"/>
      <c r="ASO35" s="1043"/>
      <c r="ASP35" s="773"/>
      <c r="ASR35" s="773"/>
      <c r="ASS35" s="773"/>
      <c r="ATA35" s="1043"/>
      <c r="ATB35" s="1043"/>
      <c r="ATC35" s="773"/>
      <c r="ATE35" s="773"/>
      <c r="ATF35" s="773"/>
      <c r="ATN35" s="1043"/>
      <c r="ATO35" s="1043"/>
      <c r="ATP35" s="773"/>
      <c r="ATR35" s="773"/>
      <c r="ATS35" s="773"/>
      <c r="AUA35" s="1043"/>
      <c r="AUB35" s="1043"/>
      <c r="AUC35" s="773"/>
      <c r="AUE35" s="773"/>
      <c r="AUF35" s="773"/>
      <c r="AUN35" s="1043"/>
      <c r="AUO35" s="1043"/>
      <c r="AUP35" s="773"/>
      <c r="AUR35" s="773"/>
      <c r="AUS35" s="773"/>
      <c r="AVA35" s="1043"/>
      <c r="AVB35" s="1043"/>
      <c r="AVC35" s="773"/>
      <c r="AVE35" s="773"/>
      <c r="AVF35" s="773"/>
      <c r="AVN35" s="1043"/>
      <c r="AVO35" s="1043"/>
      <c r="AVP35" s="773"/>
      <c r="AVR35" s="773"/>
      <c r="AVS35" s="773"/>
      <c r="AWA35" s="1043"/>
      <c r="AWB35" s="1043"/>
      <c r="AWC35" s="773"/>
      <c r="AWE35" s="773"/>
      <c r="AWF35" s="773"/>
      <c r="AWN35" s="1043"/>
      <c r="AWO35" s="1043"/>
      <c r="AWP35" s="773"/>
      <c r="AWR35" s="773"/>
      <c r="AWS35" s="773"/>
      <c r="AXA35" s="1043"/>
      <c r="AXB35" s="1043"/>
      <c r="AXC35" s="773"/>
      <c r="AXE35" s="773"/>
      <c r="AXF35" s="773"/>
      <c r="AXN35" s="1043"/>
      <c r="AXO35" s="1043"/>
      <c r="AXP35" s="773"/>
      <c r="AXR35" s="773"/>
      <c r="AXS35" s="773"/>
      <c r="AYA35" s="1043"/>
      <c r="AYB35" s="1043"/>
      <c r="AYC35" s="773"/>
      <c r="AYE35" s="773"/>
      <c r="AYF35" s="773"/>
      <c r="AYN35" s="1043"/>
      <c r="AYO35" s="1043"/>
      <c r="AYP35" s="773"/>
      <c r="AYR35" s="773"/>
      <c r="AYS35" s="773"/>
      <c r="AZA35" s="1043"/>
      <c r="AZB35" s="1043"/>
      <c r="AZC35" s="773"/>
      <c r="AZE35" s="773"/>
      <c r="AZF35" s="773"/>
      <c r="AZN35" s="1043"/>
      <c r="AZO35" s="1043"/>
      <c r="AZP35" s="773"/>
      <c r="AZR35" s="773"/>
      <c r="AZS35" s="773"/>
      <c r="BAA35" s="1043"/>
      <c r="BAB35" s="1043"/>
      <c r="BAC35" s="773"/>
      <c r="BAE35" s="773"/>
      <c r="BAF35" s="773"/>
      <c r="BAN35" s="1043"/>
      <c r="BAO35" s="1043"/>
      <c r="BAP35" s="773"/>
      <c r="BAR35" s="773"/>
      <c r="BAS35" s="773"/>
      <c r="BBA35" s="1043"/>
      <c r="BBB35" s="1043"/>
      <c r="BBC35" s="773"/>
      <c r="BBE35" s="773"/>
      <c r="BBF35" s="773"/>
      <c r="BBN35" s="1043"/>
      <c r="BBO35" s="1043"/>
      <c r="BBP35" s="773"/>
      <c r="BBR35" s="773"/>
      <c r="BBS35" s="773"/>
      <c r="BCA35" s="1043"/>
      <c r="BCB35" s="1043"/>
      <c r="BCC35" s="773"/>
      <c r="BCE35" s="773"/>
      <c r="BCF35" s="773"/>
      <c r="BCN35" s="1043"/>
      <c r="BCO35" s="1043"/>
      <c r="BCP35" s="773"/>
      <c r="BCR35" s="773"/>
      <c r="BCS35" s="773"/>
      <c r="BDA35" s="1043"/>
      <c r="BDB35" s="1043"/>
      <c r="BDC35" s="773"/>
      <c r="BDE35" s="773"/>
      <c r="BDF35" s="773"/>
      <c r="BDN35" s="1043"/>
      <c r="BDO35" s="1043"/>
      <c r="BDP35" s="773"/>
      <c r="BDR35" s="773"/>
      <c r="BDS35" s="773"/>
      <c r="BEA35" s="1043"/>
      <c r="BEB35" s="1043"/>
      <c r="BEC35" s="773"/>
      <c r="BEE35" s="773"/>
      <c r="BEF35" s="773"/>
      <c r="BEN35" s="1043"/>
      <c r="BEO35" s="1043"/>
      <c r="BEP35" s="773"/>
      <c r="BER35" s="773"/>
      <c r="BES35" s="773"/>
      <c r="BFA35" s="1043"/>
      <c r="BFB35" s="1043"/>
      <c r="BFC35" s="773"/>
      <c r="BFE35" s="773"/>
      <c r="BFF35" s="773"/>
      <c r="BFN35" s="1043"/>
      <c r="BFO35" s="1043"/>
      <c r="BFP35" s="773"/>
      <c r="BFR35" s="773"/>
      <c r="BFS35" s="773"/>
      <c r="BGA35" s="1043"/>
      <c r="BGB35" s="1043"/>
      <c r="BGC35" s="773"/>
      <c r="BGE35" s="773"/>
      <c r="BGF35" s="773"/>
      <c r="BGN35" s="1043"/>
      <c r="BGO35" s="1043"/>
      <c r="BGP35" s="773"/>
      <c r="BGR35" s="773"/>
      <c r="BGS35" s="773"/>
      <c r="BHA35" s="1043"/>
      <c r="BHB35" s="1043"/>
      <c r="BHC35" s="773"/>
      <c r="BHE35" s="773"/>
      <c r="BHF35" s="773"/>
      <c r="BHN35" s="1043"/>
      <c r="BHO35" s="1043"/>
      <c r="BHP35" s="773"/>
      <c r="BHR35" s="773"/>
      <c r="BHS35" s="773"/>
      <c r="BIA35" s="1043"/>
      <c r="BIB35" s="1043"/>
      <c r="BIC35" s="773"/>
      <c r="BIE35" s="773"/>
      <c r="BIF35" s="773"/>
      <c r="BIN35" s="1043"/>
      <c r="BIO35" s="1043"/>
      <c r="BIP35" s="773"/>
      <c r="BIR35" s="773"/>
      <c r="BIS35" s="773"/>
      <c r="BJA35" s="1043"/>
      <c r="BJB35" s="1043"/>
      <c r="BJC35" s="773"/>
      <c r="BJE35" s="773"/>
      <c r="BJF35" s="773"/>
      <c r="BJN35" s="1043"/>
      <c r="BJO35" s="1043"/>
      <c r="BJP35" s="773"/>
      <c r="BJR35" s="773"/>
      <c r="BJS35" s="773"/>
      <c r="BKA35" s="1043"/>
      <c r="BKB35" s="1043"/>
      <c r="BKC35" s="773"/>
      <c r="BKE35" s="773"/>
      <c r="BKF35" s="773"/>
      <c r="BKN35" s="1043"/>
      <c r="BKO35" s="1043"/>
      <c r="BKP35" s="773"/>
      <c r="BKR35" s="773"/>
      <c r="BKS35" s="773"/>
      <c r="BLA35" s="1043"/>
      <c r="BLB35" s="1043"/>
      <c r="BLC35" s="773"/>
      <c r="BLE35" s="773"/>
      <c r="BLF35" s="773"/>
      <c r="BLN35" s="1043"/>
      <c r="BLO35" s="1043"/>
      <c r="BLP35" s="773"/>
      <c r="BLR35" s="773"/>
      <c r="BLS35" s="773"/>
      <c r="BMA35" s="1043"/>
      <c r="BMB35" s="1043"/>
      <c r="BMC35" s="773"/>
      <c r="BME35" s="773"/>
      <c r="BMF35" s="773"/>
      <c r="BMN35" s="1043"/>
      <c r="BMO35" s="1043"/>
      <c r="BMP35" s="773"/>
      <c r="BMR35" s="773"/>
      <c r="BMS35" s="773"/>
      <c r="BNA35" s="1043"/>
      <c r="BNB35" s="1043"/>
      <c r="BNC35" s="773"/>
      <c r="BNE35" s="773"/>
      <c r="BNF35" s="773"/>
      <c r="BNN35" s="1043"/>
      <c r="BNO35" s="1043"/>
      <c r="BNP35" s="773"/>
      <c r="BNR35" s="773"/>
      <c r="BNS35" s="773"/>
      <c r="BOA35" s="1043"/>
      <c r="BOB35" s="1043"/>
      <c r="BOC35" s="773"/>
      <c r="BOE35" s="773"/>
      <c r="BOF35" s="773"/>
      <c r="BON35" s="1043"/>
      <c r="BOO35" s="1043"/>
      <c r="BOP35" s="773"/>
      <c r="BOR35" s="773"/>
      <c r="BOS35" s="773"/>
      <c r="BPA35" s="1043"/>
      <c r="BPB35" s="1043"/>
      <c r="BPC35" s="773"/>
      <c r="BPE35" s="773"/>
      <c r="BPF35" s="773"/>
      <c r="BPN35" s="1043"/>
      <c r="BPO35" s="1043"/>
      <c r="BPP35" s="773"/>
      <c r="BPR35" s="773"/>
      <c r="BPS35" s="773"/>
      <c r="BQA35" s="1043"/>
      <c r="BQB35" s="1043"/>
      <c r="BQC35" s="773"/>
      <c r="BQE35" s="773"/>
      <c r="BQF35" s="773"/>
      <c r="BQN35" s="1043"/>
      <c r="BQO35" s="1043"/>
      <c r="BQP35" s="773"/>
      <c r="BQR35" s="773"/>
      <c r="BQS35" s="773"/>
      <c r="BRA35" s="1043"/>
      <c r="BRB35" s="1043"/>
      <c r="BRC35" s="773"/>
      <c r="BRE35" s="773"/>
      <c r="BRF35" s="773"/>
      <c r="BRN35" s="1043"/>
      <c r="BRO35" s="1043"/>
      <c r="BRP35" s="773"/>
      <c r="BRR35" s="773"/>
      <c r="BRS35" s="773"/>
      <c r="BSA35" s="1043"/>
      <c r="BSB35" s="1043"/>
      <c r="BSC35" s="773"/>
      <c r="BSE35" s="773"/>
      <c r="BSF35" s="773"/>
      <c r="BSN35" s="1043"/>
      <c r="BSO35" s="1043"/>
      <c r="BSP35" s="773"/>
      <c r="BSR35" s="773"/>
      <c r="BSS35" s="773"/>
      <c r="BTA35" s="1043"/>
      <c r="BTB35" s="1043"/>
      <c r="BTC35" s="773"/>
      <c r="BTE35" s="773"/>
      <c r="BTF35" s="773"/>
      <c r="BTN35" s="1043"/>
      <c r="BTO35" s="1043"/>
      <c r="BTP35" s="773"/>
      <c r="BTR35" s="773"/>
      <c r="BTS35" s="773"/>
      <c r="BUA35" s="1043"/>
      <c r="BUB35" s="1043"/>
      <c r="BUC35" s="773"/>
      <c r="BUE35" s="773"/>
      <c r="BUF35" s="773"/>
      <c r="BUN35" s="1043"/>
      <c r="BUO35" s="1043"/>
      <c r="BUP35" s="773"/>
      <c r="BUR35" s="773"/>
      <c r="BUS35" s="773"/>
      <c r="BVA35" s="1043"/>
      <c r="BVB35" s="1043"/>
      <c r="BVC35" s="773"/>
      <c r="BVE35" s="773"/>
      <c r="BVF35" s="773"/>
      <c r="BVN35" s="1043"/>
      <c r="BVO35" s="1043"/>
      <c r="BVP35" s="773"/>
      <c r="BVR35" s="773"/>
      <c r="BVS35" s="773"/>
      <c r="BWA35" s="1043"/>
      <c r="BWB35" s="1043"/>
      <c r="BWC35" s="773"/>
      <c r="BWE35" s="773"/>
      <c r="BWF35" s="773"/>
      <c r="BWN35" s="1043"/>
      <c r="BWO35" s="1043"/>
      <c r="BWP35" s="773"/>
      <c r="BWR35" s="773"/>
      <c r="BWS35" s="773"/>
      <c r="BXA35" s="1043"/>
      <c r="BXB35" s="1043"/>
      <c r="BXC35" s="773"/>
      <c r="BXE35" s="773"/>
      <c r="BXF35" s="773"/>
      <c r="BXN35" s="1043"/>
      <c r="BXO35" s="1043"/>
      <c r="BXP35" s="773"/>
      <c r="BXR35" s="773"/>
      <c r="BXS35" s="773"/>
      <c r="BYA35" s="1043"/>
      <c r="BYB35" s="1043"/>
      <c r="BYC35" s="773"/>
      <c r="BYE35" s="773"/>
      <c r="BYF35" s="773"/>
      <c r="BYN35" s="1043"/>
      <c r="BYO35" s="1043"/>
      <c r="BYP35" s="773"/>
      <c r="BYR35" s="773"/>
      <c r="BYS35" s="773"/>
      <c r="BZA35" s="1043"/>
      <c r="BZB35" s="1043"/>
      <c r="BZC35" s="773"/>
      <c r="BZE35" s="773"/>
      <c r="BZF35" s="773"/>
      <c r="BZN35" s="1043"/>
      <c r="BZO35" s="1043"/>
      <c r="BZP35" s="773"/>
      <c r="BZR35" s="773"/>
      <c r="BZS35" s="773"/>
      <c r="CAA35" s="1043"/>
      <c r="CAB35" s="1043"/>
      <c r="CAC35" s="773"/>
      <c r="CAE35" s="773"/>
      <c r="CAF35" s="773"/>
      <c r="CAN35" s="1043"/>
      <c r="CAO35" s="1043"/>
      <c r="CAP35" s="773"/>
      <c r="CAR35" s="773"/>
      <c r="CAS35" s="773"/>
      <c r="CBA35" s="1043"/>
      <c r="CBB35" s="1043"/>
      <c r="CBC35" s="773"/>
      <c r="CBE35" s="773"/>
      <c r="CBF35" s="773"/>
      <c r="CBN35" s="1043"/>
      <c r="CBO35" s="1043"/>
      <c r="CBP35" s="773"/>
      <c r="CBR35" s="773"/>
      <c r="CBS35" s="773"/>
      <c r="CCA35" s="1043"/>
      <c r="CCB35" s="1043"/>
      <c r="CCC35" s="773"/>
      <c r="CCE35" s="773"/>
      <c r="CCF35" s="773"/>
      <c r="CCN35" s="1043"/>
      <c r="CCO35" s="1043"/>
      <c r="CCP35" s="773"/>
      <c r="CCR35" s="773"/>
      <c r="CCS35" s="773"/>
      <c r="CDA35" s="1043"/>
      <c r="CDB35" s="1043"/>
      <c r="CDC35" s="773"/>
      <c r="CDE35" s="773"/>
      <c r="CDF35" s="773"/>
      <c r="CDN35" s="1043"/>
      <c r="CDO35" s="1043"/>
      <c r="CDP35" s="773"/>
      <c r="CDR35" s="773"/>
      <c r="CDS35" s="773"/>
      <c r="CEA35" s="1043"/>
      <c r="CEB35" s="1043"/>
      <c r="CEC35" s="773"/>
      <c r="CEE35" s="773"/>
      <c r="CEF35" s="773"/>
      <c r="CEN35" s="1043"/>
      <c r="CEO35" s="1043"/>
      <c r="CEP35" s="773"/>
      <c r="CER35" s="773"/>
      <c r="CES35" s="773"/>
      <c r="CFA35" s="1043"/>
      <c r="CFB35" s="1043"/>
      <c r="CFC35" s="773"/>
      <c r="CFE35" s="773"/>
      <c r="CFF35" s="773"/>
      <c r="CFN35" s="1043"/>
      <c r="CFO35" s="1043"/>
      <c r="CFP35" s="773"/>
      <c r="CFR35" s="773"/>
      <c r="CFS35" s="773"/>
      <c r="CGA35" s="1043"/>
      <c r="CGB35" s="1043"/>
      <c r="CGC35" s="773"/>
      <c r="CGE35" s="773"/>
      <c r="CGF35" s="773"/>
      <c r="CGN35" s="1043"/>
      <c r="CGO35" s="1043"/>
      <c r="CGP35" s="773"/>
      <c r="CGR35" s="773"/>
      <c r="CGS35" s="773"/>
      <c r="CHA35" s="1043"/>
      <c r="CHB35" s="1043"/>
      <c r="CHC35" s="773"/>
      <c r="CHE35" s="773"/>
      <c r="CHF35" s="773"/>
      <c r="CHN35" s="1043"/>
      <c r="CHO35" s="1043"/>
      <c r="CHP35" s="773"/>
      <c r="CHR35" s="773"/>
      <c r="CHS35" s="773"/>
      <c r="CIA35" s="1043"/>
      <c r="CIB35" s="1043"/>
      <c r="CIC35" s="773"/>
      <c r="CIE35" s="773"/>
      <c r="CIF35" s="773"/>
      <c r="CIN35" s="1043"/>
      <c r="CIO35" s="1043"/>
      <c r="CIP35" s="773"/>
      <c r="CIR35" s="773"/>
      <c r="CIS35" s="773"/>
      <c r="CJA35" s="1043"/>
      <c r="CJB35" s="1043"/>
      <c r="CJC35" s="773"/>
      <c r="CJE35" s="773"/>
      <c r="CJF35" s="773"/>
      <c r="CJN35" s="1043"/>
      <c r="CJO35" s="1043"/>
      <c r="CJP35" s="773"/>
      <c r="CJR35" s="773"/>
      <c r="CJS35" s="773"/>
      <c r="CKA35" s="1043"/>
      <c r="CKB35" s="1043"/>
      <c r="CKC35" s="773"/>
      <c r="CKE35" s="773"/>
      <c r="CKF35" s="773"/>
      <c r="CKN35" s="1043"/>
      <c r="CKO35" s="1043"/>
      <c r="CKP35" s="773"/>
      <c r="CKR35" s="773"/>
      <c r="CKS35" s="773"/>
      <c r="CLA35" s="1043"/>
      <c r="CLB35" s="1043"/>
      <c r="CLC35" s="773"/>
      <c r="CLE35" s="773"/>
      <c r="CLF35" s="773"/>
      <c r="CLN35" s="1043"/>
      <c r="CLO35" s="1043"/>
      <c r="CLP35" s="773"/>
      <c r="CLR35" s="773"/>
      <c r="CLS35" s="773"/>
      <c r="CMA35" s="1043"/>
      <c r="CMB35" s="1043"/>
      <c r="CMC35" s="773"/>
      <c r="CME35" s="773"/>
      <c r="CMF35" s="773"/>
      <c r="CMN35" s="1043"/>
      <c r="CMO35" s="1043"/>
      <c r="CMP35" s="773"/>
      <c r="CMR35" s="773"/>
      <c r="CMS35" s="773"/>
      <c r="CNA35" s="1043"/>
      <c r="CNB35" s="1043"/>
      <c r="CNC35" s="773"/>
      <c r="CNE35" s="773"/>
      <c r="CNF35" s="773"/>
      <c r="CNN35" s="1043"/>
      <c r="CNO35" s="1043"/>
      <c r="CNP35" s="773"/>
      <c r="CNR35" s="773"/>
      <c r="CNS35" s="773"/>
      <c r="COA35" s="1043"/>
      <c r="COB35" s="1043"/>
      <c r="COC35" s="773"/>
      <c r="COE35" s="773"/>
      <c r="COF35" s="773"/>
      <c r="CON35" s="1043"/>
      <c r="COO35" s="1043"/>
      <c r="COP35" s="773"/>
      <c r="COR35" s="773"/>
      <c r="COS35" s="773"/>
      <c r="CPA35" s="1043"/>
      <c r="CPB35" s="1043"/>
      <c r="CPC35" s="773"/>
      <c r="CPE35" s="773"/>
      <c r="CPF35" s="773"/>
      <c r="CPN35" s="1043"/>
      <c r="CPO35" s="1043"/>
      <c r="CPP35" s="773"/>
      <c r="CPR35" s="773"/>
      <c r="CPS35" s="773"/>
      <c r="CQA35" s="1043"/>
      <c r="CQB35" s="1043"/>
      <c r="CQC35" s="773"/>
      <c r="CQE35" s="773"/>
      <c r="CQF35" s="773"/>
      <c r="CQN35" s="1043"/>
      <c r="CQO35" s="1043"/>
      <c r="CQP35" s="773"/>
      <c r="CQR35" s="773"/>
      <c r="CQS35" s="773"/>
      <c r="CRA35" s="1043"/>
      <c r="CRB35" s="1043"/>
      <c r="CRC35" s="773"/>
      <c r="CRE35" s="773"/>
      <c r="CRF35" s="773"/>
      <c r="CRN35" s="1043"/>
      <c r="CRO35" s="1043"/>
      <c r="CRP35" s="773"/>
      <c r="CRR35" s="773"/>
      <c r="CRS35" s="773"/>
      <c r="CSA35" s="1043"/>
      <c r="CSB35" s="1043"/>
      <c r="CSC35" s="773"/>
      <c r="CSE35" s="773"/>
      <c r="CSF35" s="773"/>
      <c r="CSN35" s="1043"/>
      <c r="CSO35" s="1043"/>
      <c r="CSP35" s="773"/>
      <c r="CSR35" s="773"/>
      <c r="CSS35" s="773"/>
      <c r="CTA35" s="1043"/>
      <c r="CTB35" s="1043"/>
      <c r="CTC35" s="773"/>
      <c r="CTE35" s="773"/>
      <c r="CTF35" s="773"/>
      <c r="CTN35" s="1043"/>
      <c r="CTO35" s="1043"/>
      <c r="CTP35" s="773"/>
      <c r="CTR35" s="773"/>
      <c r="CTS35" s="773"/>
      <c r="CUA35" s="1043"/>
      <c r="CUB35" s="1043"/>
      <c r="CUC35" s="773"/>
      <c r="CUE35" s="773"/>
      <c r="CUF35" s="773"/>
      <c r="CUN35" s="1043"/>
      <c r="CUO35" s="1043"/>
      <c r="CUP35" s="773"/>
      <c r="CUR35" s="773"/>
      <c r="CUS35" s="773"/>
      <c r="CVA35" s="1043"/>
      <c r="CVB35" s="1043"/>
      <c r="CVC35" s="773"/>
      <c r="CVE35" s="773"/>
      <c r="CVF35" s="773"/>
      <c r="CVN35" s="1043"/>
      <c r="CVO35" s="1043"/>
      <c r="CVP35" s="773"/>
      <c r="CVR35" s="773"/>
      <c r="CVS35" s="773"/>
      <c r="CWA35" s="1043"/>
      <c r="CWB35" s="1043"/>
      <c r="CWC35" s="773"/>
      <c r="CWE35" s="773"/>
      <c r="CWF35" s="773"/>
      <c r="CWN35" s="1043"/>
      <c r="CWO35" s="1043"/>
      <c r="CWP35" s="773"/>
      <c r="CWR35" s="773"/>
      <c r="CWS35" s="773"/>
      <c r="CXA35" s="1043"/>
      <c r="CXB35" s="1043"/>
      <c r="CXC35" s="773"/>
      <c r="CXE35" s="773"/>
      <c r="CXF35" s="773"/>
      <c r="CXN35" s="1043"/>
      <c r="CXO35" s="1043"/>
      <c r="CXP35" s="773"/>
      <c r="CXR35" s="773"/>
      <c r="CXS35" s="773"/>
      <c r="CYA35" s="1043"/>
      <c r="CYB35" s="1043"/>
      <c r="CYC35" s="773"/>
      <c r="CYE35" s="773"/>
      <c r="CYF35" s="773"/>
      <c r="CYN35" s="1043"/>
      <c r="CYO35" s="1043"/>
      <c r="CYP35" s="773"/>
      <c r="CYR35" s="773"/>
      <c r="CYS35" s="773"/>
      <c r="CZA35" s="1043"/>
      <c r="CZB35" s="1043"/>
      <c r="CZC35" s="773"/>
      <c r="CZE35" s="773"/>
      <c r="CZF35" s="773"/>
      <c r="CZN35" s="1043"/>
      <c r="CZO35" s="1043"/>
      <c r="CZP35" s="773"/>
      <c r="CZR35" s="773"/>
      <c r="CZS35" s="773"/>
      <c r="DAA35" s="1043"/>
      <c r="DAB35" s="1043"/>
      <c r="DAC35" s="773"/>
      <c r="DAE35" s="773"/>
      <c r="DAF35" s="773"/>
      <c r="DAN35" s="1043"/>
      <c r="DAO35" s="1043"/>
      <c r="DAP35" s="773"/>
      <c r="DAR35" s="773"/>
      <c r="DAS35" s="773"/>
      <c r="DBA35" s="1043"/>
      <c r="DBB35" s="1043"/>
      <c r="DBC35" s="773"/>
      <c r="DBE35" s="773"/>
      <c r="DBF35" s="773"/>
      <c r="DBN35" s="1043"/>
      <c r="DBO35" s="1043"/>
      <c r="DBP35" s="773"/>
      <c r="DBR35" s="773"/>
      <c r="DBS35" s="773"/>
      <c r="DCA35" s="1043"/>
      <c r="DCB35" s="1043"/>
      <c r="DCC35" s="773"/>
      <c r="DCE35" s="773"/>
      <c r="DCF35" s="773"/>
      <c r="DCN35" s="1043"/>
      <c r="DCO35" s="1043"/>
      <c r="DCP35" s="773"/>
      <c r="DCR35" s="773"/>
      <c r="DCS35" s="773"/>
      <c r="DDA35" s="1043"/>
      <c r="DDB35" s="1043"/>
      <c r="DDC35" s="773"/>
      <c r="DDE35" s="773"/>
      <c r="DDF35" s="773"/>
      <c r="DDN35" s="1043"/>
      <c r="DDO35" s="1043"/>
      <c r="DDP35" s="773"/>
      <c r="DDR35" s="773"/>
      <c r="DDS35" s="773"/>
      <c r="DEA35" s="1043"/>
      <c r="DEB35" s="1043"/>
      <c r="DEC35" s="773"/>
      <c r="DEE35" s="773"/>
      <c r="DEF35" s="773"/>
      <c r="DEN35" s="1043"/>
      <c r="DEO35" s="1043"/>
      <c r="DEP35" s="773"/>
      <c r="DER35" s="773"/>
      <c r="DES35" s="773"/>
      <c r="DFA35" s="1043"/>
      <c r="DFB35" s="1043"/>
      <c r="DFC35" s="773"/>
      <c r="DFE35" s="773"/>
      <c r="DFF35" s="773"/>
      <c r="DFN35" s="1043"/>
      <c r="DFO35" s="1043"/>
      <c r="DFP35" s="773"/>
      <c r="DFR35" s="773"/>
      <c r="DFS35" s="773"/>
      <c r="DGA35" s="1043"/>
      <c r="DGB35" s="1043"/>
      <c r="DGC35" s="773"/>
      <c r="DGE35" s="773"/>
      <c r="DGF35" s="773"/>
      <c r="DGN35" s="1043"/>
      <c r="DGO35" s="1043"/>
      <c r="DGP35" s="773"/>
      <c r="DGR35" s="773"/>
      <c r="DGS35" s="773"/>
      <c r="DHA35" s="1043"/>
      <c r="DHB35" s="1043"/>
      <c r="DHC35" s="773"/>
      <c r="DHE35" s="773"/>
      <c r="DHF35" s="773"/>
      <c r="DHN35" s="1043"/>
      <c r="DHO35" s="1043"/>
      <c r="DHP35" s="773"/>
      <c r="DHR35" s="773"/>
      <c r="DHS35" s="773"/>
      <c r="DIA35" s="1043"/>
      <c r="DIB35" s="1043"/>
      <c r="DIC35" s="773"/>
      <c r="DIE35" s="773"/>
      <c r="DIF35" s="773"/>
      <c r="DIN35" s="1043"/>
      <c r="DIO35" s="1043"/>
      <c r="DIP35" s="773"/>
      <c r="DIR35" s="773"/>
      <c r="DIS35" s="773"/>
      <c r="DJA35" s="1043"/>
      <c r="DJB35" s="1043"/>
      <c r="DJC35" s="773"/>
      <c r="DJE35" s="773"/>
      <c r="DJF35" s="773"/>
      <c r="DJN35" s="1043"/>
      <c r="DJO35" s="1043"/>
      <c r="DJP35" s="773"/>
      <c r="DJR35" s="773"/>
      <c r="DJS35" s="773"/>
      <c r="DKA35" s="1043"/>
      <c r="DKB35" s="1043"/>
      <c r="DKC35" s="773"/>
      <c r="DKE35" s="773"/>
      <c r="DKF35" s="773"/>
      <c r="DKN35" s="1043"/>
      <c r="DKO35" s="1043"/>
      <c r="DKP35" s="773"/>
      <c r="DKR35" s="773"/>
      <c r="DKS35" s="773"/>
      <c r="DLA35" s="1043"/>
      <c r="DLB35" s="1043"/>
      <c r="DLC35" s="773"/>
      <c r="DLE35" s="773"/>
      <c r="DLF35" s="773"/>
      <c r="DLN35" s="1043"/>
      <c r="DLO35" s="1043"/>
      <c r="DLP35" s="773"/>
      <c r="DLR35" s="773"/>
      <c r="DLS35" s="773"/>
      <c r="DMA35" s="1043"/>
      <c r="DMB35" s="1043"/>
      <c r="DMC35" s="773"/>
      <c r="DME35" s="773"/>
      <c r="DMF35" s="773"/>
      <c r="DMN35" s="1043"/>
      <c r="DMO35" s="1043"/>
      <c r="DMP35" s="773"/>
      <c r="DMR35" s="773"/>
      <c r="DMS35" s="773"/>
      <c r="DNA35" s="1043"/>
      <c r="DNB35" s="1043"/>
      <c r="DNC35" s="773"/>
      <c r="DNE35" s="773"/>
      <c r="DNF35" s="773"/>
      <c r="DNN35" s="1043"/>
      <c r="DNO35" s="1043"/>
      <c r="DNP35" s="773"/>
      <c r="DNR35" s="773"/>
      <c r="DNS35" s="773"/>
      <c r="DOA35" s="1043"/>
      <c r="DOB35" s="1043"/>
      <c r="DOC35" s="773"/>
      <c r="DOE35" s="773"/>
      <c r="DOF35" s="773"/>
      <c r="DON35" s="1043"/>
      <c r="DOO35" s="1043"/>
      <c r="DOP35" s="773"/>
      <c r="DOR35" s="773"/>
      <c r="DOS35" s="773"/>
      <c r="DPA35" s="1043"/>
      <c r="DPB35" s="1043"/>
      <c r="DPC35" s="773"/>
      <c r="DPE35" s="773"/>
      <c r="DPF35" s="773"/>
      <c r="DPN35" s="1043"/>
      <c r="DPO35" s="1043"/>
      <c r="DPP35" s="773"/>
      <c r="DPR35" s="773"/>
      <c r="DPS35" s="773"/>
      <c r="DQA35" s="1043"/>
      <c r="DQB35" s="1043"/>
      <c r="DQC35" s="773"/>
      <c r="DQE35" s="773"/>
      <c r="DQF35" s="773"/>
      <c r="DQN35" s="1043"/>
      <c r="DQO35" s="1043"/>
      <c r="DQP35" s="773"/>
      <c r="DQR35" s="773"/>
      <c r="DQS35" s="773"/>
      <c r="DRA35" s="1043"/>
      <c r="DRB35" s="1043"/>
      <c r="DRC35" s="773"/>
      <c r="DRE35" s="773"/>
      <c r="DRF35" s="773"/>
      <c r="DRN35" s="1043"/>
      <c r="DRO35" s="1043"/>
      <c r="DRP35" s="773"/>
      <c r="DRR35" s="773"/>
      <c r="DRS35" s="773"/>
      <c r="DSA35" s="1043"/>
      <c r="DSB35" s="1043"/>
      <c r="DSC35" s="773"/>
      <c r="DSE35" s="773"/>
      <c r="DSF35" s="773"/>
      <c r="DSN35" s="1043"/>
      <c r="DSO35" s="1043"/>
      <c r="DSP35" s="773"/>
      <c r="DSR35" s="773"/>
      <c r="DSS35" s="773"/>
      <c r="DTA35" s="1043"/>
      <c r="DTB35" s="1043"/>
      <c r="DTC35" s="773"/>
      <c r="DTE35" s="773"/>
      <c r="DTF35" s="773"/>
      <c r="DTN35" s="1043"/>
      <c r="DTO35" s="1043"/>
      <c r="DTP35" s="773"/>
      <c r="DTR35" s="773"/>
      <c r="DTS35" s="773"/>
      <c r="DUA35" s="1043"/>
      <c r="DUB35" s="1043"/>
      <c r="DUC35" s="773"/>
      <c r="DUE35" s="773"/>
      <c r="DUF35" s="773"/>
      <c r="DUN35" s="1043"/>
      <c r="DUO35" s="1043"/>
      <c r="DUP35" s="773"/>
      <c r="DUR35" s="773"/>
      <c r="DUS35" s="773"/>
      <c r="DVA35" s="1043"/>
      <c r="DVB35" s="1043"/>
      <c r="DVC35" s="773"/>
      <c r="DVE35" s="773"/>
      <c r="DVF35" s="773"/>
      <c r="DVN35" s="1043"/>
      <c r="DVO35" s="1043"/>
      <c r="DVP35" s="773"/>
      <c r="DVR35" s="773"/>
      <c r="DVS35" s="773"/>
      <c r="DWA35" s="1043"/>
      <c r="DWB35" s="1043"/>
      <c r="DWC35" s="773"/>
      <c r="DWE35" s="773"/>
      <c r="DWF35" s="773"/>
      <c r="DWN35" s="1043"/>
      <c r="DWO35" s="1043"/>
      <c r="DWP35" s="773"/>
      <c r="DWR35" s="773"/>
      <c r="DWS35" s="773"/>
      <c r="DXA35" s="1043"/>
      <c r="DXB35" s="1043"/>
      <c r="DXC35" s="773"/>
      <c r="DXE35" s="773"/>
      <c r="DXF35" s="773"/>
      <c r="DXN35" s="1043"/>
      <c r="DXO35" s="1043"/>
      <c r="DXP35" s="773"/>
      <c r="DXR35" s="773"/>
      <c r="DXS35" s="773"/>
      <c r="DYA35" s="1043"/>
      <c r="DYB35" s="1043"/>
      <c r="DYC35" s="773"/>
      <c r="DYE35" s="773"/>
      <c r="DYF35" s="773"/>
      <c r="DYN35" s="1043"/>
      <c r="DYO35" s="1043"/>
      <c r="DYP35" s="773"/>
      <c r="DYR35" s="773"/>
      <c r="DYS35" s="773"/>
      <c r="DZA35" s="1043"/>
      <c r="DZB35" s="1043"/>
      <c r="DZC35" s="773"/>
      <c r="DZE35" s="773"/>
      <c r="DZF35" s="773"/>
      <c r="DZN35" s="1043"/>
      <c r="DZO35" s="1043"/>
      <c r="DZP35" s="773"/>
      <c r="DZR35" s="773"/>
      <c r="DZS35" s="773"/>
      <c r="EAA35" s="1043"/>
      <c r="EAB35" s="1043"/>
      <c r="EAC35" s="773"/>
      <c r="EAE35" s="773"/>
      <c r="EAF35" s="773"/>
      <c r="EAN35" s="1043"/>
      <c r="EAO35" s="1043"/>
      <c r="EAP35" s="773"/>
      <c r="EAR35" s="773"/>
      <c r="EAS35" s="773"/>
      <c r="EBA35" s="1043"/>
      <c r="EBB35" s="1043"/>
      <c r="EBC35" s="773"/>
      <c r="EBE35" s="773"/>
      <c r="EBF35" s="773"/>
      <c r="EBN35" s="1043"/>
      <c r="EBO35" s="1043"/>
      <c r="EBP35" s="773"/>
      <c r="EBR35" s="773"/>
      <c r="EBS35" s="773"/>
      <c r="ECA35" s="1043"/>
      <c r="ECB35" s="1043"/>
      <c r="ECC35" s="773"/>
      <c r="ECE35" s="773"/>
      <c r="ECF35" s="773"/>
      <c r="ECN35" s="1043"/>
      <c r="ECO35" s="1043"/>
      <c r="ECP35" s="773"/>
      <c r="ECR35" s="773"/>
      <c r="ECS35" s="773"/>
      <c r="EDA35" s="1043"/>
      <c r="EDB35" s="1043"/>
      <c r="EDC35" s="773"/>
      <c r="EDE35" s="773"/>
      <c r="EDF35" s="773"/>
      <c r="EDN35" s="1043"/>
      <c r="EDO35" s="1043"/>
      <c r="EDP35" s="773"/>
      <c r="EDR35" s="773"/>
      <c r="EDS35" s="773"/>
      <c r="EEA35" s="1043"/>
      <c r="EEB35" s="1043"/>
      <c r="EEC35" s="773"/>
      <c r="EEE35" s="773"/>
      <c r="EEF35" s="773"/>
      <c r="EEN35" s="1043"/>
      <c r="EEO35" s="1043"/>
      <c r="EEP35" s="773"/>
      <c r="EER35" s="773"/>
      <c r="EES35" s="773"/>
      <c r="EFA35" s="1043"/>
      <c r="EFB35" s="1043"/>
      <c r="EFC35" s="773"/>
      <c r="EFE35" s="773"/>
      <c r="EFF35" s="773"/>
      <c r="EFN35" s="1043"/>
      <c r="EFO35" s="1043"/>
      <c r="EFP35" s="773"/>
      <c r="EFR35" s="773"/>
      <c r="EFS35" s="773"/>
      <c r="EGA35" s="1043"/>
      <c r="EGB35" s="1043"/>
      <c r="EGC35" s="773"/>
      <c r="EGE35" s="773"/>
      <c r="EGF35" s="773"/>
      <c r="EGN35" s="1043"/>
      <c r="EGO35" s="1043"/>
      <c r="EGP35" s="773"/>
      <c r="EGR35" s="773"/>
      <c r="EGS35" s="773"/>
      <c r="EHA35" s="1043"/>
      <c r="EHB35" s="1043"/>
      <c r="EHC35" s="773"/>
      <c r="EHE35" s="773"/>
      <c r="EHF35" s="773"/>
      <c r="EHN35" s="1043"/>
      <c r="EHO35" s="1043"/>
      <c r="EHP35" s="773"/>
      <c r="EHR35" s="773"/>
      <c r="EHS35" s="773"/>
      <c r="EIA35" s="1043"/>
      <c r="EIB35" s="1043"/>
      <c r="EIC35" s="773"/>
      <c r="EIE35" s="773"/>
      <c r="EIF35" s="773"/>
      <c r="EIN35" s="1043"/>
      <c r="EIO35" s="1043"/>
      <c r="EIP35" s="773"/>
      <c r="EIR35" s="773"/>
      <c r="EIS35" s="773"/>
      <c r="EJA35" s="1043"/>
      <c r="EJB35" s="1043"/>
      <c r="EJC35" s="773"/>
      <c r="EJE35" s="773"/>
      <c r="EJF35" s="773"/>
      <c r="EJN35" s="1043"/>
      <c r="EJO35" s="1043"/>
      <c r="EJP35" s="773"/>
      <c r="EJR35" s="773"/>
      <c r="EJS35" s="773"/>
      <c r="EKA35" s="1043"/>
      <c r="EKB35" s="1043"/>
      <c r="EKC35" s="773"/>
      <c r="EKE35" s="773"/>
      <c r="EKF35" s="773"/>
      <c r="EKN35" s="1043"/>
      <c r="EKO35" s="1043"/>
      <c r="EKP35" s="773"/>
      <c r="EKR35" s="773"/>
      <c r="EKS35" s="773"/>
      <c r="ELA35" s="1043"/>
      <c r="ELB35" s="1043"/>
      <c r="ELC35" s="773"/>
      <c r="ELE35" s="773"/>
      <c r="ELF35" s="773"/>
      <c r="ELN35" s="1043"/>
      <c r="ELO35" s="1043"/>
      <c r="ELP35" s="773"/>
      <c r="ELR35" s="773"/>
      <c r="ELS35" s="773"/>
      <c r="EMA35" s="1043"/>
      <c r="EMB35" s="1043"/>
      <c r="EMC35" s="773"/>
      <c r="EME35" s="773"/>
      <c r="EMF35" s="773"/>
      <c r="EMN35" s="1043"/>
      <c r="EMO35" s="1043"/>
      <c r="EMP35" s="773"/>
      <c r="EMR35" s="773"/>
      <c r="EMS35" s="773"/>
      <c r="ENA35" s="1043"/>
      <c r="ENB35" s="1043"/>
      <c r="ENC35" s="773"/>
      <c r="ENE35" s="773"/>
      <c r="ENF35" s="773"/>
      <c r="ENN35" s="1043"/>
      <c r="ENO35" s="1043"/>
      <c r="ENP35" s="773"/>
      <c r="ENR35" s="773"/>
      <c r="ENS35" s="773"/>
      <c r="EOA35" s="1043"/>
      <c r="EOB35" s="1043"/>
      <c r="EOC35" s="773"/>
      <c r="EOE35" s="773"/>
      <c r="EOF35" s="773"/>
      <c r="EON35" s="1043"/>
      <c r="EOO35" s="1043"/>
      <c r="EOP35" s="773"/>
      <c r="EOR35" s="773"/>
      <c r="EOS35" s="773"/>
      <c r="EPA35" s="1043"/>
      <c r="EPB35" s="1043"/>
      <c r="EPC35" s="773"/>
      <c r="EPE35" s="773"/>
      <c r="EPF35" s="773"/>
      <c r="EPN35" s="1043"/>
      <c r="EPO35" s="1043"/>
      <c r="EPP35" s="773"/>
      <c r="EPR35" s="773"/>
      <c r="EPS35" s="773"/>
      <c r="EQA35" s="1043"/>
      <c r="EQB35" s="1043"/>
      <c r="EQC35" s="773"/>
      <c r="EQE35" s="773"/>
      <c r="EQF35" s="773"/>
      <c r="EQN35" s="1043"/>
      <c r="EQO35" s="1043"/>
      <c r="EQP35" s="773"/>
      <c r="EQR35" s="773"/>
      <c r="EQS35" s="773"/>
      <c r="ERA35" s="1043"/>
      <c r="ERB35" s="1043"/>
      <c r="ERC35" s="773"/>
      <c r="ERE35" s="773"/>
      <c r="ERF35" s="773"/>
      <c r="ERN35" s="1043"/>
      <c r="ERO35" s="1043"/>
      <c r="ERP35" s="773"/>
      <c r="ERR35" s="773"/>
      <c r="ERS35" s="773"/>
      <c r="ESA35" s="1043"/>
      <c r="ESB35" s="1043"/>
      <c r="ESC35" s="773"/>
      <c r="ESE35" s="773"/>
      <c r="ESF35" s="773"/>
      <c r="ESN35" s="1043"/>
      <c r="ESO35" s="1043"/>
      <c r="ESP35" s="773"/>
      <c r="ESR35" s="773"/>
      <c r="ESS35" s="773"/>
      <c r="ETA35" s="1043"/>
      <c r="ETB35" s="1043"/>
      <c r="ETC35" s="773"/>
      <c r="ETE35" s="773"/>
      <c r="ETF35" s="773"/>
      <c r="ETN35" s="1043"/>
      <c r="ETO35" s="1043"/>
      <c r="ETP35" s="773"/>
      <c r="ETR35" s="773"/>
      <c r="ETS35" s="773"/>
      <c r="EUA35" s="1043"/>
      <c r="EUB35" s="1043"/>
      <c r="EUC35" s="773"/>
      <c r="EUE35" s="773"/>
      <c r="EUF35" s="773"/>
      <c r="EUN35" s="1043"/>
      <c r="EUO35" s="1043"/>
      <c r="EUP35" s="773"/>
      <c r="EUR35" s="773"/>
      <c r="EUS35" s="773"/>
      <c r="EVA35" s="1043"/>
      <c r="EVB35" s="1043"/>
      <c r="EVC35" s="773"/>
      <c r="EVE35" s="773"/>
      <c r="EVF35" s="773"/>
      <c r="EVN35" s="1043"/>
      <c r="EVO35" s="1043"/>
      <c r="EVP35" s="773"/>
      <c r="EVR35" s="773"/>
      <c r="EVS35" s="773"/>
      <c r="EWA35" s="1043"/>
      <c r="EWB35" s="1043"/>
      <c r="EWC35" s="773"/>
      <c r="EWE35" s="773"/>
      <c r="EWF35" s="773"/>
      <c r="EWN35" s="1043"/>
      <c r="EWO35" s="1043"/>
      <c r="EWP35" s="773"/>
      <c r="EWR35" s="773"/>
      <c r="EWS35" s="773"/>
      <c r="EXA35" s="1043"/>
      <c r="EXB35" s="1043"/>
      <c r="EXC35" s="773"/>
      <c r="EXE35" s="773"/>
      <c r="EXF35" s="773"/>
      <c r="EXN35" s="1043"/>
      <c r="EXO35" s="1043"/>
      <c r="EXP35" s="773"/>
      <c r="EXR35" s="773"/>
      <c r="EXS35" s="773"/>
      <c r="EYA35" s="1043"/>
      <c r="EYB35" s="1043"/>
      <c r="EYC35" s="773"/>
      <c r="EYE35" s="773"/>
      <c r="EYF35" s="773"/>
      <c r="EYN35" s="1043"/>
      <c r="EYO35" s="1043"/>
      <c r="EYP35" s="773"/>
      <c r="EYR35" s="773"/>
      <c r="EYS35" s="773"/>
      <c r="EZA35" s="1043"/>
      <c r="EZB35" s="1043"/>
      <c r="EZC35" s="773"/>
      <c r="EZE35" s="773"/>
      <c r="EZF35" s="773"/>
      <c r="EZN35" s="1043"/>
      <c r="EZO35" s="1043"/>
      <c r="EZP35" s="773"/>
      <c r="EZR35" s="773"/>
      <c r="EZS35" s="773"/>
      <c r="FAA35" s="1043"/>
      <c r="FAB35" s="1043"/>
      <c r="FAC35" s="773"/>
      <c r="FAE35" s="773"/>
      <c r="FAF35" s="773"/>
      <c r="FAN35" s="1043"/>
      <c r="FAO35" s="1043"/>
      <c r="FAP35" s="773"/>
      <c r="FAR35" s="773"/>
      <c r="FAS35" s="773"/>
      <c r="FBA35" s="1043"/>
      <c r="FBB35" s="1043"/>
      <c r="FBC35" s="773"/>
      <c r="FBE35" s="773"/>
      <c r="FBF35" s="773"/>
      <c r="FBN35" s="1043"/>
      <c r="FBO35" s="1043"/>
      <c r="FBP35" s="773"/>
      <c r="FBR35" s="773"/>
      <c r="FBS35" s="773"/>
      <c r="FCA35" s="1043"/>
      <c r="FCB35" s="1043"/>
      <c r="FCC35" s="773"/>
      <c r="FCE35" s="773"/>
      <c r="FCF35" s="773"/>
      <c r="FCN35" s="1043"/>
      <c r="FCO35" s="1043"/>
      <c r="FCP35" s="773"/>
      <c r="FCR35" s="773"/>
      <c r="FCS35" s="773"/>
      <c r="FDA35" s="1043"/>
      <c r="FDB35" s="1043"/>
      <c r="FDC35" s="773"/>
      <c r="FDE35" s="773"/>
      <c r="FDF35" s="773"/>
      <c r="FDN35" s="1043"/>
      <c r="FDO35" s="1043"/>
      <c r="FDP35" s="773"/>
      <c r="FDR35" s="773"/>
      <c r="FDS35" s="773"/>
      <c r="FEA35" s="1043"/>
      <c r="FEB35" s="1043"/>
      <c r="FEC35" s="773"/>
      <c r="FEE35" s="773"/>
      <c r="FEF35" s="773"/>
      <c r="FEN35" s="1043"/>
      <c r="FEO35" s="1043"/>
      <c r="FEP35" s="773"/>
      <c r="FER35" s="773"/>
      <c r="FES35" s="773"/>
      <c r="FFA35" s="1043"/>
      <c r="FFB35" s="1043"/>
      <c r="FFC35" s="773"/>
      <c r="FFE35" s="773"/>
      <c r="FFF35" s="773"/>
      <c r="FFN35" s="1043"/>
      <c r="FFO35" s="1043"/>
      <c r="FFP35" s="773"/>
      <c r="FFR35" s="773"/>
      <c r="FFS35" s="773"/>
      <c r="FGA35" s="1043"/>
      <c r="FGB35" s="1043"/>
      <c r="FGC35" s="773"/>
      <c r="FGE35" s="773"/>
      <c r="FGF35" s="773"/>
      <c r="FGN35" s="1043"/>
      <c r="FGO35" s="1043"/>
      <c r="FGP35" s="773"/>
      <c r="FGR35" s="773"/>
      <c r="FGS35" s="773"/>
      <c r="FHA35" s="1043"/>
      <c r="FHB35" s="1043"/>
      <c r="FHC35" s="773"/>
      <c r="FHE35" s="773"/>
      <c r="FHF35" s="773"/>
      <c r="FHN35" s="1043"/>
      <c r="FHO35" s="1043"/>
      <c r="FHP35" s="773"/>
      <c r="FHR35" s="773"/>
      <c r="FHS35" s="773"/>
      <c r="FIA35" s="1043"/>
      <c r="FIB35" s="1043"/>
      <c r="FIC35" s="773"/>
      <c r="FIE35" s="773"/>
      <c r="FIF35" s="773"/>
      <c r="FIN35" s="1043"/>
      <c r="FIO35" s="1043"/>
      <c r="FIP35" s="773"/>
      <c r="FIR35" s="773"/>
      <c r="FIS35" s="773"/>
      <c r="FJA35" s="1043"/>
      <c r="FJB35" s="1043"/>
      <c r="FJC35" s="773"/>
      <c r="FJE35" s="773"/>
      <c r="FJF35" s="773"/>
      <c r="FJN35" s="1043"/>
      <c r="FJO35" s="1043"/>
      <c r="FJP35" s="773"/>
      <c r="FJR35" s="773"/>
      <c r="FJS35" s="773"/>
      <c r="FKA35" s="1043"/>
      <c r="FKB35" s="1043"/>
      <c r="FKC35" s="773"/>
      <c r="FKE35" s="773"/>
      <c r="FKF35" s="773"/>
      <c r="FKN35" s="1043"/>
      <c r="FKO35" s="1043"/>
      <c r="FKP35" s="773"/>
      <c r="FKR35" s="773"/>
      <c r="FKS35" s="773"/>
      <c r="FLA35" s="1043"/>
      <c r="FLB35" s="1043"/>
      <c r="FLC35" s="773"/>
      <c r="FLE35" s="773"/>
      <c r="FLF35" s="773"/>
      <c r="FLN35" s="1043"/>
      <c r="FLO35" s="1043"/>
      <c r="FLP35" s="773"/>
      <c r="FLR35" s="773"/>
      <c r="FLS35" s="773"/>
      <c r="FMA35" s="1043"/>
      <c r="FMB35" s="1043"/>
      <c r="FMC35" s="773"/>
      <c r="FME35" s="773"/>
      <c r="FMF35" s="773"/>
      <c r="FMN35" s="1043"/>
      <c r="FMO35" s="1043"/>
      <c r="FMP35" s="773"/>
      <c r="FMR35" s="773"/>
      <c r="FMS35" s="773"/>
      <c r="FNA35" s="1043"/>
      <c r="FNB35" s="1043"/>
      <c r="FNC35" s="773"/>
      <c r="FNE35" s="773"/>
      <c r="FNF35" s="773"/>
      <c r="FNN35" s="1043"/>
      <c r="FNO35" s="1043"/>
      <c r="FNP35" s="773"/>
      <c r="FNR35" s="773"/>
      <c r="FNS35" s="773"/>
      <c r="FOA35" s="1043"/>
      <c r="FOB35" s="1043"/>
      <c r="FOC35" s="773"/>
      <c r="FOE35" s="773"/>
      <c r="FOF35" s="773"/>
      <c r="FON35" s="1043"/>
      <c r="FOO35" s="1043"/>
      <c r="FOP35" s="773"/>
      <c r="FOR35" s="773"/>
      <c r="FOS35" s="773"/>
      <c r="FPA35" s="1043"/>
      <c r="FPB35" s="1043"/>
      <c r="FPC35" s="773"/>
      <c r="FPE35" s="773"/>
      <c r="FPF35" s="773"/>
      <c r="FPN35" s="1043"/>
      <c r="FPO35" s="1043"/>
      <c r="FPP35" s="773"/>
      <c r="FPR35" s="773"/>
      <c r="FPS35" s="773"/>
      <c r="FQA35" s="1043"/>
      <c r="FQB35" s="1043"/>
      <c r="FQC35" s="773"/>
      <c r="FQE35" s="773"/>
      <c r="FQF35" s="773"/>
      <c r="FQN35" s="1043"/>
      <c r="FQO35" s="1043"/>
      <c r="FQP35" s="773"/>
      <c r="FQR35" s="773"/>
      <c r="FQS35" s="773"/>
      <c r="FRA35" s="1043"/>
      <c r="FRB35" s="1043"/>
      <c r="FRC35" s="773"/>
      <c r="FRE35" s="773"/>
      <c r="FRF35" s="773"/>
      <c r="FRN35" s="1043"/>
      <c r="FRO35" s="1043"/>
      <c r="FRP35" s="773"/>
      <c r="FRR35" s="773"/>
      <c r="FRS35" s="773"/>
      <c r="FSA35" s="1043"/>
      <c r="FSB35" s="1043"/>
      <c r="FSC35" s="773"/>
      <c r="FSE35" s="773"/>
      <c r="FSF35" s="773"/>
      <c r="FSN35" s="1043"/>
      <c r="FSO35" s="1043"/>
      <c r="FSP35" s="773"/>
      <c r="FSR35" s="773"/>
      <c r="FSS35" s="773"/>
      <c r="FTA35" s="1043"/>
      <c r="FTB35" s="1043"/>
      <c r="FTC35" s="773"/>
      <c r="FTE35" s="773"/>
      <c r="FTF35" s="773"/>
      <c r="FTN35" s="1043"/>
      <c r="FTO35" s="1043"/>
      <c r="FTP35" s="773"/>
      <c r="FTR35" s="773"/>
      <c r="FTS35" s="773"/>
      <c r="FUA35" s="1043"/>
      <c r="FUB35" s="1043"/>
      <c r="FUC35" s="773"/>
      <c r="FUE35" s="773"/>
      <c r="FUF35" s="773"/>
      <c r="FUN35" s="1043"/>
      <c r="FUO35" s="1043"/>
      <c r="FUP35" s="773"/>
      <c r="FUR35" s="773"/>
      <c r="FUS35" s="773"/>
      <c r="FVA35" s="1043"/>
      <c r="FVB35" s="1043"/>
      <c r="FVC35" s="773"/>
      <c r="FVE35" s="773"/>
      <c r="FVF35" s="773"/>
      <c r="FVN35" s="1043"/>
      <c r="FVO35" s="1043"/>
      <c r="FVP35" s="773"/>
      <c r="FVR35" s="773"/>
      <c r="FVS35" s="773"/>
      <c r="FWA35" s="1043"/>
      <c r="FWB35" s="1043"/>
      <c r="FWC35" s="773"/>
      <c r="FWE35" s="773"/>
      <c r="FWF35" s="773"/>
      <c r="FWN35" s="1043"/>
      <c r="FWO35" s="1043"/>
      <c r="FWP35" s="773"/>
      <c r="FWR35" s="773"/>
      <c r="FWS35" s="773"/>
      <c r="FXA35" s="1043"/>
      <c r="FXB35" s="1043"/>
      <c r="FXC35" s="773"/>
      <c r="FXE35" s="773"/>
      <c r="FXF35" s="773"/>
      <c r="FXN35" s="1043"/>
      <c r="FXO35" s="1043"/>
      <c r="FXP35" s="773"/>
      <c r="FXR35" s="773"/>
      <c r="FXS35" s="773"/>
      <c r="FYA35" s="1043"/>
      <c r="FYB35" s="1043"/>
      <c r="FYC35" s="773"/>
      <c r="FYE35" s="773"/>
      <c r="FYF35" s="773"/>
      <c r="FYN35" s="1043"/>
      <c r="FYO35" s="1043"/>
      <c r="FYP35" s="773"/>
      <c r="FYR35" s="773"/>
      <c r="FYS35" s="773"/>
      <c r="FZA35" s="1043"/>
      <c r="FZB35" s="1043"/>
      <c r="FZC35" s="773"/>
      <c r="FZE35" s="773"/>
      <c r="FZF35" s="773"/>
      <c r="FZN35" s="1043"/>
      <c r="FZO35" s="1043"/>
      <c r="FZP35" s="773"/>
      <c r="FZR35" s="773"/>
      <c r="FZS35" s="773"/>
      <c r="GAA35" s="1043"/>
      <c r="GAB35" s="1043"/>
      <c r="GAC35" s="773"/>
      <c r="GAE35" s="773"/>
      <c r="GAF35" s="773"/>
      <c r="GAN35" s="1043"/>
      <c r="GAO35" s="1043"/>
      <c r="GAP35" s="773"/>
      <c r="GAR35" s="773"/>
      <c r="GAS35" s="773"/>
      <c r="GBA35" s="1043"/>
      <c r="GBB35" s="1043"/>
      <c r="GBC35" s="773"/>
      <c r="GBE35" s="773"/>
      <c r="GBF35" s="773"/>
      <c r="GBN35" s="1043"/>
      <c r="GBO35" s="1043"/>
      <c r="GBP35" s="773"/>
      <c r="GBR35" s="773"/>
      <c r="GBS35" s="773"/>
      <c r="GCA35" s="1043"/>
      <c r="GCB35" s="1043"/>
      <c r="GCC35" s="773"/>
      <c r="GCE35" s="773"/>
      <c r="GCF35" s="773"/>
      <c r="GCN35" s="1043"/>
      <c r="GCO35" s="1043"/>
      <c r="GCP35" s="773"/>
      <c r="GCR35" s="773"/>
      <c r="GCS35" s="773"/>
      <c r="GDA35" s="1043"/>
      <c r="GDB35" s="1043"/>
      <c r="GDC35" s="773"/>
      <c r="GDE35" s="773"/>
      <c r="GDF35" s="773"/>
      <c r="GDN35" s="1043"/>
      <c r="GDO35" s="1043"/>
      <c r="GDP35" s="773"/>
      <c r="GDR35" s="773"/>
      <c r="GDS35" s="773"/>
      <c r="GEA35" s="1043"/>
      <c r="GEB35" s="1043"/>
      <c r="GEC35" s="773"/>
      <c r="GEE35" s="773"/>
      <c r="GEF35" s="773"/>
      <c r="GEN35" s="1043"/>
      <c r="GEO35" s="1043"/>
      <c r="GEP35" s="773"/>
      <c r="GER35" s="773"/>
      <c r="GES35" s="773"/>
      <c r="GFA35" s="1043"/>
      <c r="GFB35" s="1043"/>
      <c r="GFC35" s="773"/>
      <c r="GFE35" s="773"/>
      <c r="GFF35" s="773"/>
      <c r="GFN35" s="1043"/>
      <c r="GFO35" s="1043"/>
      <c r="GFP35" s="773"/>
      <c r="GFR35" s="773"/>
      <c r="GFS35" s="773"/>
      <c r="GGA35" s="1043"/>
      <c r="GGB35" s="1043"/>
      <c r="GGC35" s="773"/>
      <c r="GGE35" s="773"/>
      <c r="GGF35" s="773"/>
      <c r="GGN35" s="1043"/>
      <c r="GGO35" s="1043"/>
      <c r="GGP35" s="773"/>
      <c r="GGR35" s="773"/>
      <c r="GGS35" s="773"/>
      <c r="GHA35" s="1043"/>
      <c r="GHB35" s="1043"/>
      <c r="GHC35" s="773"/>
      <c r="GHE35" s="773"/>
      <c r="GHF35" s="773"/>
      <c r="GHN35" s="1043"/>
      <c r="GHO35" s="1043"/>
      <c r="GHP35" s="773"/>
      <c r="GHR35" s="773"/>
      <c r="GHS35" s="773"/>
      <c r="GIA35" s="1043"/>
      <c r="GIB35" s="1043"/>
      <c r="GIC35" s="773"/>
      <c r="GIE35" s="773"/>
      <c r="GIF35" s="773"/>
      <c r="GIN35" s="1043"/>
      <c r="GIO35" s="1043"/>
      <c r="GIP35" s="773"/>
      <c r="GIR35" s="773"/>
      <c r="GIS35" s="773"/>
      <c r="GJA35" s="1043"/>
      <c r="GJB35" s="1043"/>
      <c r="GJC35" s="773"/>
      <c r="GJE35" s="773"/>
      <c r="GJF35" s="773"/>
      <c r="GJN35" s="1043"/>
      <c r="GJO35" s="1043"/>
      <c r="GJP35" s="773"/>
      <c r="GJR35" s="773"/>
      <c r="GJS35" s="773"/>
      <c r="GKA35" s="1043"/>
      <c r="GKB35" s="1043"/>
      <c r="GKC35" s="773"/>
      <c r="GKE35" s="773"/>
      <c r="GKF35" s="773"/>
      <c r="GKN35" s="1043"/>
      <c r="GKO35" s="1043"/>
      <c r="GKP35" s="773"/>
      <c r="GKR35" s="773"/>
      <c r="GKS35" s="773"/>
      <c r="GLA35" s="1043"/>
      <c r="GLB35" s="1043"/>
      <c r="GLC35" s="773"/>
      <c r="GLE35" s="773"/>
      <c r="GLF35" s="773"/>
      <c r="GLN35" s="1043"/>
      <c r="GLO35" s="1043"/>
      <c r="GLP35" s="773"/>
      <c r="GLR35" s="773"/>
      <c r="GLS35" s="773"/>
      <c r="GMA35" s="1043"/>
      <c r="GMB35" s="1043"/>
      <c r="GMC35" s="773"/>
      <c r="GME35" s="773"/>
      <c r="GMF35" s="773"/>
      <c r="GMN35" s="1043"/>
      <c r="GMO35" s="1043"/>
      <c r="GMP35" s="773"/>
      <c r="GMR35" s="773"/>
      <c r="GMS35" s="773"/>
      <c r="GNA35" s="1043"/>
      <c r="GNB35" s="1043"/>
      <c r="GNC35" s="773"/>
      <c r="GNE35" s="773"/>
      <c r="GNF35" s="773"/>
      <c r="GNN35" s="1043"/>
      <c r="GNO35" s="1043"/>
      <c r="GNP35" s="773"/>
      <c r="GNR35" s="773"/>
      <c r="GNS35" s="773"/>
      <c r="GOA35" s="1043"/>
      <c r="GOB35" s="1043"/>
      <c r="GOC35" s="773"/>
      <c r="GOE35" s="773"/>
      <c r="GOF35" s="773"/>
      <c r="GON35" s="1043"/>
      <c r="GOO35" s="1043"/>
      <c r="GOP35" s="773"/>
      <c r="GOR35" s="773"/>
      <c r="GOS35" s="773"/>
      <c r="GPA35" s="1043"/>
      <c r="GPB35" s="1043"/>
      <c r="GPC35" s="773"/>
      <c r="GPE35" s="773"/>
      <c r="GPF35" s="773"/>
      <c r="GPN35" s="1043"/>
      <c r="GPO35" s="1043"/>
      <c r="GPP35" s="773"/>
      <c r="GPR35" s="773"/>
      <c r="GPS35" s="773"/>
      <c r="GQA35" s="1043"/>
      <c r="GQB35" s="1043"/>
      <c r="GQC35" s="773"/>
      <c r="GQE35" s="773"/>
      <c r="GQF35" s="773"/>
      <c r="GQN35" s="1043"/>
      <c r="GQO35" s="1043"/>
      <c r="GQP35" s="773"/>
      <c r="GQR35" s="773"/>
      <c r="GQS35" s="773"/>
      <c r="GRA35" s="1043"/>
      <c r="GRB35" s="1043"/>
      <c r="GRC35" s="773"/>
      <c r="GRE35" s="773"/>
      <c r="GRF35" s="773"/>
      <c r="GRN35" s="1043"/>
      <c r="GRO35" s="1043"/>
      <c r="GRP35" s="773"/>
      <c r="GRR35" s="773"/>
      <c r="GRS35" s="773"/>
      <c r="GSA35" s="1043"/>
      <c r="GSB35" s="1043"/>
      <c r="GSC35" s="773"/>
      <c r="GSE35" s="773"/>
      <c r="GSF35" s="773"/>
      <c r="GSN35" s="1043"/>
      <c r="GSO35" s="1043"/>
      <c r="GSP35" s="773"/>
      <c r="GSR35" s="773"/>
      <c r="GSS35" s="773"/>
      <c r="GTA35" s="1043"/>
      <c r="GTB35" s="1043"/>
      <c r="GTC35" s="773"/>
      <c r="GTE35" s="773"/>
      <c r="GTF35" s="773"/>
      <c r="GTN35" s="1043"/>
      <c r="GTO35" s="1043"/>
      <c r="GTP35" s="773"/>
      <c r="GTR35" s="773"/>
      <c r="GTS35" s="773"/>
      <c r="GUA35" s="1043"/>
      <c r="GUB35" s="1043"/>
      <c r="GUC35" s="773"/>
      <c r="GUE35" s="773"/>
      <c r="GUF35" s="773"/>
      <c r="GUN35" s="1043"/>
      <c r="GUO35" s="1043"/>
      <c r="GUP35" s="773"/>
      <c r="GUR35" s="773"/>
      <c r="GUS35" s="773"/>
      <c r="GVA35" s="1043"/>
      <c r="GVB35" s="1043"/>
      <c r="GVC35" s="773"/>
      <c r="GVE35" s="773"/>
      <c r="GVF35" s="773"/>
      <c r="GVN35" s="1043"/>
      <c r="GVO35" s="1043"/>
      <c r="GVP35" s="773"/>
      <c r="GVR35" s="773"/>
      <c r="GVS35" s="773"/>
      <c r="GWA35" s="1043"/>
      <c r="GWB35" s="1043"/>
      <c r="GWC35" s="773"/>
      <c r="GWE35" s="773"/>
      <c r="GWF35" s="773"/>
      <c r="GWN35" s="1043"/>
      <c r="GWO35" s="1043"/>
      <c r="GWP35" s="773"/>
      <c r="GWR35" s="773"/>
      <c r="GWS35" s="773"/>
      <c r="GXA35" s="1043"/>
      <c r="GXB35" s="1043"/>
      <c r="GXC35" s="773"/>
      <c r="GXE35" s="773"/>
      <c r="GXF35" s="773"/>
      <c r="GXN35" s="1043"/>
      <c r="GXO35" s="1043"/>
      <c r="GXP35" s="773"/>
      <c r="GXR35" s="773"/>
      <c r="GXS35" s="773"/>
      <c r="GYA35" s="1043"/>
      <c r="GYB35" s="1043"/>
      <c r="GYC35" s="773"/>
      <c r="GYE35" s="773"/>
      <c r="GYF35" s="773"/>
      <c r="GYN35" s="1043"/>
      <c r="GYO35" s="1043"/>
      <c r="GYP35" s="773"/>
      <c r="GYR35" s="773"/>
      <c r="GYS35" s="773"/>
      <c r="GZA35" s="1043"/>
      <c r="GZB35" s="1043"/>
      <c r="GZC35" s="773"/>
      <c r="GZE35" s="773"/>
      <c r="GZF35" s="773"/>
      <c r="GZN35" s="1043"/>
      <c r="GZO35" s="1043"/>
      <c r="GZP35" s="773"/>
      <c r="GZR35" s="773"/>
      <c r="GZS35" s="773"/>
      <c r="HAA35" s="1043"/>
      <c r="HAB35" s="1043"/>
      <c r="HAC35" s="773"/>
      <c r="HAE35" s="773"/>
      <c r="HAF35" s="773"/>
      <c r="HAN35" s="1043"/>
      <c r="HAO35" s="1043"/>
      <c r="HAP35" s="773"/>
      <c r="HAR35" s="773"/>
      <c r="HAS35" s="773"/>
      <c r="HBA35" s="1043"/>
      <c r="HBB35" s="1043"/>
      <c r="HBC35" s="773"/>
      <c r="HBE35" s="773"/>
      <c r="HBF35" s="773"/>
      <c r="HBN35" s="1043"/>
      <c r="HBO35" s="1043"/>
      <c r="HBP35" s="773"/>
      <c r="HBR35" s="773"/>
      <c r="HBS35" s="773"/>
      <c r="HCA35" s="1043"/>
      <c r="HCB35" s="1043"/>
      <c r="HCC35" s="773"/>
      <c r="HCE35" s="773"/>
      <c r="HCF35" s="773"/>
      <c r="HCN35" s="1043"/>
      <c r="HCO35" s="1043"/>
      <c r="HCP35" s="773"/>
      <c r="HCR35" s="773"/>
      <c r="HCS35" s="773"/>
      <c r="HDA35" s="1043"/>
      <c r="HDB35" s="1043"/>
      <c r="HDC35" s="773"/>
      <c r="HDE35" s="773"/>
      <c r="HDF35" s="773"/>
      <c r="HDN35" s="1043"/>
      <c r="HDO35" s="1043"/>
      <c r="HDP35" s="773"/>
      <c r="HDR35" s="773"/>
      <c r="HDS35" s="773"/>
      <c r="HEA35" s="1043"/>
      <c r="HEB35" s="1043"/>
      <c r="HEC35" s="773"/>
      <c r="HEE35" s="773"/>
      <c r="HEF35" s="773"/>
      <c r="HEN35" s="1043"/>
      <c r="HEO35" s="1043"/>
      <c r="HEP35" s="773"/>
      <c r="HER35" s="773"/>
      <c r="HES35" s="773"/>
      <c r="HFA35" s="1043"/>
      <c r="HFB35" s="1043"/>
      <c r="HFC35" s="773"/>
      <c r="HFE35" s="773"/>
      <c r="HFF35" s="773"/>
      <c r="HFN35" s="1043"/>
      <c r="HFO35" s="1043"/>
      <c r="HFP35" s="773"/>
      <c r="HFR35" s="773"/>
      <c r="HFS35" s="773"/>
      <c r="HGA35" s="1043"/>
      <c r="HGB35" s="1043"/>
      <c r="HGC35" s="773"/>
      <c r="HGE35" s="773"/>
      <c r="HGF35" s="773"/>
      <c r="HGN35" s="1043"/>
      <c r="HGO35" s="1043"/>
      <c r="HGP35" s="773"/>
      <c r="HGR35" s="773"/>
      <c r="HGS35" s="773"/>
      <c r="HHA35" s="1043"/>
      <c r="HHB35" s="1043"/>
      <c r="HHC35" s="773"/>
      <c r="HHE35" s="773"/>
      <c r="HHF35" s="773"/>
      <c r="HHN35" s="1043"/>
      <c r="HHO35" s="1043"/>
      <c r="HHP35" s="773"/>
      <c r="HHR35" s="773"/>
      <c r="HHS35" s="773"/>
      <c r="HIA35" s="1043"/>
      <c r="HIB35" s="1043"/>
      <c r="HIC35" s="773"/>
      <c r="HIE35" s="773"/>
      <c r="HIF35" s="773"/>
      <c r="HIN35" s="1043"/>
      <c r="HIO35" s="1043"/>
      <c r="HIP35" s="773"/>
      <c r="HIR35" s="773"/>
      <c r="HIS35" s="773"/>
      <c r="HJA35" s="1043"/>
      <c r="HJB35" s="1043"/>
      <c r="HJC35" s="773"/>
      <c r="HJE35" s="773"/>
      <c r="HJF35" s="773"/>
      <c r="HJN35" s="1043"/>
      <c r="HJO35" s="1043"/>
      <c r="HJP35" s="773"/>
      <c r="HJR35" s="773"/>
      <c r="HJS35" s="773"/>
      <c r="HKA35" s="1043"/>
      <c r="HKB35" s="1043"/>
      <c r="HKC35" s="773"/>
      <c r="HKE35" s="773"/>
      <c r="HKF35" s="773"/>
      <c r="HKN35" s="1043"/>
      <c r="HKO35" s="1043"/>
      <c r="HKP35" s="773"/>
      <c r="HKR35" s="773"/>
      <c r="HKS35" s="773"/>
      <c r="HLA35" s="1043"/>
      <c r="HLB35" s="1043"/>
      <c r="HLC35" s="773"/>
      <c r="HLE35" s="773"/>
      <c r="HLF35" s="773"/>
      <c r="HLN35" s="1043"/>
      <c r="HLO35" s="1043"/>
      <c r="HLP35" s="773"/>
      <c r="HLR35" s="773"/>
      <c r="HLS35" s="773"/>
      <c r="HMA35" s="1043"/>
      <c r="HMB35" s="1043"/>
      <c r="HMC35" s="773"/>
      <c r="HME35" s="773"/>
      <c r="HMF35" s="773"/>
      <c r="HMN35" s="1043"/>
      <c r="HMO35" s="1043"/>
      <c r="HMP35" s="773"/>
      <c r="HMR35" s="773"/>
      <c r="HMS35" s="773"/>
      <c r="HNA35" s="1043"/>
      <c r="HNB35" s="1043"/>
      <c r="HNC35" s="773"/>
      <c r="HNE35" s="773"/>
      <c r="HNF35" s="773"/>
      <c r="HNN35" s="1043"/>
      <c r="HNO35" s="1043"/>
      <c r="HNP35" s="773"/>
      <c r="HNR35" s="773"/>
      <c r="HNS35" s="773"/>
      <c r="HOA35" s="1043"/>
      <c r="HOB35" s="1043"/>
      <c r="HOC35" s="773"/>
      <c r="HOE35" s="773"/>
      <c r="HOF35" s="773"/>
      <c r="HON35" s="1043"/>
      <c r="HOO35" s="1043"/>
      <c r="HOP35" s="773"/>
      <c r="HOR35" s="773"/>
      <c r="HOS35" s="773"/>
      <c r="HPA35" s="1043"/>
      <c r="HPB35" s="1043"/>
      <c r="HPC35" s="773"/>
      <c r="HPE35" s="773"/>
      <c r="HPF35" s="773"/>
      <c r="HPN35" s="1043"/>
      <c r="HPO35" s="1043"/>
      <c r="HPP35" s="773"/>
      <c r="HPR35" s="773"/>
      <c r="HPS35" s="773"/>
      <c r="HQA35" s="1043"/>
      <c r="HQB35" s="1043"/>
      <c r="HQC35" s="773"/>
      <c r="HQE35" s="773"/>
      <c r="HQF35" s="773"/>
      <c r="HQN35" s="1043"/>
      <c r="HQO35" s="1043"/>
      <c r="HQP35" s="773"/>
      <c r="HQR35" s="773"/>
      <c r="HQS35" s="773"/>
      <c r="HRA35" s="1043"/>
      <c r="HRB35" s="1043"/>
      <c r="HRC35" s="773"/>
      <c r="HRE35" s="773"/>
      <c r="HRF35" s="773"/>
      <c r="HRN35" s="1043"/>
      <c r="HRO35" s="1043"/>
      <c r="HRP35" s="773"/>
      <c r="HRR35" s="773"/>
      <c r="HRS35" s="773"/>
      <c r="HSA35" s="1043"/>
      <c r="HSB35" s="1043"/>
      <c r="HSC35" s="773"/>
      <c r="HSE35" s="773"/>
      <c r="HSF35" s="773"/>
      <c r="HSN35" s="1043"/>
      <c r="HSO35" s="1043"/>
      <c r="HSP35" s="773"/>
      <c r="HSR35" s="773"/>
      <c r="HSS35" s="773"/>
      <c r="HTA35" s="1043"/>
      <c r="HTB35" s="1043"/>
      <c r="HTC35" s="773"/>
      <c r="HTE35" s="773"/>
      <c r="HTF35" s="773"/>
      <c r="HTN35" s="1043"/>
      <c r="HTO35" s="1043"/>
      <c r="HTP35" s="773"/>
      <c r="HTR35" s="773"/>
      <c r="HTS35" s="773"/>
      <c r="HUA35" s="1043"/>
      <c r="HUB35" s="1043"/>
      <c r="HUC35" s="773"/>
      <c r="HUE35" s="773"/>
      <c r="HUF35" s="773"/>
      <c r="HUN35" s="1043"/>
      <c r="HUO35" s="1043"/>
      <c r="HUP35" s="773"/>
      <c r="HUR35" s="773"/>
      <c r="HUS35" s="773"/>
      <c r="HVA35" s="1043"/>
      <c r="HVB35" s="1043"/>
      <c r="HVC35" s="773"/>
      <c r="HVE35" s="773"/>
      <c r="HVF35" s="773"/>
      <c r="HVN35" s="1043"/>
      <c r="HVO35" s="1043"/>
      <c r="HVP35" s="773"/>
      <c r="HVR35" s="773"/>
      <c r="HVS35" s="773"/>
      <c r="HWA35" s="1043"/>
      <c r="HWB35" s="1043"/>
      <c r="HWC35" s="773"/>
      <c r="HWE35" s="773"/>
      <c r="HWF35" s="773"/>
      <c r="HWN35" s="1043"/>
      <c r="HWO35" s="1043"/>
      <c r="HWP35" s="773"/>
      <c r="HWR35" s="773"/>
      <c r="HWS35" s="773"/>
      <c r="HXA35" s="1043"/>
      <c r="HXB35" s="1043"/>
      <c r="HXC35" s="773"/>
      <c r="HXE35" s="773"/>
      <c r="HXF35" s="773"/>
      <c r="HXN35" s="1043"/>
      <c r="HXO35" s="1043"/>
      <c r="HXP35" s="773"/>
      <c r="HXR35" s="773"/>
      <c r="HXS35" s="773"/>
      <c r="HYA35" s="1043"/>
      <c r="HYB35" s="1043"/>
      <c r="HYC35" s="773"/>
      <c r="HYE35" s="773"/>
      <c r="HYF35" s="773"/>
      <c r="HYN35" s="1043"/>
      <c r="HYO35" s="1043"/>
      <c r="HYP35" s="773"/>
      <c r="HYR35" s="773"/>
      <c r="HYS35" s="773"/>
      <c r="HZA35" s="1043"/>
      <c r="HZB35" s="1043"/>
      <c r="HZC35" s="773"/>
      <c r="HZE35" s="773"/>
      <c r="HZF35" s="773"/>
      <c r="HZN35" s="1043"/>
      <c r="HZO35" s="1043"/>
      <c r="HZP35" s="773"/>
      <c r="HZR35" s="773"/>
      <c r="HZS35" s="773"/>
      <c r="IAA35" s="1043"/>
      <c r="IAB35" s="1043"/>
      <c r="IAC35" s="773"/>
      <c r="IAE35" s="773"/>
      <c r="IAF35" s="773"/>
      <c r="IAN35" s="1043"/>
      <c r="IAO35" s="1043"/>
      <c r="IAP35" s="773"/>
      <c r="IAR35" s="773"/>
      <c r="IAS35" s="773"/>
      <c r="IBA35" s="1043"/>
      <c r="IBB35" s="1043"/>
      <c r="IBC35" s="773"/>
      <c r="IBE35" s="773"/>
      <c r="IBF35" s="773"/>
      <c r="IBN35" s="1043"/>
      <c r="IBO35" s="1043"/>
      <c r="IBP35" s="773"/>
      <c r="IBR35" s="773"/>
      <c r="IBS35" s="773"/>
      <c r="ICA35" s="1043"/>
      <c r="ICB35" s="1043"/>
      <c r="ICC35" s="773"/>
      <c r="ICE35" s="773"/>
      <c r="ICF35" s="773"/>
      <c r="ICN35" s="1043"/>
      <c r="ICO35" s="1043"/>
      <c r="ICP35" s="773"/>
      <c r="ICR35" s="773"/>
      <c r="ICS35" s="773"/>
      <c r="IDA35" s="1043"/>
      <c r="IDB35" s="1043"/>
      <c r="IDC35" s="773"/>
      <c r="IDE35" s="773"/>
      <c r="IDF35" s="773"/>
      <c r="IDN35" s="1043"/>
      <c r="IDO35" s="1043"/>
      <c r="IDP35" s="773"/>
      <c r="IDR35" s="773"/>
      <c r="IDS35" s="773"/>
      <c r="IEA35" s="1043"/>
      <c r="IEB35" s="1043"/>
      <c r="IEC35" s="773"/>
      <c r="IEE35" s="773"/>
      <c r="IEF35" s="773"/>
      <c r="IEN35" s="1043"/>
      <c r="IEO35" s="1043"/>
      <c r="IEP35" s="773"/>
      <c r="IER35" s="773"/>
      <c r="IES35" s="773"/>
      <c r="IFA35" s="1043"/>
      <c r="IFB35" s="1043"/>
      <c r="IFC35" s="773"/>
      <c r="IFE35" s="773"/>
      <c r="IFF35" s="773"/>
      <c r="IFN35" s="1043"/>
      <c r="IFO35" s="1043"/>
      <c r="IFP35" s="773"/>
      <c r="IFR35" s="773"/>
      <c r="IFS35" s="773"/>
      <c r="IGA35" s="1043"/>
      <c r="IGB35" s="1043"/>
      <c r="IGC35" s="773"/>
      <c r="IGE35" s="773"/>
      <c r="IGF35" s="773"/>
      <c r="IGN35" s="1043"/>
      <c r="IGO35" s="1043"/>
      <c r="IGP35" s="773"/>
      <c r="IGR35" s="773"/>
      <c r="IGS35" s="773"/>
      <c r="IHA35" s="1043"/>
      <c r="IHB35" s="1043"/>
      <c r="IHC35" s="773"/>
      <c r="IHE35" s="773"/>
      <c r="IHF35" s="773"/>
      <c r="IHN35" s="1043"/>
      <c r="IHO35" s="1043"/>
      <c r="IHP35" s="773"/>
      <c r="IHR35" s="773"/>
      <c r="IHS35" s="773"/>
      <c r="IIA35" s="1043"/>
      <c r="IIB35" s="1043"/>
      <c r="IIC35" s="773"/>
      <c r="IIE35" s="773"/>
      <c r="IIF35" s="773"/>
      <c r="IIN35" s="1043"/>
      <c r="IIO35" s="1043"/>
      <c r="IIP35" s="773"/>
      <c r="IIR35" s="773"/>
      <c r="IIS35" s="773"/>
      <c r="IJA35" s="1043"/>
      <c r="IJB35" s="1043"/>
      <c r="IJC35" s="773"/>
      <c r="IJE35" s="773"/>
      <c r="IJF35" s="773"/>
      <c r="IJN35" s="1043"/>
      <c r="IJO35" s="1043"/>
      <c r="IJP35" s="773"/>
      <c r="IJR35" s="773"/>
      <c r="IJS35" s="773"/>
      <c r="IKA35" s="1043"/>
      <c r="IKB35" s="1043"/>
      <c r="IKC35" s="773"/>
      <c r="IKE35" s="773"/>
      <c r="IKF35" s="773"/>
      <c r="IKN35" s="1043"/>
      <c r="IKO35" s="1043"/>
      <c r="IKP35" s="773"/>
      <c r="IKR35" s="773"/>
      <c r="IKS35" s="773"/>
      <c r="ILA35" s="1043"/>
      <c r="ILB35" s="1043"/>
      <c r="ILC35" s="773"/>
      <c r="ILE35" s="773"/>
      <c r="ILF35" s="773"/>
      <c r="ILN35" s="1043"/>
      <c r="ILO35" s="1043"/>
      <c r="ILP35" s="773"/>
      <c r="ILR35" s="773"/>
      <c r="ILS35" s="773"/>
      <c r="IMA35" s="1043"/>
      <c r="IMB35" s="1043"/>
      <c r="IMC35" s="773"/>
      <c r="IME35" s="773"/>
      <c r="IMF35" s="773"/>
      <c r="IMN35" s="1043"/>
      <c r="IMO35" s="1043"/>
      <c r="IMP35" s="773"/>
      <c r="IMR35" s="773"/>
      <c r="IMS35" s="773"/>
      <c r="INA35" s="1043"/>
      <c r="INB35" s="1043"/>
      <c r="INC35" s="773"/>
      <c r="INE35" s="773"/>
      <c r="INF35" s="773"/>
      <c r="INN35" s="1043"/>
      <c r="INO35" s="1043"/>
      <c r="INP35" s="773"/>
      <c r="INR35" s="773"/>
      <c r="INS35" s="773"/>
      <c r="IOA35" s="1043"/>
      <c r="IOB35" s="1043"/>
      <c r="IOC35" s="773"/>
      <c r="IOE35" s="773"/>
      <c r="IOF35" s="773"/>
      <c r="ION35" s="1043"/>
      <c r="IOO35" s="1043"/>
      <c r="IOP35" s="773"/>
      <c r="IOR35" s="773"/>
      <c r="IOS35" s="773"/>
      <c r="IPA35" s="1043"/>
      <c r="IPB35" s="1043"/>
      <c r="IPC35" s="773"/>
      <c r="IPE35" s="773"/>
      <c r="IPF35" s="773"/>
      <c r="IPN35" s="1043"/>
      <c r="IPO35" s="1043"/>
      <c r="IPP35" s="773"/>
      <c r="IPR35" s="773"/>
      <c r="IPS35" s="773"/>
      <c r="IQA35" s="1043"/>
      <c r="IQB35" s="1043"/>
      <c r="IQC35" s="773"/>
      <c r="IQE35" s="773"/>
      <c r="IQF35" s="773"/>
      <c r="IQN35" s="1043"/>
      <c r="IQO35" s="1043"/>
      <c r="IQP35" s="773"/>
      <c r="IQR35" s="773"/>
      <c r="IQS35" s="773"/>
      <c r="IRA35" s="1043"/>
      <c r="IRB35" s="1043"/>
      <c r="IRC35" s="773"/>
      <c r="IRE35" s="773"/>
      <c r="IRF35" s="773"/>
      <c r="IRN35" s="1043"/>
      <c r="IRO35" s="1043"/>
      <c r="IRP35" s="773"/>
      <c r="IRR35" s="773"/>
      <c r="IRS35" s="773"/>
      <c r="ISA35" s="1043"/>
      <c r="ISB35" s="1043"/>
      <c r="ISC35" s="773"/>
      <c r="ISE35" s="773"/>
      <c r="ISF35" s="773"/>
      <c r="ISN35" s="1043"/>
      <c r="ISO35" s="1043"/>
      <c r="ISP35" s="773"/>
      <c r="ISR35" s="773"/>
      <c r="ISS35" s="773"/>
      <c r="ITA35" s="1043"/>
      <c r="ITB35" s="1043"/>
      <c r="ITC35" s="773"/>
      <c r="ITE35" s="773"/>
      <c r="ITF35" s="773"/>
      <c r="ITN35" s="1043"/>
      <c r="ITO35" s="1043"/>
      <c r="ITP35" s="773"/>
      <c r="ITR35" s="773"/>
      <c r="ITS35" s="773"/>
      <c r="IUA35" s="1043"/>
      <c r="IUB35" s="1043"/>
      <c r="IUC35" s="773"/>
      <c r="IUE35" s="773"/>
      <c r="IUF35" s="773"/>
      <c r="IUN35" s="1043"/>
      <c r="IUO35" s="1043"/>
      <c r="IUP35" s="773"/>
      <c r="IUR35" s="773"/>
      <c r="IUS35" s="773"/>
      <c r="IVA35" s="1043"/>
      <c r="IVB35" s="1043"/>
      <c r="IVC35" s="773"/>
      <c r="IVE35" s="773"/>
      <c r="IVF35" s="773"/>
      <c r="IVN35" s="1043"/>
      <c r="IVO35" s="1043"/>
      <c r="IVP35" s="773"/>
      <c r="IVR35" s="773"/>
      <c r="IVS35" s="773"/>
      <c r="IWA35" s="1043"/>
      <c r="IWB35" s="1043"/>
      <c r="IWC35" s="773"/>
      <c r="IWE35" s="773"/>
      <c r="IWF35" s="773"/>
      <c r="IWN35" s="1043"/>
      <c r="IWO35" s="1043"/>
      <c r="IWP35" s="773"/>
      <c r="IWR35" s="773"/>
      <c r="IWS35" s="773"/>
      <c r="IXA35" s="1043"/>
      <c r="IXB35" s="1043"/>
      <c r="IXC35" s="773"/>
      <c r="IXE35" s="773"/>
      <c r="IXF35" s="773"/>
      <c r="IXN35" s="1043"/>
      <c r="IXO35" s="1043"/>
      <c r="IXP35" s="773"/>
      <c r="IXR35" s="773"/>
      <c r="IXS35" s="773"/>
      <c r="IYA35" s="1043"/>
      <c r="IYB35" s="1043"/>
      <c r="IYC35" s="773"/>
      <c r="IYE35" s="773"/>
      <c r="IYF35" s="773"/>
      <c r="IYN35" s="1043"/>
      <c r="IYO35" s="1043"/>
      <c r="IYP35" s="773"/>
      <c r="IYR35" s="773"/>
      <c r="IYS35" s="773"/>
      <c r="IZA35" s="1043"/>
      <c r="IZB35" s="1043"/>
      <c r="IZC35" s="773"/>
      <c r="IZE35" s="773"/>
      <c r="IZF35" s="773"/>
      <c r="IZN35" s="1043"/>
      <c r="IZO35" s="1043"/>
      <c r="IZP35" s="773"/>
      <c r="IZR35" s="773"/>
      <c r="IZS35" s="773"/>
      <c r="JAA35" s="1043"/>
      <c r="JAB35" s="1043"/>
      <c r="JAC35" s="773"/>
      <c r="JAE35" s="773"/>
      <c r="JAF35" s="773"/>
      <c r="JAN35" s="1043"/>
      <c r="JAO35" s="1043"/>
      <c r="JAP35" s="773"/>
      <c r="JAR35" s="773"/>
      <c r="JAS35" s="773"/>
      <c r="JBA35" s="1043"/>
      <c r="JBB35" s="1043"/>
      <c r="JBC35" s="773"/>
      <c r="JBE35" s="773"/>
      <c r="JBF35" s="773"/>
      <c r="JBN35" s="1043"/>
      <c r="JBO35" s="1043"/>
      <c r="JBP35" s="773"/>
      <c r="JBR35" s="773"/>
      <c r="JBS35" s="773"/>
      <c r="JCA35" s="1043"/>
      <c r="JCB35" s="1043"/>
      <c r="JCC35" s="773"/>
      <c r="JCE35" s="773"/>
      <c r="JCF35" s="773"/>
      <c r="JCN35" s="1043"/>
      <c r="JCO35" s="1043"/>
      <c r="JCP35" s="773"/>
      <c r="JCR35" s="773"/>
      <c r="JCS35" s="773"/>
      <c r="JDA35" s="1043"/>
      <c r="JDB35" s="1043"/>
      <c r="JDC35" s="773"/>
      <c r="JDE35" s="773"/>
      <c r="JDF35" s="773"/>
      <c r="JDN35" s="1043"/>
      <c r="JDO35" s="1043"/>
      <c r="JDP35" s="773"/>
      <c r="JDR35" s="773"/>
      <c r="JDS35" s="773"/>
      <c r="JEA35" s="1043"/>
      <c r="JEB35" s="1043"/>
      <c r="JEC35" s="773"/>
      <c r="JEE35" s="773"/>
      <c r="JEF35" s="773"/>
      <c r="JEN35" s="1043"/>
      <c r="JEO35" s="1043"/>
      <c r="JEP35" s="773"/>
      <c r="JER35" s="773"/>
      <c r="JES35" s="773"/>
      <c r="JFA35" s="1043"/>
      <c r="JFB35" s="1043"/>
      <c r="JFC35" s="773"/>
      <c r="JFE35" s="773"/>
      <c r="JFF35" s="773"/>
      <c r="JFN35" s="1043"/>
      <c r="JFO35" s="1043"/>
      <c r="JFP35" s="773"/>
      <c r="JFR35" s="773"/>
      <c r="JFS35" s="773"/>
      <c r="JGA35" s="1043"/>
      <c r="JGB35" s="1043"/>
      <c r="JGC35" s="773"/>
      <c r="JGE35" s="773"/>
      <c r="JGF35" s="773"/>
      <c r="JGN35" s="1043"/>
      <c r="JGO35" s="1043"/>
      <c r="JGP35" s="773"/>
      <c r="JGR35" s="773"/>
      <c r="JGS35" s="773"/>
      <c r="JHA35" s="1043"/>
      <c r="JHB35" s="1043"/>
      <c r="JHC35" s="773"/>
      <c r="JHE35" s="773"/>
      <c r="JHF35" s="773"/>
      <c r="JHN35" s="1043"/>
      <c r="JHO35" s="1043"/>
      <c r="JHP35" s="773"/>
      <c r="JHR35" s="773"/>
      <c r="JHS35" s="773"/>
      <c r="JIA35" s="1043"/>
      <c r="JIB35" s="1043"/>
      <c r="JIC35" s="773"/>
      <c r="JIE35" s="773"/>
      <c r="JIF35" s="773"/>
      <c r="JIN35" s="1043"/>
      <c r="JIO35" s="1043"/>
      <c r="JIP35" s="773"/>
      <c r="JIR35" s="773"/>
      <c r="JIS35" s="773"/>
      <c r="JJA35" s="1043"/>
      <c r="JJB35" s="1043"/>
      <c r="JJC35" s="773"/>
      <c r="JJE35" s="773"/>
      <c r="JJF35" s="773"/>
      <c r="JJN35" s="1043"/>
      <c r="JJO35" s="1043"/>
      <c r="JJP35" s="773"/>
      <c r="JJR35" s="773"/>
      <c r="JJS35" s="773"/>
      <c r="JKA35" s="1043"/>
      <c r="JKB35" s="1043"/>
      <c r="JKC35" s="773"/>
      <c r="JKE35" s="773"/>
      <c r="JKF35" s="773"/>
      <c r="JKN35" s="1043"/>
      <c r="JKO35" s="1043"/>
      <c r="JKP35" s="773"/>
      <c r="JKR35" s="773"/>
      <c r="JKS35" s="773"/>
      <c r="JLA35" s="1043"/>
      <c r="JLB35" s="1043"/>
      <c r="JLC35" s="773"/>
      <c r="JLE35" s="773"/>
      <c r="JLF35" s="773"/>
      <c r="JLN35" s="1043"/>
      <c r="JLO35" s="1043"/>
      <c r="JLP35" s="773"/>
      <c r="JLR35" s="773"/>
      <c r="JLS35" s="773"/>
      <c r="JMA35" s="1043"/>
      <c r="JMB35" s="1043"/>
      <c r="JMC35" s="773"/>
      <c r="JME35" s="773"/>
      <c r="JMF35" s="773"/>
      <c r="JMN35" s="1043"/>
      <c r="JMO35" s="1043"/>
      <c r="JMP35" s="773"/>
      <c r="JMR35" s="773"/>
      <c r="JMS35" s="773"/>
      <c r="JNA35" s="1043"/>
      <c r="JNB35" s="1043"/>
      <c r="JNC35" s="773"/>
      <c r="JNE35" s="773"/>
      <c r="JNF35" s="773"/>
      <c r="JNN35" s="1043"/>
      <c r="JNO35" s="1043"/>
      <c r="JNP35" s="773"/>
      <c r="JNR35" s="773"/>
      <c r="JNS35" s="773"/>
      <c r="JOA35" s="1043"/>
      <c r="JOB35" s="1043"/>
      <c r="JOC35" s="773"/>
      <c r="JOE35" s="773"/>
      <c r="JOF35" s="773"/>
      <c r="JON35" s="1043"/>
      <c r="JOO35" s="1043"/>
      <c r="JOP35" s="773"/>
      <c r="JOR35" s="773"/>
      <c r="JOS35" s="773"/>
      <c r="JPA35" s="1043"/>
      <c r="JPB35" s="1043"/>
      <c r="JPC35" s="773"/>
      <c r="JPE35" s="773"/>
      <c r="JPF35" s="773"/>
      <c r="JPN35" s="1043"/>
      <c r="JPO35" s="1043"/>
      <c r="JPP35" s="773"/>
      <c r="JPR35" s="773"/>
      <c r="JPS35" s="773"/>
      <c r="JQA35" s="1043"/>
      <c r="JQB35" s="1043"/>
      <c r="JQC35" s="773"/>
      <c r="JQE35" s="773"/>
      <c r="JQF35" s="773"/>
      <c r="JQN35" s="1043"/>
      <c r="JQO35" s="1043"/>
      <c r="JQP35" s="773"/>
      <c r="JQR35" s="773"/>
      <c r="JQS35" s="773"/>
      <c r="JRA35" s="1043"/>
      <c r="JRB35" s="1043"/>
      <c r="JRC35" s="773"/>
      <c r="JRE35" s="773"/>
      <c r="JRF35" s="773"/>
      <c r="JRN35" s="1043"/>
      <c r="JRO35" s="1043"/>
      <c r="JRP35" s="773"/>
      <c r="JRR35" s="773"/>
      <c r="JRS35" s="773"/>
      <c r="JSA35" s="1043"/>
      <c r="JSB35" s="1043"/>
      <c r="JSC35" s="773"/>
      <c r="JSE35" s="773"/>
      <c r="JSF35" s="773"/>
      <c r="JSN35" s="1043"/>
      <c r="JSO35" s="1043"/>
      <c r="JSP35" s="773"/>
      <c r="JSR35" s="773"/>
      <c r="JSS35" s="773"/>
      <c r="JTA35" s="1043"/>
      <c r="JTB35" s="1043"/>
      <c r="JTC35" s="773"/>
      <c r="JTE35" s="773"/>
      <c r="JTF35" s="773"/>
      <c r="JTN35" s="1043"/>
      <c r="JTO35" s="1043"/>
      <c r="JTP35" s="773"/>
      <c r="JTR35" s="773"/>
      <c r="JTS35" s="773"/>
      <c r="JUA35" s="1043"/>
      <c r="JUB35" s="1043"/>
      <c r="JUC35" s="773"/>
      <c r="JUE35" s="773"/>
      <c r="JUF35" s="773"/>
      <c r="JUN35" s="1043"/>
      <c r="JUO35" s="1043"/>
      <c r="JUP35" s="773"/>
      <c r="JUR35" s="773"/>
      <c r="JUS35" s="773"/>
      <c r="JVA35" s="1043"/>
      <c r="JVB35" s="1043"/>
      <c r="JVC35" s="773"/>
      <c r="JVE35" s="773"/>
      <c r="JVF35" s="773"/>
      <c r="JVN35" s="1043"/>
      <c r="JVO35" s="1043"/>
      <c r="JVP35" s="773"/>
      <c r="JVR35" s="773"/>
      <c r="JVS35" s="773"/>
      <c r="JWA35" s="1043"/>
      <c r="JWB35" s="1043"/>
      <c r="JWC35" s="773"/>
      <c r="JWE35" s="773"/>
      <c r="JWF35" s="773"/>
      <c r="JWN35" s="1043"/>
      <c r="JWO35" s="1043"/>
      <c r="JWP35" s="773"/>
      <c r="JWR35" s="773"/>
      <c r="JWS35" s="773"/>
      <c r="JXA35" s="1043"/>
      <c r="JXB35" s="1043"/>
      <c r="JXC35" s="773"/>
      <c r="JXE35" s="773"/>
      <c r="JXF35" s="773"/>
      <c r="JXN35" s="1043"/>
      <c r="JXO35" s="1043"/>
      <c r="JXP35" s="773"/>
      <c r="JXR35" s="773"/>
      <c r="JXS35" s="773"/>
      <c r="JYA35" s="1043"/>
      <c r="JYB35" s="1043"/>
      <c r="JYC35" s="773"/>
      <c r="JYE35" s="773"/>
      <c r="JYF35" s="773"/>
      <c r="JYN35" s="1043"/>
      <c r="JYO35" s="1043"/>
      <c r="JYP35" s="773"/>
      <c r="JYR35" s="773"/>
      <c r="JYS35" s="773"/>
      <c r="JZA35" s="1043"/>
      <c r="JZB35" s="1043"/>
      <c r="JZC35" s="773"/>
      <c r="JZE35" s="773"/>
      <c r="JZF35" s="773"/>
      <c r="JZN35" s="1043"/>
      <c r="JZO35" s="1043"/>
      <c r="JZP35" s="773"/>
      <c r="JZR35" s="773"/>
      <c r="JZS35" s="773"/>
      <c r="KAA35" s="1043"/>
      <c r="KAB35" s="1043"/>
      <c r="KAC35" s="773"/>
      <c r="KAE35" s="773"/>
      <c r="KAF35" s="773"/>
      <c r="KAN35" s="1043"/>
      <c r="KAO35" s="1043"/>
      <c r="KAP35" s="773"/>
      <c r="KAR35" s="773"/>
      <c r="KAS35" s="773"/>
      <c r="KBA35" s="1043"/>
      <c r="KBB35" s="1043"/>
      <c r="KBC35" s="773"/>
      <c r="KBE35" s="773"/>
      <c r="KBF35" s="773"/>
      <c r="KBN35" s="1043"/>
      <c r="KBO35" s="1043"/>
      <c r="KBP35" s="773"/>
      <c r="KBR35" s="773"/>
      <c r="KBS35" s="773"/>
      <c r="KCA35" s="1043"/>
      <c r="KCB35" s="1043"/>
      <c r="KCC35" s="773"/>
      <c r="KCE35" s="773"/>
      <c r="KCF35" s="773"/>
      <c r="KCN35" s="1043"/>
      <c r="KCO35" s="1043"/>
      <c r="KCP35" s="773"/>
      <c r="KCR35" s="773"/>
      <c r="KCS35" s="773"/>
      <c r="KDA35" s="1043"/>
      <c r="KDB35" s="1043"/>
      <c r="KDC35" s="773"/>
      <c r="KDE35" s="773"/>
      <c r="KDF35" s="773"/>
      <c r="KDN35" s="1043"/>
      <c r="KDO35" s="1043"/>
      <c r="KDP35" s="773"/>
      <c r="KDR35" s="773"/>
      <c r="KDS35" s="773"/>
      <c r="KEA35" s="1043"/>
      <c r="KEB35" s="1043"/>
      <c r="KEC35" s="773"/>
      <c r="KEE35" s="773"/>
      <c r="KEF35" s="773"/>
      <c r="KEN35" s="1043"/>
      <c r="KEO35" s="1043"/>
      <c r="KEP35" s="773"/>
      <c r="KER35" s="773"/>
      <c r="KES35" s="773"/>
      <c r="KFA35" s="1043"/>
      <c r="KFB35" s="1043"/>
      <c r="KFC35" s="773"/>
      <c r="KFE35" s="773"/>
      <c r="KFF35" s="773"/>
      <c r="KFN35" s="1043"/>
      <c r="KFO35" s="1043"/>
      <c r="KFP35" s="773"/>
      <c r="KFR35" s="773"/>
      <c r="KFS35" s="773"/>
      <c r="KGA35" s="1043"/>
      <c r="KGB35" s="1043"/>
      <c r="KGC35" s="773"/>
      <c r="KGE35" s="773"/>
      <c r="KGF35" s="773"/>
      <c r="KGN35" s="1043"/>
      <c r="KGO35" s="1043"/>
      <c r="KGP35" s="773"/>
      <c r="KGR35" s="773"/>
      <c r="KGS35" s="773"/>
      <c r="KHA35" s="1043"/>
      <c r="KHB35" s="1043"/>
      <c r="KHC35" s="773"/>
      <c r="KHE35" s="773"/>
      <c r="KHF35" s="773"/>
      <c r="KHN35" s="1043"/>
      <c r="KHO35" s="1043"/>
      <c r="KHP35" s="773"/>
      <c r="KHR35" s="773"/>
      <c r="KHS35" s="773"/>
      <c r="KIA35" s="1043"/>
      <c r="KIB35" s="1043"/>
      <c r="KIC35" s="773"/>
      <c r="KIE35" s="773"/>
      <c r="KIF35" s="773"/>
      <c r="KIN35" s="1043"/>
      <c r="KIO35" s="1043"/>
      <c r="KIP35" s="773"/>
      <c r="KIR35" s="773"/>
      <c r="KIS35" s="773"/>
      <c r="KJA35" s="1043"/>
      <c r="KJB35" s="1043"/>
      <c r="KJC35" s="773"/>
      <c r="KJE35" s="773"/>
      <c r="KJF35" s="773"/>
      <c r="KJN35" s="1043"/>
      <c r="KJO35" s="1043"/>
      <c r="KJP35" s="773"/>
      <c r="KJR35" s="773"/>
      <c r="KJS35" s="773"/>
      <c r="KKA35" s="1043"/>
      <c r="KKB35" s="1043"/>
      <c r="KKC35" s="773"/>
      <c r="KKE35" s="773"/>
      <c r="KKF35" s="773"/>
      <c r="KKN35" s="1043"/>
      <c r="KKO35" s="1043"/>
      <c r="KKP35" s="773"/>
      <c r="KKR35" s="773"/>
      <c r="KKS35" s="773"/>
      <c r="KLA35" s="1043"/>
      <c r="KLB35" s="1043"/>
      <c r="KLC35" s="773"/>
      <c r="KLE35" s="773"/>
      <c r="KLF35" s="773"/>
      <c r="KLN35" s="1043"/>
      <c r="KLO35" s="1043"/>
      <c r="KLP35" s="773"/>
      <c r="KLR35" s="773"/>
      <c r="KLS35" s="773"/>
      <c r="KMA35" s="1043"/>
      <c r="KMB35" s="1043"/>
      <c r="KMC35" s="773"/>
      <c r="KME35" s="773"/>
      <c r="KMF35" s="773"/>
      <c r="KMN35" s="1043"/>
      <c r="KMO35" s="1043"/>
      <c r="KMP35" s="773"/>
      <c r="KMR35" s="773"/>
      <c r="KMS35" s="773"/>
      <c r="KNA35" s="1043"/>
      <c r="KNB35" s="1043"/>
      <c r="KNC35" s="773"/>
      <c r="KNE35" s="773"/>
      <c r="KNF35" s="773"/>
      <c r="KNN35" s="1043"/>
      <c r="KNO35" s="1043"/>
      <c r="KNP35" s="773"/>
      <c r="KNR35" s="773"/>
      <c r="KNS35" s="773"/>
      <c r="KOA35" s="1043"/>
      <c r="KOB35" s="1043"/>
      <c r="KOC35" s="773"/>
      <c r="KOE35" s="773"/>
      <c r="KOF35" s="773"/>
      <c r="KON35" s="1043"/>
      <c r="KOO35" s="1043"/>
      <c r="KOP35" s="773"/>
      <c r="KOR35" s="773"/>
      <c r="KOS35" s="773"/>
      <c r="KPA35" s="1043"/>
      <c r="KPB35" s="1043"/>
      <c r="KPC35" s="773"/>
      <c r="KPE35" s="773"/>
      <c r="KPF35" s="773"/>
      <c r="KPN35" s="1043"/>
      <c r="KPO35" s="1043"/>
      <c r="KPP35" s="773"/>
      <c r="KPR35" s="773"/>
      <c r="KPS35" s="773"/>
      <c r="KQA35" s="1043"/>
      <c r="KQB35" s="1043"/>
      <c r="KQC35" s="773"/>
      <c r="KQE35" s="773"/>
      <c r="KQF35" s="773"/>
      <c r="KQN35" s="1043"/>
      <c r="KQO35" s="1043"/>
      <c r="KQP35" s="773"/>
      <c r="KQR35" s="773"/>
      <c r="KQS35" s="773"/>
      <c r="KRA35" s="1043"/>
      <c r="KRB35" s="1043"/>
      <c r="KRC35" s="773"/>
      <c r="KRE35" s="773"/>
      <c r="KRF35" s="773"/>
      <c r="KRN35" s="1043"/>
      <c r="KRO35" s="1043"/>
      <c r="KRP35" s="773"/>
      <c r="KRR35" s="773"/>
      <c r="KRS35" s="773"/>
      <c r="KSA35" s="1043"/>
      <c r="KSB35" s="1043"/>
      <c r="KSC35" s="773"/>
      <c r="KSE35" s="773"/>
      <c r="KSF35" s="773"/>
      <c r="KSN35" s="1043"/>
      <c r="KSO35" s="1043"/>
      <c r="KSP35" s="773"/>
      <c r="KSR35" s="773"/>
      <c r="KSS35" s="773"/>
      <c r="KTA35" s="1043"/>
      <c r="KTB35" s="1043"/>
      <c r="KTC35" s="773"/>
      <c r="KTE35" s="773"/>
      <c r="KTF35" s="773"/>
      <c r="KTN35" s="1043"/>
      <c r="KTO35" s="1043"/>
      <c r="KTP35" s="773"/>
      <c r="KTR35" s="773"/>
      <c r="KTS35" s="773"/>
      <c r="KUA35" s="1043"/>
      <c r="KUB35" s="1043"/>
      <c r="KUC35" s="773"/>
      <c r="KUE35" s="773"/>
      <c r="KUF35" s="773"/>
      <c r="KUN35" s="1043"/>
      <c r="KUO35" s="1043"/>
      <c r="KUP35" s="773"/>
      <c r="KUR35" s="773"/>
      <c r="KUS35" s="773"/>
      <c r="KVA35" s="1043"/>
      <c r="KVB35" s="1043"/>
      <c r="KVC35" s="773"/>
      <c r="KVE35" s="773"/>
      <c r="KVF35" s="773"/>
      <c r="KVN35" s="1043"/>
      <c r="KVO35" s="1043"/>
      <c r="KVP35" s="773"/>
      <c r="KVR35" s="773"/>
      <c r="KVS35" s="773"/>
      <c r="KWA35" s="1043"/>
      <c r="KWB35" s="1043"/>
      <c r="KWC35" s="773"/>
      <c r="KWE35" s="773"/>
      <c r="KWF35" s="773"/>
      <c r="KWN35" s="1043"/>
      <c r="KWO35" s="1043"/>
      <c r="KWP35" s="773"/>
      <c r="KWR35" s="773"/>
      <c r="KWS35" s="773"/>
      <c r="KXA35" s="1043"/>
      <c r="KXB35" s="1043"/>
      <c r="KXC35" s="773"/>
      <c r="KXE35" s="773"/>
      <c r="KXF35" s="773"/>
      <c r="KXN35" s="1043"/>
      <c r="KXO35" s="1043"/>
      <c r="KXP35" s="773"/>
      <c r="KXR35" s="773"/>
      <c r="KXS35" s="773"/>
      <c r="KYA35" s="1043"/>
      <c r="KYB35" s="1043"/>
      <c r="KYC35" s="773"/>
      <c r="KYE35" s="773"/>
      <c r="KYF35" s="773"/>
      <c r="KYN35" s="1043"/>
      <c r="KYO35" s="1043"/>
      <c r="KYP35" s="773"/>
      <c r="KYR35" s="773"/>
      <c r="KYS35" s="773"/>
      <c r="KZA35" s="1043"/>
      <c r="KZB35" s="1043"/>
      <c r="KZC35" s="773"/>
      <c r="KZE35" s="773"/>
      <c r="KZF35" s="773"/>
      <c r="KZN35" s="1043"/>
      <c r="KZO35" s="1043"/>
      <c r="KZP35" s="773"/>
      <c r="KZR35" s="773"/>
      <c r="KZS35" s="773"/>
      <c r="LAA35" s="1043"/>
      <c r="LAB35" s="1043"/>
      <c r="LAC35" s="773"/>
      <c r="LAE35" s="773"/>
      <c r="LAF35" s="773"/>
      <c r="LAN35" s="1043"/>
      <c r="LAO35" s="1043"/>
      <c r="LAP35" s="773"/>
      <c r="LAR35" s="773"/>
      <c r="LAS35" s="773"/>
      <c r="LBA35" s="1043"/>
      <c r="LBB35" s="1043"/>
      <c r="LBC35" s="773"/>
      <c r="LBE35" s="773"/>
      <c r="LBF35" s="773"/>
      <c r="LBN35" s="1043"/>
      <c r="LBO35" s="1043"/>
      <c r="LBP35" s="773"/>
      <c r="LBR35" s="773"/>
      <c r="LBS35" s="773"/>
      <c r="LCA35" s="1043"/>
      <c r="LCB35" s="1043"/>
      <c r="LCC35" s="773"/>
      <c r="LCE35" s="773"/>
      <c r="LCF35" s="773"/>
      <c r="LCN35" s="1043"/>
      <c r="LCO35" s="1043"/>
      <c r="LCP35" s="773"/>
      <c r="LCR35" s="773"/>
      <c r="LCS35" s="773"/>
      <c r="LDA35" s="1043"/>
      <c r="LDB35" s="1043"/>
      <c r="LDC35" s="773"/>
      <c r="LDE35" s="773"/>
      <c r="LDF35" s="773"/>
      <c r="LDN35" s="1043"/>
      <c r="LDO35" s="1043"/>
      <c r="LDP35" s="773"/>
      <c r="LDR35" s="773"/>
      <c r="LDS35" s="773"/>
      <c r="LEA35" s="1043"/>
      <c r="LEB35" s="1043"/>
      <c r="LEC35" s="773"/>
      <c r="LEE35" s="773"/>
      <c r="LEF35" s="773"/>
      <c r="LEN35" s="1043"/>
      <c r="LEO35" s="1043"/>
      <c r="LEP35" s="773"/>
      <c r="LER35" s="773"/>
      <c r="LES35" s="773"/>
      <c r="LFA35" s="1043"/>
      <c r="LFB35" s="1043"/>
      <c r="LFC35" s="773"/>
      <c r="LFE35" s="773"/>
      <c r="LFF35" s="773"/>
      <c r="LFN35" s="1043"/>
      <c r="LFO35" s="1043"/>
      <c r="LFP35" s="773"/>
      <c r="LFR35" s="773"/>
      <c r="LFS35" s="773"/>
      <c r="LGA35" s="1043"/>
      <c r="LGB35" s="1043"/>
      <c r="LGC35" s="773"/>
      <c r="LGE35" s="773"/>
      <c r="LGF35" s="773"/>
      <c r="LGN35" s="1043"/>
      <c r="LGO35" s="1043"/>
      <c r="LGP35" s="773"/>
      <c r="LGR35" s="773"/>
      <c r="LGS35" s="773"/>
      <c r="LHA35" s="1043"/>
      <c r="LHB35" s="1043"/>
      <c r="LHC35" s="773"/>
      <c r="LHE35" s="773"/>
      <c r="LHF35" s="773"/>
      <c r="LHN35" s="1043"/>
      <c r="LHO35" s="1043"/>
      <c r="LHP35" s="773"/>
      <c r="LHR35" s="773"/>
      <c r="LHS35" s="773"/>
      <c r="LIA35" s="1043"/>
      <c r="LIB35" s="1043"/>
      <c r="LIC35" s="773"/>
      <c r="LIE35" s="773"/>
      <c r="LIF35" s="773"/>
      <c r="LIN35" s="1043"/>
      <c r="LIO35" s="1043"/>
      <c r="LIP35" s="773"/>
      <c r="LIR35" s="773"/>
      <c r="LIS35" s="773"/>
      <c r="LJA35" s="1043"/>
      <c r="LJB35" s="1043"/>
      <c r="LJC35" s="773"/>
      <c r="LJE35" s="773"/>
      <c r="LJF35" s="773"/>
      <c r="LJN35" s="1043"/>
      <c r="LJO35" s="1043"/>
      <c r="LJP35" s="773"/>
      <c r="LJR35" s="773"/>
      <c r="LJS35" s="773"/>
      <c r="LKA35" s="1043"/>
      <c r="LKB35" s="1043"/>
      <c r="LKC35" s="773"/>
      <c r="LKE35" s="773"/>
      <c r="LKF35" s="773"/>
      <c r="LKN35" s="1043"/>
      <c r="LKO35" s="1043"/>
      <c r="LKP35" s="773"/>
      <c r="LKR35" s="773"/>
      <c r="LKS35" s="773"/>
      <c r="LLA35" s="1043"/>
      <c r="LLB35" s="1043"/>
      <c r="LLC35" s="773"/>
      <c r="LLE35" s="773"/>
      <c r="LLF35" s="773"/>
      <c r="LLN35" s="1043"/>
      <c r="LLO35" s="1043"/>
      <c r="LLP35" s="773"/>
      <c r="LLR35" s="773"/>
      <c r="LLS35" s="773"/>
      <c r="LMA35" s="1043"/>
      <c r="LMB35" s="1043"/>
      <c r="LMC35" s="773"/>
      <c r="LME35" s="773"/>
      <c r="LMF35" s="773"/>
      <c r="LMN35" s="1043"/>
      <c r="LMO35" s="1043"/>
      <c r="LMP35" s="773"/>
      <c r="LMR35" s="773"/>
      <c r="LMS35" s="773"/>
      <c r="LNA35" s="1043"/>
      <c r="LNB35" s="1043"/>
      <c r="LNC35" s="773"/>
      <c r="LNE35" s="773"/>
      <c r="LNF35" s="773"/>
      <c r="LNN35" s="1043"/>
      <c r="LNO35" s="1043"/>
      <c r="LNP35" s="773"/>
      <c r="LNR35" s="773"/>
      <c r="LNS35" s="773"/>
      <c r="LOA35" s="1043"/>
      <c r="LOB35" s="1043"/>
      <c r="LOC35" s="773"/>
      <c r="LOE35" s="773"/>
      <c r="LOF35" s="773"/>
      <c r="LON35" s="1043"/>
      <c r="LOO35" s="1043"/>
      <c r="LOP35" s="773"/>
      <c r="LOR35" s="773"/>
      <c r="LOS35" s="773"/>
      <c r="LPA35" s="1043"/>
      <c r="LPB35" s="1043"/>
      <c r="LPC35" s="773"/>
      <c r="LPE35" s="773"/>
      <c r="LPF35" s="773"/>
      <c r="LPN35" s="1043"/>
      <c r="LPO35" s="1043"/>
      <c r="LPP35" s="773"/>
      <c r="LPR35" s="773"/>
      <c r="LPS35" s="773"/>
      <c r="LQA35" s="1043"/>
      <c r="LQB35" s="1043"/>
      <c r="LQC35" s="773"/>
      <c r="LQE35" s="773"/>
      <c r="LQF35" s="773"/>
      <c r="LQN35" s="1043"/>
      <c r="LQO35" s="1043"/>
      <c r="LQP35" s="773"/>
      <c r="LQR35" s="773"/>
      <c r="LQS35" s="773"/>
      <c r="LRA35" s="1043"/>
      <c r="LRB35" s="1043"/>
      <c r="LRC35" s="773"/>
      <c r="LRE35" s="773"/>
      <c r="LRF35" s="773"/>
      <c r="LRN35" s="1043"/>
      <c r="LRO35" s="1043"/>
      <c r="LRP35" s="773"/>
      <c r="LRR35" s="773"/>
      <c r="LRS35" s="773"/>
      <c r="LSA35" s="1043"/>
      <c r="LSB35" s="1043"/>
      <c r="LSC35" s="773"/>
      <c r="LSE35" s="773"/>
      <c r="LSF35" s="773"/>
      <c r="LSN35" s="1043"/>
      <c r="LSO35" s="1043"/>
      <c r="LSP35" s="773"/>
      <c r="LSR35" s="773"/>
      <c r="LSS35" s="773"/>
      <c r="LTA35" s="1043"/>
      <c r="LTB35" s="1043"/>
      <c r="LTC35" s="773"/>
      <c r="LTE35" s="773"/>
      <c r="LTF35" s="773"/>
      <c r="LTN35" s="1043"/>
      <c r="LTO35" s="1043"/>
      <c r="LTP35" s="773"/>
      <c r="LTR35" s="773"/>
      <c r="LTS35" s="773"/>
      <c r="LUA35" s="1043"/>
      <c r="LUB35" s="1043"/>
      <c r="LUC35" s="773"/>
      <c r="LUE35" s="773"/>
      <c r="LUF35" s="773"/>
      <c r="LUN35" s="1043"/>
      <c r="LUO35" s="1043"/>
      <c r="LUP35" s="773"/>
      <c r="LUR35" s="773"/>
      <c r="LUS35" s="773"/>
      <c r="LVA35" s="1043"/>
      <c r="LVB35" s="1043"/>
      <c r="LVC35" s="773"/>
      <c r="LVE35" s="773"/>
      <c r="LVF35" s="773"/>
      <c r="LVN35" s="1043"/>
      <c r="LVO35" s="1043"/>
      <c r="LVP35" s="773"/>
      <c r="LVR35" s="773"/>
      <c r="LVS35" s="773"/>
      <c r="LWA35" s="1043"/>
      <c r="LWB35" s="1043"/>
      <c r="LWC35" s="773"/>
      <c r="LWE35" s="773"/>
      <c r="LWF35" s="773"/>
      <c r="LWN35" s="1043"/>
      <c r="LWO35" s="1043"/>
      <c r="LWP35" s="773"/>
      <c r="LWR35" s="773"/>
      <c r="LWS35" s="773"/>
      <c r="LXA35" s="1043"/>
      <c r="LXB35" s="1043"/>
      <c r="LXC35" s="773"/>
      <c r="LXE35" s="773"/>
      <c r="LXF35" s="773"/>
      <c r="LXN35" s="1043"/>
      <c r="LXO35" s="1043"/>
      <c r="LXP35" s="773"/>
      <c r="LXR35" s="773"/>
      <c r="LXS35" s="773"/>
      <c r="LYA35" s="1043"/>
      <c r="LYB35" s="1043"/>
      <c r="LYC35" s="773"/>
      <c r="LYE35" s="773"/>
      <c r="LYF35" s="773"/>
      <c r="LYN35" s="1043"/>
      <c r="LYO35" s="1043"/>
      <c r="LYP35" s="773"/>
      <c r="LYR35" s="773"/>
      <c r="LYS35" s="773"/>
      <c r="LZA35" s="1043"/>
      <c r="LZB35" s="1043"/>
      <c r="LZC35" s="773"/>
      <c r="LZE35" s="773"/>
      <c r="LZF35" s="773"/>
      <c r="LZN35" s="1043"/>
      <c r="LZO35" s="1043"/>
      <c r="LZP35" s="773"/>
      <c r="LZR35" s="773"/>
      <c r="LZS35" s="773"/>
      <c r="MAA35" s="1043"/>
      <c r="MAB35" s="1043"/>
      <c r="MAC35" s="773"/>
      <c r="MAE35" s="773"/>
      <c r="MAF35" s="773"/>
      <c r="MAN35" s="1043"/>
      <c r="MAO35" s="1043"/>
      <c r="MAP35" s="773"/>
      <c r="MAR35" s="773"/>
      <c r="MAS35" s="773"/>
      <c r="MBA35" s="1043"/>
      <c r="MBB35" s="1043"/>
      <c r="MBC35" s="773"/>
      <c r="MBE35" s="773"/>
      <c r="MBF35" s="773"/>
      <c r="MBN35" s="1043"/>
      <c r="MBO35" s="1043"/>
      <c r="MBP35" s="773"/>
      <c r="MBR35" s="773"/>
      <c r="MBS35" s="773"/>
      <c r="MCA35" s="1043"/>
      <c r="MCB35" s="1043"/>
      <c r="MCC35" s="773"/>
      <c r="MCE35" s="773"/>
      <c r="MCF35" s="773"/>
      <c r="MCN35" s="1043"/>
      <c r="MCO35" s="1043"/>
      <c r="MCP35" s="773"/>
      <c r="MCR35" s="773"/>
      <c r="MCS35" s="773"/>
      <c r="MDA35" s="1043"/>
      <c r="MDB35" s="1043"/>
      <c r="MDC35" s="773"/>
      <c r="MDE35" s="773"/>
      <c r="MDF35" s="773"/>
      <c r="MDN35" s="1043"/>
      <c r="MDO35" s="1043"/>
      <c r="MDP35" s="773"/>
      <c r="MDR35" s="773"/>
      <c r="MDS35" s="773"/>
      <c r="MEA35" s="1043"/>
      <c r="MEB35" s="1043"/>
      <c r="MEC35" s="773"/>
      <c r="MEE35" s="773"/>
      <c r="MEF35" s="773"/>
      <c r="MEN35" s="1043"/>
      <c r="MEO35" s="1043"/>
      <c r="MEP35" s="773"/>
      <c r="MER35" s="773"/>
      <c r="MES35" s="773"/>
      <c r="MFA35" s="1043"/>
      <c r="MFB35" s="1043"/>
      <c r="MFC35" s="773"/>
      <c r="MFE35" s="773"/>
      <c r="MFF35" s="773"/>
      <c r="MFN35" s="1043"/>
      <c r="MFO35" s="1043"/>
      <c r="MFP35" s="773"/>
      <c r="MFR35" s="773"/>
      <c r="MFS35" s="773"/>
      <c r="MGA35" s="1043"/>
      <c r="MGB35" s="1043"/>
      <c r="MGC35" s="773"/>
      <c r="MGE35" s="773"/>
      <c r="MGF35" s="773"/>
      <c r="MGN35" s="1043"/>
      <c r="MGO35" s="1043"/>
      <c r="MGP35" s="773"/>
      <c r="MGR35" s="773"/>
      <c r="MGS35" s="773"/>
      <c r="MHA35" s="1043"/>
      <c r="MHB35" s="1043"/>
      <c r="MHC35" s="773"/>
      <c r="MHE35" s="773"/>
      <c r="MHF35" s="773"/>
      <c r="MHN35" s="1043"/>
      <c r="MHO35" s="1043"/>
      <c r="MHP35" s="773"/>
      <c r="MHR35" s="773"/>
      <c r="MHS35" s="773"/>
      <c r="MIA35" s="1043"/>
      <c r="MIB35" s="1043"/>
      <c r="MIC35" s="773"/>
      <c r="MIE35" s="773"/>
      <c r="MIF35" s="773"/>
      <c r="MIN35" s="1043"/>
      <c r="MIO35" s="1043"/>
      <c r="MIP35" s="773"/>
      <c r="MIR35" s="773"/>
      <c r="MIS35" s="773"/>
      <c r="MJA35" s="1043"/>
      <c r="MJB35" s="1043"/>
      <c r="MJC35" s="773"/>
      <c r="MJE35" s="773"/>
      <c r="MJF35" s="773"/>
      <c r="MJN35" s="1043"/>
      <c r="MJO35" s="1043"/>
      <c r="MJP35" s="773"/>
      <c r="MJR35" s="773"/>
      <c r="MJS35" s="773"/>
      <c r="MKA35" s="1043"/>
      <c r="MKB35" s="1043"/>
      <c r="MKC35" s="773"/>
      <c r="MKE35" s="773"/>
      <c r="MKF35" s="773"/>
      <c r="MKN35" s="1043"/>
      <c r="MKO35" s="1043"/>
      <c r="MKP35" s="773"/>
      <c r="MKR35" s="773"/>
      <c r="MKS35" s="773"/>
      <c r="MLA35" s="1043"/>
      <c r="MLB35" s="1043"/>
      <c r="MLC35" s="773"/>
      <c r="MLE35" s="773"/>
      <c r="MLF35" s="773"/>
      <c r="MLN35" s="1043"/>
      <c r="MLO35" s="1043"/>
      <c r="MLP35" s="773"/>
      <c r="MLR35" s="773"/>
      <c r="MLS35" s="773"/>
      <c r="MMA35" s="1043"/>
      <c r="MMB35" s="1043"/>
      <c r="MMC35" s="773"/>
      <c r="MME35" s="773"/>
      <c r="MMF35" s="773"/>
      <c r="MMN35" s="1043"/>
      <c r="MMO35" s="1043"/>
      <c r="MMP35" s="773"/>
      <c r="MMR35" s="773"/>
      <c r="MMS35" s="773"/>
      <c r="MNA35" s="1043"/>
      <c r="MNB35" s="1043"/>
      <c r="MNC35" s="773"/>
      <c r="MNE35" s="773"/>
      <c r="MNF35" s="773"/>
      <c r="MNN35" s="1043"/>
      <c r="MNO35" s="1043"/>
      <c r="MNP35" s="773"/>
      <c r="MNR35" s="773"/>
      <c r="MNS35" s="773"/>
      <c r="MOA35" s="1043"/>
      <c r="MOB35" s="1043"/>
      <c r="MOC35" s="773"/>
      <c r="MOE35" s="773"/>
      <c r="MOF35" s="773"/>
      <c r="MON35" s="1043"/>
      <c r="MOO35" s="1043"/>
      <c r="MOP35" s="773"/>
      <c r="MOR35" s="773"/>
      <c r="MOS35" s="773"/>
      <c r="MPA35" s="1043"/>
      <c r="MPB35" s="1043"/>
      <c r="MPC35" s="773"/>
      <c r="MPE35" s="773"/>
      <c r="MPF35" s="773"/>
      <c r="MPN35" s="1043"/>
      <c r="MPO35" s="1043"/>
      <c r="MPP35" s="773"/>
      <c r="MPR35" s="773"/>
      <c r="MPS35" s="773"/>
      <c r="MQA35" s="1043"/>
      <c r="MQB35" s="1043"/>
      <c r="MQC35" s="773"/>
      <c r="MQE35" s="773"/>
      <c r="MQF35" s="773"/>
      <c r="MQN35" s="1043"/>
      <c r="MQO35" s="1043"/>
      <c r="MQP35" s="773"/>
      <c r="MQR35" s="773"/>
      <c r="MQS35" s="773"/>
      <c r="MRA35" s="1043"/>
      <c r="MRB35" s="1043"/>
      <c r="MRC35" s="773"/>
      <c r="MRE35" s="773"/>
      <c r="MRF35" s="773"/>
      <c r="MRN35" s="1043"/>
      <c r="MRO35" s="1043"/>
      <c r="MRP35" s="773"/>
      <c r="MRR35" s="773"/>
      <c r="MRS35" s="773"/>
      <c r="MSA35" s="1043"/>
      <c r="MSB35" s="1043"/>
      <c r="MSC35" s="773"/>
      <c r="MSE35" s="773"/>
      <c r="MSF35" s="773"/>
      <c r="MSN35" s="1043"/>
      <c r="MSO35" s="1043"/>
      <c r="MSP35" s="773"/>
      <c r="MSR35" s="773"/>
      <c r="MSS35" s="773"/>
      <c r="MTA35" s="1043"/>
      <c r="MTB35" s="1043"/>
      <c r="MTC35" s="773"/>
      <c r="MTE35" s="773"/>
      <c r="MTF35" s="773"/>
      <c r="MTN35" s="1043"/>
      <c r="MTO35" s="1043"/>
      <c r="MTP35" s="773"/>
      <c r="MTR35" s="773"/>
      <c r="MTS35" s="773"/>
      <c r="MUA35" s="1043"/>
      <c r="MUB35" s="1043"/>
      <c r="MUC35" s="773"/>
      <c r="MUE35" s="773"/>
      <c r="MUF35" s="773"/>
      <c r="MUN35" s="1043"/>
      <c r="MUO35" s="1043"/>
      <c r="MUP35" s="773"/>
      <c r="MUR35" s="773"/>
      <c r="MUS35" s="773"/>
      <c r="MVA35" s="1043"/>
      <c r="MVB35" s="1043"/>
      <c r="MVC35" s="773"/>
      <c r="MVE35" s="773"/>
      <c r="MVF35" s="773"/>
      <c r="MVN35" s="1043"/>
      <c r="MVO35" s="1043"/>
      <c r="MVP35" s="773"/>
      <c r="MVR35" s="773"/>
      <c r="MVS35" s="773"/>
      <c r="MWA35" s="1043"/>
      <c r="MWB35" s="1043"/>
      <c r="MWC35" s="773"/>
      <c r="MWE35" s="773"/>
      <c r="MWF35" s="773"/>
      <c r="MWN35" s="1043"/>
      <c r="MWO35" s="1043"/>
      <c r="MWP35" s="773"/>
      <c r="MWR35" s="773"/>
      <c r="MWS35" s="773"/>
      <c r="MXA35" s="1043"/>
      <c r="MXB35" s="1043"/>
      <c r="MXC35" s="773"/>
      <c r="MXE35" s="773"/>
      <c r="MXF35" s="773"/>
      <c r="MXN35" s="1043"/>
      <c r="MXO35" s="1043"/>
      <c r="MXP35" s="773"/>
      <c r="MXR35" s="773"/>
      <c r="MXS35" s="773"/>
      <c r="MYA35" s="1043"/>
      <c r="MYB35" s="1043"/>
      <c r="MYC35" s="773"/>
      <c r="MYE35" s="773"/>
      <c r="MYF35" s="773"/>
      <c r="MYN35" s="1043"/>
      <c r="MYO35" s="1043"/>
      <c r="MYP35" s="773"/>
      <c r="MYR35" s="773"/>
      <c r="MYS35" s="773"/>
      <c r="MZA35" s="1043"/>
      <c r="MZB35" s="1043"/>
      <c r="MZC35" s="773"/>
      <c r="MZE35" s="773"/>
      <c r="MZF35" s="773"/>
      <c r="MZN35" s="1043"/>
      <c r="MZO35" s="1043"/>
      <c r="MZP35" s="773"/>
      <c r="MZR35" s="773"/>
      <c r="MZS35" s="773"/>
      <c r="NAA35" s="1043"/>
      <c r="NAB35" s="1043"/>
      <c r="NAC35" s="773"/>
      <c r="NAE35" s="773"/>
      <c r="NAF35" s="773"/>
      <c r="NAN35" s="1043"/>
      <c r="NAO35" s="1043"/>
      <c r="NAP35" s="773"/>
      <c r="NAR35" s="773"/>
      <c r="NAS35" s="773"/>
      <c r="NBA35" s="1043"/>
      <c r="NBB35" s="1043"/>
      <c r="NBC35" s="773"/>
      <c r="NBE35" s="773"/>
      <c r="NBF35" s="773"/>
      <c r="NBN35" s="1043"/>
      <c r="NBO35" s="1043"/>
      <c r="NBP35" s="773"/>
      <c r="NBR35" s="773"/>
      <c r="NBS35" s="773"/>
      <c r="NCA35" s="1043"/>
      <c r="NCB35" s="1043"/>
      <c r="NCC35" s="773"/>
      <c r="NCE35" s="773"/>
      <c r="NCF35" s="773"/>
      <c r="NCN35" s="1043"/>
      <c r="NCO35" s="1043"/>
      <c r="NCP35" s="773"/>
      <c r="NCR35" s="773"/>
      <c r="NCS35" s="773"/>
      <c r="NDA35" s="1043"/>
      <c r="NDB35" s="1043"/>
      <c r="NDC35" s="773"/>
      <c r="NDE35" s="773"/>
      <c r="NDF35" s="773"/>
      <c r="NDN35" s="1043"/>
      <c r="NDO35" s="1043"/>
      <c r="NDP35" s="773"/>
      <c r="NDR35" s="773"/>
      <c r="NDS35" s="773"/>
      <c r="NEA35" s="1043"/>
      <c r="NEB35" s="1043"/>
      <c r="NEC35" s="773"/>
      <c r="NEE35" s="773"/>
      <c r="NEF35" s="773"/>
      <c r="NEN35" s="1043"/>
      <c r="NEO35" s="1043"/>
      <c r="NEP35" s="773"/>
      <c r="NER35" s="773"/>
      <c r="NES35" s="773"/>
      <c r="NFA35" s="1043"/>
      <c r="NFB35" s="1043"/>
      <c r="NFC35" s="773"/>
      <c r="NFE35" s="773"/>
      <c r="NFF35" s="773"/>
      <c r="NFN35" s="1043"/>
      <c r="NFO35" s="1043"/>
      <c r="NFP35" s="773"/>
      <c r="NFR35" s="773"/>
      <c r="NFS35" s="773"/>
      <c r="NGA35" s="1043"/>
      <c r="NGB35" s="1043"/>
      <c r="NGC35" s="773"/>
      <c r="NGE35" s="773"/>
      <c r="NGF35" s="773"/>
      <c r="NGN35" s="1043"/>
      <c r="NGO35" s="1043"/>
      <c r="NGP35" s="773"/>
      <c r="NGR35" s="773"/>
      <c r="NGS35" s="773"/>
      <c r="NHA35" s="1043"/>
      <c r="NHB35" s="1043"/>
      <c r="NHC35" s="773"/>
      <c r="NHE35" s="773"/>
      <c r="NHF35" s="773"/>
      <c r="NHN35" s="1043"/>
      <c r="NHO35" s="1043"/>
      <c r="NHP35" s="773"/>
      <c r="NHR35" s="773"/>
      <c r="NHS35" s="773"/>
      <c r="NIA35" s="1043"/>
      <c r="NIB35" s="1043"/>
      <c r="NIC35" s="773"/>
      <c r="NIE35" s="773"/>
      <c r="NIF35" s="773"/>
      <c r="NIN35" s="1043"/>
      <c r="NIO35" s="1043"/>
      <c r="NIP35" s="773"/>
      <c r="NIR35" s="773"/>
      <c r="NIS35" s="773"/>
      <c r="NJA35" s="1043"/>
      <c r="NJB35" s="1043"/>
      <c r="NJC35" s="773"/>
      <c r="NJE35" s="773"/>
      <c r="NJF35" s="773"/>
      <c r="NJN35" s="1043"/>
      <c r="NJO35" s="1043"/>
      <c r="NJP35" s="773"/>
      <c r="NJR35" s="773"/>
      <c r="NJS35" s="773"/>
      <c r="NKA35" s="1043"/>
      <c r="NKB35" s="1043"/>
      <c r="NKC35" s="773"/>
      <c r="NKE35" s="773"/>
      <c r="NKF35" s="773"/>
      <c r="NKN35" s="1043"/>
      <c r="NKO35" s="1043"/>
      <c r="NKP35" s="773"/>
      <c r="NKR35" s="773"/>
      <c r="NKS35" s="773"/>
      <c r="NLA35" s="1043"/>
      <c r="NLB35" s="1043"/>
      <c r="NLC35" s="773"/>
      <c r="NLE35" s="773"/>
      <c r="NLF35" s="773"/>
      <c r="NLN35" s="1043"/>
      <c r="NLO35" s="1043"/>
      <c r="NLP35" s="773"/>
      <c r="NLR35" s="773"/>
      <c r="NLS35" s="773"/>
      <c r="NMA35" s="1043"/>
      <c r="NMB35" s="1043"/>
      <c r="NMC35" s="773"/>
      <c r="NME35" s="773"/>
      <c r="NMF35" s="773"/>
      <c r="NMN35" s="1043"/>
      <c r="NMO35" s="1043"/>
      <c r="NMP35" s="773"/>
      <c r="NMR35" s="773"/>
      <c r="NMS35" s="773"/>
      <c r="NNA35" s="1043"/>
      <c r="NNB35" s="1043"/>
      <c r="NNC35" s="773"/>
      <c r="NNE35" s="773"/>
      <c r="NNF35" s="773"/>
      <c r="NNN35" s="1043"/>
      <c r="NNO35" s="1043"/>
      <c r="NNP35" s="773"/>
      <c r="NNR35" s="773"/>
      <c r="NNS35" s="773"/>
      <c r="NOA35" s="1043"/>
      <c r="NOB35" s="1043"/>
      <c r="NOC35" s="773"/>
      <c r="NOE35" s="773"/>
      <c r="NOF35" s="773"/>
      <c r="NON35" s="1043"/>
      <c r="NOO35" s="1043"/>
      <c r="NOP35" s="773"/>
      <c r="NOR35" s="773"/>
      <c r="NOS35" s="773"/>
      <c r="NPA35" s="1043"/>
      <c r="NPB35" s="1043"/>
      <c r="NPC35" s="773"/>
      <c r="NPE35" s="773"/>
      <c r="NPF35" s="773"/>
      <c r="NPN35" s="1043"/>
      <c r="NPO35" s="1043"/>
      <c r="NPP35" s="773"/>
      <c r="NPR35" s="773"/>
      <c r="NPS35" s="773"/>
      <c r="NQA35" s="1043"/>
      <c r="NQB35" s="1043"/>
      <c r="NQC35" s="773"/>
      <c r="NQE35" s="773"/>
      <c r="NQF35" s="773"/>
      <c r="NQN35" s="1043"/>
      <c r="NQO35" s="1043"/>
      <c r="NQP35" s="773"/>
      <c r="NQR35" s="773"/>
      <c r="NQS35" s="773"/>
      <c r="NRA35" s="1043"/>
      <c r="NRB35" s="1043"/>
      <c r="NRC35" s="773"/>
      <c r="NRE35" s="773"/>
      <c r="NRF35" s="773"/>
      <c r="NRN35" s="1043"/>
      <c r="NRO35" s="1043"/>
      <c r="NRP35" s="773"/>
      <c r="NRR35" s="773"/>
      <c r="NRS35" s="773"/>
      <c r="NSA35" s="1043"/>
      <c r="NSB35" s="1043"/>
      <c r="NSC35" s="773"/>
      <c r="NSE35" s="773"/>
      <c r="NSF35" s="773"/>
      <c r="NSN35" s="1043"/>
      <c r="NSO35" s="1043"/>
      <c r="NSP35" s="773"/>
      <c r="NSR35" s="773"/>
      <c r="NSS35" s="773"/>
      <c r="NTA35" s="1043"/>
      <c r="NTB35" s="1043"/>
      <c r="NTC35" s="773"/>
      <c r="NTE35" s="773"/>
      <c r="NTF35" s="773"/>
      <c r="NTN35" s="1043"/>
      <c r="NTO35" s="1043"/>
      <c r="NTP35" s="773"/>
      <c r="NTR35" s="773"/>
      <c r="NTS35" s="773"/>
      <c r="NUA35" s="1043"/>
      <c r="NUB35" s="1043"/>
      <c r="NUC35" s="773"/>
      <c r="NUE35" s="773"/>
      <c r="NUF35" s="773"/>
      <c r="NUN35" s="1043"/>
      <c r="NUO35" s="1043"/>
      <c r="NUP35" s="773"/>
      <c r="NUR35" s="773"/>
      <c r="NUS35" s="773"/>
      <c r="NVA35" s="1043"/>
      <c r="NVB35" s="1043"/>
      <c r="NVC35" s="773"/>
      <c r="NVE35" s="773"/>
      <c r="NVF35" s="773"/>
      <c r="NVN35" s="1043"/>
      <c r="NVO35" s="1043"/>
      <c r="NVP35" s="773"/>
      <c r="NVR35" s="773"/>
      <c r="NVS35" s="773"/>
      <c r="NWA35" s="1043"/>
      <c r="NWB35" s="1043"/>
      <c r="NWC35" s="773"/>
      <c r="NWE35" s="773"/>
      <c r="NWF35" s="773"/>
      <c r="NWN35" s="1043"/>
      <c r="NWO35" s="1043"/>
      <c r="NWP35" s="773"/>
      <c r="NWR35" s="773"/>
      <c r="NWS35" s="773"/>
      <c r="NXA35" s="1043"/>
      <c r="NXB35" s="1043"/>
      <c r="NXC35" s="773"/>
      <c r="NXE35" s="773"/>
      <c r="NXF35" s="773"/>
      <c r="NXN35" s="1043"/>
      <c r="NXO35" s="1043"/>
      <c r="NXP35" s="773"/>
      <c r="NXR35" s="773"/>
      <c r="NXS35" s="773"/>
      <c r="NYA35" s="1043"/>
      <c r="NYB35" s="1043"/>
      <c r="NYC35" s="773"/>
      <c r="NYE35" s="773"/>
      <c r="NYF35" s="773"/>
      <c r="NYN35" s="1043"/>
      <c r="NYO35" s="1043"/>
      <c r="NYP35" s="773"/>
      <c r="NYR35" s="773"/>
      <c r="NYS35" s="773"/>
      <c r="NZA35" s="1043"/>
      <c r="NZB35" s="1043"/>
      <c r="NZC35" s="773"/>
      <c r="NZE35" s="773"/>
      <c r="NZF35" s="773"/>
      <c r="NZN35" s="1043"/>
      <c r="NZO35" s="1043"/>
      <c r="NZP35" s="773"/>
      <c r="NZR35" s="773"/>
      <c r="NZS35" s="773"/>
      <c r="OAA35" s="1043"/>
      <c r="OAB35" s="1043"/>
      <c r="OAC35" s="773"/>
      <c r="OAE35" s="773"/>
      <c r="OAF35" s="773"/>
      <c r="OAN35" s="1043"/>
      <c r="OAO35" s="1043"/>
      <c r="OAP35" s="773"/>
      <c r="OAR35" s="773"/>
      <c r="OAS35" s="773"/>
      <c r="OBA35" s="1043"/>
      <c r="OBB35" s="1043"/>
      <c r="OBC35" s="773"/>
      <c r="OBE35" s="773"/>
      <c r="OBF35" s="773"/>
      <c r="OBN35" s="1043"/>
      <c r="OBO35" s="1043"/>
      <c r="OBP35" s="773"/>
      <c r="OBR35" s="773"/>
      <c r="OBS35" s="773"/>
      <c r="OCA35" s="1043"/>
      <c r="OCB35" s="1043"/>
      <c r="OCC35" s="773"/>
      <c r="OCE35" s="773"/>
      <c r="OCF35" s="773"/>
      <c r="OCN35" s="1043"/>
      <c r="OCO35" s="1043"/>
      <c r="OCP35" s="773"/>
      <c r="OCR35" s="773"/>
      <c r="OCS35" s="773"/>
      <c r="ODA35" s="1043"/>
      <c r="ODB35" s="1043"/>
      <c r="ODC35" s="773"/>
      <c r="ODE35" s="773"/>
      <c r="ODF35" s="773"/>
      <c r="ODN35" s="1043"/>
      <c r="ODO35" s="1043"/>
      <c r="ODP35" s="773"/>
      <c r="ODR35" s="773"/>
      <c r="ODS35" s="773"/>
      <c r="OEA35" s="1043"/>
      <c r="OEB35" s="1043"/>
      <c r="OEC35" s="773"/>
      <c r="OEE35" s="773"/>
      <c r="OEF35" s="773"/>
      <c r="OEN35" s="1043"/>
      <c r="OEO35" s="1043"/>
      <c r="OEP35" s="773"/>
      <c r="OER35" s="773"/>
      <c r="OES35" s="773"/>
      <c r="OFA35" s="1043"/>
      <c r="OFB35" s="1043"/>
      <c r="OFC35" s="773"/>
      <c r="OFE35" s="773"/>
      <c r="OFF35" s="773"/>
      <c r="OFN35" s="1043"/>
      <c r="OFO35" s="1043"/>
      <c r="OFP35" s="773"/>
      <c r="OFR35" s="773"/>
      <c r="OFS35" s="773"/>
      <c r="OGA35" s="1043"/>
      <c r="OGB35" s="1043"/>
      <c r="OGC35" s="773"/>
      <c r="OGE35" s="773"/>
      <c r="OGF35" s="773"/>
      <c r="OGN35" s="1043"/>
      <c r="OGO35" s="1043"/>
      <c r="OGP35" s="773"/>
      <c r="OGR35" s="773"/>
      <c r="OGS35" s="773"/>
      <c r="OHA35" s="1043"/>
      <c r="OHB35" s="1043"/>
      <c r="OHC35" s="773"/>
      <c r="OHE35" s="773"/>
      <c r="OHF35" s="773"/>
      <c r="OHN35" s="1043"/>
      <c r="OHO35" s="1043"/>
      <c r="OHP35" s="773"/>
      <c r="OHR35" s="773"/>
      <c r="OHS35" s="773"/>
      <c r="OIA35" s="1043"/>
      <c r="OIB35" s="1043"/>
      <c r="OIC35" s="773"/>
      <c r="OIE35" s="773"/>
      <c r="OIF35" s="773"/>
      <c r="OIN35" s="1043"/>
      <c r="OIO35" s="1043"/>
      <c r="OIP35" s="773"/>
      <c r="OIR35" s="773"/>
      <c r="OIS35" s="773"/>
      <c r="OJA35" s="1043"/>
      <c r="OJB35" s="1043"/>
      <c r="OJC35" s="773"/>
      <c r="OJE35" s="773"/>
      <c r="OJF35" s="773"/>
      <c r="OJN35" s="1043"/>
      <c r="OJO35" s="1043"/>
      <c r="OJP35" s="773"/>
      <c r="OJR35" s="773"/>
      <c r="OJS35" s="773"/>
      <c r="OKA35" s="1043"/>
      <c r="OKB35" s="1043"/>
      <c r="OKC35" s="773"/>
      <c r="OKE35" s="773"/>
      <c r="OKF35" s="773"/>
      <c r="OKN35" s="1043"/>
      <c r="OKO35" s="1043"/>
      <c r="OKP35" s="773"/>
      <c r="OKR35" s="773"/>
      <c r="OKS35" s="773"/>
      <c r="OLA35" s="1043"/>
      <c r="OLB35" s="1043"/>
      <c r="OLC35" s="773"/>
      <c r="OLE35" s="773"/>
      <c r="OLF35" s="773"/>
      <c r="OLN35" s="1043"/>
      <c r="OLO35" s="1043"/>
      <c r="OLP35" s="773"/>
      <c r="OLR35" s="773"/>
      <c r="OLS35" s="773"/>
      <c r="OMA35" s="1043"/>
      <c r="OMB35" s="1043"/>
      <c r="OMC35" s="773"/>
      <c r="OME35" s="773"/>
      <c r="OMF35" s="773"/>
      <c r="OMN35" s="1043"/>
      <c r="OMO35" s="1043"/>
      <c r="OMP35" s="773"/>
      <c r="OMR35" s="773"/>
      <c r="OMS35" s="773"/>
      <c r="ONA35" s="1043"/>
      <c r="ONB35" s="1043"/>
      <c r="ONC35" s="773"/>
      <c r="ONE35" s="773"/>
      <c r="ONF35" s="773"/>
      <c r="ONN35" s="1043"/>
      <c r="ONO35" s="1043"/>
      <c r="ONP35" s="773"/>
      <c r="ONR35" s="773"/>
      <c r="ONS35" s="773"/>
      <c r="OOA35" s="1043"/>
      <c r="OOB35" s="1043"/>
      <c r="OOC35" s="773"/>
      <c r="OOE35" s="773"/>
      <c r="OOF35" s="773"/>
      <c r="OON35" s="1043"/>
      <c r="OOO35" s="1043"/>
      <c r="OOP35" s="773"/>
      <c r="OOR35" s="773"/>
      <c r="OOS35" s="773"/>
      <c r="OPA35" s="1043"/>
      <c r="OPB35" s="1043"/>
      <c r="OPC35" s="773"/>
      <c r="OPE35" s="773"/>
      <c r="OPF35" s="773"/>
      <c r="OPN35" s="1043"/>
      <c r="OPO35" s="1043"/>
      <c r="OPP35" s="773"/>
      <c r="OPR35" s="773"/>
      <c r="OPS35" s="773"/>
      <c r="OQA35" s="1043"/>
      <c r="OQB35" s="1043"/>
      <c r="OQC35" s="773"/>
      <c r="OQE35" s="773"/>
      <c r="OQF35" s="773"/>
      <c r="OQN35" s="1043"/>
      <c r="OQO35" s="1043"/>
      <c r="OQP35" s="773"/>
      <c r="OQR35" s="773"/>
      <c r="OQS35" s="773"/>
      <c r="ORA35" s="1043"/>
      <c r="ORB35" s="1043"/>
      <c r="ORC35" s="773"/>
      <c r="ORE35" s="773"/>
      <c r="ORF35" s="773"/>
      <c r="ORN35" s="1043"/>
      <c r="ORO35" s="1043"/>
      <c r="ORP35" s="773"/>
      <c r="ORR35" s="773"/>
      <c r="ORS35" s="773"/>
      <c r="OSA35" s="1043"/>
      <c r="OSB35" s="1043"/>
      <c r="OSC35" s="773"/>
      <c r="OSE35" s="773"/>
      <c r="OSF35" s="773"/>
      <c r="OSN35" s="1043"/>
      <c r="OSO35" s="1043"/>
      <c r="OSP35" s="773"/>
      <c r="OSR35" s="773"/>
      <c r="OSS35" s="773"/>
      <c r="OTA35" s="1043"/>
      <c r="OTB35" s="1043"/>
      <c r="OTC35" s="773"/>
      <c r="OTE35" s="773"/>
      <c r="OTF35" s="773"/>
      <c r="OTN35" s="1043"/>
      <c r="OTO35" s="1043"/>
      <c r="OTP35" s="773"/>
      <c r="OTR35" s="773"/>
      <c r="OTS35" s="773"/>
      <c r="OUA35" s="1043"/>
      <c r="OUB35" s="1043"/>
      <c r="OUC35" s="773"/>
      <c r="OUE35" s="773"/>
      <c r="OUF35" s="773"/>
      <c r="OUN35" s="1043"/>
      <c r="OUO35" s="1043"/>
      <c r="OUP35" s="773"/>
      <c r="OUR35" s="773"/>
      <c r="OUS35" s="773"/>
      <c r="OVA35" s="1043"/>
      <c r="OVB35" s="1043"/>
      <c r="OVC35" s="773"/>
      <c r="OVE35" s="773"/>
      <c r="OVF35" s="773"/>
      <c r="OVN35" s="1043"/>
      <c r="OVO35" s="1043"/>
      <c r="OVP35" s="773"/>
      <c r="OVR35" s="773"/>
      <c r="OVS35" s="773"/>
      <c r="OWA35" s="1043"/>
      <c r="OWB35" s="1043"/>
      <c r="OWC35" s="773"/>
      <c r="OWE35" s="773"/>
      <c r="OWF35" s="773"/>
      <c r="OWN35" s="1043"/>
      <c r="OWO35" s="1043"/>
      <c r="OWP35" s="773"/>
      <c r="OWR35" s="773"/>
      <c r="OWS35" s="773"/>
      <c r="OXA35" s="1043"/>
      <c r="OXB35" s="1043"/>
      <c r="OXC35" s="773"/>
      <c r="OXE35" s="773"/>
      <c r="OXF35" s="773"/>
      <c r="OXN35" s="1043"/>
      <c r="OXO35" s="1043"/>
      <c r="OXP35" s="773"/>
      <c r="OXR35" s="773"/>
      <c r="OXS35" s="773"/>
      <c r="OYA35" s="1043"/>
      <c r="OYB35" s="1043"/>
      <c r="OYC35" s="773"/>
      <c r="OYE35" s="773"/>
      <c r="OYF35" s="773"/>
      <c r="OYN35" s="1043"/>
      <c r="OYO35" s="1043"/>
      <c r="OYP35" s="773"/>
      <c r="OYR35" s="773"/>
      <c r="OYS35" s="773"/>
      <c r="OZA35" s="1043"/>
      <c r="OZB35" s="1043"/>
      <c r="OZC35" s="773"/>
      <c r="OZE35" s="773"/>
      <c r="OZF35" s="773"/>
      <c r="OZN35" s="1043"/>
      <c r="OZO35" s="1043"/>
      <c r="OZP35" s="773"/>
      <c r="OZR35" s="773"/>
      <c r="OZS35" s="773"/>
      <c r="PAA35" s="1043"/>
      <c r="PAB35" s="1043"/>
      <c r="PAC35" s="773"/>
      <c r="PAE35" s="773"/>
      <c r="PAF35" s="773"/>
      <c r="PAN35" s="1043"/>
      <c r="PAO35" s="1043"/>
      <c r="PAP35" s="773"/>
      <c r="PAR35" s="773"/>
      <c r="PAS35" s="773"/>
      <c r="PBA35" s="1043"/>
      <c r="PBB35" s="1043"/>
      <c r="PBC35" s="773"/>
      <c r="PBE35" s="773"/>
      <c r="PBF35" s="773"/>
      <c r="PBN35" s="1043"/>
      <c r="PBO35" s="1043"/>
      <c r="PBP35" s="773"/>
      <c r="PBR35" s="773"/>
      <c r="PBS35" s="773"/>
      <c r="PCA35" s="1043"/>
      <c r="PCB35" s="1043"/>
      <c r="PCC35" s="773"/>
      <c r="PCE35" s="773"/>
      <c r="PCF35" s="773"/>
      <c r="PCN35" s="1043"/>
      <c r="PCO35" s="1043"/>
      <c r="PCP35" s="773"/>
      <c r="PCR35" s="773"/>
      <c r="PCS35" s="773"/>
      <c r="PDA35" s="1043"/>
      <c r="PDB35" s="1043"/>
      <c r="PDC35" s="773"/>
      <c r="PDE35" s="773"/>
      <c r="PDF35" s="773"/>
      <c r="PDN35" s="1043"/>
      <c r="PDO35" s="1043"/>
      <c r="PDP35" s="773"/>
      <c r="PDR35" s="773"/>
      <c r="PDS35" s="773"/>
      <c r="PEA35" s="1043"/>
      <c r="PEB35" s="1043"/>
      <c r="PEC35" s="773"/>
      <c r="PEE35" s="773"/>
      <c r="PEF35" s="773"/>
      <c r="PEN35" s="1043"/>
      <c r="PEO35" s="1043"/>
      <c r="PEP35" s="773"/>
      <c r="PER35" s="773"/>
      <c r="PES35" s="773"/>
      <c r="PFA35" s="1043"/>
      <c r="PFB35" s="1043"/>
      <c r="PFC35" s="773"/>
      <c r="PFE35" s="773"/>
      <c r="PFF35" s="773"/>
      <c r="PFN35" s="1043"/>
      <c r="PFO35" s="1043"/>
      <c r="PFP35" s="773"/>
      <c r="PFR35" s="773"/>
      <c r="PFS35" s="773"/>
      <c r="PGA35" s="1043"/>
      <c r="PGB35" s="1043"/>
      <c r="PGC35" s="773"/>
      <c r="PGE35" s="773"/>
      <c r="PGF35" s="773"/>
      <c r="PGN35" s="1043"/>
      <c r="PGO35" s="1043"/>
      <c r="PGP35" s="773"/>
      <c r="PGR35" s="773"/>
      <c r="PGS35" s="773"/>
      <c r="PHA35" s="1043"/>
      <c r="PHB35" s="1043"/>
      <c r="PHC35" s="773"/>
      <c r="PHE35" s="773"/>
      <c r="PHF35" s="773"/>
      <c r="PHN35" s="1043"/>
      <c r="PHO35" s="1043"/>
      <c r="PHP35" s="773"/>
      <c r="PHR35" s="773"/>
      <c r="PHS35" s="773"/>
      <c r="PIA35" s="1043"/>
      <c r="PIB35" s="1043"/>
      <c r="PIC35" s="773"/>
      <c r="PIE35" s="773"/>
      <c r="PIF35" s="773"/>
      <c r="PIN35" s="1043"/>
      <c r="PIO35" s="1043"/>
      <c r="PIP35" s="773"/>
      <c r="PIR35" s="773"/>
      <c r="PIS35" s="773"/>
      <c r="PJA35" s="1043"/>
      <c r="PJB35" s="1043"/>
      <c r="PJC35" s="773"/>
      <c r="PJE35" s="773"/>
      <c r="PJF35" s="773"/>
      <c r="PJN35" s="1043"/>
      <c r="PJO35" s="1043"/>
      <c r="PJP35" s="773"/>
      <c r="PJR35" s="773"/>
      <c r="PJS35" s="773"/>
      <c r="PKA35" s="1043"/>
      <c r="PKB35" s="1043"/>
      <c r="PKC35" s="773"/>
      <c r="PKE35" s="773"/>
      <c r="PKF35" s="773"/>
      <c r="PKN35" s="1043"/>
      <c r="PKO35" s="1043"/>
      <c r="PKP35" s="773"/>
      <c r="PKR35" s="773"/>
      <c r="PKS35" s="773"/>
      <c r="PLA35" s="1043"/>
      <c r="PLB35" s="1043"/>
      <c r="PLC35" s="773"/>
      <c r="PLE35" s="773"/>
      <c r="PLF35" s="773"/>
      <c r="PLN35" s="1043"/>
      <c r="PLO35" s="1043"/>
      <c r="PLP35" s="773"/>
      <c r="PLR35" s="773"/>
      <c r="PLS35" s="773"/>
      <c r="PMA35" s="1043"/>
      <c r="PMB35" s="1043"/>
      <c r="PMC35" s="773"/>
      <c r="PME35" s="773"/>
      <c r="PMF35" s="773"/>
      <c r="PMN35" s="1043"/>
      <c r="PMO35" s="1043"/>
      <c r="PMP35" s="773"/>
      <c r="PMR35" s="773"/>
      <c r="PMS35" s="773"/>
      <c r="PNA35" s="1043"/>
      <c r="PNB35" s="1043"/>
      <c r="PNC35" s="773"/>
      <c r="PNE35" s="773"/>
      <c r="PNF35" s="773"/>
      <c r="PNN35" s="1043"/>
      <c r="PNO35" s="1043"/>
      <c r="PNP35" s="773"/>
      <c r="PNR35" s="773"/>
      <c r="PNS35" s="773"/>
      <c r="POA35" s="1043"/>
      <c r="POB35" s="1043"/>
      <c r="POC35" s="773"/>
      <c r="POE35" s="773"/>
      <c r="POF35" s="773"/>
      <c r="PON35" s="1043"/>
      <c r="POO35" s="1043"/>
      <c r="POP35" s="773"/>
      <c r="POR35" s="773"/>
      <c r="POS35" s="773"/>
      <c r="PPA35" s="1043"/>
      <c r="PPB35" s="1043"/>
      <c r="PPC35" s="773"/>
      <c r="PPE35" s="773"/>
      <c r="PPF35" s="773"/>
      <c r="PPN35" s="1043"/>
      <c r="PPO35" s="1043"/>
      <c r="PPP35" s="773"/>
      <c r="PPR35" s="773"/>
      <c r="PPS35" s="773"/>
      <c r="PQA35" s="1043"/>
      <c r="PQB35" s="1043"/>
      <c r="PQC35" s="773"/>
      <c r="PQE35" s="773"/>
      <c r="PQF35" s="773"/>
      <c r="PQN35" s="1043"/>
      <c r="PQO35" s="1043"/>
      <c r="PQP35" s="773"/>
      <c r="PQR35" s="773"/>
      <c r="PQS35" s="773"/>
      <c r="PRA35" s="1043"/>
      <c r="PRB35" s="1043"/>
      <c r="PRC35" s="773"/>
      <c r="PRE35" s="773"/>
      <c r="PRF35" s="773"/>
      <c r="PRN35" s="1043"/>
      <c r="PRO35" s="1043"/>
      <c r="PRP35" s="773"/>
      <c r="PRR35" s="773"/>
      <c r="PRS35" s="773"/>
      <c r="PSA35" s="1043"/>
      <c r="PSB35" s="1043"/>
      <c r="PSC35" s="773"/>
      <c r="PSE35" s="773"/>
      <c r="PSF35" s="773"/>
      <c r="PSN35" s="1043"/>
      <c r="PSO35" s="1043"/>
      <c r="PSP35" s="773"/>
      <c r="PSR35" s="773"/>
      <c r="PSS35" s="773"/>
      <c r="PTA35" s="1043"/>
      <c r="PTB35" s="1043"/>
      <c r="PTC35" s="773"/>
      <c r="PTE35" s="773"/>
      <c r="PTF35" s="773"/>
      <c r="PTN35" s="1043"/>
      <c r="PTO35" s="1043"/>
      <c r="PTP35" s="773"/>
      <c r="PTR35" s="773"/>
      <c r="PTS35" s="773"/>
      <c r="PUA35" s="1043"/>
      <c r="PUB35" s="1043"/>
      <c r="PUC35" s="773"/>
      <c r="PUE35" s="773"/>
      <c r="PUF35" s="773"/>
      <c r="PUN35" s="1043"/>
      <c r="PUO35" s="1043"/>
      <c r="PUP35" s="773"/>
      <c r="PUR35" s="773"/>
      <c r="PUS35" s="773"/>
      <c r="PVA35" s="1043"/>
      <c r="PVB35" s="1043"/>
      <c r="PVC35" s="773"/>
      <c r="PVE35" s="773"/>
      <c r="PVF35" s="773"/>
      <c r="PVN35" s="1043"/>
      <c r="PVO35" s="1043"/>
      <c r="PVP35" s="773"/>
      <c r="PVR35" s="773"/>
      <c r="PVS35" s="773"/>
      <c r="PWA35" s="1043"/>
      <c r="PWB35" s="1043"/>
      <c r="PWC35" s="773"/>
      <c r="PWE35" s="773"/>
      <c r="PWF35" s="773"/>
      <c r="PWN35" s="1043"/>
      <c r="PWO35" s="1043"/>
      <c r="PWP35" s="773"/>
      <c r="PWR35" s="773"/>
      <c r="PWS35" s="773"/>
      <c r="PXA35" s="1043"/>
      <c r="PXB35" s="1043"/>
      <c r="PXC35" s="773"/>
      <c r="PXE35" s="773"/>
      <c r="PXF35" s="773"/>
      <c r="PXN35" s="1043"/>
      <c r="PXO35" s="1043"/>
      <c r="PXP35" s="773"/>
      <c r="PXR35" s="773"/>
      <c r="PXS35" s="773"/>
      <c r="PYA35" s="1043"/>
      <c r="PYB35" s="1043"/>
      <c r="PYC35" s="773"/>
      <c r="PYE35" s="773"/>
      <c r="PYF35" s="773"/>
      <c r="PYN35" s="1043"/>
      <c r="PYO35" s="1043"/>
      <c r="PYP35" s="773"/>
      <c r="PYR35" s="773"/>
      <c r="PYS35" s="773"/>
      <c r="PZA35" s="1043"/>
      <c r="PZB35" s="1043"/>
      <c r="PZC35" s="773"/>
      <c r="PZE35" s="773"/>
      <c r="PZF35" s="773"/>
      <c r="PZN35" s="1043"/>
      <c r="PZO35" s="1043"/>
      <c r="PZP35" s="773"/>
      <c r="PZR35" s="773"/>
      <c r="PZS35" s="773"/>
      <c r="QAA35" s="1043"/>
      <c r="QAB35" s="1043"/>
      <c r="QAC35" s="773"/>
      <c r="QAE35" s="773"/>
      <c r="QAF35" s="773"/>
      <c r="QAN35" s="1043"/>
      <c r="QAO35" s="1043"/>
      <c r="QAP35" s="773"/>
      <c r="QAR35" s="773"/>
      <c r="QAS35" s="773"/>
      <c r="QBA35" s="1043"/>
      <c r="QBB35" s="1043"/>
      <c r="QBC35" s="773"/>
      <c r="QBE35" s="773"/>
      <c r="QBF35" s="773"/>
      <c r="QBN35" s="1043"/>
      <c r="QBO35" s="1043"/>
      <c r="QBP35" s="773"/>
      <c r="QBR35" s="773"/>
      <c r="QBS35" s="773"/>
      <c r="QCA35" s="1043"/>
      <c r="QCB35" s="1043"/>
      <c r="QCC35" s="773"/>
      <c r="QCE35" s="773"/>
      <c r="QCF35" s="773"/>
      <c r="QCN35" s="1043"/>
      <c r="QCO35" s="1043"/>
      <c r="QCP35" s="773"/>
      <c r="QCR35" s="773"/>
      <c r="QCS35" s="773"/>
      <c r="QDA35" s="1043"/>
      <c r="QDB35" s="1043"/>
      <c r="QDC35" s="773"/>
      <c r="QDE35" s="773"/>
      <c r="QDF35" s="773"/>
      <c r="QDN35" s="1043"/>
      <c r="QDO35" s="1043"/>
      <c r="QDP35" s="773"/>
      <c r="QDR35" s="773"/>
      <c r="QDS35" s="773"/>
      <c r="QEA35" s="1043"/>
      <c r="QEB35" s="1043"/>
      <c r="QEC35" s="773"/>
      <c r="QEE35" s="773"/>
      <c r="QEF35" s="773"/>
      <c r="QEN35" s="1043"/>
      <c r="QEO35" s="1043"/>
      <c r="QEP35" s="773"/>
      <c r="QER35" s="773"/>
      <c r="QES35" s="773"/>
      <c r="QFA35" s="1043"/>
      <c r="QFB35" s="1043"/>
      <c r="QFC35" s="773"/>
      <c r="QFE35" s="773"/>
      <c r="QFF35" s="773"/>
      <c r="QFN35" s="1043"/>
      <c r="QFO35" s="1043"/>
      <c r="QFP35" s="773"/>
      <c r="QFR35" s="773"/>
      <c r="QFS35" s="773"/>
      <c r="QGA35" s="1043"/>
      <c r="QGB35" s="1043"/>
      <c r="QGC35" s="773"/>
      <c r="QGE35" s="773"/>
      <c r="QGF35" s="773"/>
      <c r="QGN35" s="1043"/>
      <c r="QGO35" s="1043"/>
      <c r="QGP35" s="773"/>
      <c r="QGR35" s="773"/>
      <c r="QGS35" s="773"/>
      <c r="QHA35" s="1043"/>
      <c r="QHB35" s="1043"/>
      <c r="QHC35" s="773"/>
      <c r="QHE35" s="773"/>
      <c r="QHF35" s="773"/>
      <c r="QHN35" s="1043"/>
      <c r="QHO35" s="1043"/>
      <c r="QHP35" s="773"/>
      <c r="QHR35" s="773"/>
      <c r="QHS35" s="773"/>
      <c r="QIA35" s="1043"/>
      <c r="QIB35" s="1043"/>
      <c r="QIC35" s="773"/>
      <c r="QIE35" s="773"/>
      <c r="QIF35" s="773"/>
      <c r="QIN35" s="1043"/>
      <c r="QIO35" s="1043"/>
      <c r="QIP35" s="773"/>
      <c r="QIR35" s="773"/>
      <c r="QIS35" s="773"/>
      <c r="QJA35" s="1043"/>
      <c r="QJB35" s="1043"/>
      <c r="QJC35" s="773"/>
      <c r="QJE35" s="773"/>
      <c r="QJF35" s="773"/>
      <c r="QJN35" s="1043"/>
      <c r="QJO35" s="1043"/>
      <c r="QJP35" s="773"/>
      <c r="QJR35" s="773"/>
      <c r="QJS35" s="773"/>
      <c r="QKA35" s="1043"/>
      <c r="QKB35" s="1043"/>
      <c r="QKC35" s="773"/>
      <c r="QKE35" s="773"/>
      <c r="QKF35" s="773"/>
      <c r="QKN35" s="1043"/>
      <c r="QKO35" s="1043"/>
      <c r="QKP35" s="773"/>
      <c r="QKR35" s="773"/>
      <c r="QKS35" s="773"/>
      <c r="QLA35" s="1043"/>
      <c r="QLB35" s="1043"/>
      <c r="QLC35" s="773"/>
      <c r="QLE35" s="773"/>
      <c r="QLF35" s="773"/>
      <c r="QLN35" s="1043"/>
      <c r="QLO35" s="1043"/>
      <c r="QLP35" s="773"/>
      <c r="QLR35" s="773"/>
      <c r="QLS35" s="773"/>
      <c r="QMA35" s="1043"/>
      <c r="QMB35" s="1043"/>
      <c r="QMC35" s="773"/>
      <c r="QME35" s="773"/>
      <c r="QMF35" s="773"/>
      <c r="QMN35" s="1043"/>
      <c r="QMO35" s="1043"/>
      <c r="QMP35" s="773"/>
      <c r="QMR35" s="773"/>
      <c r="QMS35" s="773"/>
      <c r="QNA35" s="1043"/>
      <c r="QNB35" s="1043"/>
      <c r="QNC35" s="773"/>
      <c r="QNE35" s="773"/>
      <c r="QNF35" s="773"/>
      <c r="QNN35" s="1043"/>
      <c r="QNO35" s="1043"/>
      <c r="QNP35" s="773"/>
      <c r="QNR35" s="773"/>
      <c r="QNS35" s="773"/>
      <c r="QOA35" s="1043"/>
      <c r="QOB35" s="1043"/>
      <c r="QOC35" s="773"/>
      <c r="QOE35" s="773"/>
      <c r="QOF35" s="773"/>
      <c r="QON35" s="1043"/>
      <c r="QOO35" s="1043"/>
      <c r="QOP35" s="773"/>
      <c r="QOR35" s="773"/>
      <c r="QOS35" s="773"/>
      <c r="QPA35" s="1043"/>
      <c r="QPB35" s="1043"/>
      <c r="QPC35" s="773"/>
      <c r="QPE35" s="773"/>
      <c r="QPF35" s="773"/>
      <c r="QPN35" s="1043"/>
      <c r="QPO35" s="1043"/>
      <c r="QPP35" s="773"/>
      <c r="QPR35" s="773"/>
      <c r="QPS35" s="773"/>
      <c r="QQA35" s="1043"/>
      <c r="QQB35" s="1043"/>
      <c r="QQC35" s="773"/>
      <c r="QQE35" s="773"/>
      <c r="QQF35" s="773"/>
      <c r="QQN35" s="1043"/>
      <c r="QQO35" s="1043"/>
      <c r="QQP35" s="773"/>
      <c r="QQR35" s="773"/>
      <c r="QQS35" s="773"/>
      <c r="QRA35" s="1043"/>
      <c r="QRB35" s="1043"/>
      <c r="QRC35" s="773"/>
      <c r="QRE35" s="773"/>
      <c r="QRF35" s="773"/>
      <c r="QRN35" s="1043"/>
      <c r="QRO35" s="1043"/>
      <c r="QRP35" s="773"/>
      <c r="QRR35" s="773"/>
      <c r="QRS35" s="773"/>
      <c r="QSA35" s="1043"/>
      <c r="QSB35" s="1043"/>
      <c r="QSC35" s="773"/>
      <c r="QSE35" s="773"/>
      <c r="QSF35" s="773"/>
      <c r="QSN35" s="1043"/>
      <c r="QSO35" s="1043"/>
      <c r="QSP35" s="773"/>
      <c r="QSR35" s="773"/>
      <c r="QSS35" s="773"/>
      <c r="QTA35" s="1043"/>
      <c r="QTB35" s="1043"/>
      <c r="QTC35" s="773"/>
      <c r="QTE35" s="773"/>
      <c r="QTF35" s="773"/>
      <c r="QTN35" s="1043"/>
      <c r="QTO35" s="1043"/>
      <c r="QTP35" s="773"/>
      <c r="QTR35" s="773"/>
      <c r="QTS35" s="773"/>
      <c r="QUA35" s="1043"/>
      <c r="QUB35" s="1043"/>
      <c r="QUC35" s="773"/>
      <c r="QUE35" s="773"/>
      <c r="QUF35" s="773"/>
      <c r="QUN35" s="1043"/>
      <c r="QUO35" s="1043"/>
      <c r="QUP35" s="773"/>
      <c r="QUR35" s="773"/>
      <c r="QUS35" s="773"/>
      <c r="QVA35" s="1043"/>
      <c r="QVB35" s="1043"/>
      <c r="QVC35" s="773"/>
      <c r="QVE35" s="773"/>
      <c r="QVF35" s="773"/>
      <c r="QVN35" s="1043"/>
      <c r="QVO35" s="1043"/>
      <c r="QVP35" s="773"/>
      <c r="QVR35" s="773"/>
      <c r="QVS35" s="773"/>
      <c r="QWA35" s="1043"/>
      <c r="QWB35" s="1043"/>
      <c r="QWC35" s="773"/>
      <c r="QWE35" s="773"/>
      <c r="QWF35" s="773"/>
      <c r="QWN35" s="1043"/>
      <c r="QWO35" s="1043"/>
      <c r="QWP35" s="773"/>
      <c r="QWR35" s="773"/>
      <c r="QWS35" s="773"/>
      <c r="QXA35" s="1043"/>
      <c r="QXB35" s="1043"/>
      <c r="QXC35" s="773"/>
      <c r="QXE35" s="773"/>
      <c r="QXF35" s="773"/>
      <c r="QXN35" s="1043"/>
      <c r="QXO35" s="1043"/>
      <c r="QXP35" s="773"/>
      <c r="QXR35" s="773"/>
      <c r="QXS35" s="773"/>
      <c r="QYA35" s="1043"/>
      <c r="QYB35" s="1043"/>
      <c r="QYC35" s="773"/>
      <c r="QYE35" s="773"/>
      <c r="QYF35" s="773"/>
      <c r="QYN35" s="1043"/>
      <c r="QYO35" s="1043"/>
      <c r="QYP35" s="773"/>
      <c r="QYR35" s="773"/>
      <c r="QYS35" s="773"/>
      <c r="QZA35" s="1043"/>
      <c r="QZB35" s="1043"/>
      <c r="QZC35" s="773"/>
      <c r="QZE35" s="773"/>
      <c r="QZF35" s="773"/>
      <c r="QZN35" s="1043"/>
      <c r="QZO35" s="1043"/>
      <c r="QZP35" s="773"/>
      <c r="QZR35" s="773"/>
      <c r="QZS35" s="773"/>
      <c r="RAA35" s="1043"/>
      <c r="RAB35" s="1043"/>
      <c r="RAC35" s="773"/>
      <c r="RAE35" s="773"/>
      <c r="RAF35" s="773"/>
      <c r="RAN35" s="1043"/>
      <c r="RAO35" s="1043"/>
      <c r="RAP35" s="773"/>
      <c r="RAR35" s="773"/>
      <c r="RAS35" s="773"/>
      <c r="RBA35" s="1043"/>
      <c r="RBB35" s="1043"/>
      <c r="RBC35" s="773"/>
      <c r="RBE35" s="773"/>
      <c r="RBF35" s="773"/>
      <c r="RBN35" s="1043"/>
      <c r="RBO35" s="1043"/>
      <c r="RBP35" s="773"/>
      <c r="RBR35" s="773"/>
      <c r="RBS35" s="773"/>
      <c r="RCA35" s="1043"/>
      <c r="RCB35" s="1043"/>
      <c r="RCC35" s="773"/>
      <c r="RCE35" s="773"/>
      <c r="RCF35" s="773"/>
      <c r="RCN35" s="1043"/>
      <c r="RCO35" s="1043"/>
      <c r="RCP35" s="773"/>
      <c r="RCR35" s="773"/>
      <c r="RCS35" s="773"/>
      <c r="RDA35" s="1043"/>
      <c r="RDB35" s="1043"/>
      <c r="RDC35" s="773"/>
      <c r="RDE35" s="773"/>
      <c r="RDF35" s="773"/>
      <c r="RDN35" s="1043"/>
      <c r="RDO35" s="1043"/>
      <c r="RDP35" s="773"/>
      <c r="RDR35" s="773"/>
      <c r="RDS35" s="773"/>
      <c r="REA35" s="1043"/>
      <c r="REB35" s="1043"/>
      <c r="REC35" s="773"/>
      <c r="REE35" s="773"/>
      <c r="REF35" s="773"/>
      <c r="REN35" s="1043"/>
      <c r="REO35" s="1043"/>
      <c r="REP35" s="773"/>
      <c r="RER35" s="773"/>
      <c r="RES35" s="773"/>
      <c r="RFA35" s="1043"/>
      <c r="RFB35" s="1043"/>
      <c r="RFC35" s="773"/>
      <c r="RFE35" s="773"/>
      <c r="RFF35" s="773"/>
      <c r="RFN35" s="1043"/>
      <c r="RFO35" s="1043"/>
      <c r="RFP35" s="773"/>
      <c r="RFR35" s="773"/>
      <c r="RFS35" s="773"/>
      <c r="RGA35" s="1043"/>
      <c r="RGB35" s="1043"/>
      <c r="RGC35" s="773"/>
      <c r="RGE35" s="773"/>
      <c r="RGF35" s="773"/>
      <c r="RGN35" s="1043"/>
      <c r="RGO35" s="1043"/>
      <c r="RGP35" s="773"/>
      <c r="RGR35" s="773"/>
      <c r="RGS35" s="773"/>
      <c r="RHA35" s="1043"/>
      <c r="RHB35" s="1043"/>
      <c r="RHC35" s="773"/>
      <c r="RHE35" s="773"/>
      <c r="RHF35" s="773"/>
      <c r="RHN35" s="1043"/>
      <c r="RHO35" s="1043"/>
      <c r="RHP35" s="773"/>
      <c r="RHR35" s="773"/>
      <c r="RHS35" s="773"/>
      <c r="RIA35" s="1043"/>
      <c r="RIB35" s="1043"/>
      <c r="RIC35" s="773"/>
      <c r="RIE35" s="773"/>
      <c r="RIF35" s="773"/>
      <c r="RIN35" s="1043"/>
      <c r="RIO35" s="1043"/>
      <c r="RIP35" s="773"/>
      <c r="RIR35" s="773"/>
      <c r="RIS35" s="773"/>
      <c r="RJA35" s="1043"/>
      <c r="RJB35" s="1043"/>
      <c r="RJC35" s="773"/>
      <c r="RJE35" s="773"/>
      <c r="RJF35" s="773"/>
      <c r="RJN35" s="1043"/>
      <c r="RJO35" s="1043"/>
      <c r="RJP35" s="773"/>
      <c r="RJR35" s="773"/>
      <c r="RJS35" s="773"/>
      <c r="RKA35" s="1043"/>
      <c r="RKB35" s="1043"/>
      <c r="RKC35" s="773"/>
      <c r="RKE35" s="773"/>
      <c r="RKF35" s="773"/>
      <c r="RKN35" s="1043"/>
      <c r="RKO35" s="1043"/>
      <c r="RKP35" s="773"/>
      <c r="RKR35" s="773"/>
      <c r="RKS35" s="773"/>
      <c r="RLA35" s="1043"/>
      <c r="RLB35" s="1043"/>
      <c r="RLC35" s="773"/>
      <c r="RLE35" s="773"/>
      <c r="RLF35" s="773"/>
      <c r="RLN35" s="1043"/>
      <c r="RLO35" s="1043"/>
      <c r="RLP35" s="773"/>
      <c r="RLR35" s="773"/>
      <c r="RLS35" s="773"/>
      <c r="RMA35" s="1043"/>
      <c r="RMB35" s="1043"/>
      <c r="RMC35" s="773"/>
      <c r="RME35" s="773"/>
      <c r="RMF35" s="773"/>
      <c r="RMN35" s="1043"/>
      <c r="RMO35" s="1043"/>
      <c r="RMP35" s="773"/>
      <c r="RMR35" s="773"/>
      <c r="RMS35" s="773"/>
      <c r="RNA35" s="1043"/>
      <c r="RNB35" s="1043"/>
      <c r="RNC35" s="773"/>
      <c r="RNE35" s="773"/>
      <c r="RNF35" s="773"/>
      <c r="RNN35" s="1043"/>
      <c r="RNO35" s="1043"/>
      <c r="RNP35" s="773"/>
      <c r="RNR35" s="773"/>
      <c r="RNS35" s="773"/>
      <c r="ROA35" s="1043"/>
      <c r="ROB35" s="1043"/>
      <c r="ROC35" s="773"/>
      <c r="ROE35" s="773"/>
      <c r="ROF35" s="773"/>
      <c r="RON35" s="1043"/>
      <c r="ROO35" s="1043"/>
      <c r="ROP35" s="773"/>
      <c r="ROR35" s="773"/>
      <c r="ROS35" s="773"/>
      <c r="RPA35" s="1043"/>
      <c r="RPB35" s="1043"/>
      <c r="RPC35" s="773"/>
      <c r="RPE35" s="773"/>
      <c r="RPF35" s="773"/>
      <c r="RPN35" s="1043"/>
      <c r="RPO35" s="1043"/>
      <c r="RPP35" s="773"/>
      <c r="RPR35" s="773"/>
      <c r="RPS35" s="773"/>
      <c r="RQA35" s="1043"/>
      <c r="RQB35" s="1043"/>
      <c r="RQC35" s="773"/>
      <c r="RQE35" s="773"/>
      <c r="RQF35" s="773"/>
      <c r="RQN35" s="1043"/>
      <c r="RQO35" s="1043"/>
      <c r="RQP35" s="773"/>
      <c r="RQR35" s="773"/>
      <c r="RQS35" s="773"/>
      <c r="RRA35" s="1043"/>
      <c r="RRB35" s="1043"/>
      <c r="RRC35" s="773"/>
      <c r="RRE35" s="773"/>
      <c r="RRF35" s="773"/>
      <c r="RRN35" s="1043"/>
      <c r="RRO35" s="1043"/>
      <c r="RRP35" s="773"/>
      <c r="RRR35" s="773"/>
      <c r="RRS35" s="773"/>
      <c r="RSA35" s="1043"/>
      <c r="RSB35" s="1043"/>
      <c r="RSC35" s="773"/>
      <c r="RSE35" s="773"/>
      <c r="RSF35" s="773"/>
      <c r="RSN35" s="1043"/>
      <c r="RSO35" s="1043"/>
      <c r="RSP35" s="773"/>
      <c r="RSR35" s="773"/>
      <c r="RSS35" s="773"/>
      <c r="RTA35" s="1043"/>
      <c r="RTB35" s="1043"/>
      <c r="RTC35" s="773"/>
      <c r="RTE35" s="773"/>
      <c r="RTF35" s="773"/>
      <c r="RTN35" s="1043"/>
      <c r="RTO35" s="1043"/>
      <c r="RTP35" s="773"/>
      <c r="RTR35" s="773"/>
      <c r="RTS35" s="773"/>
      <c r="RUA35" s="1043"/>
      <c r="RUB35" s="1043"/>
      <c r="RUC35" s="773"/>
      <c r="RUE35" s="773"/>
      <c r="RUF35" s="773"/>
      <c r="RUN35" s="1043"/>
      <c r="RUO35" s="1043"/>
      <c r="RUP35" s="773"/>
      <c r="RUR35" s="773"/>
      <c r="RUS35" s="773"/>
      <c r="RVA35" s="1043"/>
      <c r="RVB35" s="1043"/>
      <c r="RVC35" s="773"/>
      <c r="RVE35" s="773"/>
      <c r="RVF35" s="773"/>
      <c r="RVN35" s="1043"/>
      <c r="RVO35" s="1043"/>
      <c r="RVP35" s="773"/>
      <c r="RVR35" s="773"/>
      <c r="RVS35" s="773"/>
      <c r="RWA35" s="1043"/>
      <c r="RWB35" s="1043"/>
      <c r="RWC35" s="773"/>
      <c r="RWE35" s="773"/>
      <c r="RWF35" s="773"/>
      <c r="RWN35" s="1043"/>
      <c r="RWO35" s="1043"/>
      <c r="RWP35" s="773"/>
      <c r="RWR35" s="773"/>
      <c r="RWS35" s="773"/>
      <c r="RXA35" s="1043"/>
      <c r="RXB35" s="1043"/>
      <c r="RXC35" s="773"/>
      <c r="RXE35" s="773"/>
      <c r="RXF35" s="773"/>
      <c r="RXN35" s="1043"/>
      <c r="RXO35" s="1043"/>
      <c r="RXP35" s="773"/>
      <c r="RXR35" s="773"/>
      <c r="RXS35" s="773"/>
      <c r="RYA35" s="1043"/>
      <c r="RYB35" s="1043"/>
      <c r="RYC35" s="773"/>
      <c r="RYE35" s="773"/>
      <c r="RYF35" s="773"/>
      <c r="RYN35" s="1043"/>
      <c r="RYO35" s="1043"/>
      <c r="RYP35" s="773"/>
      <c r="RYR35" s="773"/>
      <c r="RYS35" s="773"/>
      <c r="RZA35" s="1043"/>
      <c r="RZB35" s="1043"/>
      <c r="RZC35" s="773"/>
      <c r="RZE35" s="773"/>
      <c r="RZF35" s="773"/>
      <c r="RZN35" s="1043"/>
      <c r="RZO35" s="1043"/>
      <c r="RZP35" s="773"/>
      <c r="RZR35" s="773"/>
      <c r="RZS35" s="773"/>
      <c r="SAA35" s="1043"/>
      <c r="SAB35" s="1043"/>
      <c r="SAC35" s="773"/>
      <c r="SAE35" s="773"/>
      <c r="SAF35" s="773"/>
      <c r="SAN35" s="1043"/>
      <c r="SAO35" s="1043"/>
      <c r="SAP35" s="773"/>
      <c r="SAR35" s="773"/>
      <c r="SAS35" s="773"/>
      <c r="SBA35" s="1043"/>
      <c r="SBB35" s="1043"/>
      <c r="SBC35" s="773"/>
      <c r="SBE35" s="773"/>
      <c r="SBF35" s="773"/>
      <c r="SBN35" s="1043"/>
      <c r="SBO35" s="1043"/>
      <c r="SBP35" s="773"/>
      <c r="SBR35" s="773"/>
      <c r="SBS35" s="773"/>
      <c r="SCA35" s="1043"/>
      <c r="SCB35" s="1043"/>
      <c r="SCC35" s="773"/>
      <c r="SCE35" s="773"/>
      <c r="SCF35" s="773"/>
      <c r="SCN35" s="1043"/>
      <c r="SCO35" s="1043"/>
      <c r="SCP35" s="773"/>
      <c r="SCR35" s="773"/>
      <c r="SCS35" s="773"/>
      <c r="SDA35" s="1043"/>
      <c r="SDB35" s="1043"/>
      <c r="SDC35" s="773"/>
      <c r="SDE35" s="773"/>
      <c r="SDF35" s="773"/>
      <c r="SDN35" s="1043"/>
      <c r="SDO35" s="1043"/>
      <c r="SDP35" s="773"/>
      <c r="SDR35" s="773"/>
      <c r="SDS35" s="773"/>
      <c r="SEA35" s="1043"/>
      <c r="SEB35" s="1043"/>
      <c r="SEC35" s="773"/>
      <c r="SEE35" s="773"/>
      <c r="SEF35" s="773"/>
      <c r="SEN35" s="1043"/>
      <c r="SEO35" s="1043"/>
      <c r="SEP35" s="773"/>
      <c r="SER35" s="773"/>
      <c r="SES35" s="773"/>
      <c r="SFA35" s="1043"/>
      <c r="SFB35" s="1043"/>
      <c r="SFC35" s="773"/>
      <c r="SFE35" s="773"/>
      <c r="SFF35" s="773"/>
      <c r="SFN35" s="1043"/>
      <c r="SFO35" s="1043"/>
      <c r="SFP35" s="773"/>
      <c r="SFR35" s="773"/>
      <c r="SFS35" s="773"/>
      <c r="SGA35" s="1043"/>
      <c r="SGB35" s="1043"/>
      <c r="SGC35" s="773"/>
      <c r="SGE35" s="773"/>
      <c r="SGF35" s="773"/>
      <c r="SGN35" s="1043"/>
      <c r="SGO35" s="1043"/>
      <c r="SGP35" s="773"/>
      <c r="SGR35" s="773"/>
      <c r="SGS35" s="773"/>
      <c r="SHA35" s="1043"/>
      <c r="SHB35" s="1043"/>
      <c r="SHC35" s="773"/>
      <c r="SHE35" s="773"/>
      <c r="SHF35" s="773"/>
      <c r="SHN35" s="1043"/>
      <c r="SHO35" s="1043"/>
      <c r="SHP35" s="773"/>
      <c r="SHR35" s="773"/>
      <c r="SHS35" s="773"/>
      <c r="SIA35" s="1043"/>
      <c r="SIB35" s="1043"/>
      <c r="SIC35" s="773"/>
      <c r="SIE35" s="773"/>
      <c r="SIF35" s="773"/>
      <c r="SIN35" s="1043"/>
      <c r="SIO35" s="1043"/>
      <c r="SIP35" s="773"/>
      <c r="SIR35" s="773"/>
      <c r="SIS35" s="773"/>
      <c r="SJA35" s="1043"/>
      <c r="SJB35" s="1043"/>
      <c r="SJC35" s="773"/>
      <c r="SJE35" s="773"/>
      <c r="SJF35" s="773"/>
      <c r="SJN35" s="1043"/>
      <c r="SJO35" s="1043"/>
      <c r="SJP35" s="773"/>
      <c r="SJR35" s="773"/>
      <c r="SJS35" s="773"/>
      <c r="SKA35" s="1043"/>
      <c r="SKB35" s="1043"/>
      <c r="SKC35" s="773"/>
      <c r="SKE35" s="773"/>
      <c r="SKF35" s="773"/>
      <c r="SKN35" s="1043"/>
      <c r="SKO35" s="1043"/>
      <c r="SKP35" s="773"/>
      <c r="SKR35" s="773"/>
      <c r="SKS35" s="773"/>
      <c r="SLA35" s="1043"/>
      <c r="SLB35" s="1043"/>
      <c r="SLC35" s="773"/>
      <c r="SLE35" s="773"/>
      <c r="SLF35" s="773"/>
      <c r="SLN35" s="1043"/>
      <c r="SLO35" s="1043"/>
      <c r="SLP35" s="773"/>
      <c r="SLR35" s="773"/>
      <c r="SLS35" s="773"/>
      <c r="SMA35" s="1043"/>
      <c r="SMB35" s="1043"/>
      <c r="SMC35" s="773"/>
      <c r="SME35" s="773"/>
      <c r="SMF35" s="773"/>
      <c r="SMN35" s="1043"/>
      <c r="SMO35" s="1043"/>
      <c r="SMP35" s="773"/>
      <c r="SMR35" s="773"/>
      <c r="SMS35" s="773"/>
      <c r="SNA35" s="1043"/>
      <c r="SNB35" s="1043"/>
      <c r="SNC35" s="773"/>
      <c r="SNE35" s="773"/>
      <c r="SNF35" s="773"/>
      <c r="SNN35" s="1043"/>
      <c r="SNO35" s="1043"/>
      <c r="SNP35" s="773"/>
      <c r="SNR35" s="773"/>
      <c r="SNS35" s="773"/>
      <c r="SOA35" s="1043"/>
      <c r="SOB35" s="1043"/>
      <c r="SOC35" s="773"/>
      <c r="SOE35" s="773"/>
      <c r="SOF35" s="773"/>
      <c r="SON35" s="1043"/>
      <c r="SOO35" s="1043"/>
      <c r="SOP35" s="773"/>
      <c r="SOR35" s="773"/>
      <c r="SOS35" s="773"/>
      <c r="SPA35" s="1043"/>
      <c r="SPB35" s="1043"/>
      <c r="SPC35" s="773"/>
      <c r="SPE35" s="773"/>
      <c r="SPF35" s="773"/>
      <c r="SPN35" s="1043"/>
      <c r="SPO35" s="1043"/>
      <c r="SPP35" s="773"/>
      <c r="SPR35" s="773"/>
      <c r="SPS35" s="773"/>
      <c r="SQA35" s="1043"/>
      <c r="SQB35" s="1043"/>
      <c r="SQC35" s="773"/>
      <c r="SQE35" s="773"/>
      <c r="SQF35" s="773"/>
      <c r="SQN35" s="1043"/>
      <c r="SQO35" s="1043"/>
      <c r="SQP35" s="773"/>
      <c r="SQR35" s="773"/>
      <c r="SQS35" s="773"/>
      <c r="SRA35" s="1043"/>
      <c r="SRB35" s="1043"/>
      <c r="SRC35" s="773"/>
      <c r="SRE35" s="773"/>
      <c r="SRF35" s="773"/>
      <c r="SRN35" s="1043"/>
      <c r="SRO35" s="1043"/>
      <c r="SRP35" s="773"/>
      <c r="SRR35" s="773"/>
      <c r="SRS35" s="773"/>
      <c r="SSA35" s="1043"/>
      <c r="SSB35" s="1043"/>
      <c r="SSC35" s="773"/>
      <c r="SSE35" s="773"/>
      <c r="SSF35" s="773"/>
      <c r="SSN35" s="1043"/>
      <c r="SSO35" s="1043"/>
      <c r="SSP35" s="773"/>
      <c r="SSR35" s="773"/>
      <c r="SSS35" s="773"/>
      <c r="STA35" s="1043"/>
      <c r="STB35" s="1043"/>
      <c r="STC35" s="773"/>
      <c r="STE35" s="773"/>
      <c r="STF35" s="773"/>
      <c r="STN35" s="1043"/>
      <c r="STO35" s="1043"/>
      <c r="STP35" s="773"/>
      <c r="STR35" s="773"/>
      <c r="STS35" s="773"/>
      <c r="SUA35" s="1043"/>
      <c r="SUB35" s="1043"/>
      <c r="SUC35" s="773"/>
      <c r="SUE35" s="773"/>
      <c r="SUF35" s="773"/>
      <c r="SUN35" s="1043"/>
      <c r="SUO35" s="1043"/>
      <c r="SUP35" s="773"/>
      <c r="SUR35" s="773"/>
      <c r="SUS35" s="773"/>
      <c r="SVA35" s="1043"/>
      <c r="SVB35" s="1043"/>
      <c r="SVC35" s="773"/>
      <c r="SVE35" s="773"/>
      <c r="SVF35" s="773"/>
      <c r="SVN35" s="1043"/>
      <c r="SVO35" s="1043"/>
      <c r="SVP35" s="773"/>
      <c r="SVR35" s="773"/>
      <c r="SVS35" s="773"/>
      <c r="SWA35" s="1043"/>
      <c r="SWB35" s="1043"/>
      <c r="SWC35" s="773"/>
      <c r="SWE35" s="773"/>
      <c r="SWF35" s="773"/>
      <c r="SWN35" s="1043"/>
      <c r="SWO35" s="1043"/>
      <c r="SWP35" s="773"/>
      <c r="SWR35" s="773"/>
      <c r="SWS35" s="773"/>
      <c r="SXA35" s="1043"/>
      <c r="SXB35" s="1043"/>
      <c r="SXC35" s="773"/>
      <c r="SXE35" s="773"/>
      <c r="SXF35" s="773"/>
      <c r="SXN35" s="1043"/>
      <c r="SXO35" s="1043"/>
      <c r="SXP35" s="773"/>
      <c r="SXR35" s="773"/>
      <c r="SXS35" s="773"/>
      <c r="SYA35" s="1043"/>
      <c r="SYB35" s="1043"/>
      <c r="SYC35" s="773"/>
      <c r="SYE35" s="773"/>
      <c r="SYF35" s="773"/>
      <c r="SYN35" s="1043"/>
      <c r="SYO35" s="1043"/>
      <c r="SYP35" s="773"/>
      <c r="SYR35" s="773"/>
      <c r="SYS35" s="773"/>
      <c r="SZA35" s="1043"/>
      <c r="SZB35" s="1043"/>
      <c r="SZC35" s="773"/>
      <c r="SZE35" s="773"/>
      <c r="SZF35" s="773"/>
      <c r="SZN35" s="1043"/>
      <c r="SZO35" s="1043"/>
      <c r="SZP35" s="773"/>
      <c r="SZR35" s="773"/>
      <c r="SZS35" s="773"/>
      <c r="TAA35" s="1043"/>
      <c r="TAB35" s="1043"/>
      <c r="TAC35" s="773"/>
      <c r="TAE35" s="773"/>
      <c r="TAF35" s="773"/>
      <c r="TAN35" s="1043"/>
      <c r="TAO35" s="1043"/>
      <c r="TAP35" s="773"/>
      <c r="TAR35" s="773"/>
      <c r="TAS35" s="773"/>
      <c r="TBA35" s="1043"/>
      <c r="TBB35" s="1043"/>
      <c r="TBC35" s="773"/>
      <c r="TBE35" s="773"/>
      <c r="TBF35" s="773"/>
      <c r="TBN35" s="1043"/>
      <c r="TBO35" s="1043"/>
      <c r="TBP35" s="773"/>
      <c r="TBR35" s="773"/>
      <c r="TBS35" s="773"/>
      <c r="TCA35" s="1043"/>
      <c r="TCB35" s="1043"/>
      <c r="TCC35" s="773"/>
      <c r="TCE35" s="773"/>
      <c r="TCF35" s="773"/>
      <c r="TCN35" s="1043"/>
      <c r="TCO35" s="1043"/>
      <c r="TCP35" s="773"/>
      <c r="TCR35" s="773"/>
      <c r="TCS35" s="773"/>
      <c r="TDA35" s="1043"/>
      <c r="TDB35" s="1043"/>
      <c r="TDC35" s="773"/>
      <c r="TDE35" s="773"/>
      <c r="TDF35" s="773"/>
      <c r="TDN35" s="1043"/>
      <c r="TDO35" s="1043"/>
      <c r="TDP35" s="773"/>
      <c r="TDR35" s="773"/>
      <c r="TDS35" s="773"/>
      <c r="TEA35" s="1043"/>
      <c r="TEB35" s="1043"/>
      <c r="TEC35" s="773"/>
      <c r="TEE35" s="773"/>
      <c r="TEF35" s="773"/>
      <c r="TEN35" s="1043"/>
      <c r="TEO35" s="1043"/>
      <c r="TEP35" s="773"/>
      <c r="TER35" s="773"/>
      <c r="TES35" s="773"/>
      <c r="TFA35" s="1043"/>
      <c r="TFB35" s="1043"/>
      <c r="TFC35" s="773"/>
      <c r="TFE35" s="773"/>
      <c r="TFF35" s="773"/>
      <c r="TFN35" s="1043"/>
      <c r="TFO35" s="1043"/>
      <c r="TFP35" s="773"/>
      <c r="TFR35" s="773"/>
      <c r="TFS35" s="773"/>
      <c r="TGA35" s="1043"/>
      <c r="TGB35" s="1043"/>
      <c r="TGC35" s="773"/>
      <c r="TGE35" s="773"/>
      <c r="TGF35" s="773"/>
      <c r="TGN35" s="1043"/>
      <c r="TGO35" s="1043"/>
      <c r="TGP35" s="773"/>
      <c r="TGR35" s="773"/>
      <c r="TGS35" s="773"/>
      <c r="THA35" s="1043"/>
      <c r="THB35" s="1043"/>
      <c r="THC35" s="773"/>
      <c r="THE35" s="773"/>
      <c r="THF35" s="773"/>
      <c r="THN35" s="1043"/>
      <c r="THO35" s="1043"/>
      <c r="THP35" s="773"/>
      <c r="THR35" s="773"/>
      <c r="THS35" s="773"/>
      <c r="TIA35" s="1043"/>
      <c r="TIB35" s="1043"/>
      <c r="TIC35" s="773"/>
      <c r="TIE35" s="773"/>
      <c r="TIF35" s="773"/>
      <c r="TIN35" s="1043"/>
      <c r="TIO35" s="1043"/>
      <c r="TIP35" s="773"/>
      <c r="TIR35" s="773"/>
      <c r="TIS35" s="773"/>
      <c r="TJA35" s="1043"/>
      <c r="TJB35" s="1043"/>
      <c r="TJC35" s="773"/>
      <c r="TJE35" s="773"/>
      <c r="TJF35" s="773"/>
      <c r="TJN35" s="1043"/>
      <c r="TJO35" s="1043"/>
      <c r="TJP35" s="773"/>
      <c r="TJR35" s="773"/>
      <c r="TJS35" s="773"/>
      <c r="TKA35" s="1043"/>
      <c r="TKB35" s="1043"/>
      <c r="TKC35" s="773"/>
      <c r="TKE35" s="773"/>
      <c r="TKF35" s="773"/>
      <c r="TKN35" s="1043"/>
      <c r="TKO35" s="1043"/>
      <c r="TKP35" s="773"/>
      <c r="TKR35" s="773"/>
      <c r="TKS35" s="773"/>
      <c r="TLA35" s="1043"/>
      <c r="TLB35" s="1043"/>
      <c r="TLC35" s="773"/>
      <c r="TLE35" s="773"/>
      <c r="TLF35" s="773"/>
      <c r="TLN35" s="1043"/>
      <c r="TLO35" s="1043"/>
      <c r="TLP35" s="773"/>
      <c r="TLR35" s="773"/>
      <c r="TLS35" s="773"/>
      <c r="TMA35" s="1043"/>
      <c r="TMB35" s="1043"/>
      <c r="TMC35" s="773"/>
      <c r="TME35" s="773"/>
      <c r="TMF35" s="773"/>
      <c r="TMN35" s="1043"/>
      <c r="TMO35" s="1043"/>
      <c r="TMP35" s="773"/>
      <c r="TMR35" s="773"/>
      <c r="TMS35" s="773"/>
      <c r="TNA35" s="1043"/>
      <c r="TNB35" s="1043"/>
      <c r="TNC35" s="773"/>
      <c r="TNE35" s="773"/>
      <c r="TNF35" s="773"/>
      <c r="TNN35" s="1043"/>
      <c r="TNO35" s="1043"/>
      <c r="TNP35" s="773"/>
      <c r="TNR35" s="773"/>
      <c r="TNS35" s="773"/>
      <c r="TOA35" s="1043"/>
      <c r="TOB35" s="1043"/>
      <c r="TOC35" s="773"/>
      <c r="TOE35" s="773"/>
      <c r="TOF35" s="773"/>
      <c r="TON35" s="1043"/>
      <c r="TOO35" s="1043"/>
      <c r="TOP35" s="773"/>
      <c r="TOR35" s="773"/>
      <c r="TOS35" s="773"/>
      <c r="TPA35" s="1043"/>
      <c r="TPB35" s="1043"/>
      <c r="TPC35" s="773"/>
      <c r="TPE35" s="773"/>
      <c r="TPF35" s="773"/>
      <c r="TPN35" s="1043"/>
      <c r="TPO35" s="1043"/>
      <c r="TPP35" s="773"/>
      <c r="TPR35" s="773"/>
      <c r="TPS35" s="773"/>
      <c r="TQA35" s="1043"/>
      <c r="TQB35" s="1043"/>
      <c r="TQC35" s="773"/>
      <c r="TQE35" s="773"/>
      <c r="TQF35" s="773"/>
      <c r="TQN35" s="1043"/>
      <c r="TQO35" s="1043"/>
      <c r="TQP35" s="773"/>
      <c r="TQR35" s="773"/>
      <c r="TQS35" s="773"/>
      <c r="TRA35" s="1043"/>
      <c r="TRB35" s="1043"/>
      <c r="TRC35" s="773"/>
      <c r="TRE35" s="773"/>
      <c r="TRF35" s="773"/>
      <c r="TRN35" s="1043"/>
      <c r="TRO35" s="1043"/>
      <c r="TRP35" s="773"/>
      <c r="TRR35" s="773"/>
      <c r="TRS35" s="773"/>
      <c r="TSA35" s="1043"/>
      <c r="TSB35" s="1043"/>
      <c r="TSC35" s="773"/>
      <c r="TSE35" s="773"/>
      <c r="TSF35" s="773"/>
      <c r="TSN35" s="1043"/>
      <c r="TSO35" s="1043"/>
      <c r="TSP35" s="773"/>
      <c r="TSR35" s="773"/>
      <c r="TSS35" s="773"/>
      <c r="TTA35" s="1043"/>
      <c r="TTB35" s="1043"/>
      <c r="TTC35" s="773"/>
      <c r="TTE35" s="773"/>
      <c r="TTF35" s="773"/>
      <c r="TTN35" s="1043"/>
      <c r="TTO35" s="1043"/>
      <c r="TTP35" s="773"/>
      <c r="TTR35" s="773"/>
      <c r="TTS35" s="773"/>
      <c r="TUA35" s="1043"/>
      <c r="TUB35" s="1043"/>
      <c r="TUC35" s="773"/>
      <c r="TUE35" s="773"/>
      <c r="TUF35" s="773"/>
      <c r="TUN35" s="1043"/>
      <c r="TUO35" s="1043"/>
      <c r="TUP35" s="773"/>
      <c r="TUR35" s="773"/>
      <c r="TUS35" s="773"/>
      <c r="TVA35" s="1043"/>
      <c r="TVB35" s="1043"/>
      <c r="TVC35" s="773"/>
      <c r="TVE35" s="773"/>
      <c r="TVF35" s="773"/>
      <c r="TVN35" s="1043"/>
      <c r="TVO35" s="1043"/>
      <c r="TVP35" s="773"/>
      <c r="TVR35" s="773"/>
      <c r="TVS35" s="773"/>
      <c r="TWA35" s="1043"/>
      <c r="TWB35" s="1043"/>
      <c r="TWC35" s="773"/>
      <c r="TWE35" s="773"/>
      <c r="TWF35" s="773"/>
      <c r="TWN35" s="1043"/>
      <c r="TWO35" s="1043"/>
      <c r="TWP35" s="773"/>
      <c r="TWR35" s="773"/>
      <c r="TWS35" s="773"/>
      <c r="TXA35" s="1043"/>
      <c r="TXB35" s="1043"/>
      <c r="TXC35" s="773"/>
      <c r="TXE35" s="773"/>
      <c r="TXF35" s="773"/>
      <c r="TXN35" s="1043"/>
      <c r="TXO35" s="1043"/>
      <c r="TXP35" s="773"/>
      <c r="TXR35" s="773"/>
      <c r="TXS35" s="773"/>
      <c r="TYA35" s="1043"/>
      <c r="TYB35" s="1043"/>
      <c r="TYC35" s="773"/>
      <c r="TYE35" s="773"/>
      <c r="TYF35" s="773"/>
      <c r="TYN35" s="1043"/>
      <c r="TYO35" s="1043"/>
      <c r="TYP35" s="773"/>
      <c r="TYR35" s="773"/>
      <c r="TYS35" s="773"/>
      <c r="TZA35" s="1043"/>
      <c r="TZB35" s="1043"/>
      <c r="TZC35" s="773"/>
      <c r="TZE35" s="773"/>
      <c r="TZF35" s="773"/>
      <c r="TZN35" s="1043"/>
      <c r="TZO35" s="1043"/>
      <c r="TZP35" s="773"/>
      <c r="TZR35" s="773"/>
      <c r="TZS35" s="773"/>
      <c r="UAA35" s="1043"/>
      <c r="UAB35" s="1043"/>
      <c r="UAC35" s="773"/>
      <c r="UAE35" s="773"/>
      <c r="UAF35" s="773"/>
      <c r="UAN35" s="1043"/>
      <c r="UAO35" s="1043"/>
      <c r="UAP35" s="773"/>
      <c r="UAR35" s="773"/>
      <c r="UAS35" s="773"/>
      <c r="UBA35" s="1043"/>
      <c r="UBB35" s="1043"/>
      <c r="UBC35" s="773"/>
      <c r="UBE35" s="773"/>
      <c r="UBF35" s="773"/>
      <c r="UBN35" s="1043"/>
      <c r="UBO35" s="1043"/>
      <c r="UBP35" s="773"/>
      <c r="UBR35" s="773"/>
      <c r="UBS35" s="773"/>
      <c r="UCA35" s="1043"/>
      <c r="UCB35" s="1043"/>
      <c r="UCC35" s="773"/>
      <c r="UCE35" s="773"/>
      <c r="UCF35" s="773"/>
      <c r="UCN35" s="1043"/>
      <c r="UCO35" s="1043"/>
      <c r="UCP35" s="773"/>
      <c r="UCR35" s="773"/>
      <c r="UCS35" s="773"/>
      <c r="UDA35" s="1043"/>
      <c r="UDB35" s="1043"/>
      <c r="UDC35" s="773"/>
      <c r="UDE35" s="773"/>
      <c r="UDF35" s="773"/>
      <c r="UDN35" s="1043"/>
      <c r="UDO35" s="1043"/>
      <c r="UDP35" s="773"/>
      <c r="UDR35" s="773"/>
      <c r="UDS35" s="773"/>
      <c r="UEA35" s="1043"/>
      <c r="UEB35" s="1043"/>
      <c r="UEC35" s="773"/>
      <c r="UEE35" s="773"/>
      <c r="UEF35" s="773"/>
      <c r="UEN35" s="1043"/>
      <c r="UEO35" s="1043"/>
      <c r="UEP35" s="773"/>
      <c r="UER35" s="773"/>
      <c r="UES35" s="773"/>
      <c r="UFA35" s="1043"/>
      <c r="UFB35" s="1043"/>
      <c r="UFC35" s="773"/>
      <c r="UFE35" s="773"/>
      <c r="UFF35" s="773"/>
      <c r="UFN35" s="1043"/>
      <c r="UFO35" s="1043"/>
      <c r="UFP35" s="773"/>
      <c r="UFR35" s="773"/>
      <c r="UFS35" s="773"/>
      <c r="UGA35" s="1043"/>
      <c r="UGB35" s="1043"/>
      <c r="UGC35" s="773"/>
      <c r="UGE35" s="773"/>
      <c r="UGF35" s="773"/>
      <c r="UGN35" s="1043"/>
      <c r="UGO35" s="1043"/>
      <c r="UGP35" s="773"/>
      <c r="UGR35" s="773"/>
      <c r="UGS35" s="773"/>
      <c r="UHA35" s="1043"/>
      <c r="UHB35" s="1043"/>
      <c r="UHC35" s="773"/>
      <c r="UHE35" s="773"/>
      <c r="UHF35" s="773"/>
      <c r="UHN35" s="1043"/>
      <c r="UHO35" s="1043"/>
      <c r="UHP35" s="773"/>
      <c r="UHR35" s="773"/>
      <c r="UHS35" s="773"/>
      <c r="UIA35" s="1043"/>
      <c r="UIB35" s="1043"/>
      <c r="UIC35" s="773"/>
      <c r="UIE35" s="773"/>
      <c r="UIF35" s="773"/>
      <c r="UIN35" s="1043"/>
      <c r="UIO35" s="1043"/>
      <c r="UIP35" s="773"/>
      <c r="UIR35" s="773"/>
      <c r="UIS35" s="773"/>
      <c r="UJA35" s="1043"/>
      <c r="UJB35" s="1043"/>
      <c r="UJC35" s="773"/>
      <c r="UJE35" s="773"/>
      <c r="UJF35" s="773"/>
      <c r="UJN35" s="1043"/>
      <c r="UJO35" s="1043"/>
      <c r="UJP35" s="773"/>
      <c r="UJR35" s="773"/>
      <c r="UJS35" s="773"/>
      <c r="UKA35" s="1043"/>
      <c r="UKB35" s="1043"/>
      <c r="UKC35" s="773"/>
      <c r="UKE35" s="773"/>
      <c r="UKF35" s="773"/>
      <c r="UKN35" s="1043"/>
      <c r="UKO35" s="1043"/>
      <c r="UKP35" s="773"/>
      <c r="UKR35" s="773"/>
      <c r="UKS35" s="773"/>
      <c r="ULA35" s="1043"/>
      <c r="ULB35" s="1043"/>
      <c r="ULC35" s="773"/>
      <c r="ULE35" s="773"/>
      <c r="ULF35" s="773"/>
      <c r="ULN35" s="1043"/>
      <c r="ULO35" s="1043"/>
      <c r="ULP35" s="773"/>
      <c r="ULR35" s="773"/>
      <c r="ULS35" s="773"/>
      <c r="UMA35" s="1043"/>
      <c r="UMB35" s="1043"/>
      <c r="UMC35" s="773"/>
      <c r="UME35" s="773"/>
      <c r="UMF35" s="773"/>
      <c r="UMN35" s="1043"/>
      <c r="UMO35" s="1043"/>
      <c r="UMP35" s="773"/>
      <c r="UMR35" s="773"/>
      <c r="UMS35" s="773"/>
      <c r="UNA35" s="1043"/>
      <c r="UNB35" s="1043"/>
      <c r="UNC35" s="773"/>
      <c r="UNE35" s="773"/>
      <c r="UNF35" s="773"/>
      <c r="UNN35" s="1043"/>
      <c r="UNO35" s="1043"/>
      <c r="UNP35" s="773"/>
      <c r="UNR35" s="773"/>
      <c r="UNS35" s="773"/>
      <c r="UOA35" s="1043"/>
      <c r="UOB35" s="1043"/>
      <c r="UOC35" s="773"/>
      <c r="UOE35" s="773"/>
      <c r="UOF35" s="773"/>
      <c r="UON35" s="1043"/>
      <c r="UOO35" s="1043"/>
      <c r="UOP35" s="773"/>
      <c r="UOR35" s="773"/>
      <c r="UOS35" s="773"/>
      <c r="UPA35" s="1043"/>
      <c r="UPB35" s="1043"/>
      <c r="UPC35" s="773"/>
      <c r="UPE35" s="773"/>
      <c r="UPF35" s="773"/>
      <c r="UPN35" s="1043"/>
      <c r="UPO35" s="1043"/>
      <c r="UPP35" s="773"/>
      <c r="UPR35" s="773"/>
      <c r="UPS35" s="773"/>
      <c r="UQA35" s="1043"/>
      <c r="UQB35" s="1043"/>
      <c r="UQC35" s="773"/>
      <c r="UQE35" s="773"/>
      <c r="UQF35" s="773"/>
      <c r="UQN35" s="1043"/>
      <c r="UQO35" s="1043"/>
      <c r="UQP35" s="773"/>
      <c r="UQR35" s="773"/>
      <c r="UQS35" s="773"/>
      <c r="URA35" s="1043"/>
      <c r="URB35" s="1043"/>
      <c r="URC35" s="773"/>
      <c r="URE35" s="773"/>
      <c r="URF35" s="773"/>
      <c r="URN35" s="1043"/>
      <c r="URO35" s="1043"/>
      <c r="URP35" s="773"/>
      <c r="URR35" s="773"/>
      <c r="URS35" s="773"/>
      <c r="USA35" s="1043"/>
      <c r="USB35" s="1043"/>
      <c r="USC35" s="773"/>
      <c r="USE35" s="773"/>
      <c r="USF35" s="773"/>
      <c r="USN35" s="1043"/>
      <c r="USO35" s="1043"/>
      <c r="USP35" s="773"/>
      <c r="USR35" s="773"/>
      <c r="USS35" s="773"/>
      <c r="UTA35" s="1043"/>
      <c r="UTB35" s="1043"/>
      <c r="UTC35" s="773"/>
      <c r="UTE35" s="773"/>
      <c r="UTF35" s="773"/>
      <c r="UTN35" s="1043"/>
      <c r="UTO35" s="1043"/>
      <c r="UTP35" s="773"/>
      <c r="UTR35" s="773"/>
      <c r="UTS35" s="773"/>
      <c r="UUA35" s="1043"/>
      <c r="UUB35" s="1043"/>
      <c r="UUC35" s="773"/>
      <c r="UUE35" s="773"/>
      <c r="UUF35" s="773"/>
      <c r="UUN35" s="1043"/>
      <c r="UUO35" s="1043"/>
      <c r="UUP35" s="773"/>
      <c r="UUR35" s="773"/>
      <c r="UUS35" s="773"/>
      <c r="UVA35" s="1043"/>
      <c r="UVB35" s="1043"/>
      <c r="UVC35" s="773"/>
      <c r="UVE35" s="773"/>
      <c r="UVF35" s="773"/>
      <c r="UVN35" s="1043"/>
      <c r="UVO35" s="1043"/>
      <c r="UVP35" s="773"/>
      <c r="UVR35" s="773"/>
      <c r="UVS35" s="773"/>
      <c r="UWA35" s="1043"/>
      <c r="UWB35" s="1043"/>
      <c r="UWC35" s="773"/>
      <c r="UWE35" s="773"/>
      <c r="UWF35" s="773"/>
      <c r="UWN35" s="1043"/>
      <c r="UWO35" s="1043"/>
      <c r="UWP35" s="773"/>
      <c r="UWR35" s="773"/>
      <c r="UWS35" s="773"/>
      <c r="UXA35" s="1043"/>
      <c r="UXB35" s="1043"/>
      <c r="UXC35" s="773"/>
      <c r="UXE35" s="773"/>
      <c r="UXF35" s="773"/>
      <c r="UXN35" s="1043"/>
      <c r="UXO35" s="1043"/>
      <c r="UXP35" s="773"/>
      <c r="UXR35" s="773"/>
      <c r="UXS35" s="773"/>
      <c r="UYA35" s="1043"/>
      <c r="UYB35" s="1043"/>
      <c r="UYC35" s="773"/>
      <c r="UYE35" s="773"/>
      <c r="UYF35" s="773"/>
      <c r="UYN35" s="1043"/>
      <c r="UYO35" s="1043"/>
      <c r="UYP35" s="773"/>
      <c r="UYR35" s="773"/>
      <c r="UYS35" s="773"/>
      <c r="UZA35" s="1043"/>
      <c r="UZB35" s="1043"/>
      <c r="UZC35" s="773"/>
      <c r="UZE35" s="773"/>
      <c r="UZF35" s="773"/>
      <c r="UZN35" s="1043"/>
      <c r="UZO35" s="1043"/>
      <c r="UZP35" s="773"/>
      <c r="UZR35" s="773"/>
      <c r="UZS35" s="773"/>
      <c r="VAA35" s="1043"/>
      <c r="VAB35" s="1043"/>
      <c r="VAC35" s="773"/>
      <c r="VAE35" s="773"/>
      <c r="VAF35" s="773"/>
      <c r="VAN35" s="1043"/>
      <c r="VAO35" s="1043"/>
      <c r="VAP35" s="773"/>
      <c r="VAR35" s="773"/>
      <c r="VAS35" s="773"/>
      <c r="VBA35" s="1043"/>
      <c r="VBB35" s="1043"/>
      <c r="VBC35" s="773"/>
      <c r="VBE35" s="773"/>
      <c r="VBF35" s="773"/>
      <c r="VBN35" s="1043"/>
      <c r="VBO35" s="1043"/>
      <c r="VBP35" s="773"/>
      <c r="VBR35" s="773"/>
      <c r="VBS35" s="773"/>
      <c r="VCA35" s="1043"/>
      <c r="VCB35" s="1043"/>
      <c r="VCC35" s="773"/>
      <c r="VCE35" s="773"/>
      <c r="VCF35" s="773"/>
      <c r="VCN35" s="1043"/>
      <c r="VCO35" s="1043"/>
      <c r="VCP35" s="773"/>
      <c r="VCR35" s="773"/>
      <c r="VCS35" s="773"/>
      <c r="VDA35" s="1043"/>
      <c r="VDB35" s="1043"/>
      <c r="VDC35" s="773"/>
      <c r="VDE35" s="773"/>
      <c r="VDF35" s="773"/>
      <c r="VDN35" s="1043"/>
      <c r="VDO35" s="1043"/>
      <c r="VDP35" s="773"/>
      <c r="VDR35" s="773"/>
      <c r="VDS35" s="773"/>
      <c r="VEA35" s="1043"/>
      <c r="VEB35" s="1043"/>
      <c r="VEC35" s="773"/>
      <c r="VEE35" s="773"/>
      <c r="VEF35" s="773"/>
      <c r="VEN35" s="1043"/>
      <c r="VEO35" s="1043"/>
      <c r="VEP35" s="773"/>
      <c r="VER35" s="773"/>
      <c r="VES35" s="773"/>
      <c r="VFA35" s="1043"/>
      <c r="VFB35" s="1043"/>
      <c r="VFC35" s="773"/>
      <c r="VFE35" s="773"/>
      <c r="VFF35" s="773"/>
      <c r="VFN35" s="1043"/>
      <c r="VFO35" s="1043"/>
      <c r="VFP35" s="773"/>
      <c r="VFR35" s="773"/>
      <c r="VFS35" s="773"/>
      <c r="VGA35" s="1043"/>
      <c r="VGB35" s="1043"/>
      <c r="VGC35" s="773"/>
      <c r="VGE35" s="773"/>
      <c r="VGF35" s="773"/>
      <c r="VGN35" s="1043"/>
      <c r="VGO35" s="1043"/>
      <c r="VGP35" s="773"/>
      <c r="VGR35" s="773"/>
      <c r="VGS35" s="773"/>
      <c r="VHA35" s="1043"/>
      <c r="VHB35" s="1043"/>
      <c r="VHC35" s="773"/>
      <c r="VHE35" s="773"/>
      <c r="VHF35" s="773"/>
      <c r="VHN35" s="1043"/>
      <c r="VHO35" s="1043"/>
      <c r="VHP35" s="773"/>
      <c r="VHR35" s="773"/>
      <c r="VHS35" s="773"/>
      <c r="VIA35" s="1043"/>
      <c r="VIB35" s="1043"/>
      <c r="VIC35" s="773"/>
      <c r="VIE35" s="773"/>
      <c r="VIF35" s="773"/>
      <c r="VIN35" s="1043"/>
      <c r="VIO35" s="1043"/>
      <c r="VIP35" s="773"/>
      <c r="VIR35" s="773"/>
      <c r="VIS35" s="773"/>
      <c r="VJA35" s="1043"/>
      <c r="VJB35" s="1043"/>
      <c r="VJC35" s="773"/>
      <c r="VJE35" s="773"/>
      <c r="VJF35" s="773"/>
      <c r="VJN35" s="1043"/>
      <c r="VJO35" s="1043"/>
      <c r="VJP35" s="773"/>
      <c r="VJR35" s="773"/>
      <c r="VJS35" s="773"/>
      <c r="VKA35" s="1043"/>
      <c r="VKB35" s="1043"/>
      <c r="VKC35" s="773"/>
      <c r="VKE35" s="773"/>
      <c r="VKF35" s="773"/>
      <c r="VKN35" s="1043"/>
      <c r="VKO35" s="1043"/>
      <c r="VKP35" s="773"/>
      <c r="VKR35" s="773"/>
      <c r="VKS35" s="773"/>
      <c r="VLA35" s="1043"/>
      <c r="VLB35" s="1043"/>
      <c r="VLC35" s="773"/>
      <c r="VLE35" s="773"/>
      <c r="VLF35" s="773"/>
      <c r="VLN35" s="1043"/>
      <c r="VLO35" s="1043"/>
      <c r="VLP35" s="773"/>
      <c r="VLR35" s="773"/>
      <c r="VLS35" s="773"/>
      <c r="VMA35" s="1043"/>
      <c r="VMB35" s="1043"/>
      <c r="VMC35" s="773"/>
      <c r="VME35" s="773"/>
      <c r="VMF35" s="773"/>
      <c r="VMN35" s="1043"/>
      <c r="VMO35" s="1043"/>
      <c r="VMP35" s="773"/>
      <c r="VMR35" s="773"/>
      <c r="VMS35" s="773"/>
      <c r="VNA35" s="1043"/>
      <c r="VNB35" s="1043"/>
      <c r="VNC35" s="773"/>
      <c r="VNE35" s="773"/>
      <c r="VNF35" s="773"/>
      <c r="VNN35" s="1043"/>
      <c r="VNO35" s="1043"/>
      <c r="VNP35" s="773"/>
      <c r="VNR35" s="773"/>
      <c r="VNS35" s="773"/>
      <c r="VOA35" s="1043"/>
      <c r="VOB35" s="1043"/>
      <c r="VOC35" s="773"/>
      <c r="VOE35" s="773"/>
      <c r="VOF35" s="773"/>
      <c r="VON35" s="1043"/>
      <c r="VOO35" s="1043"/>
      <c r="VOP35" s="773"/>
      <c r="VOR35" s="773"/>
      <c r="VOS35" s="773"/>
      <c r="VPA35" s="1043"/>
      <c r="VPB35" s="1043"/>
      <c r="VPC35" s="773"/>
      <c r="VPE35" s="773"/>
      <c r="VPF35" s="773"/>
      <c r="VPN35" s="1043"/>
      <c r="VPO35" s="1043"/>
      <c r="VPP35" s="773"/>
      <c r="VPR35" s="773"/>
      <c r="VPS35" s="773"/>
      <c r="VQA35" s="1043"/>
      <c r="VQB35" s="1043"/>
      <c r="VQC35" s="773"/>
      <c r="VQE35" s="773"/>
      <c r="VQF35" s="773"/>
      <c r="VQN35" s="1043"/>
      <c r="VQO35" s="1043"/>
      <c r="VQP35" s="773"/>
      <c r="VQR35" s="773"/>
      <c r="VQS35" s="773"/>
      <c r="VRA35" s="1043"/>
      <c r="VRB35" s="1043"/>
      <c r="VRC35" s="773"/>
      <c r="VRE35" s="773"/>
      <c r="VRF35" s="773"/>
      <c r="VRN35" s="1043"/>
      <c r="VRO35" s="1043"/>
      <c r="VRP35" s="773"/>
      <c r="VRR35" s="773"/>
      <c r="VRS35" s="773"/>
      <c r="VSA35" s="1043"/>
      <c r="VSB35" s="1043"/>
      <c r="VSC35" s="773"/>
      <c r="VSE35" s="773"/>
      <c r="VSF35" s="773"/>
      <c r="VSN35" s="1043"/>
      <c r="VSO35" s="1043"/>
      <c r="VSP35" s="773"/>
      <c r="VSR35" s="773"/>
      <c r="VSS35" s="773"/>
      <c r="VTA35" s="1043"/>
      <c r="VTB35" s="1043"/>
      <c r="VTC35" s="773"/>
      <c r="VTE35" s="773"/>
      <c r="VTF35" s="773"/>
      <c r="VTN35" s="1043"/>
      <c r="VTO35" s="1043"/>
      <c r="VTP35" s="773"/>
      <c r="VTR35" s="773"/>
      <c r="VTS35" s="773"/>
      <c r="VUA35" s="1043"/>
      <c r="VUB35" s="1043"/>
      <c r="VUC35" s="773"/>
      <c r="VUE35" s="773"/>
      <c r="VUF35" s="773"/>
      <c r="VUN35" s="1043"/>
      <c r="VUO35" s="1043"/>
      <c r="VUP35" s="773"/>
      <c r="VUR35" s="773"/>
      <c r="VUS35" s="773"/>
      <c r="VVA35" s="1043"/>
      <c r="VVB35" s="1043"/>
      <c r="VVC35" s="773"/>
      <c r="VVE35" s="773"/>
      <c r="VVF35" s="773"/>
      <c r="VVN35" s="1043"/>
      <c r="VVO35" s="1043"/>
      <c r="VVP35" s="773"/>
      <c r="VVR35" s="773"/>
      <c r="VVS35" s="773"/>
      <c r="VWA35" s="1043"/>
      <c r="VWB35" s="1043"/>
      <c r="VWC35" s="773"/>
      <c r="VWE35" s="773"/>
      <c r="VWF35" s="773"/>
      <c r="VWN35" s="1043"/>
      <c r="VWO35" s="1043"/>
      <c r="VWP35" s="773"/>
      <c r="VWR35" s="773"/>
      <c r="VWS35" s="773"/>
      <c r="VXA35" s="1043"/>
      <c r="VXB35" s="1043"/>
      <c r="VXC35" s="773"/>
      <c r="VXE35" s="773"/>
      <c r="VXF35" s="773"/>
      <c r="VXN35" s="1043"/>
      <c r="VXO35" s="1043"/>
      <c r="VXP35" s="773"/>
      <c r="VXR35" s="773"/>
      <c r="VXS35" s="773"/>
      <c r="VYA35" s="1043"/>
      <c r="VYB35" s="1043"/>
      <c r="VYC35" s="773"/>
      <c r="VYE35" s="773"/>
      <c r="VYF35" s="773"/>
      <c r="VYN35" s="1043"/>
      <c r="VYO35" s="1043"/>
      <c r="VYP35" s="773"/>
      <c r="VYR35" s="773"/>
      <c r="VYS35" s="773"/>
      <c r="VZA35" s="1043"/>
      <c r="VZB35" s="1043"/>
      <c r="VZC35" s="773"/>
      <c r="VZE35" s="773"/>
      <c r="VZF35" s="773"/>
      <c r="VZN35" s="1043"/>
      <c r="VZO35" s="1043"/>
      <c r="VZP35" s="773"/>
      <c r="VZR35" s="773"/>
      <c r="VZS35" s="773"/>
      <c r="WAA35" s="1043"/>
      <c r="WAB35" s="1043"/>
      <c r="WAC35" s="773"/>
      <c r="WAE35" s="773"/>
      <c r="WAF35" s="773"/>
      <c r="WAN35" s="1043"/>
      <c r="WAO35" s="1043"/>
      <c r="WAP35" s="773"/>
      <c r="WAR35" s="773"/>
      <c r="WAS35" s="773"/>
      <c r="WBA35" s="1043"/>
      <c r="WBB35" s="1043"/>
      <c r="WBC35" s="773"/>
      <c r="WBE35" s="773"/>
      <c r="WBF35" s="773"/>
      <c r="WBN35" s="1043"/>
      <c r="WBO35" s="1043"/>
      <c r="WBP35" s="773"/>
      <c r="WBR35" s="773"/>
      <c r="WBS35" s="773"/>
      <c r="WCA35" s="1043"/>
      <c r="WCB35" s="1043"/>
      <c r="WCC35" s="773"/>
      <c r="WCE35" s="773"/>
      <c r="WCF35" s="773"/>
      <c r="WCN35" s="1043"/>
      <c r="WCO35" s="1043"/>
      <c r="WCP35" s="773"/>
      <c r="WCR35" s="773"/>
      <c r="WCS35" s="773"/>
      <c r="WDA35" s="1043"/>
      <c r="WDB35" s="1043"/>
      <c r="WDC35" s="773"/>
      <c r="WDE35" s="773"/>
      <c r="WDF35" s="773"/>
      <c r="WDN35" s="1043"/>
      <c r="WDO35" s="1043"/>
      <c r="WDP35" s="773"/>
      <c r="WDR35" s="773"/>
      <c r="WDS35" s="773"/>
      <c r="WEA35" s="1043"/>
      <c r="WEB35" s="1043"/>
      <c r="WEC35" s="773"/>
      <c r="WEE35" s="773"/>
      <c r="WEF35" s="773"/>
      <c r="WEN35" s="1043"/>
      <c r="WEO35" s="1043"/>
      <c r="WEP35" s="773"/>
      <c r="WER35" s="773"/>
      <c r="WES35" s="773"/>
      <c r="WFA35" s="1043"/>
      <c r="WFB35" s="1043"/>
      <c r="WFC35" s="773"/>
      <c r="WFE35" s="773"/>
      <c r="WFF35" s="773"/>
      <c r="WFN35" s="1043"/>
      <c r="WFO35" s="1043"/>
      <c r="WFP35" s="773"/>
      <c r="WFR35" s="773"/>
      <c r="WFS35" s="773"/>
      <c r="WGA35" s="1043"/>
      <c r="WGB35" s="1043"/>
      <c r="WGC35" s="773"/>
      <c r="WGE35" s="773"/>
      <c r="WGF35" s="773"/>
      <c r="WGN35" s="1043"/>
      <c r="WGO35" s="1043"/>
      <c r="WGP35" s="773"/>
      <c r="WGR35" s="773"/>
      <c r="WGS35" s="773"/>
      <c r="WHA35" s="1043"/>
      <c r="WHB35" s="1043"/>
      <c r="WHC35" s="773"/>
      <c r="WHE35" s="773"/>
      <c r="WHF35" s="773"/>
      <c r="WHN35" s="1043"/>
      <c r="WHO35" s="1043"/>
      <c r="WHP35" s="773"/>
      <c r="WHR35" s="773"/>
      <c r="WHS35" s="773"/>
      <c r="WIA35" s="1043"/>
      <c r="WIB35" s="1043"/>
      <c r="WIC35" s="773"/>
      <c r="WIE35" s="773"/>
      <c r="WIF35" s="773"/>
      <c r="WIN35" s="1043"/>
      <c r="WIO35" s="1043"/>
      <c r="WIP35" s="773"/>
      <c r="WIR35" s="773"/>
      <c r="WIS35" s="773"/>
      <c r="WJA35" s="1043"/>
      <c r="WJB35" s="1043"/>
      <c r="WJC35" s="773"/>
      <c r="WJE35" s="773"/>
      <c r="WJF35" s="773"/>
      <c r="WJN35" s="1043"/>
      <c r="WJO35" s="1043"/>
      <c r="WJP35" s="773"/>
      <c r="WJR35" s="773"/>
      <c r="WJS35" s="773"/>
      <c r="WKA35" s="1043"/>
      <c r="WKB35" s="1043"/>
      <c r="WKC35" s="773"/>
      <c r="WKE35" s="773"/>
      <c r="WKF35" s="773"/>
      <c r="WKN35" s="1043"/>
      <c r="WKO35" s="1043"/>
      <c r="WKP35" s="773"/>
      <c r="WKR35" s="773"/>
      <c r="WKS35" s="773"/>
      <c r="WLA35" s="1043"/>
      <c r="WLB35" s="1043"/>
      <c r="WLC35" s="773"/>
      <c r="WLE35" s="773"/>
      <c r="WLF35" s="773"/>
      <c r="WLN35" s="1043"/>
      <c r="WLO35" s="1043"/>
      <c r="WLP35" s="773"/>
      <c r="WLR35" s="773"/>
      <c r="WLS35" s="773"/>
      <c r="WMA35" s="1043"/>
      <c r="WMB35" s="1043"/>
      <c r="WMC35" s="773"/>
      <c r="WME35" s="773"/>
      <c r="WMF35" s="773"/>
      <c r="WMN35" s="1043"/>
      <c r="WMO35" s="1043"/>
      <c r="WMP35" s="773"/>
      <c r="WMR35" s="773"/>
      <c r="WMS35" s="773"/>
      <c r="WNA35" s="1043"/>
      <c r="WNB35" s="1043"/>
      <c r="WNC35" s="773"/>
      <c r="WNE35" s="773"/>
      <c r="WNF35" s="773"/>
      <c r="WNN35" s="1043"/>
      <c r="WNO35" s="1043"/>
      <c r="WNP35" s="773"/>
      <c r="WNR35" s="773"/>
      <c r="WNS35" s="773"/>
      <c r="WOA35" s="1043"/>
      <c r="WOB35" s="1043"/>
      <c r="WOC35" s="773"/>
      <c r="WOE35" s="773"/>
      <c r="WOF35" s="773"/>
      <c r="WON35" s="1043"/>
      <c r="WOO35" s="1043"/>
      <c r="WOP35" s="773"/>
      <c r="WOR35" s="773"/>
      <c r="WOS35" s="773"/>
      <c r="WPA35" s="1043"/>
      <c r="WPB35" s="1043"/>
      <c r="WPC35" s="773"/>
      <c r="WPE35" s="773"/>
      <c r="WPF35" s="773"/>
      <c r="WPN35" s="1043"/>
      <c r="WPO35" s="1043"/>
      <c r="WPP35" s="773"/>
      <c r="WPR35" s="773"/>
      <c r="WPS35" s="773"/>
      <c r="WQA35" s="1043"/>
      <c r="WQB35" s="1043"/>
      <c r="WQC35" s="773"/>
      <c r="WQE35" s="773"/>
      <c r="WQF35" s="773"/>
      <c r="WQN35" s="1043"/>
      <c r="WQO35" s="1043"/>
      <c r="WQP35" s="773"/>
      <c r="WQR35" s="773"/>
      <c r="WQS35" s="773"/>
      <c r="WRA35" s="1043"/>
      <c r="WRB35" s="1043"/>
      <c r="WRC35" s="773"/>
      <c r="WRE35" s="773"/>
      <c r="WRF35" s="773"/>
      <c r="WRN35" s="1043"/>
      <c r="WRO35" s="1043"/>
      <c r="WRP35" s="773"/>
      <c r="WRR35" s="773"/>
      <c r="WRS35" s="773"/>
      <c r="WSA35" s="1043"/>
      <c r="WSB35" s="1043"/>
      <c r="WSC35" s="773"/>
      <c r="WSE35" s="773"/>
      <c r="WSF35" s="773"/>
      <c r="WSN35" s="1043"/>
      <c r="WSO35" s="1043"/>
      <c r="WSP35" s="773"/>
      <c r="WSR35" s="773"/>
      <c r="WSS35" s="773"/>
      <c r="WTA35" s="1043"/>
      <c r="WTB35" s="1043"/>
      <c r="WTC35" s="773"/>
      <c r="WTE35" s="773"/>
      <c r="WTF35" s="773"/>
      <c r="WTN35" s="1043"/>
      <c r="WTO35" s="1043"/>
      <c r="WTP35" s="773"/>
      <c r="WTR35" s="773"/>
      <c r="WTS35" s="773"/>
      <c r="WUA35" s="1043"/>
      <c r="WUB35" s="1043"/>
      <c r="WUC35" s="773"/>
      <c r="WUE35" s="773"/>
      <c r="WUF35" s="773"/>
      <c r="WUN35" s="1043"/>
      <c r="WUO35" s="1043"/>
      <c r="WUP35" s="773"/>
      <c r="WUR35" s="773"/>
      <c r="WUS35" s="773"/>
      <c r="WVA35" s="1043"/>
      <c r="WVB35" s="1043"/>
      <c r="WVC35" s="773"/>
      <c r="WVE35" s="773"/>
      <c r="WVF35" s="773"/>
      <c r="WVN35" s="1043"/>
      <c r="WVO35" s="1043"/>
      <c r="WVP35" s="773"/>
      <c r="WVR35" s="773"/>
      <c r="WVS35" s="773"/>
      <c r="WWA35" s="1043"/>
      <c r="WWB35" s="1043"/>
      <c r="WWC35" s="773"/>
      <c r="WWE35" s="773"/>
      <c r="WWF35" s="773"/>
      <c r="WWN35" s="1043"/>
      <c r="WWO35" s="1043"/>
      <c r="WWP35" s="773"/>
      <c r="WWR35" s="773"/>
      <c r="WWS35" s="773"/>
      <c r="WXA35" s="1043"/>
      <c r="WXB35" s="1043"/>
      <c r="WXC35" s="773"/>
      <c r="WXE35" s="773"/>
      <c r="WXF35" s="773"/>
      <c r="WXN35" s="1043"/>
      <c r="WXO35" s="1043"/>
      <c r="WXP35" s="773"/>
      <c r="WXR35" s="773"/>
      <c r="WXS35" s="773"/>
      <c r="WYA35" s="1043"/>
      <c r="WYB35" s="1043"/>
      <c r="WYC35" s="773"/>
      <c r="WYE35" s="773"/>
      <c r="WYF35" s="773"/>
      <c r="WYN35" s="1043"/>
      <c r="WYO35" s="1043"/>
      <c r="WYP35" s="773"/>
      <c r="WYR35" s="773"/>
      <c r="WYS35" s="773"/>
      <c r="WZA35" s="1043"/>
      <c r="WZB35" s="1043"/>
      <c r="WZC35" s="773"/>
      <c r="WZE35" s="773"/>
      <c r="WZF35" s="773"/>
      <c r="WZN35" s="1043"/>
      <c r="WZO35" s="1043"/>
      <c r="WZP35" s="773"/>
      <c r="WZR35" s="773"/>
      <c r="WZS35" s="773"/>
      <c r="XAA35" s="1043"/>
      <c r="XAB35" s="1043"/>
      <c r="XAC35" s="773"/>
      <c r="XAE35" s="773"/>
      <c r="XAF35" s="773"/>
      <c r="XAN35" s="1043"/>
      <c r="XAO35" s="1043"/>
      <c r="XAP35" s="773"/>
      <c r="XAR35" s="773"/>
      <c r="XAS35" s="773"/>
      <c r="XBA35" s="1043"/>
      <c r="XBB35" s="1043"/>
      <c r="XBC35" s="773"/>
      <c r="XBE35" s="773"/>
      <c r="XBF35" s="773"/>
      <c r="XBN35" s="1043"/>
      <c r="XBO35" s="1043"/>
      <c r="XBP35" s="773"/>
      <c r="XBR35" s="773"/>
      <c r="XBS35" s="773"/>
      <c r="XCA35" s="1043"/>
      <c r="XCB35" s="1043"/>
      <c r="XCC35" s="773"/>
      <c r="XCE35" s="773"/>
      <c r="XCF35" s="773"/>
      <c r="XCN35" s="1043"/>
      <c r="XCO35" s="1043"/>
      <c r="XCP35" s="773"/>
      <c r="XCR35" s="773"/>
      <c r="XCS35" s="773"/>
      <c r="XDA35" s="1043"/>
      <c r="XDB35" s="1043"/>
      <c r="XDC35" s="773"/>
      <c r="XDE35" s="773"/>
      <c r="XDF35" s="773"/>
      <c r="XDN35" s="1043"/>
      <c r="XDO35" s="1043"/>
      <c r="XDP35" s="773"/>
      <c r="XDR35" s="773"/>
      <c r="XDS35" s="773"/>
      <c r="XEA35" s="1043"/>
      <c r="XEB35" s="1043"/>
      <c r="XEC35" s="773"/>
      <c r="XEE35" s="773"/>
      <c r="XEF35" s="773"/>
      <c r="XEN35" s="1043"/>
      <c r="XEO35" s="1043"/>
      <c r="XEP35" s="773"/>
      <c r="XER35" s="773"/>
      <c r="XES35" s="773"/>
      <c r="XFA35" s="1043"/>
      <c r="XFB35" s="1043"/>
      <c r="XFC35" s="773"/>
    </row>
    <row r="36" spans="1:1020 1028:2047 2055:3071 3073:5115 5123:6142 6150:9210 9218:10237 10245:11264 11272:12288 12290:13305 13313:14332 14340:15359 15367:16383" s="349" customFormat="1" ht="15">
      <c r="A36" s="974" t="s">
        <v>664</v>
      </c>
      <c r="B36" s="331" t="s">
        <v>665</v>
      </c>
      <c r="C36" s="447"/>
      <c r="D36" s="447"/>
      <c r="E36" s="769"/>
      <c r="F36" s="447"/>
      <c r="G36" s="447"/>
      <c r="H36" s="447"/>
      <c r="I36" s="447"/>
      <c r="J36" s="447"/>
      <c r="K36" s="447"/>
      <c r="L36" s="447"/>
      <c r="M36" s="447"/>
      <c r="N36" s="447"/>
      <c r="O36" s="447"/>
      <c r="P36" s="447"/>
      <c r="Q36" s="825">
        <f>'6. HC (LC)'!Q36</f>
        <v>3.7499999999999999E-2</v>
      </c>
      <c r="R36" s="901">
        <f>'6. HC (LC)'!R36</f>
        <v>3.7499999999999999E-2</v>
      </c>
      <c r="S36" s="975"/>
      <c r="T36" s="976"/>
      <c r="U36" s="897" t="str">
        <f>IF(ISBLANK('6. HC (LC)'!U36),"",'6. HC (LC)'!U36)</f>
        <v/>
      </c>
      <c r="W36" s="220" t="s">
        <v>666</v>
      </c>
    </row>
    <row r="37" spans="1:1020 1028:2047 2055:3071 3073:5115 5123:6142 6150:9210 9218:10237 10245:11264 11272:12288 12290:13305 13313:14332 14340:15359 15367:16383" s="349" customFormat="1" ht="15">
      <c r="A37" s="974" t="s">
        <v>667</v>
      </c>
      <c r="B37" s="331" t="s">
        <v>665</v>
      </c>
      <c r="C37" s="447"/>
      <c r="D37" s="447"/>
      <c r="E37" s="769"/>
      <c r="F37" s="447"/>
      <c r="G37" s="447"/>
      <c r="H37" s="447"/>
      <c r="I37" s="447"/>
      <c r="J37" s="447"/>
      <c r="K37" s="447"/>
      <c r="L37" s="447"/>
      <c r="M37" s="447"/>
      <c r="N37" s="447"/>
      <c r="O37" s="447"/>
      <c r="P37" s="447"/>
      <c r="Q37" s="825">
        <f>'6. HC (LC)'!Q37</f>
        <v>4.1300000000000003E-2</v>
      </c>
      <c r="R37" s="901">
        <f>'6. HC (LC)'!R37</f>
        <v>4.1300000000000003E-2</v>
      </c>
      <c r="S37" s="975"/>
      <c r="T37" s="976"/>
      <c r="U37" s="897" t="str">
        <f>IF(ISBLANK('6. HC (LC)'!U37),"",'6. HC (LC)'!U37)</f>
        <v/>
      </c>
      <c r="W37" s="220" t="s">
        <v>666</v>
      </c>
    </row>
    <row r="38" spans="1:1020 1028:2047 2055:3071 3073:5115 5123:6142 6150:9210 9218:10237 10245:11264 11272:12288 12290:13305 13313:14332 14340:15359 15367:16383" s="349" customFormat="1" ht="12.75" customHeight="1">
      <c r="A38" s="349" t="s">
        <v>668</v>
      </c>
      <c r="B38" s="331" t="str">
        <f>"in '000 "&amp;'Input-FX Rates'!$B$8</f>
        <v>in '000 KRW</v>
      </c>
      <c r="C38" s="447"/>
      <c r="D38" s="447"/>
      <c r="E38" s="769"/>
      <c r="F38" s="447"/>
      <c r="G38" s="447"/>
      <c r="H38" s="447"/>
      <c r="I38" s="447"/>
      <c r="J38" s="447"/>
      <c r="K38" s="447"/>
      <c r="L38" s="447"/>
      <c r="M38" s="447"/>
      <c r="N38" s="447"/>
      <c r="O38" s="447"/>
      <c r="P38" s="447"/>
      <c r="Q38" s="898">
        <f>+'6. HC (LC)'!Q38/'Input-FX Rates'!$H$16</f>
        <v>76.562279451599608</v>
      </c>
      <c r="R38" s="443">
        <f>+'6. HC (LC)'!R38/'Input-FX Rates'!$H$16</f>
        <v>76.562279451599608</v>
      </c>
      <c r="S38" s="975"/>
      <c r="T38" s="976"/>
      <c r="U38" s="897" t="str">
        <f>IF(ISBLANK('6. HC (LC)'!U38),"",'6. HC (LC)'!U38)</f>
        <v/>
      </c>
      <c r="W38" s="349" t="s">
        <v>669</v>
      </c>
    </row>
    <row r="39" spans="1:1020 1028:2047 2055:3071 3073:5115 5123:6142 6150:9210 9218:10237 10245:11264 11272:12288 12290:13305 13313:14332 14340:15359 15367:16383" s="349" customFormat="1" ht="12.75" customHeight="1">
      <c r="A39" s="349" t="s">
        <v>670</v>
      </c>
      <c r="B39" s="331" t="str">
        <f>"in '000 "&amp;'Input-FX Rates'!$B$8</f>
        <v>in '000 KRW</v>
      </c>
      <c r="C39" s="447"/>
      <c r="D39" s="447"/>
      <c r="E39" s="769"/>
      <c r="F39" s="447"/>
      <c r="G39" s="447"/>
      <c r="H39" s="447"/>
      <c r="I39" s="447"/>
      <c r="J39" s="447"/>
      <c r="K39" s="447"/>
      <c r="L39" s="447"/>
      <c r="M39" s="447"/>
      <c r="N39" s="447"/>
      <c r="O39" s="447"/>
      <c r="P39" s="447"/>
      <c r="Q39" s="898">
        <f>+'6. HC (LC)'!Q39/'Input-FX Rates'!$H$16</f>
        <v>16.903650367677066</v>
      </c>
      <c r="R39" s="443">
        <f>+'6. HC (LC)'!R39/'Input-FX Rates'!$H$16</f>
        <v>16.903650367677066</v>
      </c>
      <c r="S39" s="975"/>
      <c r="T39" s="976"/>
      <c r="U39" s="897" t="str">
        <f>IF(ISBLANK('6. HC (LC)'!U39),"",'6. HC (LC)'!U39)</f>
        <v/>
      </c>
      <c r="W39" s="349" t="s">
        <v>671</v>
      </c>
    </row>
  </sheetData>
  <mergeCells count="1263">
    <mergeCell ref="A4:B4"/>
    <mergeCell ref="A5:B5"/>
    <mergeCell ref="C4:E4"/>
    <mergeCell ref="F4:R4"/>
    <mergeCell ref="HN35:HO35"/>
    <mergeCell ref="IA35:IB35"/>
    <mergeCell ref="IN35:IO35"/>
    <mergeCell ref="JA35:JB35"/>
    <mergeCell ref="JN35:JO35"/>
    <mergeCell ref="FA35:FB35"/>
    <mergeCell ref="FN35:FO35"/>
    <mergeCell ref="GA35:GB35"/>
    <mergeCell ref="GN35:GO35"/>
    <mergeCell ref="HA35:HB35"/>
    <mergeCell ref="CN35:CO35"/>
    <mergeCell ref="DA35:DB35"/>
    <mergeCell ref="DN35:DO35"/>
    <mergeCell ref="EA35:EB35"/>
    <mergeCell ref="EN35:EO35"/>
    <mergeCell ref="AA35:AB35"/>
    <mergeCell ref="AN35:AO35"/>
    <mergeCell ref="BA35:BB35"/>
    <mergeCell ref="BN35:BO35"/>
    <mergeCell ref="CA35:CB35"/>
    <mergeCell ref="RN35:RO35"/>
    <mergeCell ref="SA35:SB35"/>
    <mergeCell ref="SN35:SO35"/>
    <mergeCell ref="TA35:TB35"/>
    <mergeCell ref="TN35:TO35"/>
    <mergeCell ref="PA35:PB35"/>
    <mergeCell ref="PN35:PO35"/>
    <mergeCell ref="QA35:QB35"/>
    <mergeCell ref="QN35:QO35"/>
    <mergeCell ref="RA35:RB35"/>
    <mergeCell ref="MN35:MO35"/>
    <mergeCell ref="NA35:NB35"/>
    <mergeCell ref="NN35:NO35"/>
    <mergeCell ref="OA35:OB35"/>
    <mergeCell ref="ON35:OO35"/>
    <mergeCell ref="KA35:KB35"/>
    <mergeCell ref="KN35:KO35"/>
    <mergeCell ref="LA35:LB35"/>
    <mergeCell ref="LN35:LO35"/>
    <mergeCell ref="MA35:MB35"/>
    <mergeCell ref="ABN35:ABO35"/>
    <mergeCell ref="ACA35:ACB35"/>
    <mergeCell ref="ACN35:ACO35"/>
    <mergeCell ref="ADA35:ADB35"/>
    <mergeCell ref="ADN35:ADO35"/>
    <mergeCell ref="ZA35:ZB35"/>
    <mergeCell ref="ZN35:ZO35"/>
    <mergeCell ref="AAA35:AAB35"/>
    <mergeCell ref="AAN35:AAO35"/>
    <mergeCell ref="ABA35:ABB35"/>
    <mergeCell ref="WN35:WO35"/>
    <mergeCell ref="XA35:XB35"/>
    <mergeCell ref="XN35:XO35"/>
    <mergeCell ref="YA35:YB35"/>
    <mergeCell ref="YN35:YO35"/>
    <mergeCell ref="UA35:UB35"/>
    <mergeCell ref="UN35:UO35"/>
    <mergeCell ref="VA35:VB35"/>
    <mergeCell ref="VN35:VO35"/>
    <mergeCell ref="WA35:WB35"/>
    <mergeCell ref="ALN35:ALO35"/>
    <mergeCell ref="AMA35:AMB35"/>
    <mergeCell ref="AMN35:AMO35"/>
    <mergeCell ref="ANA35:ANB35"/>
    <mergeCell ref="ANN35:ANO35"/>
    <mergeCell ref="AJA35:AJB35"/>
    <mergeCell ref="AJN35:AJO35"/>
    <mergeCell ref="AKA35:AKB35"/>
    <mergeCell ref="AKN35:AKO35"/>
    <mergeCell ref="ALA35:ALB35"/>
    <mergeCell ref="AGN35:AGO35"/>
    <mergeCell ref="AHA35:AHB35"/>
    <mergeCell ref="AHN35:AHO35"/>
    <mergeCell ref="AIA35:AIB35"/>
    <mergeCell ref="AIN35:AIO35"/>
    <mergeCell ref="AEA35:AEB35"/>
    <mergeCell ref="AEN35:AEO35"/>
    <mergeCell ref="AFA35:AFB35"/>
    <mergeCell ref="AFN35:AFO35"/>
    <mergeCell ref="AGA35:AGB35"/>
    <mergeCell ref="AVN35:AVO35"/>
    <mergeCell ref="AWA35:AWB35"/>
    <mergeCell ref="AWN35:AWO35"/>
    <mergeCell ref="AXA35:AXB35"/>
    <mergeCell ref="AXN35:AXO35"/>
    <mergeCell ref="ATA35:ATB35"/>
    <mergeCell ref="ATN35:ATO35"/>
    <mergeCell ref="AUA35:AUB35"/>
    <mergeCell ref="AUN35:AUO35"/>
    <mergeCell ref="AVA35:AVB35"/>
    <mergeCell ref="AQN35:AQO35"/>
    <mergeCell ref="ARA35:ARB35"/>
    <mergeCell ref="ARN35:ARO35"/>
    <mergeCell ref="ASA35:ASB35"/>
    <mergeCell ref="ASN35:ASO35"/>
    <mergeCell ref="AOA35:AOB35"/>
    <mergeCell ref="AON35:AOO35"/>
    <mergeCell ref="APA35:APB35"/>
    <mergeCell ref="APN35:APO35"/>
    <mergeCell ref="AQA35:AQB35"/>
    <mergeCell ref="BFN35:BFO35"/>
    <mergeCell ref="BGA35:BGB35"/>
    <mergeCell ref="BGN35:BGO35"/>
    <mergeCell ref="BHA35:BHB35"/>
    <mergeCell ref="BHN35:BHO35"/>
    <mergeCell ref="BDA35:BDB35"/>
    <mergeCell ref="BDN35:BDO35"/>
    <mergeCell ref="BEA35:BEB35"/>
    <mergeCell ref="BEN35:BEO35"/>
    <mergeCell ref="BFA35:BFB35"/>
    <mergeCell ref="BAN35:BAO35"/>
    <mergeCell ref="BBA35:BBB35"/>
    <mergeCell ref="BBN35:BBO35"/>
    <mergeCell ref="BCA35:BCB35"/>
    <mergeCell ref="BCN35:BCO35"/>
    <mergeCell ref="AYA35:AYB35"/>
    <mergeCell ref="AYN35:AYO35"/>
    <mergeCell ref="AZA35:AZB35"/>
    <mergeCell ref="AZN35:AZO35"/>
    <mergeCell ref="BAA35:BAB35"/>
    <mergeCell ref="BPN35:BPO35"/>
    <mergeCell ref="BQA35:BQB35"/>
    <mergeCell ref="BQN35:BQO35"/>
    <mergeCell ref="BRA35:BRB35"/>
    <mergeCell ref="BRN35:BRO35"/>
    <mergeCell ref="BNA35:BNB35"/>
    <mergeCell ref="BNN35:BNO35"/>
    <mergeCell ref="BOA35:BOB35"/>
    <mergeCell ref="BON35:BOO35"/>
    <mergeCell ref="BPA35:BPB35"/>
    <mergeCell ref="BKN35:BKO35"/>
    <mergeCell ref="BLA35:BLB35"/>
    <mergeCell ref="BLN35:BLO35"/>
    <mergeCell ref="BMA35:BMB35"/>
    <mergeCell ref="BMN35:BMO35"/>
    <mergeCell ref="BIA35:BIB35"/>
    <mergeCell ref="BIN35:BIO35"/>
    <mergeCell ref="BJA35:BJB35"/>
    <mergeCell ref="BJN35:BJO35"/>
    <mergeCell ref="BKA35:BKB35"/>
    <mergeCell ref="BZN35:BZO35"/>
    <mergeCell ref="CAA35:CAB35"/>
    <mergeCell ref="CAN35:CAO35"/>
    <mergeCell ref="CBA35:CBB35"/>
    <mergeCell ref="CBN35:CBO35"/>
    <mergeCell ref="BXA35:BXB35"/>
    <mergeCell ref="BXN35:BXO35"/>
    <mergeCell ref="BYA35:BYB35"/>
    <mergeCell ref="BYN35:BYO35"/>
    <mergeCell ref="BZA35:BZB35"/>
    <mergeCell ref="BUN35:BUO35"/>
    <mergeCell ref="BVA35:BVB35"/>
    <mergeCell ref="BVN35:BVO35"/>
    <mergeCell ref="BWA35:BWB35"/>
    <mergeCell ref="BWN35:BWO35"/>
    <mergeCell ref="BSA35:BSB35"/>
    <mergeCell ref="BSN35:BSO35"/>
    <mergeCell ref="BTA35:BTB35"/>
    <mergeCell ref="BTN35:BTO35"/>
    <mergeCell ref="BUA35:BUB35"/>
    <mergeCell ref="CJN35:CJO35"/>
    <mergeCell ref="CKA35:CKB35"/>
    <mergeCell ref="CKN35:CKO35"/>
    <mergeCell ref="CLA35:CLB35"/>
    <mergeCell ref="CLN35:CLO35"/>
    <mergeCell ref="CHA35:CHB35"/>
    <mergeCell ref="CHN35:CHO35"/>
    <mergeCell ref="CIA35:CIB35"/>
    <mergeCell ref="CIN35:CIO35"/>
    <mergeCell ref="CJA35:CJB35"/>
    <mergeCell ref="CEN35:CEO35"/>
    <mergeCell ref="CFA35:CFB35"/>
    <mergeCell ref="CFN35:CFO35"/>
    <mergeCell ref="CGA35:CGB35"/>
    <mergeCell ref="CGN35:CGO35"/>
    <mergeCell ref="CCA35:CCB35"/>
    <mergeCell ref="CCN35:CCO35"/>
    <mergeCell ref="CDA35:CDB35"/>
    <mergeCell ref="CDN35:CDO35"/>
    <mergeCell ref="CEA35:CEB35"/>
    <mergeCell ref="CTN35:CTO35"/>
    <mergeCell ref="CUA35:CUB35"/>
    <mergeCell ref="CUN35:CUO35"/>
    <mergeCell ref="CVA35:CVB35"/>
    <mergeCell ref="CVN35:CVO35"/>
    <mergeCell ref="CRA35:CRB35"/>
    <mergeCell ref="CRN35:CRO35"/>
    <mergeCell ref="CSA35:CSB35"/>
    <mergeCell ref="CSN35:CSO35"/>
    <mergeCell ref="CTA35:CTB35"/>
    <mergeCell ref="CON35:COO35"/>
    <mergeCell ref="CPA35:CPB35"/>
    <mergeCell ref="CPN35:CPO35"/>
    <mergeCell ref="CQA35:CQB35"/>
    <mergeCell ref="CQN35:CQO35"/>
    <mergeCell ref="CMA35:CMB35"/>
    <mergeCell ref="CMN35:CMO35"/>
    <mergeCell ref="CNA35:CNB35"/>
    <mergeCell ref="CNN35:CNO35"/>
    <mergeCell ref="COA35:COB35"/>
    <mergeCell ref="DDN35:DDO35"/>
    <mergeCell ref="DEA35:DEB35"/>
    <mergeCell ref="DEN35:DEO35"/>
    <mergeCell ref="DFA35:DFB35"/>
    <mergeCell ref="DFN35:DFO35"/>
    <mergeCell ref="DBA35:DBB35"/>
    <mergeCell ref="DBN35:DBO35"/>
    <mergeCell ref="DCA35:DCB35"/>
    <mergeCell ref="DCN35:DCO35"/>
    <mergeCell ref="DDA35:DDB35"/>
    <mergeCell ref="CYN35:CYO35"/>
    <mergeCell ref="CZA35:CZB35"/>
    <mergeCell ref="CZN35:CZO35"/>
    <mergeCell ref="DAA35:DAB35"/>
    <mergeCell ref="DAN35:DAO35"/>
    <mergeCell ref="CWA35:CWB35"/>
    <mergeCell ref="CWN35:CWO35"/>
    <mergeCell ref="CXA35:CXB35"/>
    <mergeCell ref="CXN35:CXO35"/>
    <mergeCell ref="CYA35:CYB35"/>
    <mergeCell ref="DNN35:DNO35"/>
    <mergeCell ref="DOA35:DOB35"/>
    <mergeCell ref="DON35:DOO35"/>
    <mergeCell ref="DPA35:DPB35"/>
    <mergeCell ref="DPN35:DPO35"/>
    <mergeCell ref="DLA35:DLB35"/>
    <mergeCell ref="DLN35:DLO35"/>
    <mergeCell ref="DMA35:DMB35"/>
    <mergeCell ref="DMN35:DMO35"/>
    <mergeCell ref="DNA35:DNB35"/>
    <mergeCell ref="DIN35:DIO35"/>
    <mergeCell ref="DJA35:DJB35"/>
    <mergeCell ref="DJN35:DJO35"/>
    <mergeCell ref="DKA35:DKB35"/>
    <mergeCell ref="DKN35:DKO35"/>
    <mergeCell ref="DGA35:DGB35"/>
    <mergeCell ref="DGN35:DGO35"/>
    <mergeCell ref="DHA35:DHB35"/>
    <mergeCell ref="DHN35:DHO35"/>
    <mergeCell ref="DIA35:DIB35"/>
    <mergeCell ref="DXN35:DXO35"/>
    <mergeCell ref="DYA35:DYB35"/>
    <mergeCell ref="DYN35:DYO35"/>
    <mergeCell ref="DZA35:DZB35"/>
    <mergeCell ref="DZN35:DZO35"/>
    <mergeCell ref="DVA35:DVB35"/>
    <mergeCell ref="DVN35:DVO35"/>
    <mergeCell ref="DWA35:DWB35"/>
    <mergeCell ref="DWN35:DWO35"/>
    <mergeCell ref="DXA35:DXB35"/>
    <mergeCell ref="DSN35:DSO35"/>
    <mergeCell ref="DTA35:DTB35"/>
    <mergeCell ref="DTN35:DTO35"/>
    <mergeCell ref="DUA35:DUB35"/>
    <mergeCell ref="DUN35:DUO35"/>
    <mergeCell ref="DQA35:DQB35"/>
    <mergeCell ref="DQN35:DQO35"/>
    <mergeCell ref="DRA35:DRB35"/>
    <mergeCell ref="DRN35:DRO35"/>
    <mergeCell ref="DSA35:DSB35"/>
    <mergeCell ref="EHN35:EHO35"/>
    <mergeCell ref="EIA35:EIB35"/>
    <mergeCell ref="EIN35:EIO35"/>
    <mergeCell ref="EJA35:EJB35"/>
    <mergeCell ref="EJN35:EJO35"/>
    <mergeCell ref="EFA35:EFB35"/>
    <mergeCell ref="EFN35:EFO35"/>
    <mergeCell ref="EGA35:EGB35"/>
    <mergeCell ref="EGN35:EGO35"/>
    <mergeCell ref="EHA35:EHB35"/>
    <mergeCell ref="ECN35:ECO35"/>
    <mergeCell ref="EDA35:EDB35"/>
    <mergeCell ref="EDN35:EDO35"/>
    <mergeCell ref="EEA35:EEB35"/>
    <mergeCell ref="EEN35:EEO35"/>
    <mergeCell ref="EAA35:EAB35"/>
    <mergeCell ref="EAN35:EAO35"/>
    <mergeCell ref="EBA35:EBB35"/>
    <mergeCell ref="EBN35:EBO35"/>
    <mergeCell ref="ECA35:ECB35"/>
    <mergeCell ref="ERN35:ERO35"/>
    <mergeCell ref="ESA35:ESB35"/>
    <mergeCell ref="ESN35:ESO35"/>
    <mergeCell ref="ETA35:ETB35"/>
    <mergeCell ref="ETN35:ETO35"/>
    <mergeCell ref="EPA35:EPB35"/>
    <mergeCell ref="EPN35:EPO35"/>
    <mergeCell ref="EQA35:EQB35"/>
    <mergeCell ref="EQN35:EQO35"/>
    <mergeCell ref="ERA35:ERB35"/>
    <mergeCell ref="EMN35:EMO35"/>
    <mergeCell ref="ENA35:ENB35"/>
    <mergeCell ref="ENN35:ENO35"/>
    <mergeCell ref="EOA35:EOB35"/>
    <mergeCell ref="EON35:EOO35"/>
    <mergeCell ref="EKA35:EKB35"/>
    <mergeCell ref="EKN35:EKO35"/>
    <mergeCell ref="ELA35:ELB35"/>
    <mergeCell ref="ELN35:ELO35"/>
    <mergeCell ref="EMA35:EMB35"/>
    <mergeCell ref="FBN35:FBO35"/>
    <mergeCell ref="FCA35:FCB35"/>
    <mergeCell ref="FCN35:FCO35"/>
    <mergeCell ref="FDA35:FDB35"/>
    <mergeCell ref="FDN35:FDO35"/>
    <mergeCell ref="EZA35:EZB35"/>
    <mergeCell ref="EZN35:EZO35"/>
    <mergeCell ref="FAA35:FAB35"/>
    <mergeCell ref="FAN35:FAO35"/>
    <mergeCell ref="FBA35:FBB35"/>
    <mergeCell ref="EWN35:EWO35"/>
    <mergeCell ref="EXA35:EXB35"/>
    <mergeCell ref="EXN35:EXO35"/>
    <mergeCell ref="EYA35:EYB35"/>
    <mergeCell ref="EYN35:EYO35"/>
    <mergeCell ref="EUA35:EUB35"/>
    <mergeCell ref="EUN35:EUO35"/>
    <mergeCell ref="EVA35:EVB35"/>
    <mergeCell ref="EVN35:EVO35"/>
    <mergeCell ref="EWA35:EWB35"/>
    <mergeCell ref="FLN35:FLO35"/>
    <mergeCell ref="FMA35:FMB35"/>
    <mergeCell ref="FMN35:FMO35"/>
    <mergeCell ref="FNA35:FNB35"/>
    <mergeCell ref="FNN35:FNO35"/>
    <mergeCell ref="FJA35:FJB35"/>
    <mergeCell ref="FJN35:FJO35"/>
    <mergeCell ref="FKA35:FKB35"/>
    <mergeCell ref="FKN35:FKO35"/>
    <mergeCell ref="FLA35:FLB35"/>
    <mergeCell ref="FGN35:FGO35"/>
    <mergeCell ref="FHA35:FHB35"/>
    <mergeCell ref="FHN35:FHO35"/>
    <mergeCell ref="FIA35:FIB35"/>
    <mergeCell ref="FIN35:FIO35"/>
    <mergeCell ref="FEA35:FEB35"/>
    <mergeCell ref="FEN35:FEO35"/>
    <mergeCell ref="FFA35:FFB35"/>
    <mergeCell ref="FFN35:FFO35"/>
    <mergeCell ref="FGA35:FGB35"/>
    <mergeCell ref="FVN35:FVO35"/>
    <mergeCell ref="FWA35:FWB35"/>
    <mergeCell ref="FWN35:FWO35"/>
    <mergeCell ref="FXA35:FXB35"/>
    <mergeCell ref="FXN35:FXO35"/>
    <mergeCell ref="FTA35:FTB35"/>
    <mergeCell ref="FTN35:FTO35"/>
    <mergeCell ref="FUA35:FUB35"/>
    <mergeCell ref="FUN35:FUO35"/>
    <mergeCell ref="FVA35:FVB35"/>
    <mergeCell ref="FQN35:FQO35"/>
    <mergeCell ref="FRA35:FRB35"/>
    <mergeCell ref="FRN35:FRO35"/>
    <mergeCell ref="FSA35:FSB35"/>
    <mergeCell ref="FSN35:FSO35"/>
    <mergeCell ref="FOA35:FOB35"/>
    <mergeCell ref="FON35:FOO35"/>
    <mergeCell ref="FPA35:FPB35"/>
    <mergeCell ref="FPN35:FPO35"/>
    <mergeCell ref="FQA35:FQB35"/>
    <mergeCell ref="GFN35:GFO35"/>
    <mergeCell ref="GGA35:GGB35"/>
    <mergeCell ref="GGN35:GGO35"/>
    <mergeCell ref="GHA35:GHB35"/>
    <mergeCell ref="GHN35:GHO35"/>
    <mergeCell ref="GDA35:GDB35"/>
    <mergeCell ref="GDN35:GDO35"/>
    <mergeCell ref="GEA35:GEB35"/>
    <mergeCell ref="GEN35:GEO35"/>
    <mergeCell ref="GFA35:GFB35"/>
    <mergeCell ref="GAN35:GAO35"/>
    <mergeCell ref="GBA35:GBB35"/>
    <mergeCell ref="GBN35:GBO35"/>
    <mergeCell ref="GCA35:GCB35"/>
    <mergeCell ref="GCN35:GCO35"/>
    <mergeCell ref="FYA35:FYB35"/>
    <mergeCell ref="FYN35:FYO35"/>
    <mergeCell ref="FZA35:FZB35"/>
    <mergeCell ref="FZN35:FZO35"/>
    <mergeCell ref="GAA35:GAB35"/>
    <mergeCell ref="GPN35:GPO35"/>
    <mergeCell ref="GQA35:GQB35"/>
    <mergeCell ref="GQN35:GQO35"/>
    <mergeCell ref="GRA35:GRB35"/>
    <mergeCell ref="GRN35:GRO35"/>
    <mergeCell ref="GNA35:GNB35"/>
    <mergeCell ref="GNN35:GNO35"/>
    <mergeCell ref="GOA35:GOB35"/>
    <mergeCell ref="GON35:GOO35"/>
    <mergeCell ref="GPA35:GPB35"/>
    <mergeCell ref="GKN35:GKO35"/>
    <mergeCell ref="GLA35:GLB35"/>
    <mergeCell ref="GLN35:GLO35"/>
    <mergeCell ref="GMA35:GMB35"/>
    <mergeCell ref="GMN35:GMO35"/>
    <mergeCell ref="GIA35:GIB35"/>
    <mergeCell ref="GIN35:GIO35"/>
    <mergeCell ref="GJA35:GJB35"/>
    <mergeCell ref="GJN35:GJO35"/>
    <mergeCell ref="GKA35:GKB35"/>
    <mergeCell ref="GZN35:GZO35"/>
    <mergeCell ref="HAA35:HAB35"/>
    <mergeCell ref="HAN35:HAO35"/>
    <mergeCell ref="HBA35:HBB35"/>
    <mergeCell ref="HBN35:HBO35"/>
    <mergeCell ref="GXA35:GXB35"/>
    <mergeCell ref="GXN35:GXO35"/>
    <mergeCell ref="GYA35:GYB35"/>
    <mergeCell ref="GYN35:GYO35"/>
    <mergeCell ref="GZA35:GZB35"/>
    <mergeCell ref="GUN35:GUO35"/>
    <mergeCell ref="GVA35:GVB35"/>
    <mergeCell ref="GVN35:GVO35"/>
    <mergeCell ref="GWA35:GWB35"/>
    <mergeCell ref="GWN35:GWO35"/>
    <mergeCell ref="GSA35:GSB35"/>
    <mergeCell ref="GSN35:GSO35"/>
    <mergeCell ref="GTA35:GTB35"/>
    <mergeCell ref="GTN35:GTO35"/>
    <mergeCell ref="GUA35:GUB35"/>
    <mergeCell ref="HJN35:HJO35"/>
    <mergeCell ref="HKA35:HKB35"/>
    <mergeCell ref="HKN35:HKO35"/>
    <mergeCell ref="HLA35:HLB35"/>
    <mergeCell ref="HLN35:HLO35"/>
    <mergeCell ref="HHA35:HHB35"/>
    <mergeCell ref="HHN35:HHO35"/>
    <mergeCell ref="HIA35:HIB35"/>
    <mergeCell ref="HIN35:HIO35"/>
    <mergeCell ref="HJA35:HJB35"/>
    <mergeCell ref="HEN35:HEO35"/>
    <mergeCell ref="HFA35:HFB35"/>
    <mergeCell ref="HFN35:HFO35"/>
    <mergeCell ref="HGA35:HGB35"/>
    <mergeCell ref="HGN35:HGO35"/>
    <mergeCell ref="HCA35:HCB35"/>
    <mergeCell ref="HCN35:HCO35"/>
    <mergeCell ref="HDA35:HDB35"/>
    <mergeCell ref="HDN35:HDO35"/>
    <mergeCell ref="HEA35:HEB35"/>
    <mergeCell ref="HTN35:HTO35"/>
    <mergeCell ref="HUA35:HUB35"/>
    <mergeCell ref="HUN35:HUO35"/>
    <mergeCell ref="HVA35:HVB35"/>
    <mergeCell ref="HVN35:HVO35"/>
    <mergeCell ref="HRA35:HRB35"/>
    <mergeCell ref="HRN35:HRO35"/>
    <mergeCell ref="HSA35:HSB35"/>
    <mergeCell ref="HSN35:HSO35"/>
    <mergeCell ref="HTA35:HTB35"/>
    <mergeCell ref="HON35:HOO35"/>
    <mergeCell ref="HPA35:HPB35"/>
    <mergeCell ref="HPN35:HPO35"/>
    <mergeCell ref="HQA35:HQB35"/>
    <mergeCell ref="HQN35:HQO35"/>
    <mergeCell ref="HMA35:HMB35"/>
    <mergeCell ref="HMN35:HMO35"/>
    <mergeCell ref="HNA35:HNB35"/>
    <mergeCell ref="HNN35:HNO35"/>
    <mergeCell ref="HOA35:HOB35"/>
    <mergeCell ref="IDN35:IDO35"/>
    <mergeCell ref="IEA35:IEB35"/>
    <mergeCell ref="IEN35:IEO35"/>
    <mergeCell ref="IFA35:IFB35"/>
    <mergeCell ref="IFN35:IFO35"/>
    <mergeCell ref="IBA35:IBB35"/>
    <mergeCell ref="IBN35:IBO35"/>
    <mergeCell ref="ICA35:ICB35"/>
    <mergeCell ref="ICN35:ICO35"/>
    <mergeCell ref="IDA35:IDB35"/>
    <mergeCell ref="HYN35:HYO35"/>
    <mergeCell ref="HZA35:HZB35"/>
    <mergeCell ref="HZN35:HZO35"/>
    <mergeCell ref="IAA35:IAB35"/>
    <mergeCell ref="IAN35:IAO35"/>
    <mergeCell ref="HWA35:HWB35"/>
    <mergeCell ref="HWN35:HWO35"/>
    <mergeCell ref="HXA35:HXB35"/>
    <mergeCell ref="HXN35:HXO35"/>
    <mergeCell ref="HYA35:HYB35"/>
    <mergeCell ref="INN35:INO35"/>
    <mergeCell ref="IOA35:IOB35"/>
    <mergeCell ref="ION35:IOO35"/>
    <mergeCell ref="IPA35:IPB35"/>
    <mergeCell ref="IPN35:IPO35"/>
    <mergeCell ref="ILA35:ILB35"/>
    <mergeCell ref="ILN35:ILO35"/>
    <mergeCell ref="IMA35:IMB35"/>
    <mergeCell ref="IMN35:IMO35"/>
    <mergeCell ref="INA35:INB35"/>
    <mergeCell ref="IIN35:IIO35"/>
    <mergeCell ref="IJA35:IJB35"/>
    <mergeCell ref="IJN35:IJO35"/>
    <mergeCell ref="IKA35:IKB35"/>
    <mergeCell ref="IKN35:IKO35"/>
    <mergeCell ref="IGA35:IGB35"/>
    <mergeCell ref="IGN35:IGO35"/>
    <mergeCell ref="IHA35:IHB35"/>
    <mergeCell ref="IHN35:IHO35"/>
    <mergeCell ref="IIA35:IIB35"/>
    <mergeCell ref="IXN35:IXO35"/>
    <mergeCell ref="IYA35:IYB35"/>
    <mergeCell ref="IYN35:IYO35"/>
    <mergeCell ref="IZA35:IZB35"/>
    <mergeCell ref="IZN35:IZO35"/>
    <mergeCell ref="IVA35:IVB35"/>
    <mergeCell ref="IVN35:IVO35"/>
    <mergeCell ref="IWA35:IWB35"/>
    <mergeCell ref="IWN35:IWO35"/>
    <mergeCell ref="IXA35:IXB35"/>
    <mergeCell ref="ISN35:ISO35"/>
    <mergeCell ref="ITA35:ITB35"/>
    <mergeCell ref="ITN35:ITO35"/>
    <mergeCell ref="IUA35:IUB35"/>
    <mergeCell ref="IUN35:IUO35"/>
    <mergeCell ref="IQA35:IQB35"/>
    <mergeCell ref="IQN35:IQO35"/>
    <mergeCell ref="IRA35:IRB35"/>
    <mergeCell ref="IRN35:IRO35"/>
    <mergeCell ref="ISA35:ISB35"/>
    <mergeCell ref="JHN35:JHO35"/>
    <mergeCell ref="JIA35:JIB35"/>
    <mergeCell ref="JIN35:JIO35"/>
    <mergeCell ref="JJA35:JJB35"/>
    <mergeCell ref="JJN35:JJO35"/>
    <mergeCell ref="JFA35:JFB35"/>
    <mergeCell ref="JFN35:JFO35"/>
    <mergeCell ref="JGA35:JGB35"/>
    <mergeCell ref="JGN35:JGO35"/>
    <mergeCell ref="JHA35:JHB35"/>
    <mergeCell ref="JCN35:JCO35"/>
    <mergeCell ref="JDA35:JDB35"/>
    <mergeCell ref="JDN35:JDO35"/>
    <mergeCell ref="JEA35:JEB35"/>
    <mergeCell ref="JEN35:JEO35"/>
    <mergeCell ref="JAA35:JAB35"/>
    <mergeCell ref="JAN35:JAO35"/>
    <mergeCell ref="JBA35:JBB35"/>
    <mergeCell ref="JBN35:JBO35"/>
    <mergeCell ref="JCA35:JCB35"/>
    <mergeCell ref="JRN35:JRO35"/>
    <mergeCell ref="JSA35:JSB35"/>
    <mergeCell ref="JSN35:JSO35"/>
    <mergeCell ref="JTA35:JTB35"/>
    <mergeCell ref="JTN35:JTO35"/>
    <mergeCell ref="JPA35:JPB35"/>
    <mergeCell ref="JPN35:JPO35"/>
    <mergeCell ref="JQA35:JQB35"/>
    <mergeCell ref="JQN35:JQO35"/>
    <mergeCell ref="JRA35:JRB35"/>
    <mergeCell ref="JMN35:JMO35"/>
    <mergeCell ref="JNA35:JNB35"/>
    <mergeCell ref="JNN35:JNO35"/>
    <mergeCell ref="JOA35:JOB35"/>
    <mergeCell ref="JON35:JOO35"/>
    <mergeCell ref="JKA35:JKB35"/>
    <mergeCell ref="JKN35:JKO35"/>
    <mergeCell ref="JLA35:JLB35"/>
    <mergeCell ref="JLN35:JLO35"/>
    <mergeCell ref="JMA35:JMB35"/>
    <mergeCell ref="KBN35:KBO35"/>
    <mergeCell ref="KCA35:KCB35"/>
    <mergeCell ref="KCN35:KCO35"/>
    <mergeCell ref="KDA35:KDB35"/>
    <mergeCell ref="KDN35:KDO35"/>
    <mergeCell ref="JZA35:JZB35"/>
    <mergeCell ref="JZN35:JZO35"/>
    <mergeCell ref="KAA35:KAB35"/>
    <mergeCell ref="KAN35:KAO35"/>
    <mergeCell ref="KBA35:KBB35"/>
    <mergeCell ref="JWN35:JWO35"/>
    <mergeCell ref="JXA35:JXB35"/>
    <mergeCell ref="JXN35:JXO35"/>
    <mergeCell ref="JYA35:JYB35"/>
    <mergeCell ref="JYN35:JYO35"/>
    <mergeCell ref="JUA35:JUB35"/>
    <mergeCell ref="JUN35:JUO35"/>
    <mergeCell ref="JVA35:JVB35"/>
    <mergeCell ref="JVN35:JVO35"/>
    <mergeCell ref="JWA35:JWB35"/>
    <mergeCell ref="KLN35:KLO35"/>
    <mergeCell ref="KMA35:KMB35"/>
    <mergeCell ref="KMN35:KMO35"/>
    <mergeCell ref="KNA35:KNB35"/>
    <mergeCell ref="KNN35:KNO35"/>
    <mergeCell ref="KJA35:KJB35"/>
    <mergeCell ref="KJN35:KJO35"/>
    <mergeCell ref="KKA35:KKB35"/>
    <mergeCell ref="KKN35:KKO35"/>
    <mergeCell ref="KLA35:KLB35"/>
    <mergeCell ref="KGN35:KGO35"/>
    <mergeCell ref="KHA35:KHB35"/>
    <mergeCell ref="KHN35:KHO35"/>
    <mergeCell ref="KIA35:KIB35"/>
    <mergeCell ref="KIN35:KIO35"/>
    <mergeCell ref="KEA35:KEB35"/>
    <mergeCell ref="KEN35:KEO35"/>
    <mergeCell ref="KFA35:KFB35"/>
    <mergeCell ref="KFN35:KFO35"/>
    <mergeCell ref="KGA35:KGB35"/>
    <mergeCell ref="KVN35:KVO35"/>
    <mergeCell ref="KWA35:KWB35"/>
    <mergeCell ref="KWN35:KWO35"/>
    <mergeCell ref="KXA35:KXB35"/>
    <mergeCell ref="KXN35:KXO35"/>
    <mergeCell ref="KTA35:KTB35"/>
    <mergeCell ref="KTN35:KTO35"/>
    <mergeCell ref="KUA35:KUB35"/>
    <mergeCell ref="KUN35:KUO35"/>
    <mergeCell ref="KVA35:KVB35"/>
    <mergeCell ref="KQN35:KQO35"/>
    <mergeCell ref="KRA35:KRB35"/>
    <mergeCell ref="KRN35:KRO35"/>
    <mergeCell ref="KSA35:KSB35"/>
    <mergeCell ref="KSN35:KSO35"/>
    <mergeCell ref="KOA35:KOB35"/>
    <mergeCell ref="KON35:KOO35"/>
    <mergeCell ref="KPA35:KPB35"/>
    <mergeCell ref="KPN35:KPO35"/>
    <mergeCell ref="KQA35:KQB35"/>
    <mergeCell ref="LFN35:LFO35"/>
    <mergeCell ref="LGA35:LGB35"/>
    <mergeCell ref="LGN35:LGO35"/>
    <mergeCell ref="LHA35:LHB35"/>
    <mergeCell ref="LHN35:LHO35"/>
    <mergeCell ref="LDA35:LDB35"/>
    <mergeCell ref="LDN35:LDO35"/>
    <mergeCell ref="LEA35:LEB35"/>
    <mergeCell ref="LEN35:LEO35"/>
    <mergeCell ref="LFA35:LFB35"/>
    <mergeCell ref="LAN35:LAO35"/>
    <mergeCell ref="LBA35:LBB35"/>
    <mergeCell ref="LBN35:LBO35"/>
    <mergeCell ref="LCA35:LCB35"/>
    <mergeCell ref="LCN35:LCO35"/>
    <mergeCell ref="KYA35:KYB35"/>
    <mergeCell ref="KYN35:KYO35"/>
    <mergeCell ref="KZA35:KZB35"/>
    <mergeCell ref="KZN35:KZO35"/>
    <mergeCell ref="LAA35:LAB35"/>
    <mergeCell ref="LPN35:LPO35"/>
    <mergeCell ref="LQA35:LQB35"/>
    <mergeCell ref="LQN35:LQO35"/>
    <mergeCell ref="LRA35:LRB35"/>
    <mergeCell ref="LRN35:LRO35"/>
    <mergeCell ref="LNA35:LNB35"/>
    <mergeCell ref="LNN35:LNO35"/>
    <mergeCell ref="LOA35:LOB35"/>
    <mergeCell ref="LON35:LOO35"/>
    <mergeCell ref="LPA35:LPB35"/>
    <mergeCell ref="LKN35:LKO35"/>
    <mergeCell ref="LLA35:LLB35"/>
    <mergeCell ref="LLN35:LLO35"/>
    <mergeCell ref="LMA35:LMB35"/>
    <mergeCell ref="LMN35:LMO35"/>
    <mergeCell ref="LIA35:LIB35"/>
    <mergeCell ref="LIN35:LIO35"/>
    <mergeCell ref="LJA35:LJB35"/>
    <mergeCell ref="LJN35:LJO35"/>
    <mergeCell ref="LKA35:LKB35"/>
    <mergeCell ref="LZN35:LZO35"/>
    <mergeCell ref="MAA35:MAB35"/>
    <mergeCell ref="MAN35:MAO35"/>
    <mergeCell ref="MBA35:MBB35"/>
    <mergeCell ref="MBN35:MBO35"/>
    <mergeCell ref="LXA35:LXB35"/>
    <mergeCell ref="LXN35:LXO35"/>
    <mergeCell ref="LYA35:LYB35"/>
    <mergeCell ref="LYN35:LYO35"/>
    <mergeCell ref="LZA35:LZB35"/>
    <mergeCell ref="LUN35:LUO35"/>
    <mergeCell ref="LVA35:LVB35"/>
    <mergeCell ref="LVN35:LVO35"/>
    <mergeCell ref="LWA35:LWB35"/>
    <mergeCell ref="LWN35:LWO35"/>
    <mergeCell ref="LSA35:LSB35"/>
    <mergeCell ref="LSN35:LSO35"/>
    <mergeCell ref="LTA35:LTB35"/>
    <mergeCell ref="LTN35:LTO35"/>
    <mergeCell ref="LUA35:LUB35"/>
    <mergeCell ref="MJN35:MJO35"/>
    <mergeCell ref="MKA35:MKB35"/>
    <mergeCell ref="MKN35:MKO35"/>
    <mergeCell ref="MLA35:MLB35"/>
    <mergeCell ref="MLN35:MLO35"/>
    <mergeCell ref="MHA35:MHB35"/>
    <mergeCell ref="MHN35:MHO35"/>
    <mergeCell ref="MIA35:MIB35"/>
    <mergeCell ref="MIN35:MIO35"/>
    <mergeCell ref="MJA35:MJB35"/>
    <mergeCell ref="MEN35:MEO35"/>
    <mergeCell ref="MFA35:MFB35"/>
    <mergeCell ref="MFN35:MFO35"/>
    <mergeCell ref="MGA35:MGB35"/>
    <mergeCell ref="MGN35:MGO35"/>
    <mergeCell ref="MCA35:MCB35"/>
    <mergeCell ref="MCN35:MCO35"/>
    <mergeCell ref="MDA35:MDB35"/>
    <mergeCell ref="MDN35:MDO35"/>
    <mergeCell ref="MEA35:MEB35"/>
    <mergeCell ref="MTN35:MTO35"/>
    <mergeCell ref="MUA35:MUB35"/>
    <mergeCell ref="MUN35:MUO35"/>
    <mergeCell ref="MVA35:MVB35"/>
    <mergeCell ref="MVN35:MVO35"/>
    <mergeCell ref="MRA35:MRB35"/>
    <mergeCell ref="MRN35:MRO35"/>
    <mergeCell ref="MSA35:MSB35"/>
    <mergeCell ref="MSN35:MSO35"/>
    <mergeCell ref="MTA35:MTB35"/>
    <mergeCell ref="MON35:MOO35"/>
    <mergeCell ref="MPA35:MPB35"/>
    <mergeCell ref="MPN35:MPO35"/>
    <mergeCell ref="MQA35:MQB35"/>
    <mergeCell ref="MQN35:MQO35"/>
    <mergeCell ref="MMA35:MMB35"/>
    <mergeCell ref="MMN35:MMO35"/>
    <mergeCell ref="MNA35:MNB35"/>
    <mergeCell ref="MNN35:MNO35"/>
    <mergeCell ref="MOA35:MOB35"/>
    <mergeCell ref="NDN35:NDO35"/>
    <mergeCell ref="NEA35:NEB35"/>
    <mergeCell ref="NEN35:NEO35"/>
    <mergeCell ref="NFA35:NFB35"/>
    <mergeCell ref="NFN35:NFO35"/>
    <mergeCell ref="NBA35:NBB35"/>
    <mergeCell ref="NBN35:NBO35"/>
    <mergeCell ref="NCA35:NCB35"/>
    <mergeCell ref="NCN35:NCO35"/>
    <mergeCell ref="NDA35:NDB35"/>
    <mergeCell ref="MYN35:MYO35"/>
    <mergeCell ref="MZA35:MZB35"/>
    <mergeCell ref="MZN35:MZO35"/>
    <mergeCell ref="NAA35:NAB35"/>
    <mergeCell ref="NAN35:NAO35"/>
    <mergeCell ref="MWA35:MWB35"/>
    <mergeCell ref="MWN35:MWO35"/>
    <mergeCell ref="MXA35:MXB35"/>
    <mergeCell ref="MXN35:MXO35"/>
    <mergeCell ref="MYA35:MYB35"/>
    <mergeCell ref="NNN35:NNO35"/>
    <mergeCell ref="NOA35:NOB35"/>
    <mergeCell ref="NON35:NOO35"/>
    <mergeCell ref="NPA35:NPB35"/>
    <mergeCell ref="NPN35:NPO35"/>
    <mergeCell ref="NLA35:NLB35"/>
    <mergeCell ref="NLN35:NLO35"/>
    <mergeCell ref="NMA35:NMB35"/>
    <mergeCell ref="NMN35:NMO35"/>
    <mergeCell ref="NNA35:NNB35"/>
    <mergeCell ref="NIN35:NIO35"/>
    <mergeCell ref="NJA35:NJB35"/>
    <mergeCell ref="NJN35:NJO35"/>
    <mergeCell ref="NKA35:NKB35"/>
    <mergeCell ref="NKN35:NKO35"/>
    <mergeCell ref="NGA35:NGB35"/>
    <mergeCell ref="NGN35:NGO35"/>
    <mergeCell ref="NHA35:NHB35"/>
    <mergeCell ref="NHN35:NHO35"/>
    <mergeCell ref="NIA35:NIB35"/>
    <mergeCell ref="NXN35:NXO35"/>
    <mergeCell ref="NYA35:NYB35"/>
    <mergeCell ref="NYN35:NYO35"/>
    <mergeCell ref="NZA35:NZB35"/>
    <mergeCell ref="NZN35:NZO35"/>
    <mergeCell ref="NVA35:NVB35"/>
    <mergeCell ref="NVN35:NVO35"/>
    <mergeCell ref="NWA35:NWB35"/>
    <mergeCell ref="NWN35:NWO35"/>
    <mergeCell ref="NXA35:NXB35"/>
    <mergeCell ref="NSN35:NSO35"/>
    <mergeCell ref="NTA35:NTB35"/>
    <mergeCell ref="NTN35:NTO35"/>
    <mergeCell ref="NUA35:NUB35"/>
    <mergeCell ref="NUN35:NUO35"/>
    <mergeCell ref="NQA35:NQB35"/>
    <mergeCell ref="NQN35:NQO35"/>
    <mergeCell ref="NRA35:NRB35"/>
    <mergeCell ref="NRN35:NRO35"/>
    <mergeCell ref="NSA35:NSB35"/>
    <mergeCell ref="OHN35:OHO35"/>
    <mergeCell ref="OIA35:OIB35"/>
    <mergeCell ref="OIN35:OIO35"/>
    <mergeCell ref="OJA35:OJB35"/>
    <mergeCell ref="OJN35:OJO35"/>
    <mergeCell ref="OFA35:OFB35"/>
    <mergeCell ref="OFN35:OFO35"/>
    <mergeCell ref="OGA35:OGB35"/>
    <mergeCell ref="OGN35:OGO35"/>
    <mergeCell ref="OHA35:OHB35"/>
    <mergeCell ref="OCN35:OCO35"/>
    <mergeCell ref="ODA35:ODB35"/>
    <mergeCell ref="ODN35:ODO35"/>
    <mergeCell ref="OEA35:OEB35"/>
    <mergeCell ref="OEN35:OEO35"/>
    <mergeCell ref="OAA35:OAB35"/>
    <mergeCell ref="OAN35:OAO35"/>
    <mergeCell ref="OBA35:OBB35"/>
    <mergeCell ref="OBN35:OBO35"/>
    <mergeCell ref="OCA35:OCB35"/>
    <mergeCell ref="ORN35:ORO35"/>
    <mergeCell ref="OSA35:OSB35"/>
    <mergeCell ref="OSN35:OSO35"/>
    <mergeCell ref="OTA35:OTB35"/>
    <mergeCell ref="OTN35:OTO35"/>
    <mergeCell ref="OPA35:OPB35"/>
    <mergeCell ref="OPN35:OPO35"/>
    <mergeCell ref="OQA35:OQB35"/>
    <mergeCell ref="OQN35:OQO35"/>
    <mergeCell ref="ORA35:ORB35"/>
    <mergeCell ref="OMN35:OMO35"/>
    <mergeCell ref="ONA35:ONB35"/>
    <mergeCell ref="ONN35:ONO35"/>
    <mergeCell ref="OOA35:OOB35"/>
    <mergeCell ref="OON35:OOO35"/>
    <mergeCell ref="OKA35:OKB35"/>
    <mergeCell ref="OKN35:OKO35"/>
    <mergeCell ref="OLA35:OLB35"/>
    <mergeCell ref="OLN35:OLO35"/>
    <mergeCell ref="OMA35:OMB35"/>
    <mergeCell ref="PBN35:PBO35"/>
    <mergeCell ref="PCA35:PCB35"/>
    <mergeCell ref="PCN35:PCO35"/>
    <mergeCell ref="PDA35:PDB35"/>
    <mergeCell ref="PDN35:PDO35"/>
    <mergeCell ref="OZA35:OZB35"/>
    <mergeCell ref="OZN35:OZO35"/>
    <mergeCell ref="PAA35:PAB35"/>
    <mergeCell ref="PAN35:PAO35"/>
    <mergeCell ref="PBA35:PBB35"/>
    <mergeCell ref="OWN35:OWO35"/>
    <mergeCell ref="OXA35:OXB35"/>
    <mergeCell ref="OXN35:OXO35"/>
    <mergeCell ref="OYA35:OYB35"/>
    <mergeCell ref="OYN35:OYO35"/>
    <mergeCell ref="OUA35:OUB35"/>
    <mergeCell ref="OUN35:OUO35"/>
    <mergeCell ref="OVA35:OVB35"/>
    <mergeCell ref="OVN35:OVO35"/>
    <mergeCell ref="OWA35:OWB35"/>
    <mergeCell ref="PLN35:PLO35"/>
    <mergeCell ref="PMA35:PMB35"/>
    <mergeCell ref="PMN35:PMO35"/>
    <mergeCell ref="PNA35:PNB35"/>
    <mergeCell ref="PNN35:PNO35"/>
    <mergeCell ref="PJA35:PJB35"/>
    <mergeCell ref="PJN35:PJO35"/>
    <mergeCell ref="PKA35:PKB35"/>
    <mergeCell ref="PKN35:PKO35"/>
    <mergeCell ref="PLA35:PLB35"/>
    <mergeCell ref="PGN35:PGO35"/>
    <mergeCell ref="PHA35:PHB35"/>
    <mergeCell ref="PHN35:PHO35"/>
    <mergeCell ref="PIA35:PIB35"/>
    <mergeCell ref="PIN35:PIO35"/>
    <mergeCell ref="PEA35:PEB35"/>
    <mergeCell ref="PEN35:PEO35"/>
    <mergeCell ref="PFA35:PFB35"/>
    <mergeCell ref="PFN35:PFO35"/>
    <mergeCell ref="PGA35:PGB35"/>
    <mergeCell ref="PVN35:PVO35"/>
    <mergeCell ref="PWA35:PWB35"/>
    <mergeCell ref="PWN35:PWO35"/>
    <mergeCell ref="PXA35:PXB35"/>
    <mergeCell ref="PXN35:PXO35"/>
    <mergeCell ref="PTA35:PTB35"/>
    <mergeCell ref="PTN35:PTO35"/>
    <mergeCell ref="PUA35:PUB35"/>
    <mergeCell ref="PUN35:PUO35"/>
    <mergeCell ref="PVA35:PVB35"/>
    <mergeCell ref="PQN35:PQO35"/>
    <mergeCell ref="PRA35:PRB35"/>
    <mergeCell ref="PRN35:PRO35"/>
    <mergeCell ref="PSA35:PSB35"/>
    <mergeCell ref="PSN35:PSO35"/>
    <mergeCell ref="POA35:POB35"/>
    <mergeCell ref="PON35:POO35"/>
    <mergeCell ref="PPA35:PPB35"/>
    <mergeCell ref="PPN35:PPO35"/>
    <mergeCell ref="PQA35:PQB35"/>
    <mergeCell ref="QFN35:QFO35"/>
    <mergeCell ref="QGA35:QGB35"/>
    <mergeCell ref="QGN35:QGO35"/>
    <mergeCell ref="QHA35:QHB35"/>
    <mergeCell ref="QHN35:QHO35"/>
    <mergeCell ref="QDA35:QDB35"/>
    <mergeCell ref="QDN35:QDO35"/>
    <mergeCell ref="QEA35:QEB35"/>
    <mergeCell ref="QEN35:QEO35"/>
    <mergeCell ref="QFA35:QFB35"/>
    <mergeCell ref="QAN35:QAO35"/>
    <mergeCell ref="QBA35:QBB35"/>
    <mergeCell ref="QBN35:QBO35"/>
    <mergeCell ref="QCA35:QCB35"/>
    <mergeCell ref="QCN35:QCO35"/>
    <mergeCell ref="PYA35:PYB35"/>
    <mergeCell ref="PYN35:PYO35"/>
    <mergeCell ref="PZA35:PZB35"/>
    <mergeCell ref="PZN35:PZO35"/>
    <mergeCell ref="QAA35:QAB35"/>
    <mergeCell ref="QPN35:QPO35"/>
    <mergeCell ref="QQA35:QQB35"/>
    <mergeCell ref="QQN35:QQO35"/>
    <mergeCell ref="QRA35:QRB35"/>
    <mergeCell ref="QRN35:QRO35"/>
    <mergeCell ref="QNA35:QNB35"/>
    <mergeCell ref="QNN35:QNO35"/>
    <mergeCell ref="QOA35:QOB35"/>
    <mergeCell ref="QON35:QOO35"/>
    <mergeCell ref="QPA35:QPB35"/>
    <mergeCell ref="QKN35:QKO35"/>
    <mergeCell ref="QLA35:QLB35"/>
    <mergeCell ref="QLN35:QLO35"/>
    <mergeCell ref="QMA35:QMB35"/>
    <mergeCell ref="QMN35:QMO35"/>
    <mergeCell ref="QIA35:QIB35"/>
    <mergeCell ref="QIN35:QIO35"/>
    <mergeCell ref="QJA35:QJB35"/>
    <mergeCell ref="QJN35:QJO35"/>
    <mergeCell ref="QKA35:QKB35"/>
    <mergeCell ref="QZN35:QZO35"/>
    <mergeCell ref="RAA35:RAB35"/>
    <mergeCell ref="RAN35:RAO35"/>
    <mergeCell ref="RBA35:RBB35"/>
    <mergeCell ref="RBN35:RBO35"/>
    <mergeCell ref="QXA35:QXB35"/>
    <mergeCell ref="QXN35:QXO35"/>
    <mergeCell ref="QYA35:QYB35"/>
    <mergeCell ref="QYN35:QYO35"/>
    <mergeCell ref="QZA35:QZB35"/>
    <mergeCell ref="QUN35:QUO35"/>
    <mergeCell ref="QVA35:QVB35"/>
    <mergeCell ref="QVN35:QVO35"/>
    <mergeCell ref="QWA35:QWB35"/>
    <mergeCell ref="QWN35:QWO35"/>
    <mergeCell ref="QSA35:QSB35"/>
    <mergeCell ref="QSN35:QSO35"/>
    <mergeCell ref="QTA35:QTB35"/>
    <mergeCell ref="QTN35:QTO35"/>
    <mergeCell ref="QUA35:QUB35"/>
    <mergeCell ref="RJN35:RJO35"/>
    <mergeCell ref="RKA35:RKB35"/>
    <mergeCell ref="RKN35:RKO35"/>
    <mergeCell ref="RLA35:RLB35"/>
    <mergeCell ref="RLN35:RLO35"/>
    <mergeCell ref="RHA35:RHB35"/>
    <mergeCell ref="RHN35:RHO35"/>
    <mergeCell ref="RIA35:RIB35"/>
    <mergeCell ref="RIN35:RIO35"/>
    <mergeCell ref="RJA35:RJB35"/>
    <mergeCell ref="REN35:REO35"/>
    <mergeCell ref="RFA35:RFB35"/>
    <mergeCell ref="RFN35:RFO35"/>
    <mergeCell ref="RGA35:RGB35"/>
    <mergeCell ref="RGN35:RGO35"/>
    <mergeCell ref="RCA35:RCB35"/>
    <mergeCell ref="RCN35:RCO35"/>
    <mergeCell ref="RDA35:RDB35"/>
    <mergeCell ref="RDN35:RDO35"/>
    <mergeCell ref="REA35:REB35"/>
    <mergeCell ref="RTN35:RTO35"/>
    <mergeCell ref="RUA35:RUB35"/>
    <mergeCell ref="RUN35:RUO35"/>
    <mergeCell ref="RVA35:RVB35"/>
    <mergeCell ref="RVN35:RVO35"/>
    <mergeCell ref="RRA35:RRB35"/>
    <mergeCell ref="RRN35:RRO35"/>
    <mergeCell ref="RSA35:RSB35"/>
    <mergeCell ref="RSN35:RSO35"/>
    <mergeCell ref="RTA35:RTB35"/>
    <mergeCell ref="RON35:ROO35"/>
    <mergeCell ref="RPA35:RPB35"/>
    <mergeCell ref="RPN35:RPO35"/>
    <mergeCell ref="RQA35:RQB35"/>
    <mergeCell ref="RQN35:RQO35"/>
    <mergeCell ref="RMA35:RMB35"/>
    <mergeCell ref="RMN35:RMO35"/>
    <mergeCell ref="RNA35:RNB35"/>
    <mergeCell ref="RNN35:RNO35"/>
    <mergeCell ref="ROA35:ROB35"/>
    <mergeCell ref="SDN35:SDO35"/>
    <mergeCell ref="SEA35:SEB35"/>
    <mergeCell ref="SEN35:SEO35"/>
    <mergeCell ref="SFA35:SFB35"/>
    <mergeCell ref="SFN35:SFO35"/>
    <mergeCell ref="SBA35:SBB35"/>
    <mergeCell ref="SBN35:SBO35"/>
    <mergeCell ref="SCA35:SCB35"/>
    <mergeCell ref="SCN35:SCO35"/>
    <mergeCell ref="SDA35:SDB35"/>
    <mergeCell ref="RYN35:RYO35"/>
    <mergeCell ref="RZA35:RZB35"/>
    <mergeCell ref="RZN35:RZO35"/>
    <mergeCell ref="SAA35:SAB35"/>
    <mergeCell ref="SAN35:SAO35"/>
    <mergeCell ref="RWA35:RWB35"/>
    <mergeCell ref="RWN35:RWO35"/>
    <mergeCell ref="RXA35:RXB35"/>
    <mergeCell ref="RXN35:RXO35"/>
    <mergeCell ref="RYA35:RYB35"/>
    <mergeCell ref="SNN35:SNO35"/>
    <mergeCell ref="SOA35:SOB35"/>
    <mergeCell ref="SON35:SOO35"/>
    <mergeCell ref="SPA35:SPB35"/>
    <mergeCell ref="SPN35:SPO35"/>
    <mergeCell ref="SLA35:SLB35"/>
    <mergeCell ref="SLN35:SLO35"/>
    <mergeCell ref="SMA35:SMB35"/>
    <mergeCell ref="SMN35:SMO35"/>
    <mergeCell ref="SNA35:SNB35"/>
    <mergeCell ref="SIN35:SIO35"/>
    <mergeCell ref="SJA35:SJB35"/>
    <mergeCell ref="SJN35:SJO35"/>
    <mergeCell ref="SKA35:SKB35"/>
    <mergeCell ref="SKN35:SKO35"/>
    <mergeCell ref="SGA35:SGB35"/>
    <mergeCell ref="SGN35:SGO35"/>
    <mergeCell ref="SHA35:SHB35"/>
    <mergeCell ref="SHN35:SHO35"/>
    <mergeCell ref="SIA35:SIB35"/>
    <mergeCell ref="SXN35:SXO35"/>
    <mergeCell ref="SYA35:SYB35"/>
    <mergeCell ref="SYN35:SYO35"/>
    <mergeCell ref="SZA35:SZB35"/>
    <mergeCell ref="SZN35:SZO35"/>
    <mergeCell ref="SVA35:SVB35"/>
    <mergeCell ref="SVN35:SVO35"/>
    <mergeCell ref="SWA35:SWB35"/>
    <mergeCell ref="SWN35:SWO35"/>
    <mergeCell ref="SXA35:SXB35"/>
    <mergeCell ref="SSN35:SSO35"/>
    <mergeCell ref="STA35:STB35"/>
    <mergeCell ref="STN35:STO35"/>
    <mergeCell ref="SUA35:SUB35"/>
    <mergeCell ref="SUN35:SUO35"/>
    <mergeCell ref="SQA35:SQB35"/>
    <mergeCell ref="SQN35:SQO35"/>
    <mergeCell ref="SRA35:SRB35"/>
    <mergeCell ref="SRN35:SRO35"/>
    <mergeCell ref="SSA35:SSB35"/>
    <mergeCell ref="THN35:THO35"/>
    <mergeCell ref="TIA35:TIB35"/>
    <mergeCell ref="TIN35:TIO35"/>
    <mergeCell ref="TJA35:TJB35"/>
    <mergeCell ref="TJN35:TJO35"/>
    <mergeCell ref="TFA35:TFB35"/>
    <mergeCell ref="TFN35:TFO35"/>
    <mergeCell ref="TGA35:TGB35"/>
    <mergeCell ref="TGN35:TGO35"/>
    <mergeCell ref="THA35:THB35"/>
    <mergeCell ref="TCN35:TCO35"/>
    <mergeCell ref="TDA35:TDB35"/>
    <mergeCell ref="TDN35:TDO35"/>
    <mergeCell ref="TEA35:TEB35"/>
    <mergeCell ref="TEN35:TEO35"/>
    <mergeCell ref="TAA35:TAB35"/>
    <mergeCell ref="TAN35:TAO35"/>
    <mergeCell ref="TBA35:TBB35"/>
    <mergeCell ref="TBN35:TBO35"/>
    <mergeCell ref="TCA35:TCB35"/>
    <mergeCell ref="TRN35:TRO35"/>
    <mergeCell ref="TSA35:TSB35"/>
    <mergeCell ref="TSN35:TSO35"/>
    <mergeCell ref="TTA35:TTB35"/>
    <mergeCell ref="TTN35:TTO35"/>
    <mergeCell ref="TPA35:TPB35"/>
    <mergeCell ref="TPN35:TPO35"/>
    <mergeCell ref="TQA35:TQB35"/>
    <mergeCell ref="TQN35:TQO35"/>
    <mergeCell ref="TRA35:TRB35"/>
    <mergeCell ref="TMN35:TMO35"/>
    <mergeCell ref="TNA35:TNB35"/>
    <mergeCell ref="TNN35:TNO35"/>
    <mergeCell ref="TOA35:TOB35"/>
    <mergeCell ref="TON35:TOO35"/>
    <mergeCell ref="TKA35:TKB35"/>
    <mergeCell ref="TKN35:TKO35"/>
    <mergeCell ref="TLA35:TLB35"/>
    <mergeCell ref="TLN35:TLO35"/>
    <mergeCell ref="TMA35:TMB35"/>
    <mergeCell ref="UBN35:UBO35"/>
    <mergeCell ref="UCA35:UCB35"/>
    <mergeCell ref="UCN35:UCO35"/>
    <mergeCell ref="UDA35:UDB35"/>
    <mergeCell ref="UDN35:UDO35"/>
    <mergeCell ref="TZA35:TZB35"/>
    <mergeCell ref="TZN35:TZO35"/>
    <mergeCell ref="UAA35:UAB35"/>
    <mergeCell ref="UAN35:UAO35"/>
    <mergeCell ref="UBA35:UBB35"/>
    <mergeCell ref="TWN35:TWO35"/>
    <mergeCell ref="TXA35:TXB35"/>
    <mergeCell ref="TXN35:TXO35"/>
    <mergeCell ref="TYA35:TYB35"/>
    <mergeCell ref="TYN35:TYO35"/>
    <mergeCell ref="TUA35:TUB35"/>
    <mergeCell ref="TUN35:TUO35"/>
    <mergeCell ref="TVA35:TVB35"/>
    <mergeCell ref="TVN35:TVO35"/>
    <mergeCell ref="TWA35:TWB35"/>
    <mergeCell ref="ULN35:ULO35"/>
    <mergeCell ref="UMA35:UMB35"/>
    <mergeCell ref="UMN35:UMO35"/>
    <mergeCell ref="UNA35:UNB35"/>
    <mergeCell ref="UNN35:UNO35"/>
    <mergeCell ref="UJA35:UJB35"/>
    <mergeCell ref="UJN35:UJO35"/>
    <mergeCell ref="UKA35:UKB35"/>
    <mergeCell ref="UKN35:UKO35"/>
    <mergeCell ref="ULA35:ULB35"/>
    <mergeCell ref="UGN35:UGO35"/>
    <mergeCell ref="UHA35:UHB35"/>
    <mergeCell ref="UHN35:UHO35"/>
    <mergeCell ref="UIA35:UIB35"/>
    <mergeCell ref="UIN35:UIO35"/>
    <mergeCell ref="UEA35:UEB35"/>
    <mergeCell ref="UEN35:UEO35"/>
    <mergeCell ref="UFA35:UFB35"/>
    <mergeCell ref="UFN35:UFO35"/>
    <mergeCell ref="UGA35:UGB35"/>
    <mergeCell ref="UVN35:UVO35"/>
    <mergeCell ref="UWA35:UWB35"/>
    <mergeCell ref="UWN35:UWO35"/>
    <mergeCell ref="UXA35:UXB35"/>
    <mergeCell ref="UXN35:UXO35"/>
    <mergeCell ref="UTA35:UTB35"/>
    <mergeCell ref="UTN35:UTO35"/>
    <mergeCell ref="UUA35:UUB35"/>
    <mergeCell ref="UUN35:UUO35"/>
    <mergeCell ref="UVA35:UVB35"/>
    <mergeCell ref="UQN35:UQO35"/>
    <mergeCell ref="URA35:URB35"/>
    <mergeCell ref="URN35:URO35"/>
    <mergeCell ref="USA35:USB35"/>
    <mergeCell ref="USN35:USO35"/>
    <mergeCell ref="UOA35:UOB35"/>
    <mergeCell ref="UON35:UOO35"/>
    <mergeCell ref="UPA35:UPB35"/>
    <mergeCell ref="UPN35:UPO35"/>
    <mergeCell ref="UQA35:UQB35"/>
    <mergeCell ref="VFN35:VFO35"/>
    <mergeCell ref="VGA35:VGB35"/>
    <mergeCell ref="VGN35:VGO35"/>
    <mergeCell ref="VHA35:VHB35"/>
    <mergeCell ref="VHN35:VHO35"/>
    <mergeCell ref="VDA35:VDB35"/>
    <mergeCell ref="VDN35:VDO35"/>
    <mergeCell ref="VEA35:VEB35"/>
    <mergeCell ref="VEN35:VEO35"/>
    <mergeCell ref="VFA35:VFB35"/>
    <mergeCell ref="VAN35:VAO35"/>
    <mergeCell ref="VBA35:VBB35"/>
    <mergeCell ref="VBN35:VBO35"/>
    <mergeCell ref="VCA35:VCB35"/>
    <mergeCell ref="VCN35:VCO35"/>
    <mergeCell ref="UYA35:UYB35"/>
    <mergeCell ref="UYN35:UYO35"/>
    <mergeCell ref="UZA35:UZB35"/>
    <mergeCell ref="UZN35:UZO35"/>
    <mergeCell ref="VAA35:VAB35"/>
    <mergeCell ref="VPN35:VPO35"/>
    <mergeCell ref="VQA35:VQB35"/>
    <mergeCell ref="VQN35:VQO35"/>
    <mergeCell ref="VRA35:VRB35"/>
    <mergeCell ref="VRN35:VRO35"/>
    <mergeCell ref="VNA35:VNB35"/>
    <mergeCell ref="VNN35:VNO35"/>
    <mergeCell ref="VOA35:VOB35"/>
    <mergeCell ref="VON35:VOO35"/>
    <mergeCell ref="VPA35:VPB35"/>
    <mergeCell ref="VKN35:VKO35"/>
    <mergeCell ref="VLA35:VLB35"/>
    <mergeCell ref="VLN35:VLO35"/>
    <mergeCell ref="VMA35:VMB35"/>
    <mergeCell ref="VMN35:VMO35"/>
    <mergeCell ref="VIA35:VIB35"/>
    <mergeCell ref="VIN35:VIO35"/>
    <mergeCell ref="VJA35:VJB35"/>
    <mergeCell ref="VJN35:VJO35"/>
    <mergeCell ref="VKA35:VKB35"/>
    <mergeCell ref="VZN35:VZO35"/>
    <mergeCell ref="WAA35:WAB35"/>
    <mergeCell ref="WAN35:WAO35"/>
    <mergeCell ref="WBA35:WBB35"/>
    <mergeCell ref="WBN35:WBO35"/>
    <mergeCell ref="VXA35:VXB35"/>
    <mergeCell ref="VXN35:VXO35"/>
    <mergeCell ref="VYA35:VYB35"/>
    <mergeCell ref="VYN35:VYO35"/>
    <mergeCell ref="VZA35:VZB35"/>
    <mergeCell ref="VUN35:VUO35"/>
    <mergeCell ref="VVA35:VVB35"/>
    <mergeCell ref="VVN35:VVO35"/>
    <mergeCell ref="VWA35:VWB35"/>
    <mergeCell ref="VWN35:VWO35"/>
    <mergeCell ref="VSA35:VSB35"/>
    <mergeCell ref="VSN35:VSO35"/>
    <mergeCell ref="VTA35:VTB35"/>
    <mergeCell ref="VTN35:VTO35"/>
    <mergeCell ref="VUA35:VUB35"/>
    <mergeCell ref="WJN35:WJO35"/>
    <mergeCell ref="WKA35:WKB35"/>
    <mergeCell ref="WKN35:WKO35"/>
    <mergeCell ref="WLA35:WLB35"/>
    <mergeCell ref="WLN35:WLO35"/>
    <mergeCell ref="WHA35:WHB35"/>
    <mergeCell ref="WHN35:WHO35"/>
    <mergeCell ref="WIA35:WIB35"/>
    <mergeCell ref="WIN35:WIO35"/>
    <mergeCell ref="WJA35:WJB35"/>
    <mergeCell ref="WEN35:WEO35"/>
    <mergeCell ref="WFA35:WFB35"/>
    <mergeCell ref="WFN35:WFO35"/>
    <mergeCell ref="WGA35:WGB35"/>
    <mergeCell ref="WGN35:WGO35"/>
    <mergeCell ref="WCA35:WCB35"/>
    <mergeCell ref="WCN35:WCO35"/>
    <mergeCell ref="WDA35:WDB35"/>
    <mergeCell ref="WDN35:WDO35"/>
    <mergeCell ref="WEA35:WEB35"/>
    <mergeCell ref="WTN35:WTO35"/>
    <mergeCell ref="WUA35:WUB35"/>
    <mergeCell ref="WUN35:WUO35"/>
    <mergeCell ref="WVA35:WVB35"/>
    <mergeCell ref="WVN35:WVO35"/>
    <mergeCell ref="WRA35:WRB35"/>
    <mergeCell ref="WRN35:WRO35"/>
    <mergeCell ref="WSA35:WSB35"/>
    <mergeCell ref="WSN35:WSO35"/>
    <mergeCell ref="WTA35:WTB35"/>
    <mergeCell ref="WON35:WOO35"/>
    <mergeCell ref="WPA35:WPB35"/>
    <mergeCell ref="WPN35:WPO35"/>
    <mergeCell ref="WQA35:WQB35"/>
    <mergeCell ref="WQN35:WQO35"/>
    <mergeCell ref="WMA35:WMB35"/>
    <mergeCell ref="WMN35:WMO35"/>
    <mergeCell ref="WNA35:WNB35"/>
    <mergeCell ref="WNN35:WNO35"/>
    <mergeCell ref="WOA35:WOB35"/>
    <mergeCell ref="XDN35:XDO35"/>
    <mergeCell ref="XEA35:XEB35"/>
    <mergeCell ref="XEN35:XEO35"/>
    <mergeCell ref="XFA35:XFB35"/>
    <mergeCell ref="XBA35:XBB35"/>
    <mergeCell ref="XBN35:XBO35"/>
    <mergeCell ref="XCA35:XCB35"/>
    <mergeCell ref="XCN35:XCO35"/>
    <mergeCell ref="XDA35:XDB35"/>
    <mergeCell ref="WYN35:WYO35"/>
    <mergeCell ref="WZA35:WZB35"/>
    <mergeCell ref="WZN35:WZO35"/>
    <mergeCell ref="XAA35:XAB35"/>
    <mergeCell ref="XAN35:XAO35"/>
    <mergeCell ref="WWA35:WWB35"/>
    <mergeCell ref="WWN35:WWO35"/>
    <mergeCell ref="WXA35:WXB35"/>
    <mergeCell ref="WXN35:WXO35"/>
    <mergeCell ref="WYA35:WYB35"/>
  </mergeCells>
  <phoneticPr fontId="65" type="noConversion"/>
  <conditionalFormatting sqref="C26:T27">
    <cfRule type="cellIs" dxfId="0" priority="1" operator="not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7" orientation="landscape" r:id="rId1"/>
  <customProperties>
    <customPr name="_pios_id" r:id="rId2"/>
  </customPropertie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BC3B6-13DB-42B6-A9DD-E9BEE6AAA9CE}">
  <sheetPr>
    <tabColor rgb="FFFFFFCC"/>
    <pageSetUpPr fitToPage="1"/>
  </sheetPr>
  <dimension ref="A1:W23"/>
  <sheetViews>
    <sheetView showGridLines="0" zoomScaleNormal="100" workbookViewId="0">
      <pane xSplit="2" ySplit="7" topLeftCell="C8" activePane="bottomRight" state="frozen"/>
      <selection pane="topRight" activeCell="A30" sqref="A30:G30"/>
      <selection pane="bottomLeft" activeCell="A30" sqref="A30:G30"/>
      <selection pane="bottomRight" activeCell="S22" sqref="S22"/>
    </sheetView>
  </sheetViews>
  <sheetFormatPr defaultColWidth="9.28515625" defaultRowHeight="12.75" customHeight="1" outlineLevelCol="1"/>
  <cols>
    <col min="1" max="1" width="40.28515625" style="221" bestFit="1" customWidth="1"/>
    <col min="2" max="2" width="45" style="221" bestFit="1" customWidth="1"/>
    <col min="3" max="5" width="15.7109375" style="221" customWidth="1"/>
    <col min="6" max="17" width="15.7109375" style="221" hidden="1" customWidth="1" outlineLevel="1"/>
    <col min="18" max="18" width="15.7109375" style="221" customWidth="1" collapsed="1"/>
    <col min="19" max="20" width="15.7109375" style="221" customWidth="1"/>
    <col min="21" max="21" width="49.7109375" style="221" customWidth="1"/>
    <col min="22" max="22" width="4.28515625" style="221" customWidth="1"/>
    <col min="23" max="23" width="91.7109375" style="221" bestFit="1" customWidth="1"/>
    <col min="24" max="16384" width="9.28515625" style="221"/>
  </cols>
  <sheetData>
    <row r="1" spans="1:23" s="470" customFormat="1" ht="19.899999999999999" customHeight="1">
      <c r="A1" s="60" t="str">
        <f>+'0. Instructions'!A1</f>
        <v>Budget 2024</v>
      </c>
      <c r="B1" s="60"/>
      <c r="C1" s="60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  <c r="S1" s="397"/>
      <c r="T1" s="397"/>
      <c r="U1" s="57" t="str">
        <f>'Input-FX Rates'!$H$1</f>
        <v>Plant ICH Icheon (242)</v>
      </c>
      <c r="W1" s="397" t="s">
        <v>154</v>
      </c>
    </row>
    <row r="2" spans="1:23" s="470" customFormat="1" ht="19.899999999999999" customHeight="1" thickBot="1">
      <c r="A2" s="55" t="s">
        <v>672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4" t="str">
        <f>'Input-FX Rates'!$H$2</f>
        <v>7821 PL Drivetrain Controls (&amp; Electrification)</v>
      </c>
      <c r="W2" s="95" t="s">
        <v>156</v>
      </c>
    </row>
    <row r="4" spans="1:23" ht="22.9" customHeight="1">
      <c r="A4" s="860"/>
      <c r="B4" s="860"/>
      <c r="C4" s="860"/>
      <c r="D4" s="860"/>
      <c r="E4" s="860"/>
      <c r="F4" s="860"/>
      <c r="G4" s="860"/>
      <c r="H4" s="860"/>
      <c r="I4" s="860"/>
      <c r="J4" s="860"/>
      <c r="K4" s="860"/>
      <c r="L4" s="860"/>
      <c r="M4" s="860"/>
      <c r="N4" s="860"/>
      <c r="O4" s="860"/>
      <c r="P4" s="860"/>
      <c r="Q4" s="860"/>
      <c r="R4" s="860"/>
      <c r="S4" s="860"/>
      <c r="T4" s="860"/>
      <c r="U4" s="860"/>
    </row>
    <row r="5" spans="1:23" ht="12.75" customHeight="1">
      <c r="T5" s="469"/>
    </row>
    <row r="6" spans="1:23" ht="19.899999999999999" customHeight="1">
      <c r="A6" s="1035" t="str">
        <f>"in '000 "&amp;'Input-FX Rates'!$B$8</f>
        <v>in '000 KRW</v>
      </c>
      <c r="B6" s="1036"/>
      <c r="C6" s="468">
        <v>2022</v>
      </c>
      <c r="D6" s="1039">
        <v>2023</v>
      </c>
      <c r="E6" s="1036"/>
      <c r="F6" s="1035">
        <v>2024</v>
      </c>
      <c r="G6" s="1035"/>
      <c r="H6" s="1035"/>
      <c r="I6" s="1035"/>
      <c r="J6" s="1035"/>
      <c r="K6" s="1035"/>
      <c r="L6" s="1035"/>
      <c r="M6" s="1035"/>
      <c r="N6" s="1035"/>
      <c r="O6" s="1035"/>
      <c r="P6" s="1035"/>
      <c r="Q6" s="1038"/>
      <c r="R6" s="1039">
        <v>2024</v>
      </c>
      <c r="S6" s="1036"/>
      <c r="T6" s="658" t="s">
        <v>190</v>
      </c>
      <c r="U6" s="187" t="s">
        <v>208</v>
      </c>
      <c r="W6" s="9" t="s">
        <v>673</v>
      </c>
    </row>
    <row r="7" spans="1:23" ht="19.899999999999999" customHeight="1">
      <c r="A7" s="1035"/>
      <c r="B7" s="1036"/>
      <c r="C7" s="468" t="s">
        <v>191</v>
      </c>
      <c r="D7" s="304" t="s">
        <v>15</v>
      </c>
      <c r="E7" s="658" t="s">
        <v>19</v>
      </c>
      <c r="F7" s="187" t="s">
        <v>329</v>
      </c>
      <c r="G7" s="187" t="s">
        <v>330</v>
      </c>
      <c r="H7" s="187" t="s">
        <v>331</v>
      </c>
      <c r="I7" s="187" t="s">
        <v>332</v>
      </c>
      <c r="J7" s="187" t="s">
        <v>333</v>
      </c>
      <c r="K7" s="187" t="s">
        <v>334</v>
      </c>
      <c r="L7" s="187" t="s">
        <v>335</v>
      </c>
      <c r="M7" s="187" t="s">
        <v>336</v>
      </c>
      <c r="N7" s="187" t="s">
        <v>337</v>
      </c>
      <c r="O7" s="187" t="s">
        <v>338</v>
      </c>
      <c r="P7" s="187" t="s">
        <v>339</v>
      </c>
      <c r="Q7" s="188" t="s">
        <v>340</v>
      </c>
      <c r="R7" s="304" t="s">
        <v>257</v>
      </c>
      <c r="S7" s="658" t="s">
        <v>15</v>
      </c>
      <c r="T7" s="658" t="s">
        <v>431</v>
      </c>
      <c r="U7" s="187"/>
      <c r="W7" s="9" t="s">
        <v>196</v>
      </c>
    </row>
    <row r="8" spans="1:23" ht="15.75">
      <c r="A8" s="214" t="s">
        <v>674</v>
      </c>
      <c r="B8" s="452"/>
      <c r="C8" s="453">
        <f>'P&amp;L'!D8</f>
        <v>125697705.465</v>
      </c>
      <c r="D8" s="287">
        <f>'P&amp;L'!E8</f>
        <v>122276397.866</v>
      </c>
      <c r="E8" s="265">
        <f>'P&amp;L'!H8</f>
        <v>140545930.37400001</v>
      </c>
      <c r="F8" s="78">
        <f>'P&amp;L_seasonal'!D8</f>
        <v>11127901.289999999</v>
      </c>
      <c r="G8" s="78">
        <f>'P&amp;L_seasonal'!E8</f>
        <v>10434389.289999999</v>
      </c>
      <c r="H8" s="78">
        <f>'P&amp;L_seasonal'!F8</f>
        <v>11994791.289999999</v>
      </c>
      <c r="I8" s="78">
        <f>'P&amp;L_seasonal'!G8</f>
        <v>11697014.333000001</v>
      </c>
      <c r="J8" s="78">
        <f>'P&amp;L_seasonal'!H8</f>
        <v>10596707.132999999</v>
      </c>
      <c r="K8" s="78">
        <f>'P&amp;L_seasonal'!I8</f>
        <v>10596707.132999999</v>
      </c>
      <c r="L8" s="78">
        <f>'P&amp;L_seasonal'!J8</f>
        <v>10596707.132999999</v>
      </c>
      <c r="M8" s="78">
        <f>'P&amp;L_seasonal'!K8</f>
        <v>9729817.1339999996</v>
      </c>
      <c r="N8" s="78">
        <f>'P&amp;L_seasonal'!L8</f>
        <v>9764157.2880000006</v>
      </c>
      <c r="O8" s="78">
        <f>'P&amp;L_seasonal'!M8</f>
        <v>10061934.243000001</v>
      </c>
      <c r="P8" s="78">
        <f>'P&amp;L_seasonal'!N8</f>
        <v>10408690.243000001</v>
      </c>
      <c r="Q8" s="78">
        <f>'P&amp;L_seasonal'!O8</f>
        <v>10408690.245999999</v>
      </c>
      <c r="R8" s="287">
        <f>+'2. Variable (LC)'!L6</f>
        <v>0</v>
      </c>
      <c r="S8" s="265">
        <f>'P&amp;L'!I8</f>
        <v>127417506.756</v>
      </c>
      <c r="T8" s="265">
        <f t="shared" ref="T8:T21" si="0">S8-E8</f>
        <v>-13128423.618000016</v>
      </c>
      <c r="U8" s="412"/>
      <c r="W8" s="9" t="s">
        <v>675</v>
      </c>
    </row>
    <row r="9" spans="1:23" ht="15.75">
      <c r="A9" s="214" t="s">
        <v>676</v>
      </c>
      <c r="B9" s="452"/>
      <c r="C9" s="453">
        <f>'P&amp;L'!D13</f>
        <v>127075676.737</v>
      </c>
      <c r="D9" s="287">
        <f>'P&amp;L'!E13</f>
        <v>122276397.866</v>
      </c>
      <c r="E9" s="265">
        <f>'P&amp;L'!H13</f>
        <v>140508340.382</v>
      </c>
      <c r="F9" s="78">
        <f>'P&amp;L_seasonal'!D13</f>
        <v>11127901.289999999</v>
      </c>
      <c r="G9" s="78">
        <f>'P&amp;L_seasonal'!E13</f>
        <v>10434389.289999999</v>
      </c>
      <c r="H9" s="78">
        <f>'P&amp;L_seasonal'!F13</f>
        <v>11994791.289999999</v>
      </c>
      <c r="I9" s="78">
        <f>'P&amp;L_seasonal'!G13</f>
        <v>11697014.333000001</v>
      </c>
      <c r="J9" s="78">
        <f>'P&amp;L_seasonal'!H13</f>
        <v>10596707.132999999</v>
      </c>
      <c r="K9" s="78">
        <f>'P&amp;L_seasonal'!I13</f>
        <v>10596707.132999999</v>
      </c>
      <c r="L9" s="78">
        <f>'P&amp;L_seasonal'!J13</f>
        <v>10596707.132999999</v>
      </c>
      <c r="M9" s="78">
        <f>'P&amp;L_seasonal'!K13</f>
        <v>9729817.1339999996</v>
      </c>
      <c r="N9" s="78">
        <f>'P&amp;L_seasonal'!L13</f>
        <v>9764157.2880000006</v>
      </c>
      <c r="O9" s="78">
        <f>'P&amp;L_seasonal'!M13</f>
        <v>10061934.243000001</v>
      </c>
      <c r="P9" s="78">
        <f>'P&amp;L_seasonal'!N13</f>
        <v>10408690.243000001</v>
      </c>
      <c r="Q9" s="78">
        <f>'P&amp;L_seasonal'!O13</f>
        <v>10408690.245999999</v>
      </c>
      <c r="R9" s="287"/>
      <c r="S9" s="265">
        <f>'P&amp;L'!I13</f>
        <v>127417506.756</v>
      </c>
      <c r="T9" s="265">
        <f t="shared" si="0"/>
        <v>-13090833.626000002</v>
      </c>
      <c r="U9" s="412"/>
      <c r="W9" s="9"/>
    </row>
    <row r="10" spans="1:23" s="335" customFormat="1" ht="15.75">
      <c r="A10" s="869" t="s">
        <v>677</v>
      </c>
      <c r="B10" s="870" t="s">
        <v>678</v>
      </c>
      <c r="C10" s="871">
        <f>KeyData!D8</f>
        <v>4784882.4369999999</v>
      </c>
      <c r="D10" s="872">
        <f>KeyData!E8</f>
        <v>3833244.4419999998</v>
      </c>
      <c r="E10" s="873">
        <f>KeyData!G8</f>
        <v>4692162.2230000002</v>
      </c>
      <c r="F10" s="874">
        <f>KeyData_seasonal!D8</f>
        <v>4460172.4850000003</v>
      </c>
      <c r="G10" s="874">
        <f>KeyData_seasonal!E8</f>
        <v>4470141.8230000008</v>
      </c>
      <c r="H10" s="874">
        <f>KeyData_seasonal!F8</f>
        <v>4538971.3770000003</v>
      </c>
      <c r="I10" s="874">
        <f>KeyData_seasonal!G8</f>
        <v>4314330.9309999999</v>
      </c>
      <c r="J10" s="874">
        <f>KeyData_seasonal!H8</f>
        <v>4055844.3079999997</v>
      </c>
      <c r="K10" s="874">
        <f>KeyData_seasonal!I8</f>
        <v>4877864.18</v>
      </c>
      <c r="L10" s="874">
        <f>KeyData_seasonal!J8</f>
        <v>4477452.2879999997</v>
      </c>
      <c r="M10" s="874">
        <f>KeyData_seasonal!K8</f>
        <v>3930131.2449999996</v>
      </c>
      <c r="N10" s="874">
        <f>KeyData_seasonal!L8</f>
        <v>4410947.4210000001</v>
      </c>
      <c r="O10" s="874">
        <f>KeyData_seasonal!M8</f>
        <v>4015178.8530000001</v>
      </c>
      <c r="P10" s="874">
        <f>KeyData_seasonal!N8</f>
        <v>3817150.2620000001</v>
      </c>
      <c r="Q10" s="874">
        <f>KeyData_seasonal!O8</f>
        <v>4412440.0279999999</v>
      </c>
      <c r="R10" s="872"/>
      <c r="S10" s="873">
        <f>KeyData!H8</f>
        <v>4412440.0279999999</v>
      </c>
      <c r="T10" s="873">
        <f t="shared" si="0"/>
        <v>-279722.1950000003</v>
      </c>
      <c r="U10" s="454"/>
      <c r="W10" s="875" t="s">
        <v>679</v>
      </c>
    </row>
    <row r="11" spans="1:23" ht="19.899999999999999" customHeight="1">
      <c r="A11" s="467"/>
      <c r="B11" s="465" t="s">
        <v>680</v>
      </c>
      <c r="C11" s="463">
        <f>KeyData!D9</f>
        <v>3681474.9589999998</v>
      </c>
      <c r="D11" s="462">
        <f>KeyData!E9</f>
        <v>2996778.0559999999</v>
      </c>
      <c r="E11" s="460">
        <f>KeyData!G9</f>
        <v>3819673.412</v>
      </c>
      <c r="F11" s="461">
        <f>KeyData_seasonal!D9</f>
        <v>3729312.8140000002</v>
      </c>
      <c r="G11" s="461">
        <f>KeyData_seasonal!E9</f>
        <v>3442718.0590000004</v>
      </c>
      <c r="H11" s="461">
        <f>KeyData_seasonal!F9</f>
        <v>3553661.6420000005</v>
      </c>
      <c r="I11" s="461">
        <f>KeyData_seasonal!G9</f>
        <v>3545795.9770000004</v>
      </c>
      <c r="J11" s="461">
        <f>KeyData_seasonal!H9</f>
        <v>3360149.6910000006</v>
      </c>
      <c r="K11" s="461">
        <f>KeyData_seasonal!I9</f>
        <v>4008245.9080000008</v>
      </c>
      <c r="L11" s="461">
        <f>KeyData_seasonal!J9</f>
        <v>3607834.0160000008</v>
      </c>
      <c r="M11" s="461">
        <f>KeyData_seasonal!K9</f>
        <v>3132248.1210000007</v>
      </c>
      <c r="N11" s="461">
        <f>KeyData_seasonal!L9</f>
        <v>3770367.6030000006</v>
      </c>
      <c r="O11" s="461">
        <f>KeyData_seasonal!M9</f>
        <v>3354886.2010000004</v>
      </c>
      <c r="P11" s="461">
        <f>KeyData_seasonal!N9</f>
        <v>2963090.3880000003</v>
      </c>
      <c r="Q11" s="461">
        <f>KeyData_seasonal!O9</f>
        <v>3729192.1290000002</v>
      </c>
      <c r="R11" s="462"/>
      <c r="S11" s="460">
        <f>KeyData!H9</f>
        <v>3729192.1290000002</v>
      </c>
      <c r="T11" s="460">
        <f t="shared" si="0"/>
        <v>-90481.282999999821</v>
      </c>
      <c r="U11" s="454"/>
      <c r="W11" s="9" t="s">
        <v>681</v>
      </c>
    </row>
    <row r="12" spans="1:23" ht="19.899999999999999" customHeight="1">
      <c r="A12" s="467"/>
      <c r="B12" s="465" t="s">
        <v>682</v>
      </c>
      <c r="C12" s="463">
        <f>KeyData!D10+KeyData!D11</f>
        <v>376400.43300000002</v>
      </c>
      <c r="D12" s="462">
        <f>KeyData!E10+KeyData!E11</f>
        <v>352400.26699999999</v>
      </c>
      <c r="E12" s="460">
        <f>KeyData!G10+KeyData!G11</f>
        <v>357902.85700000002</v>
      </c>
      <c r="F12" s="461">
        <f>KeyData_seasonal!D10+KeyData_seasonal!D11</f>
        <v>289252.61900000001</v>
      </c>
      <c r="G12" s="461">
        <f>KeyData_seasonal!E10+KeyData_seasonal!E11</f>
        <v>406623.90700000001</v>
      </c>
      <c r="H12" s="461">
        <f>KeyData_seasonal!F10+KeyData_seasonal!F11</f>
        <v>389956.42100000003</v>
      </c>
      <c r="I12" s="461">
        <f>KeyData_seasonal!G10+KeyData_seasonal!G11</f>
        <v>304163.38100000005</v>
      </c>
      <c r="J12" s="461">
        <f>KeyData_seasonal!H10+KeyData_seasonal!H11</f>
        <v>275335.33200000005</v>
      </c>
      <c r="K12" s="461">
        <f>KeyData_seasonal!I10+KeyData_seasonal!I11</f>
        <v>344169.16500000004</v>
      </c>
      <c r="L12" s="461">
        <f>KeyData_seasonal!J10+KeyData_seasonal!J11</f>
        <v>344169.16500000004</v>
      </c>
      <c r="M12" s="461">
        <f>KeyData_seasonal!K10+KeyData_seasonal!K11</f>
        <v>315778.51700000005</v>
      </c>
      <c r="N12" s="461">
        <f>KeyData_seasonal!L10+KeyData_seasonal!L11</f>
        <v>253522.52600000004</v>
      </c>
      <c r="O12" s="461">
        <f>KeyData_seasonal!M10+KeyData_seasonal!M11</f>
        <v>261324.28200000004</v>
      </c>
      <c r="P12" s="461">
        <f>KeyData_seasonal!N10+KeyData_seasonal!N11</f>
        <v>338011.61200000002</v>
      </c>
      <c r="Q12" s="461">
        <f>KeyData_seasonal!O10+KeyData_seasonal!O11</f>
        <v>270409.28899999999</v>
      </c>
      <c r="R12" s="462"/>
      <c r="S12" s="460">
        <f>KeyData!H10+KeyData!H11</f>
        <v>270409.28899999999</v>
      </c>
      <c r="T12" s="460">
        <f t="shared" si="0"/>
        <v>-87493.568000000028</v>
      </c>
      <c r="U12" s="454"/>
      <c r="W12" s="9" t="s">
        <v>683</v>
      </c>
    </row>
    <row r="13" spans="1:23" ht="19.899999999999999" customHeight="1">
      <c r="A13" s="467"/>
      <c r="B13" s="465" t="s">
        <v>684</v>
      </c>
      <c r="C13" s="463">
        <f>KeyData!D12</f>
        <v>727007.04500000004</v>
      </c>
      <c r="D13" s="462">
        <f>KeyData!E12</f>
        <v>484066.11900000001</v>
      </c>
      <c r="E13" s="460">
        <f>KeyData!G12</f>
        <v>514585.95400000003</v>
      </c>
      <c r="F13" s="461">
        <f>KeyData_seasonal!D12</f>
        <v>441607.05200000003</v>
      </c>
      <c r="G13" s="461">
        <f>KeyData_seasonal!E12</f>
        <v>620799.85700000008</v>
      </c>
      <c r="H13" s="461">
        <f>KeyData_seasonal!F12</f>
        <v>595353.31400000013</v>
      </c>
      <c r="I13" s="461">
        <f>KeyData_seasonal!G12</f>
        <v>464371.57300000015</v>
      </c>
      <c r="J13" s="461">
        <f>KeyData_seasonal!H12</f>
        <v>420359.28500000015</v>
      </c>
      <c r="K13" s="461">
        <f>KeyData_seasonal!I12</f>
        <v>525449.10700000019</v>
      </c>
      <c r="L13" s="461">
        <f>KeyData_seasonal!J12</f>
        <v>525449.10700000019</v>
      </c>
      <c r="M13" s="461">
        <f>KeyData_seasonal!K12</f>
        <v>482104.60700000019</v>
      </c>
      <c r="N13" s="461">
        <f>KeyData_seasonal!L12</f>
        <v>387057.29200000019</v>
      </c>
      <c r="O13" s="461">
        <f>KeyData_seasonal!M12</f>
        <v>398968.37000000017</v>
      </c>
      <c r="P13" s="461">
        <f>KeyData_seasonal!N12</f>
        <v>516048.26200000016</v>
      </c>
      <c r="Q13" s="461">
        <f>KeyData_seasonal!O12</f>
        <v>412838.61000000016</v>
      </c>
      <c r="R13" s="462"/>
      <c r="S13" s="460">
        <f>KeyData!H12</f>
        <v>412838.61</v>
      </c>
      <c r="T13" s="460">
        <f t="shared" si="0"/>
        <v>-101747.34400000004</v>
      </c>
      <c r="U13" s="454"/>
      <c r="W13" s="9"/>
    </row>
    <row r="14" spans="1:23" s="451" customFormat="1" ht="19.899999999999999" customHeight="1">
      <c r="A14" s="467"/>
      <c r="B14" s="465" t="s">
        <v>685</v>
      </c>
      <c r="C14" s="696">
        <f>IFERROR(C8/C10,0)</f>
        <v>26.269758373375893</v>
      </c>
      <c r="D14" s="697">
        <f>IFERROR(D8/D10,0)</f>
        <v>31.898930453337368</v>
      </c>
      <c r="E14" s="464">
        <f>IFERROR(E8/E10,0)</f>
        <v>29.953339994315026</v>
      </c>
      <c r="F14" s="745"/>
      <c r="G14" s="745"/>
      <c r="H14" s="745"/>
      <c r="I14" s="745"/>
      <c r="J14" s="745"/>
      <c r="K14" s="745"/>
      <c r="L14" s="745"/>
      <c r="M14" s="745"/>
      <c r="N14" s="745"/>
      <c r="O14" s="745"/>
      <c r="P14" s="745"/>
      <c r="Q14" s="466">
        <f>'5.1 Inventory (LC)'!P47</f>
        <v>28.876881260129842</v>
      </c>
      <c r="R14" s="462"/>
      <c r="S14" s="464">
        <f>'5.1 Inventory (LC)'!P47</f>
        <v>28.876881260129842</v>
      </c>
      <c r="T14" s="464">
        <f t="shared" si="0"/>
        <v>-1.0764587341851843</v>
      </c>
      <c r="U14" s="454"/>
      <c r="V14" s="221"/>
      <c r="W14" s="9"/>
    </row>
    <row r="15" spans="1:23" s="451" customFormat="1" ht="19.899999999999999" customHeight="1">
      <c r="A15" s="467"/>
      <c r="B15" s="465" t="s">
        <v>686</v>
      </c>
      <c r="C15" s="746">
        <v>29.7</v>
      </c>
      <c r="D15" s="747">
        <v>31.4</v>
      </c>
      <c r="E15" s="748">
        <v>23</v>
      </c>
      <c r="F15" s="745"/>
      <c r="G15" s="745"/>
      <c r="H15" s="745"/>
      <c r="I15" s="745"/>
      <c r="J15" s="745"/>
      <c r="K15" s="745"/>
      <c r="L15" s="745"/>
      <c r="M15" s="745"/>
      <c r="N15" s="745"/>
      <c r="O15" s="745"/>
      <c r="P15" s="745"/>
      <c r="Q15" s="745"/>
      <c r="R15" s="804"/>
      <c r="S15" s="464">
        <f>+'5.1 Inventory (LC)'!Q47</f>
        <v>29.528613745715671</v>
      </c>
      <c r="T15" s="464">
        <f t="shared" si="0"/>
        <v>6.5286137457156705</v>
      </c>
      <c r="U15" s="454"/>
      <c r="V15" s="221"/>
      <c r="W15" s="9" t="s">
        <v>687</v>
      </c>
    </row>
    <row r="16" spans="1:23" s="335" customFormat="1" ht="19.899999999999999" customHeight="1">
      <c r="A16" s="876"/>
      <c r="B16" s="870" t="s">
        <v>688</v>
      </c>
      <c r="C16" s="871">
        <f>KeyData!D14</f>
        <v>21803972.265999999</v>
      </c>
      <c r="D16" s="872">
        <f>KeyData!E14</f>
        <v>19501747.329</v>
      </c>
      <c r="E16" s="873">
        <f>KeyData!G14</f>
        <v>25622080.024999999</v>
      </c>
      <c r="F16" s="874">
        <f>KeyData_seasonal!D14</f>
        <v>30694530.879999999</v>
      </c>
      <c r="G16" s="874">
        <f>KeyData_seasonal!E14</f>
        <v>33524598.717999998</v>
      </c>
      <c r="H16" s="874">
        <f>KeyData_seasonal!F14</f>
        <v>30363945.159999996</v>
      </c>
      <c r="I16" s="874">
        <f>KeyData_seasonal!G14</f>
        <v>27704640.654999997</v>
      </c>
      <c r="J16" s="874">
        <f>KeyData_seasonal!H14</f>
        <v>26539817.753999997</v>
      </c>
      <c r="K16" s="874">
        <f>KeyData_seasonal!I14</f>
        <v>23157862.469999999</v>
      </c>
      <c r="L16" s="874">
        <f>KeyData_seasonal!J14</f>
        <v>22764040.825999998</v>
      </c>
      <c r="M16" s="874">
        <f>KeyData_seasonal!K14</f>
        <v>21669941.092999998</v>
      </c>
      <c r="N16" s="874">
        <f>KeyData_seasonal!L14</f>
        <v>21109017.763999999</v>
      </c>
      <c r="O16" s="874">
        <f>KeyData_seasonal!M14</f>
        <v>21212775.653999999</v>
      </c>
      <c r="P16" s="874">
        <f>KeyData_seasonal!N14</f>
        <v>21976259.502</v>
      </c>
      <c r="Q16" s="874">
        <f>KeyData_seasonal!O14</f>
        <v>22297470.466000002</v>
      </c>
      <c r="R16" s="877"/>
      <c r="S16" s="873">
        <f>KeyData!H14</f>
        <v>22297470.465999998</v>
      </c>
      <c r="T16" s="873">
        <f t="shared" si="0"/>
        <v>-3324609.5590000004</v>
      </c>
      <c r="U16" s="454"/>
      <c r="W16" s="875" t="s">
        <v>689</v>
      </c>
    </row>
    <row r="17" spans="1:23" ht="19.899999999999999" customHeight="1">
      <c r="A17" s="458"/>
      <c r="B17" s="457" t="s">
        <v>690</v>
      </c>
      <c r="C17" s="456">
        <f>IFERROR(C16/C$8,0)</f>
        <v>0.17346356630249885</v>
      </c>
      <c r="D17" s="252">
        <f>IFERROR(D16/D$8,0)</f>
        <v>0.15948905650926629</v>
      </c>
      <c r="E17" s="254">
        <f>IFERROR(E16/E$8,0)</f>
        <v>0.18230396253252096</v>
      </c>
      <c r="F17" s="222">
        <f t="shared" ref="F17:Q17" si="1">IFERROR(F16/$S$8,0)</f>
        <v>0.24089728061292973</v>
      </c>
      <c r="G17" s="222">
        <f t="shared" si="1"/>
        <v>0.26310826174144514</v>
      </c>
      <c r="H17" s="222">
        <f t="shared" si="1"/>
        <v>0.2383027727747481</v>
      </c>
      <c r="I17" s="222">
        <f t="shared" si="1"/>
        <v>0.21743197901410363</v>
      </c>
      <c r="J17" s="222">
        <f t="shared" si="1"/>
        <v>0.20829019833846543</v>
      </c>
      <c r="K17" s="222">
        <f t="shared" si="1"/>
        <v>0.18174788582503409</v>
      </c>
      <c r="L17" s="222">
        <f t="shared" si="1"/>
        <v>0.17865708885351467</v>
      </c>
      <c r="M17" s="222">
        <f t="shared" si="1"/>
        <v>0.17007035881260152</v>
      </c>
      <c r="N17" s="222">
        <f t="shared" si="1"/>
        <v>0.16566811187432051</v>
      </c>
      <c r="O17" s="222">
        <f t="shared" si="1"/>
        <v>0.16648242611293368</v>
      </c>
      <c r="P17" s="222">
        <f t="shared" si="1"/>
        <v>0.17247441157425689</v>
      </c>
      <c r="Q17" s="222">
        <f t="shared" si="1"/>
        <v>0.17499534431087924</v>
      </c>
      <c r="R17" s="455"/>
      <c r="S17" s="254">
        <f>IFERROR(S16/S$8,0)</f>
        <v>0.17499534431087921</v>
      </c>
      <c r="T17" s="254">
        <f t="shared" si="0"/>
        <v>-7.3086182216417495E-3</v>
      </c>
      <c r="U17" s="454"/>
      <c r="W17" s="9" t="s">
        <v>691</v>
      </c>
    </row>
    <row r="18" spans="1:23" s="335" customFormat="1" ht="19.899999999999999" customHeight="1">
      <c r="A18" s="878"/>
      <c r="B18" s="870" t="s">
        <v>692</v>
      </c>
      <c r="C18" s="879">
        <f>KeyData!D17</f>
        <v>14886788.136</v>
      </c>
      <c r="D18" s="880">
        <f>KeyData!E17</f>
        <v>11093338.879000001</v>
      </c>
      <c r="E18" s="881">
        <f>KeyData!G17</f>
        <v>15663757.57</v>
      </c>
      <c r="F18" s="882">
        <f>KeyData_seasonal!D17</f>
        <v>19625199.923</v>
      </c>
      <c r="G18" s="882">
        <f>KeyData_seasonal!E17</f>
        <v>14887597.252</v>
      </c>
      <c r="H18" s="882">
        <f>KeyData_seasonal!F17</f>
        <v>14272555.077</v>
      </c>
      <c r="I18" s="882">
        <f>KeyData_seasonal!G17</f>
        <v>14515753.886</v>
      </c>
      <c r="J18" s="882">
        <f>KeyData_seasonal!H17</f>
        <v>14646961.816</v>
      </c>
      <c r="K18" s="882">
        <f>KeyData_seasonal!I17</f>
        <v>15040162.33</v>
      </c>
      <c r="L18" s="882">
        <f>KeyData_seasonal!J17</f>
        <v>15076397.367000001</v>
      </c>
      <c r="M18" s="882">
        <f>KeyData_seasonal!K17</f>
        <v>16385156.979</v>
      </c>
      <c r="N18" s="882">
        <f>KeyData_seasonal!L17</f>
        <v>15934710.882000001</v>
      </c>
      <c r="O18" s="882">
        <f>KeyData_seasonal!M17</f>
        <v>16039743.413000001</v>
      </c>
      <c r="P18" s="882">
        <f>KeyData_seasonal!N17</f>
        <v>15649997.531000001</v>
      </c>
      <c r="Q18" s="882">
        <f>KeyData_seasonal!O17</f>
        <v>14318691.035000002</v>
      </c>
      <c r="R18" s="459"/>
      <c r="S18" s="881">
        <f>KeyData!H17</f>
        <v>14318691.035</v>
      </c>
      <c r="T18" s="881">
        <f t="shared" si="0"/>
        <v>-1345066.5350000001</v>
      </c>
      <c r="U18" s="454"/>
      <c r="W18" s="875"/>
    </row>
    <row r="19" spans="1:23" ht="19.899999999999999" customHeight="1">
      <c r="A19" s="458"/>
      <c r="B19" s="457" t="s">
        <v>693</v>
      </c>
      <c r="C19" s="456">
        <f>IFERROR(C18/C$8,0)</f>
        <v>0.11843325286590187</v>
      </c>
      <c r="D19" s="252">
        <f>IFERROR(D18/D$8,0)</f>
        <v>9.0723468082180056E-2</v>
      </c>
      <c r="E19" s="254">
        <f>IFERROR(E18/E$8,0)</f>
        <v>0.11144938546650145</v>
      </c>
      <c r="F19" s="222">
        <f t="shared" ref="F19:Q19" si="2">IFERROR(F18/$S$8,0)</f>
        <v>0.1540227902950696</v>
      </c>
      <c r="G19" s="222">
        <f t="shared" si="2"/>
        <v>0.11684106549431407</v>
      </c>
      <c r="H19" s="222">
        <f t="shared" si="2"/>
        <v>0.11201408221188502</v>
      </c>
      <c r="I19" s="222">
        <f t="shared" si="2"/>
        <v>0.11392275877597537</v>
      </c>
      <c r="J19" s="222">
        <f t="shared" si="2"/>
        <v>0.11495250683289865</v>
      </c>
      <c r="K19" s="222">
        <f t="shared" si="2"/>
        <v>0.11803842904257558</v>
      </c>
      <c r="L19" s="222">
        <f t="shared" si="2"/>
        <v>0.11832280940695823</v>
      </c>
      <c r="M19" s="222">
        <f t="shared" si="2"/>
        <v>0.12859423635071587</v>
      </c>
      <c r="N19" s="222">
        <f t="shared" si="2"/>
        <v>0.12505903849236671</v>
      </c>
      <c r="O19" s="222">
        <f t="shared" si="2"/>
        <v>0.12588335638771789</v>
      </c>
      <c r="P19" s="222">
        <f t="shared" si="2"/>
        <v>0.12282454687305404</v>
      </c>
      <c r="Q19" s="222">
        <f t="shared" si="2"/>
        <v>0.11237616713392287</v>
      </c>
      <c r="R19" s="455"/>
      <c r="S19" s="254">
        <f>IFERROR(S18/S$8,0)</f>
        <v>0.11237616713392286</v>
      </c>
      <c r="T19" s="254">
        <f t="shared" si="0"/>
        <v>9.2678166742141133E-4</v>
      </c>
      <c r="U19" s="454"/>
      <c r="W19" s="9"/>
    </row>
    <row r="20" spans="1:23" ht="19.899999999999999" customHeight="1">
      <c r="A20" s="214" t="s">
        <v>677</v>
      </c>
      <c r="B20" s="452"/>
      <c r="C20" s="453">
        <f>C10+C16-C18</f>
        <v>11702066.566999998</v>
      </c>
      <c r="D20" s="287">
        <f>D10+D16-D18</f>
        <v>12241652.891999997</v>
      </c>
      <c r="E20" s="265">
        <f>E10+E16-E18</f>
        <v>14650484.677999999</v>
      </c>
      <c r="F20" s="78">
        <f>KeyData_seasonal!D19</f>
        <v>15529503.442000002</v>
      </c>
      <c r="G20" s="78">
        <f>KeyData_seasonal!E19</f>
        <v>23107143.289000001</v>
      </c>
      <c r="H20" s="78">
        <f>KeyData_seasonal!F19</f>
        <v>20630361.460000001</v>
      </c>
      <c r="I20" s="78">
        <f>KeyData_seasonal!G19</f>
        <v>17503217.699999996</v>
      </c>
      <c r="J20" s="78">
        <f>KeyData_seasonal!H19</f>
        <v>15948700.245999996</v>
      </c>
      <c r="K20" s="78">
        <f>KeyData_seasonal!I19</f>
        <v>12995564.319999998</v>
      </c>
      <c r="L20" s="78">
        <f>KeyData_seasonal!J19</f>
        <v>12165095.746999996</v>
      </c>
      <c r="M20" s="78">
        <f>KeyData_seasonal!K19</f>
        <v>9214915.3589999992</v>
      </c>
      <c r="N20" s="78">
        <f>KeyData_seasonal!L19</f>
        <v>9585254.3029999975</v>
      </c>
      <c r="O20" s="78">
        <f>KeyData_seasonal!M19</f>
        <v>9188211.0939999986</v>
      </c>
      <c r="P20" s="78">
        <f>KeyData_seasonal!N19</f>
        <v>10143412.232999997</v>
      </c>
      <c r="Q20" s="78">
        <f>KeyData_seasonal!O19</f>
        <v>12391219.459000001</v>
      </c>
      <c r="R20" s="287"/>
      <c r="S20" s="265">
        <f>S10+S16-S18</f>
        <v>12391219.458999999</v>
      </c>
      <c r="T20" s="265">
        <f t="shared" si="0"/>
        <v>-2259265.2190000005</v>
      </c>
      <c r="U20" s="454"/>
      <c r="W20" s="9"/>
    </row>
    <row r="21" spans="1:23" ht="19.899999999999999" customHeight="1">
      <c r="A21" s="412"/>
      <c r="B21" s="916" t="s">
        <v>693</v>
      </c>
      <c r="C21" s="917">
        <f>IFERROR(C20/C$8,0)</f>
        <v>9.3096898815375667E-2</v>
      </c>
      <c r="D21" s="918">
        <f>IFERROR(D20/D$8,0)</f>
        <v>0.10011460188265731</v>
      </c>
      <c r="E21" s="919">
        <f>IFERROR(E20/E$8,0)</f>
        <v>0.10423983561113652</v>
      </c>
      <c r="F21" s="920">
        <f t="shared" ref="F21:Q21" si="3">IFERROR(F20/$S$8,0)</f>
        <v>0.12187888334480167</v>
      </c>
      <c r="G21" s="920">
        <f t="shared" si="3"/>
        <v>0.18134983078305997</v>
      </c>
      <c r="H21" s="920">
        <f t="shared" si="3"/>
        <v>0.1619115142435365</v>
      </c>
      <c r="I21" s="920">
        <f t="shared" si="3"/>
        <v>0.13736901737936244</v>
      </c>
      <c r="J21" s="920">
        <f t="shared" si="3"/>
        <v>0.12516883003009305</v>
      </c>
      <c r="K21" s="920">
        <f t="shared" si="3"/>
        <v>0.10199198407551674</v>
      </c>
      <c r="L21" s="920">
        <f t="shared" si="3"/>
        <v>9.5474288084256134E-2</v>
      </c>
      <c r="M21" s="920">
        <f t="shared" si="3"/>
        <v>7.2320637827627834E-2</v>
      </c>
      <c r="N21" s="920">
        <f t="shared" si="3"/>
        <v>7.5227137518515563E-2</v>
      </c>
      <c r="O21" s="920">
        <f t="shared" si="3"/>
        <v>7.2111057011930838E-2</v>
      </c>
      <c r="P21" s="920">
        <f t="shared" si="3"/>
        <v>7.9607681010618672E-2</v>
      </c>
      <c r="Q21" s="920">
        <f t="shared" si="3"/>
        <v>9.7248955614307742E-2</v>
      </c>
      <c r="R21" s="918"/>
      <c r="S21" s="919">
        <f>IFERROR(S20/S$8,0)</f>
        <v>9.7248955614307728E-2</v>
      </c>
      <c r="T21" s="919">
        <f t="shared" si="0"/>
        <v>-6.9908799968287916E-3</v>
      </c>
      <c r="U21" s="454"/>
      <c r="W21" s="9" t="s">
        <v>694</v>
      </c>
    </row>
    <row r="22" spans="1:23" ht="19.899999999999999" customHeight="1">
      <c r="A22" s="214" t="s">
        <v>695</v>
      </c>
      <c r="B22" s="452"/>
      <c r="C22" s="453">
        <f>KeyData!D49</f>
        <v>1230028.595</v>
      </c>
      <c r="D22" s="287">
        <f>KeyData!E49</f>
        <v>6533143.9780000011</v>
      </c>
      <c r="E22" s="265">
        <f>KeyData!G49</f>
        <v>3096232.0950000002</v>
      </c>
      <c r="F22" s="78">
        <f>KeyData_seasonal!D49</f>
        <v>269077.03200000001</v>
      </c>
      <c r="G22" s="78">
        <f>KeyData_seasonal!E49</f>
        <v>345726.63900000002</v>
      </c>
      <c r="H22" s="78">
        <f>KeyData_seasonal!F49</f>
        <v>369604.80099999998</v>
      </c>
      <c r="I22" s="78">
        <f>KeyData_seasonal!G49</f>
        <v>118205.395</v>
      </c>
      <c r="J22" s="78">
        <f>KeyData_seasonal!H49</f>
        <v>211044.03</v>
      </c>
      <c r="K22" s="78">
        <f>KeyData_seasonal!I49</f>
        <v>138417.435</v>
      </c>
      <c r="L22" s="78">
        <f>KeyData_seasonal!J49</f>
        <v>195562.66899999999</v>
      </c>
      <c r="M22" s="78">
        <f>KeyData_seasonal!K49</f>
        <v>1209970.0660000001</v>
      </c>
      <c r="N22" s="78">
        <f>KeyData_seasonal!L49</f>
        <v>6899.0519999999997</v>
      </c>
      <c r="O22" s="78">
        <f>KeyData_seasonal!M49</f>
        <v>270260.96600000001</v>
      </c>
      <c r="P22" s="78">
        <f>KeyData_seasonal!N49</f>
        <v>2652.0630000000001</v>
      </c>
      <c r="Q22" s="78">
        <f>KeyData_seasonal!O49</f>
        <v>196824.97099999999</v>
      </c>
      <c r="R22" s="287"/>
      <c r="S22" s="265">
        <f>KeyData!H49</f>
        <v>3334245.1189999999</v>
      </c>
      <c r="T22" s="265">
        <f>S22-E22</f>
        <v>238013.02399999974</v>
      </c>
      <c r="U22" s="454"/>
    </row>
    <row r="23" spans="1:23" ht="19.899999999999999" customHeight="1">
      <c r="A23" s="412"/>
      <c r="B23" s="916" t="s">
        <v>693</v>
      </c>
      <c r="C23" s="917">
        <f>IFERROR(C22/C$8,0)</f>
        <v>9.7856089771065566E-3</v>
      </c>
      <c r="D23" s="918">
        <f>IFERROR(D22/D$8,0)</f>
        <v>5.3429313359063202E-2</v>
      </c>
      <c r="E23" s="919">
        <f>IFERROR(E22/E$8,0)</f>
        <v>2.2030037346230987E-2</v>
      </c>
      <c r="F23" s="920"/>
      <c r="G23" s="920"/>
      <c r="H23" s="920"/>
      <c r="I23" s="920"/>
      <c r="J23" s="920"/>
      <c r="K23" s="920"/>
      <c r="L23" s="920"/>
      <c r="M23" s="920"/>
      <c r="N23" s="920"/>
      <c r="O23" s="920"/>
      <c r="P23" s="920"/>
      <c r="Q23" s="920"/>
      <c r="R23" s="918"/>
      <c r="S23" s="919">
        <f>IFERROR(S22/S$8,0)</f>
        <v>2.616787287625209E-2</v>
      </c>
      <c r="T23" s="919">
        <f t="shared" ref="T23" si="4">S23-E23</f>
        <v>4.1378355300211028E-3</v>
      </c>
      <c r="U23" s="454"/>
    </row>
  </sheetData>
  <mergeCells count="5">
    <mergeCell ref="D6:E6"/>
    <mergeCell ref="R6:S6"/>
    <mergeCell ref="A6:B6"/>
    <mergeCell ref="A7:B7"/>
    <mergeCell ref="F6:Q6"/>
  </mergeCells>
  <phoneticPr fontId="65" type="noConversion"/>
  <pageMargins left="0.70866141732283472" right="0.70866141732283472" top="0.74803149606299213" bottom="0.74803149606299213" header="0.31496062992125984" footer="0.31496062992125984"/>
  <pageSetup paperSize="9" scale="55" orientation="landscape" r:id="rId1"/>
  <customProperties>
    <customPr name="_pios_id" r:id="rId2"/>
  </customPropertie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AEE8-8994-4E82-8F82-FC91BB2FE193}">
  <sheetPr>
    <tabColor theme="0" tint="-4.9989318521683403E-2"/>
    <pageSetUpPr fitToPage="1"/>
  </sheetPr>
  <dimension ref="A1:W23"/>
  <sheetViews>
    <sheetView showGridLines="0" zoomScaleNormal="100" workbookViewId="0">
      <pane xSplit="2" ySplit="7" topLeftCell="C8" activePane="bottomRight" state="frozen"/>
      <selection pane="topRight" activeCell="A30" sqref="A30:G30"/>
      <selection pane="bottomLeft" activeCell="A30" sqref="A30:G30"/>
      <selection pane="bottomRight" activeCell="U6" sqref="U6"/>
    </sheetView>
  </sheetViews>
  <sheetFormatPr defaultColWidth="9.28515625" defaultRowHeight="12.75" customHeight="1" outlineLevelCol="1"/>
  <cols>
    <col min="1" max="1" width="17.28515625" style="221" customWidth="1"/>
    <col min="2" max="2" width="49.7109375" style="221" customWidth="1"/>
    <col min="3" max="5" width="15.28515625" style="221" customWidth="1"/>
    <col min="6" max="17" width="15.28515625" style="221" hidden="1" customWidth="1" outlineLevel="1"/>
    <col min="18" max="18" width="8" style="221" bestFit="1" customWidth="1" collapsed="1"/>
    <col min="19" max="20" width="15.28515625" style="221" customWidth="1"/>
    <col min="21" max="21" width="49.7109375" style="221" customWidth="1"/>
    <col min="22" max="22" width="4.28515625" style="221" customWidth="1"/>
    <col min="23" max="23" width="91.7109375" style="221" bestFit="1" customWidth="1"/>
    <col min="24" max="16384" width="9.28515625" style="221"/>
  </cols>
  <sheetData>
    <row r="1" spans="1:23" ht="19.899999999999999" customHeight="1">
      <c r="A1" s="60" t="str">
        <f>+'0. Instructions'!A1</f>
        <v>Budget 2024</v>
      </c>
      <c r="B1" s="60"/>
      <c r="C1" s="60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  <c r="S1" s="397"/>
      <c r="T1" s="397"/>
      <c r="U1" s="57" t="str">
        <f>'Input-FX Rates'!$H$1</f>
        <v>Plant ICH Icheon (242)</v>
      </c>
      <c r="W1" s="397" t="s">
        <v>154</v>
      </c>
    </row>
    <row r="2" spans="1:23" ht="19.899999999999999" customHeight="1" thickBot="1">
      <c r="A2" s="55" t="s">
        <v>672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4" t="str">
        <f>'Input-FX Rates'!$H$2</f>
        <v>7821 PL Drivetrain Controls (&amp; Electrification)</v>
      </c>
      <c r="W2" s="95" t="s">
        <v>156</v>
      </c>
    </row>
    <row r="3" spans="1:23" ht="12.75" customHeight="1">
      <c r="U3" s="486"/>
    </row>
    <row r="4" spans="1:23" ht="22.9" customHeight="1">
      <c r="A4" s="1044"/>
      <c r="B4" s="1044"/>
      <c r="C4" s="1044"/>
      <c r="D4" s="1044"/>
      <c r="E4" s="1044"/>
      <c r="F4" s="1044"/>
      <c r="G4" s="1044"/>
      <c r="H4" s="1044"/>
      <c r="I4" s="1044"/>
      <c r="J4" s="1044"/>
      <c r="K4" s="1044"/>
      <c r="L4" s="1044"/>
      <c r="M4" s="1044"/>
      <c r="N4" s="1044"/>
      <c r="O4" s="1044"/>
      <c r="P4" s="1044"/>
      <c r="Q4" s="1044"/>
      <c r="R4" s="1044"/>
      <c r="S4" s="1044"/>
      <c r="T4" s="1044"/>
      <c r="U4" s="1044"/>
    </row>
    <row r="6" spans="1:23" ht="19.899999999999999" customHeight="1">
      <c r="A6" s="1035" t="str">
        <f>"in '000 "&amp;"EUR"</f>
        <v>in '000 EUR</v>
      </c>
      <c r="B6" s="1036"/>
      <c r="C6" s="468">
        <v>2022</v>
      </c>
      <c r="D6" s="1039">
        <v>2023</v>
      </c>
      <c r="E6" s="1036"/>
      <c r="F6" s="1035">
        <v>2024</v>
      </c>
      <c r="G6" s="1035"/>
      <c r="H6" s="1035"/>
      <c r="I6" s="1035"/>
      <c r="J6" s="1035"/>
      <c r="K6" s="1035"/>
      <c r="L6" s="1035"/>
      <c r="M6" s="1035"/>
      <c r="N6" s="1035"/>
      <c r="O6" s="1035"/>
      <c r="P6" s="1035"/>
      <c r="Q6" s="1038"/>
      <c r="R6" s="1039">
        <v>2024</v>
      </c>
      <c r="S6" s="1036"/>
      <c r="T6" s="658" t="s">
        <v>190</v>
      </c>
      <c r="U6" s="187" t="s">
        <v>208</v>
      </c>
      <c r="W6" s="9" t="s">
        <v>673</v>
      </c>
    </row>
    <row r="7" spans="1:23" ht="19.899999999999999" customHeight="1">
      <c r="A7" s="1035"/>
      <c r="B7" s="1036"/>
      <c r="C7" s="468" t="s">
        <v>191</v>
      </c>
      <c r="D7" s="304" t="s">
        <v>15</v>
      </c>
      <c r="E7" s="658" t="s">
        <v>19</v>
      </c>
      <c r="F7" s="187" t="s">
        <v>329</v>
      </c>
      <c r="G7" s="187" t="s">
        <v>330</v>
      </c>
      <c r="H7" s="187" t="s">
        <v>331</v>
      </c>
      <c r="I7" s="187" t="s">
        <v>332</v>
      </c>
      <c r="J7" s="187" t="s">
        <v>333</v>
      </c>
      <c r="K7" s="187" t="s">
        <v>334</v>
      </c>
      <c r="L7" s="187" t="s">
        <v>335</v>
      </c>
      <c r="M7" s="187" t="s">
        <v>336</v>
      </c>
      <c r="N7" s="187" t="s">
        <v>337</v>
      </c>
      <c r="O7" s="187" t="s">
        <v>338</v>
      </c>
      <c r="P7" s="187" t="s">
        <v>339</v>
      </c>
      <c r="Q7" s="188" t="s">
        <v>340</v>
      </c>
      <c r="R7" s="304" t="s">
        <v>257</v>
      </c>
      <c r="S7" s="658" t="s">
        <v>15</v>
      </c>
      <c r="T7" s="658" t="s">
        <v>431</v>
      </c>
      <c r="U7" s="187"/>
      <c r="W7" s="9" t="s">
        <v>196</v>
      </c>
    </row>
    <row r="8" spans="1:23" ht="19.899999999999999" customHeight="1">
      <c r="A8" s="214" t="s">
        <v>674</v>
      </c>
      <c r="B8" s="452"/>
      <c r="C8" s="475">
        <f>IFERROR('7. BS-Key Figures (LC)'!C8/'Input-FX Rates'!$C$16,0)</f>
        <v>92567.501417387495</v>
      </c>
      <c r="D8" s="473">
        <f>IFERROR('7. BS-Key Figures (LC)'!D8/'Input-FX Rates'!$D$16,0)</f>
        <v>92006.318936042138</v>
      </c>
      <c r="E8" s="472">
        <f>IFERROR('7. BS-Key Figures (LC)'!E8/'Input-FX Rates'!$G$16,0)</f>
        <v>100126.74994033898</v>
      </c>
      <c r="F8" s="474">
        <f>IFERROR('7. BS-Key Figures (LC)'!F8/'Input-FX Rates'!$H$13,0)</f>
        <v>7674.4146827586201</v>
      </c>
      <c r="G8" s="474">
        <f>IFERROR('7. BS-Key Figures (LC)'!G8/'Input-FX Rates'!$H$13,0)</f>
        <v>7196.1305448275853</v>
      </c>
      <c r="H8" s="474">
        <f>IFERROR('7. BS-Key Figures (LC)'!H8/'Input-FX Rates'!$H$13,0)</f>
        <v>8272.2698551724134</v>
      </c>
      <c r="I8" s="474">
        <f>IFERROR('7. BS-Key Figures (LC)'!I8/'Input-FX Rates'!$H$13,0)</f>
        <v>8066.9064365517243</v>
      </c>
      <c r="J8" s="474">
        <f>IFERROR('7. BS-Key Figures (LC)'!J8/'Input-FX Rates'!$H$13,0)</f>
        <v>7308.073884827586</v>
      </c>
      <c r="K8" s="474">
        <f>IFERROR('7. BS-Key Figures (LC)'!K8/'Input-FX Rates'!$H$13,0)</f>
        <v>7308.073884827586</v>
      </c>
      <c r="L8" s="474">
        <f>IFERROR('7. BS-Key Figures (LC)'!L8/'Input-FX Rates'!$H$13,0)</f>
        <v>7308.073884827586</v>
      </c>
      <c r="M8" s="474">
        <f>IFERROR('7. BS-Key Figures (LC)'!M8/'Input-FX Rates'!$H$13,0)</f>
        <v>6710.218713103448</v>
      </c>
      <c r="N8" s="474">
        <f>IFERROR('7. BS-Key Figures (LC)'!N8/'Input-FX Rates'!$H$13,0)</f>
        <v>6733.9015779310348</v>
      </c>
      <c r="O8" s="474">
        <f>IFERROR('7. BS-Key Figures (LC)'!O8/'Input-FX Rates'!$H$13,0)</f>
        <v>6939.2649951724143</v>
      </c>
      <c r="P8" s="474">
        <f>IFERROR('7. BS-Key Figures (LC)'!P8/'Input-FX Rates'!$H$13,0)</f>
        <v>7178.4070641379312</v>
      </c>
      <c r="Q8" s="474">
        <f>IFERROR('7. BS-Key Figures (LC)'!Q8/'Input-FX Rates'!$H$13,0)</f>
        <v>7178.4070662068962</v>
      </c>
      <c r="R8" s="473">
        <f>IFERROR('7. BS-Key Figures (LC)'!R8/'Input-FX Rates'!$H$13,0)</f>
        <v>0</v>
      </c>
      <c r="S8" s="472">
        <f>IFERROR('7. BS-Key Figures (LC)'!S8/'Input-FX Rates'!$H$16,0)</f>
        <v>87874.142590344825</v>
      </c>
      <c r="T8" s="265">
        <f t="shared" ref="T8:T21" si="0">S8-E8</f>
        <v>-12252.607349994156</v>
      </c>
      <c r="U8" s="412" t="str">
        <f>IF(ISBLANK('7. BS-Key Figures (LC)'!U8),"",'7. BS-Key Figures (LC)'!U8)</f>
        <v/>
      </c>
      <c r="W8" s="9" t="s">
        <v>675</v>
      </c>
    </row>
    <row r="9" spans="1:23" ht="19.899999999999999" customHeight="1">
      <c r="A9" s="214" t="s">
        <v>676</v>
      </c>
      <c r="B9" s="452"/>
      <c r="C9" s="475">
        <f>IFERROR('7. BS-Key Figures (LC)'!C9/'Input-FX Rates'!$C$16,0)</f>
        <v>93582.280145464567</v>
      </c>
      <c r="D9" s="473">
        <f>IFERROR('7. BS-Key Figures (LC)'!D9/'Input-FX Rates'!$D$16,0)</f>
        <v>92006.318936042138</v>
      </c>
      <c r="E9" s="472">
        <f>IFERROR('7. BS-Key Figures (LC)'!E9/'Input-FX Rates'!$G$16,0)</f>
        <v>100099.97034082138</v>
      </c>
      <c r="F9" s="474">
        <f>IFERROR('7. BS-Key Figures (LC)'!F9/'Input-FX Rates'!$H$13,0)</f>
        <v>7674.4146827586201</v>
      </c>
      <c r="G9" s="474">
        <f>IFERROR('7. BS-Key Figures (LC)'!G9/'Input-FX Rates'!$H$13,0)</f>
        <v>7196.1305448275853</v>
      </c>
      <c r="H9" s="474">
        <f>IFERROR('7. BS-Key Figures (LC)'!H9/'Input-FX Rates'!$H$13,0)</f>
        <v>8272.2698551724134</v>
      </c>
      <c r="I9" s="474">
        <f>IFERROR('7. BS-Key Figures (LC)'!I9/'Input-FX Rates'!$H$13,0)</f>
        <v>8066.9064365517243</v>
      </c>
      <c r="J9" s="474">
        <f>IFERROR('7. BS-Key Figures (LC)'!J9/'Input-FX Rates'!$H$13,0)</f>
        <v>7308.073884827586</v>
      </c>
      <c r="K9" s="474">
        <f>IFERROR('7. BS-Key Figures (LC)'!K9/'Input-FX Rates'!$H$13,0)</f>
        <v>7308.073884827586</v>
      </c>
      <c r="L9" s="474">
        <f>IFERROR('7. BS-Key Figures (LC)'!L9/'Input-FX Rates'!$H$13,0)</f>
        <v>7308.073884827586</v>
      </c>
      <c r="M9" s="474">
        <f>IFERROR('7. BS-Key Figures (LC)'!M9/'Input-FX Rates'!$H$13,0)</f>
        <v>6710.218713103448</v>
      </c>
      <c r="N9" s="474">
        <f>IFERROR('7. BS-Key Figures (LC)'!N9/'Input-FX Rates'!$H$13,0)</f>
        <v>6733.9015779310348</v>
      </c>
      <c r="O9" s="474">
        <f>IFERROR('7. BS-Key Figures (LC)'!O9/'Input-FX Rates'!$H$13,0)</f>
        <v>6939.2649951724143</v>
      </c>
      <c r="P9" s="474">
        <f>IFERROR('7. BS-Key Figures (LC)'!P9/'Input-FX Rates'!$H$13,0)</f>
        <v>7178.4070641379312</v>
      </c>
      <c r="Q9" s="474">
        <f>IFERROR('7. BS-Key Figures (LC)'!Q9/'Input-FX Rates'!$H$13,0)</f>
        <v>7178.4070662068962</v>
      </c>
      <c r="R9" s="473"/>
      <c r="S9" s="472">
        <f>IFERROR('7. BS-Key Figures (LC)'!S9/'Input-FX Rates'!$H$16,0)</f>
        <v>87874.142590344825</v>
      </c>
      <c r="T9" s="265">
        <f t="shared" si="0"/>
        <v>-12225.827750476557</v>
      </c>
      <c r="U9" s="412" t="str">
        <f>IF(ISBLANK('7. BS-Key Figures (LC)'!U9),"",'7. BS-Key Figures (LC)'!U9)</f>
        <v/>
      </c>
      <c r="W9" s="9"/>
    </row>
    <row r="10" spans="1:23" s="335" customFormat="1" ht="19.899999999999999" customHeight="1">
      <c r="A10" s="869" t="s">
        <v>677</v>
      </c>
      <c r="B10" s="870" t="s">
        <v>678</v>
      </c>
      <c r="C10" s="883">
        <f>IFERROR('7. BS-Key Figures (LC)'!C10/'Input-FX Rates'!$C$13,0)</f>
        <v>3558.2741663692068</v>
      </c>
      <c r="D10" s="884">
        <f>IFERROR('7. BS-Key Figures (LC)'!D10/'Input-FX Rates'!$D$13,0)</f>
        <v>2884.3073303235515</v>
      </c>
      <c r="E10" s="885">
        <f>IFERROR('7. BS-Key Figures (LC)'!E10/'Input-FX Rates'!$G$13,0)</f>
        <v>3297.8368168400339</v>
      </c>
      <c r="F10" s="886">
        <f>IFERROR('7. BS-Key Figures (LC)'!F10/'Input-FX Rates'!$H$13,0)</f>
        <v>3075.9810241379314</v>
      </c>
      <c r="G10" s="886">
        <f>IFERROR('7. BS-Key Figures (LC)'!G10/'Input-FX Rates'!$H$13,0)</f>
        <v>3082.8564296551731</v>
      </c>
      <c r="H10" s="886">
        <f>IFERROR('7. BS-Key Figures (LC)'!H10/'Input-FX Rates'!$H$13,0)</f>
        <v>3130.3250875862072</v>
      </c>
      <c r="I10" s="886">
        <f>IFERROR('7. BS-Key Figures (LC)'!I10/'Input-FX Rates'!$H$13,0)</f>
        <v>2975.4006420689652</v>
      </c>
      <c r="J10" s="886">
        <f>IFERROR('7. BS-Key Figures (LC)'!J10/'Input-FX Rates'!$H$13,0)</f>
        <v>2797.1340055172413</v>
      </c>
      <c r="K10" s="886">
        <f>IFERROR('7. BS-Key Figures (LC)'!K10/'Input-FX Rates'!$H$13,0)</f>
        <v>3364.0442620689655</v>
      </c>
      <c r="L10" s="886">
        <f>IFERROR('7. BS-Key Figures (LC)'!L10/'Input-FX Rates'!$H$13,0)</f>
        <v>3087.8981296551724</v>
      </c>
      <c r="M10" s="886">
        <f>IFERROR('7. BS-Key Figures (LC)'!M10/'Input-FX Rates'!$H$13,0)</f>
        <v>2710.4353413793101</v>
      </c>
      <c r="N10" s="886">
        <f>IFERROR('7. BS-Key Figures (LC)'!N10/'Input-FX Rates'!$H$13,0)</f>
        <v>3042.032704137931</v>
      </c>
      <c r="O10" s="886">
        <f>IFERROR('7. BS-Key Figures (LC)'!O10/'Input-FX Rates'!$H$13,0)</f>
        <v>2769.0888641379311</v>
      </c>
      <c r="P10" s="886">
        <f>IFERROR('7. BS-Key Figures (LC)'!P10/'Input-FX Rates'!$H$13,0)</f>
        <v>2632.5174220689655</v>
      </c>
      <c r="Q10" s="886">
        <f>IFERROR('7. BS-Key Figures (LC)'!Q10/'Input-FX Rates'!$H$13,0)</f>
        <v>3043.0620882758622</v>
      </c>
      <c r="R10" s="884"/>
      <c r="S10" s="885">
        <f>IFERROR('7. BS-Key Figures (LC)'!S10/'Input-FX Rates'!$H$13,0)</f>
        <v>3043.0620882758622</v>
      </c>
      <c r="T10" s="885">
        <f t="shared" si="0"/>
        <v>-254.77472856417171</v>
      </c>
      <c r="U10" s="294" t="str">
        <f>IF(ISBLANK('7. BS-Key Figures (LC)'!U10),"",'7. BS-Key Figures (LC)'!U10)</f>
        <v/>
      </c>
      <c r="W10" s="875" t="s">
        <v>679</v>
      </c>
    </row>
    <row r="11" spans="1:23" ht="19.899999999999999" customHeight="1">
      <c r="A11" s="467"/>
      <c r="B11" s="465" t="s">
        <v>680</v>
      </c>
      <c r="C11" s="485">
        <f>IFERROR('7. BS-Key Figures (LC)'!C11/'Input-FX Rates'!$C$13,0)</f>
        <v>2737.7260388779819</v>
      </c>
      <c r="D11" s="483">
        <f>IFERROR('7. BS-Key Figures (LC)'!D11/'Input-FX Rates'!$D$13,0)</f>
        <v>2254.9120060195637</v>
      </c>
      <c r="E11" s="482">
        <f>IFERROR('7. BS-Key Figures (LC)'!E11/'Input-FX Rates'!$G$13,0)</f>
        <v>2684.6172420579142</v>
      </c>
      <c r="F11" s="484">
        <f>IFERROR('7. BS-Key Figures (LC)'!F11/'Input-FX Rates'!$H$13,0)</f>
        <v>2571.9398717241379</v>
      </c>
      <c r="G11" s="484">
        <f>IFERROR('7. BS-Key Figures (LC)'!G11/'Input-FX Rates'!$H$13,0)</f>
        <v>2374.2883165517242</v>
      </c>
      <c r="H11" s="484">
        <f>IFERROR('7. BS-Key Figures (LC)'!H11/'Input-FX Rates'!$H$13,0)</f>
        <v>2450.8011324137933</v>
      </c>
      <c r="I11" s="484">
        <f>IFERROR('7. BS-Key Figures (LC)'!I11/'Input-FX Rates'!$H$13,0)</f>
        <v>2445.3765358620694</v>
      </c>
      <c r="J11" s="484">
        <f>IFERROR('7. BS-Key Figures (LC)'!J11/'Input-FX Rates'!$H$13,0)</f>
        <v>2317.344614482759</v>
      </c>
      <c r="K11" s="484">
        <f>IFERROR('7. BS-Key Figures (LC)'!K11/'Input-FX Rates'!$H$13,0)</f>
        <v>2764.3075227586214</v>
      </c>
      <c r="L11" s="484">
        <f>IFERROR('7. BS-Key Figures (LC)'!L11/'Input-FX Rates'!$H$13,0)</f>
        <v>2488.1613903448283</v>
      </c>
      <c r="M11" s="484">
        <f>IFERROR('7. BS-Key Figures (LC)'!M11/'Input-FX Rates'!$H$13,0)</f>
        <v>2160.171117931035</v>
      </c>
      <c r="N11" s="484">
        <f>IFERROR('7. BS-Key Figures (LC)'!N11/'Input-FX Rates'!$H$13,0)</f>
        <v>2600.2535193103454</v>
      </c>
      <c r="O11" s="484">
        <f>IFERROR('7. BS-Key Figures (LC)'!O11/'Input-FX Rates'!$H$13,0)</f>
        <v>2313.7146213793108</v>
      </c>
      <c r="P11" s="484">
        <f>IFERROR('7. BS-Key Figures (LC)'!P11/'Input-FX Rates'!$H$13,0)</f>
        <v>2043.5106124137933</v>
      </c>
      <c r="Q11" s="484">
        <f>IFERROR('7. BS-Key Figures (LC)'!Q11/'Input-FX Rates'!$H$13,0)</f>
        <v>2571.8566406896553</v>
      </c>
      <c r="R11" s="483"/>
      <c r="S11" s="482">
        <f>IFERROR('7. BS-Key Figures (LC)'!S11/'Input-FX Rates'!$H$13,0)</f>
        <v>2571.8566406896553</v>
      </c>
      <c r="T11" s="482">
        <f t="shared" si="0"/>
        <v>-112.7606013682589</v>
      </c>
      <c r="U11" s="294" t="str">
        <f>IF(ISBLANK('7. BS-Key Figures (LC)'!U11),"",'7. BS-Key Figures (LC)'!U11)</f>
        <v/>
      </c>
      <c r="W11" s="9" t="s">
        <v>681</v>
      </c>
    </row>
    <row r="12" spans="1:23" ht="19.899999999999999" customHeight="1">
      <c r="A12" s="467"/>
      <c r="B12" s="465" t="s">
        <v>682</v>
      </c>
      <c r="C12" s="481">
        <f>IFERROR('7. BS-Key Figures (LC)'!C12/'Input-FX Rates'!$C$13,0)</f>
        <v>279.90989425307873</v>
      </c>
      <c r="D12" s="480">
        <f>IFERROR('7. BS-Key Figures (LC)'!D12/'Input-FX Rates'!$D$13,0)</f>
        <v>265.16197667419112</v>
      </c>
      <c r="E12" s="479">
        <f>IFERROR('7. BS-Key Figures (LC)'!E12/'Input-FX Rates'!$G$13,0)</f>
        <v>251.54825484959238</v>
      </c>
      <c r="F12" s="209">
        <f>IFERROR('7. BS-Key Figures (LC)'!F12/'Input-FX Rates'!$H$13,0)</f>
        <v>199.48456482758621</v>
      </c>
      <c r="G12" s="209">
        <f>IFERROR('7. BS-Key Figures (LC)'!G12/'Input-FX Rates'!$H$13,0)</f>
        <v>280.43028068965515</v>
      </c>
      <c r="H12" s="209">
        <f>IFERROR('7. BS-Key Figures (LC)'!H12/'Input-FX Rates'!$H$13,0)</f>
        <v>268.9354627586207</v>
      </c>
      <c r="I12" s="209">
        <f>IFERROR('7. BS-Key Figures (LC)'!I12/'Input-FX Rates'!$H$13,0)</f>
        <v>209.76784896551729</v>
      </c>
      <c r="J12" s="209">
        <f>IFERROR('7. BS-Key Figures (LC)'!J12/'Input-FX Rates'!$H$13,0)</f>
        <v>189.88643586206899</v>
      </c>
      <c r="K12" s="209">
        <f>IFERROR('7. BS-Key Figures (LC)'!K12/'Input-FX Rates'!$H$13,0)</f>
        <v>237.35804482758624</v>
      </c>
      <c r="L12" s="209">
        <f>IFERROR('7. BS-Key Figures (LC)'!L12/'Input-FX Rates'!$H$13,0)</f>
        <v>237.35804482758624</v>
      </c>
      <c r="M12" s="209">
        <f>IFERROR('7. BS-Key Figures (LC)'!M12/'Input-FX Rates'!$H$13,0)</f>
        <v>217.77828758620694</v>
      </c>
      <c r="N12" s="209">
        <f>IFERROR('7. BS-Key Figures (LC)'!N12/'Input-FX Rates'!$H$13,0)</f>
        <v>174.84312137931036</v>
      </c>
      <c r="O12" s="209">
        <f>IFERROR('7. BS-Key Figures (LC)'!O12/'Input-FX Rates'!$H$13,0)</f>
        <v>180.22364275862071</v>
      </c>
      <c r="P12" s="209">
        <f>IFERROR('7. BS-Key Figures (LC)'!P12/'Input-FX Rates'!$H$13,0)</f>
        <v>233.11145655172416</v>
      </c>
      <c r="Q12" s="209">
        <f>IFERROR('7. BS-Key Figures (LC)'!Q12/'Input-FX Rates'!$H$13,0)</f>
        <v>186.48916482758619</v>
      </c>
      <c r="R12" s="480"/>
      <c r="S12" s="479">
        <f>IFERROR('7. BS-Key Figures (LC)'!S12/'Input-FX Rates'!$H$13,0)</f>
        <v>186.48916482758619</v>
      </c>
      <c r="T12" s="479">
        <f t="shared" si="0"/>
        <v>-65.059090022006188</v>
      </c>
      <c r="U12" s="294" t="str">
        <f>IF(ISBLANK('7. BS-Key Figures (LC)'!U12),"",'7. BS-Key Figures (LC)'!U12)</f>
        <v/>
      </c>
      <c r="W12" s="9" t="s">
        <v>683</v>
      </c>
    </row>
    <row r="13" spans="1:23" ht="19.899999999999999" customHeight="1">
      <c r="A13" s="467"/>
      <c r="B13" s="465" t="s">
        <v>684</v>
      </c>
      <c r="C13" s="481">
        <f>IFERROR('7. BS-Key Figures (LC)'!C13/'Input-FX Rates'!$C$13,0)</f>
        <v>540.6382332381462</v>
      </c>
      <c r="D13" s="480">
        <f>IFERROR('7. BS-Key Figures (LC)'!D13/'Input-FX Rates'!$D$13,0)</f>
        <v>364.23334762979687</v>
      </c>
      <c r="E13" s="479">
        <f>IFERROR('7. BS-Key Figures (LC)'!E13/'Input-FX Rates'!$G$13,0)</f>
        <v>361.67131993252747</v>
      </c>
      <c r="F13" s="209">
        <f>IFERROR('7. BS-Key Figures (LC)'!F13/'Input-FX Rates'!$H$13,0)</f>
        <v>304.55658758620689</v>
      </c>
      <c r="G13" s="209">
        <f>IFERROR('7. BS-Key Figures (LC)'!G13/'Input-FX Rates'!$H$13,0)</f>
        <v>428.13783241379315</v>
      </c>
      <c r="H13" s="209">
        <f>IFERROR('7. BS-Key Figures (LC)'!H13/'Input-FX Rates'!$H$13,0)</f>
        <v>410.58849241379318</v>
      </c>
      <c r="I13" s="209">
        <f>IFERROR('7. BS-Key Figures (LC)'!I13/'Input-FX Rates'!$H$13,0)</f>
        <v>320.25625724137939</v>
      </c>
      <c r="J13" s="209">
        <f>IFERROR('7. BS-Key Figures (LC)'!J13/'Input-FX Rates'!$H$13,0)</f>
        <v>289.9029551724139</v>
      </c>
      <c r="K13" s="209">
        <f>IFERROR('7. BS-Key Figures (LC)'!K13/'Input-FX Rates'!$H$13,0)</f>
        <v>362.37869448275876</v>
      </c>
      <c r="L13" s="209">
        <f>IFERROR('7. BS-Key Figures (LC)'!L13/'Input-FX Rates'!$H$13,0)</f>
        <v>362.37869448275876</v>
      </c>
      <c r="M13" s="209">
        <f>IFERROR('7. BS-Key Figures (LC)'!M13/'Input-FX Rates'!$H$13,0)</f>
        <v>332.48593586206908</v>
      </c>
      <c r="N13" s="209">
        <f>IFERROR('7. BS-Key Figures (LC)'!N13/'Input-FX Rates'!$H$13,0)</f>
        <v>266.936063448276</v>
      </c>
      <c r="O13" s="209">
        <f>IFERROR('7. BS-Key Figures (LC)'!O13/'Input-FX Rates'!$H$13,0)</f>
        <v>275.15060000000011</v>
      </c>
      <c r="P13" s="209">
        <f>IFERROR('7. BS-Key Figures (LC)'!P13/'Input-FX Rates'!$H$13,0)</f>
        <v>355.89535310344837</v>
      </c>
      <c r="Q13" s="209">
        <f>IFERROR('7. BS-Key Figures (LC)'!Q13/'Input-FX Rates'!$H$13,0)</f>
        <v>284.71628275862082</v>
      </c>
      <c r="R13" s="480"/>
      <c r="S13" s="479">
        <f>IFERROR('7. BS-Key Figures (LC)'!S13/'Input-FX Rates'!$H$13,0)</f>
        <v>284.71628275862071</v>
      </c>
      <c r="T13" s="479">
        <f t="shared" si="0"/>
        <v>-76.95503717390676</v>
      </c>
      <c r="U13" s="294" t="str">
        <f>IF(ISBLANK('7. BS-Key Figures (LC)'!U13),"",'7. BS-Key Figures (LC)'!U13)</f>
        <v/>
      </c>
      <c r="W13" s="9"/>
    </row>
    <row r="14" spans="1:23" ht="19.899999999999999" customHeight="1">
      <c r="A14" s="467"/>
      <c r="B14" s="465" t="s">
        <v>685</v>
      </c>
      <c r="C14" s="756">
        <f>IFERROR(C8/C10,0)</f>
        <v>26.014718678027432</v>
      </c>
      <c r="D14" s="757">
        <f>IFERROR(D8/D10,0)</f>
        <v>31.898930453337368</v>
      </c>
      <c r="E14" s="758">
        <f>IFERROR(E8/E10,0)</f>
        <v>30.361341540325149</v>
      </c>
      <c r="F14" s="759"/>
      <c r="G14" s="759"/>
      <c r="H14" s="759"/>
      <c r="I14" s="759"/>
      <c r="J14" s="759"/>
      <c r="K14" s="759"/>
      <c r="L14" s="759"/>
      <c r="M14" s="759"/>
      <c r="N14" s="759"/>
      <c r="O14" s="759"/>
      <c r="P14" s="759"/>
      <c r="Q14" s="760">
        <f>'7. BS-Key Figures (LC)'!Q14</f>
        <v>28.876881260129842</v>
      </c>
      <c r="R14" s="757"/>
      <c r="S14" s="761">
        <f>+'7. BS-Key Figures (LC)'!S14</f>
        <v>28.876881260129842</v>
      </c>
      <c r="T14" s="761">
        <f t="shared" si="0"/>
        <v>-1.4844602801953073</v>
      </c>
      <c r="U14" s="294" t="str">
        <f>IF(ISBLANK('7. BS-Key Figures (LC)'!U14),"",'7. BS-Key Figures (LC)'!U14)</f>
        <v/>
      </c>
      <c r="W14" s="9"/>
    </row>
    <row r="15" spans="1:23" ht="19.899999999999999" customHeight="1">
      <c r="A15" s="467"/>
      <c r="B15" s="465" t="s">
        <v>686</v>
      </c>
      <c r="C15" s="762">
        <f>+'7. BS-Key Figures (LC)'!C15</f>
        <v>29.7</v>
      </c>
      <c r="D15" s="763">
        <f>+'7. BS-Key Figures (LC)'!D15</f>
        <v>31.4</v>
      </c>
      <c r="E15" s="764">
        <f>+'7. BS-Key Figures (LC)'!E15</f>
        <v>23</v>
      </c>
      <c r="F15" s="759"/>
      <c r="G15" s="759"/>
      <c r="H15" s="759"/>
      <c r="I15" s="759"/>
      <c r="J15" s="759"/>
      <c r="K15" s="759"/>
      <c r="L15" s="759"/>
      <c r="M15" s="759"/>
      <c r="N15" s="759"/>
      <c r="O15" s="759"/>
      <c r="P15" s="759"/>
      <c r="Q15" s="759"/>
      <c r="R15" s="757">
        <f>'7. BS-Key Figures (LC)'!R15</f>
        <v>0</v>
      </c>
      <c r="S15" s="761">
        <f>+'7. BS-Key Figures (LC)'!S15</f>
        <v>29.528613745715671</v>
      </c>
      <c r="T15" s="761">
        <f t="shared" si="0"/>
        <v>6.5286137457156705</v>
      </c>
      <c r="U15" s="294" t="str">
        <f>IF(ISBLANK('7. BS-Key Figures (LC)'!U15),"",'7. BS-Key Figures (LC)'!U15)</f>
        <v/>
      </c>
      <c r="W15" s="9" t="s">
        <v>687</v>
      </c>
    </row>
    <row r="16" spans="1:23" s="335" customFormat="1" ht="19.899999999999999" customHeight="1">
      <c r="A16" s="876"/>
      <c r="B16" s="870" t="s">
        <v>688</v>
      </c>
      <c r="C16" s="887">
        <f>IFERROR('7. BS-Key Figures (LC)'!C16/'Input-FX Rates'!$C$13,0)</f>
        <v>16214.507307097387</v>
      </c>
      <c r="D16" s="888">
        <f>IFERROR('7. BS-Key Figures (LC)'!D16/'Input-FX Rates'!$D$13,0)</f>
        <v>14674.001</v>
      </c>
      <c r="E16" s="889">
        <f>IFERROR('7. BS-Key Figures (LC)'!E16/'Input-FX Rates'!$G$13,0)</f>
        <v>18008.209182597693</v>
      </c>
      <c r="F16" s="890">
        <f>IFERROR('7. BS-Key Figures (LC)'!F16/'Input-FX Rates'!$H$13,0)</f>
        <v>21168.641986206894</v>
      </c>
      <c r="G16" s="890">
        <f>IFERROR('7. BS-Key Figures (LC)'!G16/'Input-FX Rates'!$H$13,0)</f>
        <v>23120.412908965518</v>
      </c>
      <c r="H16" s="890">
        <f>IFERROR('7. BS-Key Figures (LC)'!H16/'Input-FX Rates'!$H$13,0)</f>
        <v>20940.651834482756</v>
      </c>
      <c r="I16" s="890">
        <f>IFERROR('7. BS-Key Figures (LC)'!I16/'Input-FX Rates'!$H$13,0)</f>
        <v>19106.648727586205</v>
      </c>
      <c r="J16" s="890">
        <f>IFERROR('7. BS-Key Figures (LC)'!J16/'Input-FX Rates'!$H$13,0)</f>
        <v>18303.322588965515</v>
      </c>
      <c r="K16" s="890">
        <f>IFERROR('7. BS-Key Figures (LC)'!K16/'Input-FX Rates'!$H$13,0)</f>
        <v>15970.939634482758</v>
      </c>
      <c r="L16" s="890">
        <f>IFERROR('7. BS-Key Figures (LC)'!L16/'Input-FX Rates'!$H$13,0)</f>
        <v>15699.338500689653</v>
      </c>
      <c r="M16" s="890">
        <f>IFERROR('7. BS-Key Figures (LC)'!M16/'Input-FX Rates'!$H$13,0)</f>
        <v>14944.786960689655</v>
      </c>
      <c r="N16" s="890">
        <f>IFERROR('7. BS-Key Figures (LC)'!N16/'Input-FX Rates'!$H$13,0)</f>
        <v>14557.94328551724</v>
      </c>
      <c r="O16" s="890">
        <f>IFERROR('7. BS-Key Figures (LC)'!O16/'Input-FX Rates'!$H$13,0)</f>
        <v>14629.500451034482</v>
      </c>
      <c r="P16" s="890">
        <f>IFERROR('7. BS-Key Figures (LC)'!P16/'Input-FX Rates'!$H$13,0)</f>
        <v>15156.041035862068</v>
      </c>
      <c r="Q16" s="890">
        <f>IFERROR('7. BS-Key Figures (LC)'!Q16/'Input-FX Rates'!$H$13,0)</f>
        <v>15377.565838620691</v>
      </c>
      <c r="R16" s="888"/>
      <c r="S16" s="889">
        <f>IFERROR('7. BS-Key Figures (LC)'!S16/'Input-FX Rates'!$H$13,0)</f>
        <v>15377.565838620689</v>
      </c>
      <c r="T16" s="889">
        <f t="shared" si="0"/>
        <v>-2630.6433439770044</v>
      </c>
      <c r="U16" s="294" t="str">
        <f>IF(ISBLANK('7. BS-Key Figures (LC)'!U16),"",'7. BS-Key Figures (LC)'!U16)</f>
        <v/>
      </c>
      <c r="W16" s="875" t="s">
        <v>689</v>
      </c>
    </row>
    <row r="17" spans="1:23" ht="19.899999999999999" customHeight="1">
      <c r="A17" s="458"/>
      <c r="B17" s="457" t="s">
        <v>690</v>
      </c>
      <c r="C17" s="478">
        <f>IFERROR(C16/C$8,0)</f>
        <v>0.17516414571876648</v>
      </c>
      <c r="D17" s="477">
        <f>IFERROR(D16/D$8,0)</f>
        <v>0.15948905650926629</v>
      </c>
      <c r="E17" s="296">
        <f>IFERROR(E16/E$8,0)</f>
        <v>0.17985412682752586</v>
      </c>
      <c r="F17" s="224">
        <f t="shared" ref="F17:Q17" si="1">IFERROR(F16/$S$8,0)</f>
        <v>0.2408972806129297</v>
      </c>
      <c r="G17" s="224">
        <f t="shared" si="1"/>
        <v>0.26310826174144514</v>
      </c>
      <c r="H17" s="224">
        <f t="shared" si="1"/>
        <v>0.2383027727747481</v>
      </c>
      <c r="I17" s="224">
        <f t="shared" si="1"/>
        <v>0.21743197901410363</v>
      </c>
      <c r="J17" s="224">
        <f t="shared" si="1"/>
        <v>0.20829019833846543</v>
      </c>
      <c r="K17" s="224">
        <f t="shared" si="1"/>
        <v>0.18174788582503409</v>
      </c>
      <c r="L17" s="224">
        <f t="shared" si="1"/>
        <v>0.17865708885351467</v>
      </c>
      <c r="M17" s="224">
        <f t="shared" si="1"/>
        <v>0.17007035881260155</v>
      </c>
      <c r="N17" s="224">
        <f t="shared" si="1"/>
        <v>0.16566811187432051</v>
      </c>
      <c r="O17" s="224">
        <f t="shared" si="1"/>
        <v>0.16648242611293371</v>
      </c>
      <c r="P17" s="224">
        <f t="shared" si="1"/>
        <v>0.17247441157425689</v>
      </c>
      <c r="Q17" s="224">
        <f t="shared" si="1"/>
        <v>0.17499534431087924</v>
      </c>
      <c r="R17" s="476"/>
      <c r="S17" s="296">
        <f>IFERROR(S16/S$8,0)</f>
        <v>0.17499534431087921</v>
      </c>
      <c r="T17" s="296">
        <f t="shared" si="0"/>
        <v>-4.8587825166466481E-3</v>
      </c>
      <c r="U17" s="294" t="str">
        <f>IF(ISBLANK('7. BS-Key Figures (LC)'!U17),"",'7. BS-Key Figures (LC)'!U17)</f>
        <v/>
      </c>
      <c r="W17" s="9" t="s">
        <v>691</v>
      </c>
    </row>
    <row r="18" spans="1:23" s="335" customFormat="1" ht="19.899999999999999" customHeight="1">
      <c r="A18" s="878"/>
      <c r="B18" s="870" t="s">
        <v>692</v>
      </c>
      <c r="C18" s="891">
        <f>IFERROR('7. BS-Key Figures (LC)'!C18/'Input-FX Rates'!$C$13,0)</f>
        <v>11070.548616812423</v>
      </c>
      <c r="D18" s="892">
        <f>IFERROR('7. BS-Key Figures (LC)'!D18/'Input-FX Rates'!$D$13,0)</f>
        <v>8347.1323393528983</v>
      </c>
      <c r="E18" s="893">
        <f>IFERROR('7. BS-Key Figures (LC)'!E18/'Input-FX Rates'!$G$13,0)</f>
        <v>11009.107091650267</v>
      </c>
      <c r="F18" s="894">
        <f>IFERROR('7. BS-Key Figures (LC)'!F18/'Input-FX Rates'!$H$13,0)</f>
        <v>13534.620636551725</v>
      </c>
      <c r="G18" s="894">
        <f>IFERROR('7. BS-Key Figures (LC)'!G18/'Input-FX Rates'!$H$13,0)</f>
        <v>10267.308449655173</v>
      </c>
      <c r="H18" s="894">
        <f>IFERROR('7. BS-Key Figures (LC)'!H18/'Input-FX Rates'!$H$13,0)</f>
        <v>9843.1414324137932</v>
      </c>
      <c r="I18" s="894">
        <f>IFERROR('7. BS-Key Figures (LC)'!I18/'Input-FX Rates'!$H$13,0)</f>
        <v>10010.864748965518</v>
      </c>
      <c r="J18" s="894">
        <f>IFERROR('7. BS-Key Figures (LC)'!J18/'Input-FX Rates'!$H$13,0)</f>
        <v>10101.352976551723</v>
      </c>
      <c r="K18" s="894">
        <f>IFERROR('7. BS-Key Figures (LC)'!K18/'Input-FX Rates'!$H$13,0)</f>
        <v>10372.525744827586</v>
      </c>
      <c r="L18" s="894">
        <f>IFERROR('7. BS-Key Figures (LC)'!L18/'Input-FX Rates'!$H$13,0)</f>
        <v>10397.515425517242</v>
      </c>
      <c r="M18" s="894">
        <f>IFERROR('7. BS-Key Figures (LC)'!M18/'Input-FX Rates'!$H$13,0)</f>
        <v>11300.108261379311</v>
      </c>
      <c r="N18" s="894">
        <f>IFERROR('7. BS-Key Figures (LC)'!N18/'Input-FX Rates'!$H$13,0)</f>
        <v>10989.455780689656</v>
      </c>
      <c r="O18" s="894">
        <f>IFERROR('7. BS-Key Figures (LC)'!O18/'Input-FX Rates'!$H$13,0)</f>
        <v>11061.892008965518</v>
      </c>
      <c r="P18" s="894">
        <f>IFERROR('7. BS-Key Figures (LC)'!P18/'Input-FX Rates'!$H$13,0)</f>
        <v>10793.101745517242</v>
      </c>
      <c r="Q18" s="894">
        <f>IFERROR('7. BS-Key Figures (LC)'!Q18/'Input-FX Rates'!$H$13,0)</f>
        <v>9874.9593344827608</v>
      </c>
      <c r="R18" s="892"/>
      <c r="S18" s="893">
        <f>IFERROR('7. BS-Key Figures (LC)'!S18/'Input-FX Rates'!$H$13,0)</f>
        <v>9874.959334482759</v>
      </c>
      <c r="T18" s="895">
        <f t="shared" si="0"/>
        <v>-1134.1477571675077</v>
      </c>
      <c r="U18" s="294" t="str">
        <f>IF(ISBLANK('7. BS-Key Figures (LC)'!U18),"",'7. BS-Key Figures (LC)'!U18)</f>
        <v/>
      </c>
      <c r="W18" s="875"/>
    </row>
    <row r="19" spans="1:23" ht="19.899999999999999" customHeight="1">
      <c r="A19" s="458"/>
      <c r="B19" s="457" t="s">
        <v>693</v>
      </c>
      <c r="C19" s="478">
        <f>IFERROR(C18/C$8,0)</f>
        <v>0.11959433329517281</v>
      </c>
      <c r="D19" s="477">
        <f>IFERROR(D18/D$8,0)</f>
        <v>9.072346808218007E-2</v>
      </c>
      <c r="E19" s="296">
        <f>IFERROR(E18/E$8,0)</f>
        <v>0.10995170719323355</v>
      </c>
      <c r="F19" s="224">
        <f t="shared" ref="F19:Q19" si="2">IFERROR(F18/$S$8,0)</f>
        <v>0.1540227902950696</v>
      </c>
      <c r="G19" s="224">
        <f t="shared" si="2"/>
        <v>0.11684106549431407</v>
      </c>
      <c r="H19" s="224">
        <f t="shared" si="2"/>
        <v>0.11201408221188504</v>
      </c>
      <c r="I19" s="224">
        <f t="shared" si="2"/>
        <v>0.11392275877597538</v>
      </c>
      <c r="J19" s="224">
        <f t="shared" si="2"/>
        <v>0.11495250683289865</v>
      </c>
      <c r="K19" s="224">
        <f t="shared" si="2"/>
        <v>0.11803842904257558</v>
      </c>
      <c r="L19" s="224">
        <f t="shared" si="2"/>
        <v>0.11832280940695823</v>
      </c>
      <c r="M19" s="224">
        <f t="shared" si="2"/>
        <v>0.12859423635071587</v>
      </c>
      <c r="N19" s="224">
        <f t="shared" si="2"/>
        <v>0.12505903849236671</v>
      </c>
      <c r="O19" s="224">
        <f t="shared" si="2"/>
        <v>0.12588335638771792</v>
      </c>
      <c r="P19" s="224">
        <f t="shared" si="2"/>
        <v>0.12282454687305404</v>
      </c>
      <c r="Q19" s="224">
        <f t="shared" si="2"/>
        <v>0.11237616713392289</v>
      </c>
      <c r="R19" s="476"/>
      <c r="S19" s="296">
        <f>IFERROR(S18/S$8,0)</f>
        <v>0.11237616713392286</v>
      </c>
      <c r="T19" s="296">
        <f t="shared" si="0"/>
        <v>2.424459940689308E-3</v>
      </c>
      <c r="U19" s="294" t="str">
        <f>IF(ISBLANK('7. BS-Key Figures (LC)'!U19),"",'7. BS-Key Figures (LC)'!U19)</f>
        <v/>
      </c>
      <c r="W19" s="9"/>
    </row>
    <row r="20" spans="1:23" ht="19.899999999999999" customHeight="1">
      <c r="A20" s="214" t="s">
        <v>677</v>
      </c>
      <c r="B20" s="452"/>
      <c r="C20" s="475">
        <f>C10+C16-C18</f>
        <v>8702.2328566541728</v>
      </c>
      <c r="D20" s="473">
        <f>D10+D16-D18</f>
        <v>9211.1759909706525</v>
      </c>
      <c r="E20" s="472">
        <f>E10+E16-E18</f>
        <v>10296.93890778746</v>
      </c>
      <c r="F20" s="474">
        <f>IFERROR('7. BS-Key Figures (LC)'!F20/'Input-FX Rates'!$H$13,0)</f>
        <v>10710.002373793104</v>
      </c>
      <c r="G20" s="474">
        <f>IFERROR('7. BS-Key Figures (LC)'!G20/'Input-FX Rates'!$H$13,0)</f>
        <v>15935.960888965517</v>
      </c>
      <c r="H20" s="474">
        <f>IFERROR('7. BS-Key Figures (LC)'!H20/'Input-FX Rates'!$H$13,0)</f>
        <v>14227.835489655174</v>
      </c>
      <c r="I20" s="474">
        <f>IFERROR('7. BS-Key Figures (LC)'!I20/'Input-FX Rates'!$H$13,0)</f>
        <v>12071.184620689652</v>
      </c>
      <c r="J20" s="474">
        <f>IFERROR('7. BS-Key Figures (LC)'!J20/'Input-FX Rates'!$H$13,0)</f>
        <v>10999.103617931032</v>
      </c>
      <c r="K20" s="474">
        <f>IFERROR('7. BS-Key Figures (LC)'!K20/'Input-FX Rates'!$H$13,0)</f>
        <v>8962.4581517241368</v>
      </c>
      <c r="L20" s="474">
        <f>IFERROR('7. BS-Key Figures (LC)'!L20/'Input-FX Rates'!$H$13,0)</f>
        <v>8389.7212048275833</v>
      </c>
      <c r="M20" s="474">
        <f>IFERROR('7. BS-Key Figures (LC)'!M20/'Input-FX Rates'!$H$13,0)</f>
        <v>6355.1140406896548</v>
      </c>
      <c r="N20" s="474">
        <f>IFERROR('7. BS-Key Figures (LC)'!N20/'Input-FX Rates'!$H$13,0)</f>
        <v>6610.5202089655158</v>
      </c>
      <c r="O20" s="474">
        <f>IFERROR('7. BS-Key Figures (LC)'!O20/'Input-FX Rates'!$H$13,0)</f>
        <v>6336.6973062068955</v>
      </c>
      <c r="P20" s="474">
        <f>IFERROR('7. BS-Key Figures (LC)'!P20/'Input-FX Rates'!$H$13,0)</f>
        <v>6995.4567124137911</v>
      </c>
      <c r="Q20" s="474">
        <f>IFERROR('7. BS-Key Figures (LC)'!Q20/'Input-FX Rates'!$H$13,0)</f>
        <v>8545.6685924137928</v>
      </c>
      <c r="R20" s="473"/>
      <c r="S20" s="472">
        <f>S10+S16-S18</f>
        <v>8545.6685924137928</v>
      </c>
      <c r="T20" s="265">
        <f t="shared" si="0"/>
        <v>-1751.2703153736675</v>
      </c>
      <c r="U20" s="412" t="str">
        <f>IF(ISBLANK('7. BS-Key Figures (LC)'!U20),"",'7. BS-Key Figures (LC)'!U20)</f>
        <v/>
      </c>
      <c r="W20" s="9"/>
    </row>
    <row r="21" spans="1:23" ht="19.899999999999999" customHeight="1">
      <c r="A21" s="412"/>
      <c r="B21" s="916" t="s">
        <v>693</v>
      </c>
      <c r="C21" s="921">
        <f>IFERROR(C20/C$8,0)</f>
        <v>9.4009590011679647E-2</v>
      </c>
      <c r="D21" s="922">
        <f>IFERROR(D20/D$8,0)</f>
        <v>0.10011460188265731</v>
      </c>
      <c r="E21" s="923">
        <f>IFERROR(E20/E$8,0)</f>
        <v>0.10283904065519896</v>
      </c>
      <c r="F21" s="924">
        <f t="shared" ref="F21:Q21" si="3">IFERROR(F20/$S$8,0)</f>
        <v>0.12187888334480167</v>
      </c>
      <c r="G21" s="924">
        <f t="shared" si="3"/>
        <v>0.18134983078305997</v>
      </c>
      <c r="H21" s="924">
        <f t="shared" si="3"/>
        <v>0.1619115142435365</v>
      </c>
      <c r="I21" s="924">
        <f t="shared" si="3"/>
        <v>0.13736901737936244</v>
      </c>
      <c r="J21" s="924">
        <f t="shared" si="3"/>
        <v>0.12516883003009305</v>
      </c>
      <c r="K21" s="924">
        <f t="shared" si="3"/>
        <v>0.10199198407551674</v>
      </c>
      <c r="L21" s="924">
        <f t="shared" si="3"/>
        <v>9.5474288084256134E-2</v>
      </c>
      <c r="M21" s="924">
        <f t="shared" si="3"/>
        <v>7.2320637827627834E-2</v>
      </c>
      <c r="N21" s="924">
        <f t="shared" si="3"/>
        <v>7.5227137518515563E-2</v>
      </c>
      <c r="O21" s="924">
        <f t="shared" si="3"/>
        <v>7.2111057011930838E-2</v>
      </c>
      <c r="P21" s="924">
        <f t="shared" si="3"/>
        <v>7.9607681010618672E-2</v>
      </c>
      <c r="Q21" s="924">
        <f t="shared" si="3"/>
        <v>9.7248955614307728E-2</v>
      </c>
      <c r="R21" s="922"/>
      <c r="S21" s="923">
        <f>IFERROR(S20/S$8,0)</f>
        <v>9.7248955614307728E-2</v>
      </c>
      <c r="T21" s="919">
        <f t="shared" si="0"/>
        <v>-5.5900850408912295E-3</v>
      </c>
      <c r="U21" s="412" t="str">
        <f>IF(ISBLANK('7. BS-Key Figures (LC)'!U21),"",'7. BS-Key Figures (LC)'!U21)</f>
        <v/>
      </c>
      <c r="W21" s="9" t="s">
        <v>694</v>
      </c>
    </row>
    <row r="22" spans="1:23" ht="19.899999999999999" customHeight="1">
      <c r="A22" s="214" t="s">
        <v>695</v>
      </c>
      <c r="B22" s="452"/>
      <c r="C22" s="453">
        <f>IFERROR('7. BS-Key Figures (LC)'!C22/'Input-FX Rates'!$C$13,0)</f>
        <v>914.70982435005055</v>
      </c>
      <c r="D22" s="287">
        <f>IFERROR('7. BS-Key Figures (LC)'!D22/'Input-FX Rates'!$D$13,0)</f>
        <v>4915.8344454477055</v>
      </c>
      <c r="E22" s="265">
        <f>IFERROR('7. BS-Key Figures (LC)'!E22/'Input-FX Rates'!$G$13,0)</f>
        <v>2176.1541291818949</v>
      </c>
      <c r="F22" s="78">
        <f>IFERROR('7. BS-Key Figures (LC)'!F22/'Input-FX Rates'!$H$13,0)</f>
        <v>185.57036689655172</v>
      </c>
      <c r="G22" s="78">
        <f>IFERROR('7. BS-Key Figures (LC)'!G22/'Input-FX Rates'!$H$13,0)</f>
        <v>238.43216482758623</v>
      </c>
      <c r="H22" s="78">
        <f>IFERROR('7. BS-Key Figures (LC)'!H22/'Input-FX Rates'!$H$13,0)</f>
        <v>254.89986275862069</v>
      </c>
      <c r="I22" s="78">
        <f>IFERROR('7. BS-Key Figures (LC)'!I22/'Input-FX Rates'!$H$13,0)</f>
        <v>81.520962068965517</v>
      </c>
      <c r="J22" s="78">
        <f>IFERROR('7. BS-Key Figures (LC)'!J22/'Input-FX Rates'!$H$13,0)</f>
        <v>145.54760689655171</v>
      </c>
      <c r="K22" s="78">
        <f>IFERROR('7. BS-Key Figures (LC)'!K22/'Input-FX Rates'!$H$13,0)</f>
        <v>95.460300000000004</v>
      </c>
      <c r="L22" s="78">
        <f>IFERROR('7. BS-Key Figures (LC)'!L22/'Input-FX Rates'!$H$13,0)</f>
        <v>134.87080620689656</v>
      </c>
      <c r="M22" s="78">
        <f>IFERROR('7. BS-Key Figures (LC)'!M22/'Input-FX Rates'!$H$13,0)</f>
        <v>834.46211448275869</v>
      </c>
      <c r="N22" s="78">
        <f>IFERROR('7. BS-Key Figures (LC)'!N22/'Input-FX Rates'!$H$13,0)</f>
        <v>4.7579668965517241</v>
      </c>
      <c r="O22" s="78">
        <f>IFERROR('7. BS-Key Figures (LC)'!O22/'Input-FX Rates'!$H$13,0)</f>
        <v>186.38687310344829</v>
      </c>
      <c r="P22" s="78">
        <f>IFERROR('7. BS-Key Figures (LC)'!P22/'Input-FX Rates'!$H$13,0)</f>
        <v>1.8290089655172415</v>
      </c>
      <c r="Q22" s="78">
        <f>IFERROR('7. BS-Key Figures (LC)'!Q22/'Input-FX Rates'!$H$13,0)</f>
        <v>135.74135931034482</v>
      </c>
      <c r="R22" s="287"/>
      <c r="S22" s="265">
        <f>IFERROR('7. BS-Key Figures (LC)'!S22/'Input-FX Rates'!$H$13,0)</f>
        <v>2299.479392413793</v>
      </c>
      <c r="T22" s="265">
        <f t="shared" ref="T22:T23" si="4">S22-E22</f>
        <v>123.32526323189813</v>
      </c>
      <c r="U22" s="412" t="str">
        <f>IF(ISBLANK('7. BS-Key Figures (LC)'!U22),"",'7. BS-Key Figures (LC)'!U22)</f>
        <v/>
      </c>
    </row>
    <row r="23" spans="1:23" ht="19.899999999999999" customHeight="1">
      <c r="A23" s="412"/>
      <c r="B23" s="916" t="s">
        <v>693</v>
      </c>
      <c r="C23" s="917">
        <f>IFERROR(C22/C$8,0)</f>
        <v>9.8815438500993742E-3</v>
      </c>
      <c r="D23" s="918">
        <f>IFERROR(D22/D$8,0)</f>
        <v>5.3429313359063202E-2</v>
      </c>
      <c r="E23" s="919">
        <f>IFERROR(E22/E$8,0)</f>
        <v>2.1733993468064899E-2</v>
      </c>
      <c r="F23" s="920"/>
      <c r="G23" s="920"/>
      <c r="H23" s="920"/>
      <c r="I23" s="920"/>
      <c r="J23" s="920"/>
      <c r="K23" s="920"/>
      <c r="L23" s="920"/>
      <c r="M23" s="920"/>
      <c r="N23" s="920"/>
      <c r="O23" s="920"/>
      <c r="P23" s="920"/>
      <c r="Q23" s="920"/>
      <c r="R23" s="918"/>
      <c r="S23" s="919">
        <f>IFERROR(S22/S$8,0)</f>
        <v>2.616787287625209E-2</v>
      </c>
      <c r="T23" s="919">
        <f t="shared" si="4"/>
        <v>4.4338794081871906E-3</v>
      </c>
      <c r="U23" s="412" t="str">
        <f>IF(ISBLANK('7. BS-Key Figures (LC)'!U23),"",'7. BS-Key Figures (LC)'!U23)</f>
        <v/>
      </c>
    </row>
  </sheetData>
  <mergeCells count="6">
    <mergeCell ref="A4:U4"/>
    <mergeCell ref="D6:E6"/>
    <mergeCell ref="R6:S6"/>
    <mergeCell ref="A6:B6"/>
    <mergeCell ref="A7:B7"/>
    <mergeCell ref="F6:Q6"/>
  </mergeCells>
  <phoneticPr fontId="65" type="noConversion"/>
  <pageMargins left="0.70866141732283472" right="0.70866141732283472" top="0.74803149606299213" bottom="0.74803149606299213" header="0.31496062992125984" footer="0.31496062992125984"/>
  <pageSetup paperSize="9" scale="56" orientation="landscape" r:id="rId1"/>
  <customProperties>
    <customPr name="_pios_id" r:id="rId2"/>
  </customPropertie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3B063-C086-4D78-849A-BA769D96B8EC}">
  <sheetPr>
    <tabColor rgb="FFFFFFCC"/>
    <pageSetUpPr fitToPage="1"/>
  </sheetPr>
  <dimension ref="A1:H18"/>
  <sheetViews>
    <sheetView showGridLines="0" zoomScaleNormal="100" workbookViewId="0">
      <pane ySplit="6" topLeftCell="A7" activePane="bottomLeft" state="frozen"/>
      <selection activeCell="A30" sqref="A30:G30"/>
      <selection pane="bottomLeft" activeCell="C9" sqref="C9"/>
    </sheetView>
  </sheetViews>
  <sheetFormatPr defaultColWidth="9.28515625" defaultRowHeight="12.75" customHeight="1"/>
  <cols>
    <col min="1" max="1" width="15.28515625" style="221" customWidth="1"/>
    <col min="2" max="2" width="20" style="221" customWidth="1"/>
    <col min="3" max="3" width="51.28515625" style="221" customWidth="1"/>
    <col min="4" max="4" width="19.7109375" style="221" customWidth="1"/>
    <col min="5" max="6" width="19.28515625" style="221" customWidth="1"/>
    <col min="7" max="7" width="6.7109375" style="221" customWidth="1"/>
    <col min="8" max="8" width="164.7109375" style="221" bestFit="1" customWidth="1"/>
    <col min="9" max="16384" width="9.28515625" style="221"/>
  </cols>
  <sheetData>
    <row r="1" spans="1:8" ht="19.899999999999999" customHeight="1">
      <c r="A1" s="60" t="str">
        <f>+'0. Instructions'!A1</f>
        <v>Budget 2024</v>
      </c>
      <c r="B1" s="60"/>
      <c r="C1" s="60"/>
      <c r="D1" s="219"/>
      <c r="E1" s="219"/>
      <c r="F1" s="57" t="str">
        <f>'Input-FX Rates'!$H$1</f>
        <v>Plant ICH Icheon (242)</v>
      </c>
      <c r="H1" s="397" t="s">
        <v>154</v>
      </c>
    </row>
    <row r="2" spans="1:8" ht="19.899999999999999" customHeight="1" thickBot="1">
      <c r="A2" s="55" t="s">
        <v>696</v>
      </c>
      <c r="B2" s="55"/>
      <c r="C2" s="55"/>
      <c r="D2" s="55"/>
      <c r="E2" s="55"/>
      <c r="F2" s="54" t="str">
        <f>'Input-FX Rates'!$H$2</f>
        <v>7821 PL Drivetrain Controls (&amp; Electrification)</v>
      </c>
      <c r="H2" s="95" t="s">
        <v>156</v>
      </c>
    </row>
    <row r="5" spans="1:8" ht="55.5" customHeight="1">
      <c r="A5" s="1035">
        <v>2023</v>
      </c>
      <c r="B5" s="1038"/>
      <c r="C5" s="188"/>
      <c r="D5" s="216">
        <v>2024</v>
      </c>
      <c r="E5" s="187" t="s">
        <v>697</v>
      </c>
      <c r="F5" s="187" t="s">
        <v>698</v>
      </c>
    </row>
    <row r="6" spans="1:8" ht="47.25">
      <c r="A6" s="501" t="s">
        <v>699</v>
      </c>
      <c r="B6" s="188" t="s">
        <v>700</v>
      </c>
      <c r="C6" s="188" t="s">
        <v>701</v>
      </c>
      <c r="D6" s="216" t="s">
        <v>702</v>
      </c>
      <c r="E6" s="187"/>
      <c r="F6" s="187"/>
      <c r="H6" s="267" t="s">
        <v>703</v>
      </c>
    </row>
    <row r="7" spans="1:8" ht="14.25" customHeight="1">
      <c r="A7" s="500">
        <v>0.44274639911720298</v>
      </c>
      <c r="B7" s="499">
        <v>524</v>
      </c>
      <c r="C7" s="749" t="s">
        <v>704</v>
      </c>
      <c r="D7" s="497">
        <v>485</v>
      </c>
      <c r="E7" s="496">
        <f t="shared" ref="E7:E17" si="0">D7-B7</f>
        <v>-39</v>
      </c>
      <c r="F7" s="495">
        <f t="shared" ref="F7:F18" si="1">IFERROR(D7/B7-1,0)</f>
        <v>-7.4427480916030575E-2</v>
      </c>
    </row>
    <row r="8" spans="1:8" ht="14.25" customHeight="1">
      <c r="A8" s="500">
        <v>0.37759140775405914</v>
      </c>
      <c r="B8" s="499">
        <v>524</v>
      </c>
      <c r="C8" s="749" t="s">
        <v>705</v>
      </c>
      <c r="D8" s="497">
        <v>485</v>
      </c>
      <c r="E8" s="496">
        <f t="shared" si="0"/>
        <v>-39</v>
      </c>
      <c r="F8" s="495">
        <f t="shared" si="1"/>
        <v>-7.4427480916030575E-2</v>
      </c>
    </row>
    <row r="9" spans="1:8" ht="14.25" customHeight="1">
      <c r="A9" s="500">
        <v>0.35406314155235252</v>
      </c>
      <c r="B9" s="499">
        <v>237</v>
      </c>
      <c r="C9" s="749" t="s">
        <v>356</v>
      </c>
      <c r="D9" s="497">
        <v>253</v>
      </c>
      <c r="E9" s="496">
        <f t="shared" si="0"/>
        <v>16</v>
      </c>
      <c r="F9" s="495">
        <f t="shared" si="1"/>
        <v>6.7510548523206815E-2</v>
      </c>
    </row>
    <row r="10" spans="1:8" ht="14.25" customHeight="1">
      <c r="A10" s="500">
        <v>0.36581202430389548</v>
      </c>
      <c r="B10" s="499">
        <v>127.749</v>
      </c>
      <c r="C10" s="749" t="s">
        <v>706</v>
      </c>
      <c r="D10" s="497">
        <v>154.4</v>
      </c>
      <c r="E10" s="496">
        <f t="shared" si="0"/>
        <v>26.65100000000001</v>
      </c>
      <c r="F10" s="495">
        <f t="shared" si="1"/>
        <v>0.20862002833681692</v>
      </c>
    </row>
    <row r="11" spans="1:8" ht="14.25" customHeight="1">
      <c r="A11" s="500">
        <v>0.34849963468921441</v>
      </c>
      <c r="B11" s="499">
        <v>85.024000000000001</v>
      </c>
      <c r="C11" s="498" t="s">
        <v>707</v>
      </c>
      <c r="D11" s="497">
        <v>128.4</v>
      </c>
      <c r="E11" s="496">
        <f t="shared" si="0"/>
        <v>43.376000000000005</v>
      </c>
      <c r="F11" s="495">
        <f t="shared" si="1"/>
        <v>0.51016183665788484</v>
      </c>
    </row>
    <row r="12" spans="1:8" ht="14.25" customHeight="1">
      <c r="A12" s="500">
        <v>0.53574780286326518</v>
      </c>
      <c r="B12" s="499">
        <v>5.32</v>
      </c>
      <c r="C12" s="498" t="s">
        <v>708</v>
      </c>
      <c r="D12" s="497">
        <v>0</v>
      </c>
      <c r="E12" s="496">
        <f t="shared" si="0"/>
        <v>-5.32</v>
      </c>
      <c r="F12" s="495">
        <f t="shared" si="1"/>
        <v>-1</v>
      </c>
    </row>
    <row r="13" spans="1:8" ht="14.25" customHeight="1">
      <c r="A13" s="500">
        <v>0.44220753590563888</v>
      </c>
      <c r="B13" s="499">
        <v>4.5540000000000003</v>
      </c>
      <c r="C13" s="498" t="s">
        <v>709</v>
      </c>
      <c r="D13" s="497">
        <v>0</v>
      </c>
      <c r="E13" s="496">
        <f t="shared" si="0"/>
        <v>-4.5540000000000003</v>
      </c>
      <c r="F13" s="495">
        <f t="shared" si="1"/>
        <v>-1</v>
      </c>
    </row>
    <row r="14" spans="1:8" ht="15">
      <c r="A14" s="500">
        <v>0.34239319568887161</v>
      </c>
      <c r="B14" s="499">
        <v>2.5000000000000001E-2</v>
      </c>
      <c r="C14" s="498" t="s">
        <v>710</v>
      </c>
      <c r="D14" s="497">
        <v>0</v>
      </c>
      <c r="E14" s="496">
        <f t="shared" si="0"/>
        <v>-2.5000000000000001E-2</v>
      </c>
      <c r="F14" s="495">
        <f t="shared" si="1"/>
        <v>-1</v>
      </c>
    </row>
    <row r="15" spans="1:8" ht="15">
      <c r="A15" s="500"/>
      <c r="B15" s="499"/>
      <c r="C15" s="498"/>
      <c r="D15" s="497"/>
      <c r="E15" s="496">
        <f t="shared" si="0"/>
        <v>0</v>
      </c>
      <c r="F15" s="495">
        <f t="shared" si="1"/>
        <v>0</v>
      </c>
    </row>
    <row r="16" spans="1:8" ht="15">
      <c r="A16" s="500"/>
      <c r="B16" s="499"/>
      <c r="C16" s="498"/>
      <c r="D16" s="497"/>
      <c r="E16" s="496">
        <f t="shared" si="0"/>
        <v>0</v>
      </c>
      <c r="F16" s="495">
        <f t="shared" si="1"/>
        <v>0</v>
      </c>
    </row>
    <row r="17" spans="1:8" ht="15">
      <c r="A17" s="494"/>
      <c r="B17" s="493"/>
      <c r="C17" s="492"/>
      <c r="D17" s="491"/>
      <c r="E17" s="490">
        <f t="shared" si="0"/>
        <v>0</v>
      </c>
      <c r="F17" s="489">
        <f t="shared" si="1"/>
        <v>0</v>
      </c>
    </row>
    <row r="18" spans="1:8" ht="25.5">
      <c r="A18" s="429"/>
      <c r="B18" s="80">
        <f>SUM(B7:B17)</f>
        <v>1507.6720000000003</v>
      </c>
      <c r="C18" s="488" t="s">
        <v>711</v>
      </c>
      <c r="D18" s="78">
        <f>SUM(D7:D17)</f>
        <v>1505.8000000000002</v>
      </c>
      <c r="E18" s="78">
        <f>SUM(E7:E17)</f>
        <v>-1.8719999999999852</v>
      </c>
      <c r="F18" s="487">
        <f t="shared" si="1"/>
        <v>-1.241649377318188E-3</v>
      </c>
      <c r="H18" s="9" t="s">
        <v>712</v>
      </c>
    </row>
  </sheetData>
  <mergeCells count="1">
    <mergeCell ref="A5:B5"/>
  </mergeCells>
  <phoneticPr fontId="65" type="noConversion"/>
  <pageMargins left="0.70866141732283472" right="0.70866141732283472" top="0.74803149606299213" bottom="0.74803149606299213" header="0.31496062992125984" footer="0.31496062992125984"/>
  <pageSetup paperSize="9" scale="70" orientation="landscape" r:id="rId1"/>
  <customProperties>
    <customPr name="_pios_id" r:id="rId2"/>
  </customPropertie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D051D-A005-4FA8-BDF7-1EF04D49E228}">
  <sheetPr>
    <tabColor rgb="FFFFFFCC"/>
  </sheetPr>
  <dimension ref="A1:I14"/>
  <sheetViews>
    <sheetView showGridLines="0" zoomScaleNormal="100" workbookViewId="0">
      <pane xSplit="2" ySplit="7" topLeftCell="C8" activePane="bottomRight" state="frozen"/>
      <selection pane="topRight" activeCell="A30" sqref="A30:G30"/>
      <selection pane="bottomLeft" activeCell="A30" sqref="A30:G30"/>
      <selection pane="bottomRight" activeCell="A30" sqref="A30:G30"/>
    </sheetView>
  </sheetViews>
  <sheetFormatPr defaultColWidth="9.28515625" defaultRowHeight="12.75"/>
  <cols>
    <col min="1" max="1" width="73.28515625" style="502" customWidth="1"/>
    <col min="2" max="2" width="26" style="502" customWidth="1"/>
    <col min="3" max="3" width="30" style="502" customWidth="1"/>
    <col min="4" max="4" width="26.7109375" style="502" customWidth="1"/>
    <col min="5" max="5" width="21.7109375" style="502" customWidth="1"/>
    <col min="6" max="6" width="16.28515625" style="502" customWidth="1"/>
    <col min="7" max="7" width="37.28515625" style="502" customWidth="1"/>
    <col min="8" max="8" width="9.28515625" style="502"/>
    <col min="9" max="9" width="104.7109375" style="502" bestFit="1" customWidth="1"/>
    <col min="10" max="16384" width="9.28515625" style="502"/>
  </cols>
  <sheetData>
    <row r="1" spans="1:9" ht="20.25">
      <c r="A1" s="60" t="str">
        <f>+'0. Instructions'!A1</f>
        <v>Budget 2024</v>
      </c>
      <c r="B1" s="525"/>
      <c r="C1" s="525"/>
      <c r="D1" s="524"/>
      <c r="E1" s="524"/>
      <c r="F1" s="57"/>
      <c r="G1" s="57" t="str">
        <f>'Input-FX Rates'!$H$1</f>
        <v>Plant ICH Icheon (242)</v>
      </c>
      <c r="H1" s="523"/>
      <c r="I1" s="397" t="s">
        <v>154</v>
      </c>
    </row>
    <row r="2" spans="1:9" ht="18.75" thickBot="1">
      <c r="A2" s="55" t="s">
        <v>713</v>
      </c>
      <c r="B2" s="55"/>
      <c r="C2" s="55"/>
      <c r="D2" s="55"/>
      <c r="E2" s="55"/>
      <c r="F2" s="54"/>
      <c r="G2" s="54" t="str">
        <f>'Input-FX Rates'!$H$2</f>
        <v>7821 PL Drivetrain Controls (&amp; Electrification)</v>
      </c>
      <c r="H2" s="522"/>
      <c r="I2" s="95" t="s">
        <v>156</v>
      </c>
    </row>
    <row r="3" spans="1:9" ht="15.75">
      <c r="A3" s="521"/>
      <c r="B3" s="521"/>
      <c r="C3" s="521"/>
      <c r="D3" s="521"/>
      <c r="E3" s="521"/>
      <c r="F3" s="521"/>
      <c r="G3" s="521"/>
      <c r="H3" s="521"/>
      <c r="I3" s="221"/>
    </row>
    <row r="4" spans="1:9" ht="15.75" customHeight="1">
      <c r="A4" s="304" t="str">
        <f>"in '000 "&amp;'Input-FX Rates'!$B$8</f>
        <v>in '000 KRW</v>
      </c>
      <c r="B4" s="188"/>
      <c r="C4" s="1037" t="s">
        <v>714</v>
      </c>
      <c r="D4" s="1038"/>
      <c r="E4" s="1037" t="s">
        <v>715</v>
      </c>
      <c r="F4" s="1036"/>
      <c r="G4" s="187" t="s">
        <v>716</v>
      </c>
      <c r="H4" s="503"/>
      <c r="I4" s="243"/>
    </row>
    <row r="5" spans="1:9" ht="15.75">
      <c r="A5" s="187"/>
      <c r="B5" s="188"/>
      <c r="C5" s="520" t="s">
        <v>717</v>
      </c>
      <c r="D5" s="188" t="s">
        <v>718</v>
      </c>
      <c r="E5" s="187" t="s">
        <v>719</v>
      </c>
      <c r="F5" s="658" t="s">
        <v>433</v>
      </c>
      <c r="G5" s="187"/>
      <c r="H5" s="503"/>
      <c r="I5" s="243" t="s">
        <v>720</v>
      </c>
    </row>
    <row r="6" spans="1:9" ht="15.75">
      <c r="A6" s="187"/>
      <c r="B6" s="188"/>
      <c r="C6" s="520"/>
      <c r="D6" s="188"/>
      <c r="E6" s="187"/>
      <c r="F6" s="658"/>
      <c r="G6" s="187"/>
      <c r="H6" s="503"/>
      <c r="I6" s="242"/>
    </row>
    <row r="7" spans="1:9" ht="15.75">
      <c r="A7" s="519"/>
      <c r="B7" s="518"/>
      <c r="C7" s="516"/>
      <c r="D7" s="517"/>
      <c r="E7" s="516"/>
      <c r="F7" s="515"/>
      <c r="G7" s="514"/>
      <c r="H7" s="503"/>
      <c r="I7" s="243" t="s">
        <v>721</v>
      </c>
    </row>
    <row r="8" spans="1:9" ht="15.75">
      <c r="A8" s="988" t="s">
        <v>722</v>
      </c>
      <c r="B8" s="989">
        <v>44809</v>
      </c>
      <c r="C8" s="990">
        <v>-80235745.011419997</v>
      </c>
      <c r="D8" s="991">
        <v>-79471045.063539997</v>
      </c>
      <c r="E8" s="992">
        <f t="shared" ref="E8:E13" si="0">D8-C8</f>
        <v>764699.94787999988</v>
      </c>
      <c r="F8" s="993">
        <f>E8/D8</f>
        <v>-9.6223718622121344E-3</v>
      </c>
      <c r="G8" s="994"/>
      <c r="H8" s="503"/>
      <c r="I8" s="243" t="s">
        <v>723</v>
      </c>
    </row>
    <row r="9" spans="1:9" ht="15.75">
      <c r="A9" s="512" t="s">
        <v>724</v>
      </c>
      <c r="B9" s="511"/>
      <c r="C9" s="510">
        <v>15714109.998</v>
      </c>
      <c r="D9" s="509">
        <v>15714109.998</v>
      </c>
      <c r="E9" s="508">
        <f t="shared" si="0"/>
        <v>0</v>
      </c>
      <c r="F9" s="507">
        <f t="shared" ref="F9:F14" si="1">ROUND(IF(C9=0,0,E9/C9),3)</f>
        <v>0</v>
      </c>
      <c r="G9" s="506"/>
      <c r="H9" s="503"/>
      <c r="I9" s="243" t="s">
        <v>725</v>
      </c>
    </row>
    <row r="10" spans="1:9" ht="15.75">
      <c r="A10" s="512" t="s">
        <v>726</v>
      </c>
      <c r="B10" s="511"/>
      <c r="C10" s="510"/>
      <c r="D10" s="509"/>
      <c r="E10" s="508">
        <f t="shared" si="0"/>
        <v>0</v>
      </c>
      <c r="F10" s="507">
        <f t="shared" si="1"/>
        <v>0</v>
      </c>
      <c r="G10" s="506"/>
      <c r="H10" s="503"/>
      <c r="I10" s="243" t="s">
        <v>725</v>
      </c>
    </row>
    <row r="11" spans="1:9" ht="15.75">
      <c r="A11" s="512" t="s">
        <v>727</v>
      </c>
      <c r="B11" s="511"/>
      <c r="C11" s="510"/>
      <c r="D11" s="509"/>
      <c r="E11" s="508">
        <f t="shared" si="0"/>
        <v>0</v>
      </c>
      <c r="F11" s="507">
        <f t="shared" si="1"/>
        <v>0</v>
      </c>
      <c r="G11" s="506"/>
      <c r="H11" s="503"/>
      <c r="I11" s="243" t="s">
        <v>725</v>
      </c>
    </row>
    <row r="12" spans="1:9" ht="15.75">
      <c r="A12" s="512" t="s">
        <v>728</v>
      </c>
      <c r="B12" s="511"/>
      <c r="C12" s="510"/>
      <c r="D12" s="509"/>
      <c r="E12" s="508">
        <f t="shared" si="0"/>
        <v>0</v>
      </c>
      <c r="F12" s="507">
        <f t="shared" si="1"/>
        <v>0</v>
      </c>
      <c r="G12" s="506"/>
      <c r="H12" s="503"/>
      <c r="I12" s="243" t="s">
        <v>725</v>
      </c>
    </row>
    <row r="13" spans="1:9" ht="15.75">
      <c r="A13" s="512" t="s">
        <v>729</v>
      </c>
      <c r="B13" s="511"/>
      <c r="C13" s="510"/>
      <c r="D13" s="509"/>
      <c r="E13" s="508">
        <f t="shared" si="0"/>
        <v>0</v>
      </c>
      <c r="F13" s="507">
        <f t="shared" si="1"/>
        <v>0</v>
      </c>
      <c r="G13" s="506"/>
      <c r="H13" s="503"/>
      <c r="I13" s="243"/>
    </row>
    <row r="14" spans="1:9" ht="15.75">
      <c r="A14" s="505" t="s">
        <v>730</v>
      </c>
      <c r="B14" s="80"/>
      <c r="C14" s="78">
        <f>SUM(C8:C13)</f>
        <v>-64521635.013420001</v>
      </c>
      <c r="D14" s="80">
        <f>SUM(D8:D13)</f>
        <v>-63756935.065540001</v>
      </c>
      <c r="E14" s="78">
        <f>SUM(E8:E13)</f>
        <v>764699.94787999988</v>
      </c>
      <c r="F14" s="504">
        <f t="shared" si="1"/>
        <v>-1.2E-2</v>
      </c>
      <c r="G14" s="428"/>
      <c r="H14" s="503"/>
      <c r="I14" s="243" t="s">
        <v>731</v>
      </c>
    </row>
  </sheetData>
  <mergeCells count="2">
    <mergeCell ref="C4:D4"/>
    <mergeCell ref="E4:F4"/>
  </mergeCells>
  <phoneticPr fontId="65" type="noConversion"/>
  <pageMargins left="0.7" right="0.7" top="0.78740157499999996" bottom="0.78740157499999996" header="0.3" footer="0.3"/>
  <pageSetup paperSize="9" orientation="portrait" r:id="rId1"/>
  <customProperties>
    <customPr name="_pios_id" r:id="rId2"/>
  </customPropertie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DECC0-12C2-4D07-83C7-A3A26BC7A380}">
  <dimension ref="A1:I14"/>
  <sheetViews>
    <sheetView showGridLines="0" zoomScaleNormal="100" workbookViewId="0">
      <pane xSplit="2" ySplit="7" topLeftCell="C8" activePane="bottomRight" state="frozen"/>
      <selection pane="topRight" activeCell="A30" sqref="A30:G30"/>
      <selection pane="bottomLeft" activeCell="A30" sqref="A30:G30"/>
      <selection pane="bottomRight" activeCell="D8" sqref="D8"/>
    </sheetView>
  </sheetViews>
  <sheetFormatPr defaultColWidth="9.28515625" defaultRowHeight="12.75"/>
  <cols>
    <col min="1" max="1" width="74.28515625" style="502" bestFit="1" customWidth="1"/>
    <col min="2" max="2" width="12.7109375" style="502" bestFit="1" customWidth="1"/>
    <col min="3" max="3" width="30" style="502" customWidth="1"/>
    <col min="4" max="4" width="26.7109375" style="502" customWidth="1"/>
    <col min="5" max="5" width="21.7109375" style="502" customWidth="1"/>
    <col min="6" max="6" width="16.28515625" style="502" customWidth="1"/>
    <col min="7" max="7" width="25.7109375" style="502" customWidth="1"/>
    <col min="8" max="8" width="2.7109375" style="502" customWidth="1"/>
    <col min="9" max="9" width="102.7109375" style="502" bestFit="1" customWidth="1"/>
    <col min="10" max="16384" width="9.28515625" style="502"/>
  </cols>
  <sheetData>
    <row r="1" spans="1:9" ht="20.25">
      <c r="A1" s="60" t="str">
        <f>+'0. Instructions'!A1</f>
        <v>Budget 2024</v>
      </c>
      <c r="B1" s="525"/>
      <c r="C1" s="525"/>
      <c r="D1" s="524"/>
      <c r="E1" s="524"/>
      <c r="F1" s="57"/>
      <c r="G1" s="57" t="str">
        <f>'Input-FX Rates'!$H$1</f>
        <v>Plant ICH Icheon (242)</v>
      </c>
      <c r="H1" s="523"/>
      <c r="I1" s="397" t="s">
        <v>154</v>
      </c>
    </row>
    <row r="2" spans="1:9" ht="18.75" thickBot="1">
      <c r="A2" s="55" t="s">
        <v>713</v>
      </c>
      <c r="B2" s="55"/>
      <c r="C2" s="55"/>
      <c r="D2" s="55"/>
      <c r="E2" s="55"/>
      <c r="F2" s="54"/>
      <c r="G2" s="54" t="str">
        <f>'Input-FX Rates'!$H$2</f>
        <v>7821 PL Drivetrain Controls (&amp; Electrification)</v>
      </c>
      <c r="H2" s="522"/>
      <c r="I2" s="95" t="s">
        <v>156</v>
      </c>
    </row>
    <row r="3" spans="1:9" ht="15.75">
      <c r="A3" s="521"/>
      <c r="B3" s="521"/>
      <c r="C3" s="521"/>
      <c r="D3" s="521"/>
      <c r="E3" s="521"/>
      <c r="F3" s="521"/>
      <c r="G3" s="521"/>
      <c r="H3" s="521"/>
      <c r="I3" s="221"/>
    </row>
    <row r="4" spans="1:9" ht="15.75" customHeight="1">
      <c r="A4" s="304" t="str">
        <f>"in '000 "&amp;"EUR"</f>
        <v>in '000 EUR</v>
      </c>
      <c r="B4" s="188"/>
      <c r="C4" s="1037" t="s">
        <v>714</v>
      </c>
      <c r="D4" s="1038"/>
      <c r="E4" s="1037" t="s">
        <v>715</v>
      </c>
      <c r="F4" s="1035"/>
      <c r="G4" s="304" t="s">
        <v>716</v>
      </c>
      <c r="H4" s="503"/>
      <c r="I4" s="243"/>
    </row>
    <row r="5" spans="1:9" ht="15.75">
      <c r="A5" s="187"/>
      <c r="B5" s="188"/>
      <c r="C5" s="520" t="s">
        <v>717</v>
      </c>
      <c r="D5" s="188" t="s">
        <v>718</v>
      </c>
      <c r="E5" s="187" t="s">
        <v>719</v>
      </c>
      <c r="F5" s="187" t="s">
        <v>433</v>
      </c>
      <c r="G5" s="304"/>
      <c r="H5" s="503"/>
      <c r="I5" s="243" t="s">
        <v>720</v>
      </c>
    </row>
    <row r="6" spans="1:9" ht="15.75">
      <c r="A6" s="187"/>
      <c r="B6" s="188"/>
      <c r="C6" s="187"/>
      <c r="D6" s="188"/>
      <c r="E6" s="187"/>
      <c r="F6" s="187"/>
      <c r="G6" s="304"/>
      <c r="H6" s="503"/>
      <c r="I6" s="242"/>
    </row>
    <row r="7" spans="1:9" ht="15.75">
      <c r="A7" s="519"/>
      <c r="B7" s="518"/>
      <c r="C7" s="516"/>
      <c r="D7" s="517"/>
      <c r="E7" s="516"/>
      <c r="F7" s="534"/>
      <c r="G7" s="533"/>
      <c r="H7" s="503"/>
      <c r="I7" s="243" t="s">
        <v>721</v>
      </c>
    </row>
    <row r="8" spans="1:9" ht="15.75">
      <c r="A8" s="505" t="s">
        <v>722</v>
      </c>
      <c r="B8" s="513">
        <f>+'10. Purchasing (LC)'!B8</f>
        <v>44809</v>
      </c>
      <c r="C8" s="78">
        <f>+'10. Purchasing (LC)'!C8/'Input-FX Rates'!$H$16</f>
        <v>-55334.996559599997</v>
      </c>
      <c r="D8" s="80">
        <f>+'10. Purchasing (LC)'!D8/'Input-FX Rates'!$H$16</f>
        <v>-54807.617285199995</v>
      </c>
      <c r="E8" s="78">
        <f t="shared" ref="E8" si="0">D8-C8</f>
        <v>527.37927440000203</v>
      </c>
      <c r="F8" s="429">
        <f t="shared" ref="F8" si="1">ROUND(IF(C8=0,0,E8/C8),3)</f>
        <v>-0.01</v>
      </c>
      <c r="G8" s="526" t="str">
        <f>IF('10. Purchasing (LC)'!G8="", "", '10. Purchasing (LC)'!G8)</f>
        <v/>
      </c>
      <c r="H8" s="503"/>
      <c r="I8" s="243" t="s">
        <v>723</v>
      </c>
    </row>
    <row r="9" spans="1:9" ht="15.75">
      <c r="A9" s="532" t="str">
        <f>IF('10. Purchasing (LC)'!A9="", "", '10. Purchasing (LC)'!A9)</f>
        <v>BOM price update_A2C76249204 (Customer directed part)</v>
      </c>
      <c r="B9" s="531"/>
      <c r="C9" s="530">
        <f>+'10. Purchasing (LC)'!C9/'Input-FX Rates'!$H$16</f>
        <v>10837.31724</v>
      </c>
      <c r="D9" s="529">
        <f>+'10. Purchasing (LC)'!D9/'Input-FX Rates'!$H$16</f>
        <v>10837.31724</v>
      </c>
      <c r="E9" s="508">
        <f t="shared" ref="E9:E13" si="2">D9-C9</f>
        <v>0</v>
      </c>
      <c r="F9" s="528">
        <f t="shared" ref="F9:F14" si="3">ROUND(IF(C9=0,0,E9/C9),3)</f>
        <v>0</v>
      </c>
      <c r="G9" s="527" t="str">
        <f>IF('10. Purchasing (LC)'!G9="", "", '10. Purchasing (LC)'!G9)</f>
        <v/>
      </c>
      <c r="H9" s="503"/>
      <c r="I9" s="243" t="s">
        <v>725</v>
      </c>
    </row>
    <row r="10" spans="1:9" ht="15.75">
      <c r="A10" s="532" t="str">
        <f>IF('10. Purchasing (LC)'!A10="", "", '10. Purchasing (LC)'!A10)</f>
        <v>Specifiy deviation to Modias 2</v>
      </c>
      <c r="B10" s="531"/>
      <c r="C10" s="530">
        <f>+'10. Purchasing (LC)'!C10/'Input-FX Rates'!$H$16</f>
        <v>0</v>
      </c>
      <c r="D10" s="529">
        <f>+'10. Purchasing (LC)'!D10/'Input-FX Rates'!$H$16</f>
        <v>0</v>
      </c>
      <c r="E10" s="508">
        <f t="shared" si="2"/>
        <v>0</v>
      </c>
      <c r="F10" s="528">
        <f t="shared" si="3"/>
        <v>0</v>
      </c>
      <c r="G10" s="527" t="str">
        <f>IF('10. Purchasing (LC)'!G10="", "", '10. Purchasing (LC)'!G10)</f>
        <v/>
      </c>
      <c r="H10" s="503"/>
      <c r="I10" s="243" t="s">
        <v>725</v>
      </c>
    </row>
    <row r="11" spans="1:9" ht="15.75">
      <c r="A11" s="532" t="str">
        <f>IF('10. Purchasing (LC)'!A11="", "", '10. Purchasing (LC)'!A11)</f>
        <v>Specifiy deviation to Modias 3</v>
      </c>
      <c r="B11" s="531"/>
      <c r="C11" s="530">
        <f>+'10. Purchasing (LC)'!C11/'Input-FX Rates'!$H$16</f>
        <v>0</v>
      </c>
      <c r="D11" s="529">
        <f>+'10. Purchasing (LC)'!D11/'Input-FX Rates'!$H$16</f>
        <v>0</v>
      </c>
      <c r="E11" s="508">
        <f t="shared" si="2"/>
        <v>0</v>
      </c>
      <c r="F11" s="528">
        <f t="shared" si="3"/>
        <v>0</v>
      </c>
      <c r="G11" s="527" t="str">
        <f>IF('10. Purchasing (LC)'!G11="", "", '10. Purchasing (LC)'!G11)</f>
        <v/>
      </c>
      <c r="H11" s="503"/>
      <c r="I11" s="243" t="s">
        <v>725</v>
      </c>
    </row>
    <row r="12" spans="1:9" ht="15.75">
      <c r="A12" s="532" t="str">
        <f>IF('10. Purchasing (LC)'!A12="", "", '10. Purchasing (LC)'!A12)</f>
        <v>Specifiy deviation to Modias 4</v>
      </c>
      <c r="B12" s="531"/>
      <c r="C12" s="530">
        <f>+'10. Purchasing (LC)'!C12/'Input-FX Rates'!$H$16</f>
        <v>0</v>
      </c>
      <c r="D12" s="529">
        <f>+'10. Purchasing (LC)'!D12/'Input-FX Rates'!$H$16</f>
        <v>0</v>
      </c>
      <c r="E12" s="508">
        <f t="shared" si="2"/>
        <v>0</v>
      </c>
      <c r="F12" s="528">
        <f t="shared" si="3"/>
        <v>0</v>
      </c>
      <c r="G12" s="527" t="str">
        <f>IF('10. Purchasing (LC)'!G12="", "", '10. Purchasing (LC)'!G12)</f>
        <v/>
      </c>
      <c r="H12" s="503"/>
      <c r="I12" s="243" t="s">
        <v>725</v>
      </c>
    </row>
    <row r="13" spans="1:9" ht="15.75">
      <c r="A13" s="532" t="str">
        <f>IF('10. Purchasing (LC)'!A13="", "", '10. Purchasing (LC)'!A13)</f>
        <v>Specifiy deviation to Modias 5</v>
      </c>
      <c r="B13" s="531"/>
      <c r="C13" s="530">
        <f>+'10. Purchasing (LC)'!C13/'Input-FX Rates'!$H$16</f>
        <v>0</v>
      </c>
      <c r="D13" s="529">
        <f>+'10. Purchasing (LC)'!D13/'Input-FX Rates'!$H$16</f>
        <v>0</v>
      </c>
      <c r="E13" s="508">
        <f t="shared" si="2"/>
        <v>0</v>
      </c>
      <c r="F13" s="528">
        <f t="shared" si="3"/>
        <v>0</v>
      </c>
      <c r="G13" s="527" t="str">
        <f>IF('10. Purchasing (LC)'!G13="", "", '10. Purchasing (LC)'!G13)</f>
        <v/>
      </c>
      <c r="H13" s="503"/>
      <c r="I13" s="243"/>
    </row>
    <row r="14" spans="1:9" ht="15.75">
      <c r="A14" s="505" t="s">
        <v>730</v>
      </c>
      <c r="B14" s="80"/>
      <c r="C14" s="78">
        <f>+'10. Purchasing (LC)'!C14/'Input-FX Rates'!$H$16</f>
        <v>-44497.6793196</v>
      </c>
      <c r="D14" s="80">
        <f>+'10. Purchasing (LC)'!D14/'Input-FX Rates'!$H$16</f>
        <v>-43970.300045199998</v>
      </c>
      <c r="E14" s="78">
        <f>SUM(E8:E13)</f>
        <v>527.37927440000203</v>
      </c>
      <c r="F14" s="429">
        <f t="shared" si="3"/>
        <v>-1.2E-2</v>
      </c>
      <c r="G14" s="526" t="str">
        <f>IF('10. Purchasing (LC)'!G14="", "", '10. Purchasing (LC)'!G14)</f>
        <v/>
      </c>
      <c r="H14" s="503"/>
      <c r="I14" s="243" t="s">
        <v>731</v>
      </c>
    </row>
  </sheetData>
  <mergeCells count="2">
    <mergeCell ref="C4:D4"/>
    <mergeCell ref="E4:F4"/>
  </mergeCells>
  <phoneticPr fontId="65" type="noConversion"/>
  <pageMargins left="0.7" right="0.7" top="0.78740157499999996" bottom="0.78740157499999996" header="0.3" footer="0.3"/>
  <pageSetup paperSize="9" orientation="portrait" r:id="rId1"/>
  <customProperties>
    <customPr name="_pios_id" r:id="rId2"/>
  </customPropertie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B5103-650D-41B4-B4E3-611ADA995A44}">
  <sheetPr>
    <tabColor rgb="FFFFFFCC"/>
    <pageSetUpPr fitToPage="1"/>
  </sheetPr>
  <dimension ref="A1:F26"/>
  <sheetViews>
    <sheetView showGridLines="0" zoomScaleNormal="100" workbookViewId="0">
      <pane xSplit="1" ySplit="5" topLeftCell="B6" activePane="bottomRight" state="frozen"/>
      <selection pane="topRight" activeCell="A30" sqref="A30:G30"/>
      <selection pane="bottomLeft" activeCell="A30" sqref="A30:G30"/>
      <selection pane="bottomRight" activeCell="A16" sqref="A16"/>
    </sheetView>
  </sheetViews>
  <sheetFormatPr defaultColWidth="9.28515625" defaultRowHeight="12.75" customHeight="1"/>
  <cols>
    <col min="1" max="4" width="36.7109375" style="221" customWidth="1"/>
    <col min="5" max="5" width="9.28515625" style="221"/>
    <col min="6" max="6" width="88.7109375" style="221" bestFit="1" customWidth="1"/>
    <col min="7" max="16384" width="9.28515625" style="451"/>
  </cols>
  <sheetData>
    <row r="1" spans="1:6" ht="19.899999999999999" customHeight="1">
      <c r="A1" s="60" t="str">
        <f>+'0. Instructions'!A1</f>
        <v>Budget 2024</v>
      </c>
      <c r="B1" s="60"/>
      <c r="C1" s="750"/>
      <c r="D1" s="57" t="str">
        <f>'Input-FX Rates'!$H$1</f>
        <v>Plant ICH Icheon (242)</v>
      </c>
      <c r="F1" s="397" t="s">
        <v>154</v>
      </c>
    </row>
    <row r="2" spans="1:6" ht="19.899999999999999" customHeight="1" thickBot="1">
      <c r="A2" s="55" t="s">
        <v>732</v>
      </c>
      <c r="B2" s="55"/>
      <c r="C2" s="55"/>
      <c r="D2" s="54" t="str">
        <f>'Input-FX Rates'!$H$2</f>
        <v>7821 PL Drivetrain Controls (&amp; Electrification)</v>
      </c>
      <c r="F2" s="95" t="s">
        <v>156</v>
      </c>
    </row>
    <row r="4" spans="1:6" ht="24" customHeight="1">
      <c r="A4" s="658" t="str">
        <f>"in '000 "&amp;'Input-FX Rates'!$B$8</f>
        <v>in '000 KRW</v>
      </c>
      <c r="B4" s="1035" t="s">
        <v>153</v>
      </c>
      <c r="C4" s="1035"/>
      <c r="D4" s="1036"/>
      <c r="F4" s="267" t="s">
        <v>733</v>
      </c>
    </row>
    <row r="5" spans="1:6" ht="24" customHeight="1">
      <c r="A5" s="658"/>
      <c r="B5" s="187" t="s">
        <v>195</v>
      </c>
      <c r="C5" s="187" t="s">
        <v>207</v>
      </c>
      <c r="D5" s="658" t="s">
        <v>734</v>
      </c>
    </row>
    <row r="6" spans="1:6" ht="19.149999999999999" customHeight="1">
      <c r="A6" s="702" t="s">
        <v>735</v>
      </c>
      <c r="B6" s="703"/>
      <c r="C6" s="703"/>
      <c r="D6" s="704"/>
      <c r="F6" s="267" t="s">
        <v>736</v>
      </c>
    </row>
    <row r="7" spans="1:6" ht="19.149999999999999" customHeight="1">
      <c r="A7" s="702" t="s">
        <v>737</v>
      </c>
      <c r="B7" s="703"/>
      <c r="C7" s="703"/>
      <c r="D7" s="704"/>
    </row>
    <row r="8" spans="1:6" ht="19.149999999999999" customHeight="1">
      <c r="A8" s="702" t="s">
        <v>738</v>
      </c>
      <c r="B8" s="703"/>
      <c r="C8" s="703"/>
      <c r="D8" s="704"/>
    </row>
    <row r="9" spans="1:6" ht="19.149999999999999" customHeight="1">
      <c r="A9" s="702" t="s">
        <v>739</v>
      </c>
      <c r="B9" s="703"/>
      <c r="C9" s="703"/>
      <c r="D9" s="704"/>
    </row>
    <row r="10" spans="1:6" ht="19.149999999999999" customHeight="1">
      <c r="A10" s="702" t="s">
        <v>740</v>
      </c>
      <c r="B10" s="703"/>
      <c r="C10" s="703"/>
      <c r="D10" s="704"/>
    </row>
    <row r="11" spans="1:6" ht="19.149999999999999" customHeight="1">
      <c r="A11" s="702" t="s">
        <v>741</v>
      </c>
      <c r="B11" s="703"/>
      <c r="C11" s="703"/>
      <c r="D11" s="704"/>
    </row>
    <row r="12" spans="1:6" ht="19.149999999999999" customHeight="1">
      <c r="A12" s="702" t="s">
        <v>742</v>
      </c>
      <c r="B12" s="703"/>
      <c r="C12" s="703"/>
      <c r="D12" s="704"/>
    </row>
    <row r="13" spans="1:6" ht="19.149999999999999" customHeight="1">
      <c r="A13" s="702" t="s">
        <v>743</v>
      </c>
      <c r="B13" s="703"/>
      <c r="C13" s="703"/>
      <c r="D13" s="704"/>
    </row>
    <row r="14" spans="1:6" ht="19.149999999999999" customHeight="1">
      <c r="A14" s="702" t="s">
        <v>744</v>
      </c>
      <c r="B14" s="703"/>
      <c r="C14" s="703"/>
      <c r="D14" s="704"/>
    </row>
    <row r="15" spans="1:6" ht="22.9" customHeight="1">
      <c r="A15" s="452" t="s">
        <v>745</v>
      </c>
      <c r="B15" s="78">
        <f>SUM(B6:B14)</f>
        <v>0</v>
      </c>
      <c r="C15" s="78">
        <f>SUM(C6:C14)</f>
        <v>0</v>
      </c>
      <c r="D15" s="265">
        <f>SUM(D6:D14)</f>
        <v>0</v>
      </c>
    </row>
    <row r="16" spans="1:6" ht="19.149999999999999" customHeight="1">
      <c r="A16" s="702" t="s">
        <v>1543</v>
      </c>
      <c r="B16" s="703"/>
      <c r="C16" s="703"/>
      <c r="D16" s="704"/>
    </row>
    <row r="17" spans="1:4" ht="19.149999999999999" customHeight="1">
      <c r="A17" s="702" t="s">
        <v>1544</v>
      </c>
      <c r="B17" s="703"/>
      <c r="C17" s="703"/>
      <c r="D17" s="704"/>
    </row>
    <row r="18" spans="1:4" ht="19.149999999999999" customHeight="1">
      <c r="A18" s="702" t="s">
        <v>1545</v>
      </c>
      <c r="B18" s="703"/>
      <c r="C18" s="703"/>
      <c r="D18" s="704"/>
    </row>
    <row r="19" spans="1:4" ht="19.149999999999999" customHeight="1">
      <c r="A19" s="702" t="s">
        <v>1546</v>
      </c>
      <c r="B19" s="703"/>
      <c r="C19" s="703"/>
      <c r="D19" s="704"/>
    </row>
    <row r="20" spans="1:4" ht="19.149999999999999" customHeight="1">
      <c r="A20" s="702" t="s">
        <v>746</v>
      </c>
      <c r="B20" s="703"/>
      <c r="C20" s="703"/>
      <c r="D20" s="704"/>
    </row>
    <row r="21" spans="1:4" ht="19.149999999999999" customHeight="1">
      <c r="A21" s="702" t="s">
        <v>747</v>
      </c>
      <c r="B21" s="703"/>
      <c r="C21" s="703"/>
      <c r="D21" s="704"/>
    </row>
    <row r="22" spans="1:4" ht="19.149999999999999" customHeight="1">
      <c r="A22" s="702" t="s">
        <v>748</v>
      </c>
      <c r="B22" s="703"/>
      <c r="C22" s="703"/>
      <c r="D22" s="704"/>
    </row>
    <row r="23" spans="1:4" ht="19.149999999999999" customHeight="1">
      <c r="A23" s="702" t="s">
        <v>749</v>
      </c>
      <c r="B23" s="703"/>
      <c r="C23" s="703"/>
      <c r="D23" s="704"/>
    </row>
    <row r="24" spans="1:4" ht="19.149999999999999" customHeight="1">
      <c r="A24" s="702" t="s">
        <v>750</v>
      </c>
      <c r="B24" s="703"/>
      <c r="C24" s="703"/>
      <c r="D24" s="704"/>
    </row>
    <row r="25" spans="1:4" ht="22.9" customHeight="1">
      <c r="A25" s="452" t="s">
        <v>751</v>
      </c>
      <c r="B25" s="78">
        <f>SUM(B16:B24)</f>
        <v>0</v>
      </c>
      <c r="C25" s="78">
        <f>SUM(C16:C24)</f>
        <v>0</v>
      </c>
      <c r="D25" s="265">
        <f>SUM(D16:D24)</f>
        <v>0</v>
      </c>
    </row>
    <row r="26" spans="1:4" ht="26.65" customHeight="1">
      <c r="A26" s="452" t="s">
        <v>752</v>
      </c>
      <c r="B26" s="78">
        <f>+B25+B15</f>
        <v>0</v>
      </c>
      <c r="C26" s="78">
        <f>+C25+C15</f>
        <v>0</v>
      </c>
      <c r="D26" s="265">
        <f>+D25+D15</f>
        <v>0</v>
      </c>
    </row>
  </sheetData>
  <mergeCells count="1">
    <mergeCell ref="B4:D4"/>
  </mergeCells>
  <phoneticPr fontId="65" type="noConversion"/>
  <dataValidations count="1">
    <dataValidation type="decimal" allowBlank="1" showInputMessage="1" showErrorMessage="1" sqref="B6:D26" xr:uid="{5B0552EE-7718-48F5-B4B7-1CE9C2A95F9E}">
      <formula1>-100000000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90" orientation="landscape" r:id="rId1"/>
  <customProperties>
    <customPr name="_pios_id" r:id="rId2"/>
  </customPropertie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54EC3-4F2C-4976-85E7-B3FF312FC14A}">
  <sheetPr>
    <tabColor theme="0" tint="-4.9989318521683403E-2"/>
    <pageSetUpPr fitToPage="1"/>
  </sheetPr>
  <dimension ref="A1:F26"/>
  <sheetViews>
    <sheetView showGridLines="0" zoomScaleNormal="100" workbookViewId="0">
      <pane xSplit="1" ySplit="5" topLeftCell="B6" activePane="bottomRight" state="frozen"/>
      <selection pane="topRight" activeCell="A30" sqref="A30:G30"/>
      <selection pane="bottomLeft" activeCell="A30" sqref="A30:G30"/>
      <selection pane="bottomRight" activeCell="C19" sqref="C19"/>
    </sheetView>
  </sheetViews>
  <sheetFormatPr defaultColWidth="16.7109375" defaultRowHeight="12.75" customHeight="1"/>
  <cols>
    <col min="1" max="1" width="39.28515625" style="221" customWidth="1"/>
    <col min="2" max="4" width="36.7109375" style="221" customWidth="1"/>
    <col min="5" max="5" width="9.28515625" style="221" customWidth="1"/>
    <col min="6" max="6" width="76.28515625" style="221" bestFit="1" customWidth="1"/>
    <col min="7" max="16384" width="16.7109375" style="451"/>
  </cols>
  <sheetData>
    <row r="1" spans="1:6" ht="19.899999999999999" customHeight="1">
      <c r="A1" s="60" t="str">
        <f>+'0. Instructions'!A1</f>
        <v>Budget 2024</v>
      </c>
      <c r="B1" s="60"/>
      <c r="C1" s="60"/>
      <c r="D1" s="57" t="str">
        <f>'Input-FX Rates'!$H$1</f>
        <v>Plant ICH Icheon (242)</v>
      </c>
      <c r="F1" s="397" t="s">
        <v>154</v>
      </c>
    </row>
    <row r="2" spans="1:6" ht="19.899999999999999" customHeight="1" thickBot="1">
      <c r="A2" s="55" t="s">
        <v>732</v>
      </c>
      <c r="B2" s="55"/>
      <c r="C2" s="55"/>
      <c r="D2" s="54" t="str">
        <f>'Input-FX Rates'!$H$2</f>
        <v>7821 PL Drivetrain Controls (&amp; Electrification)</v>
      </c>
      <c r="F2" s="95" t="s">
        <v>156</v>
      </c>
    </row>
    <row r="4" spans="1:6" ht="24" customHeight="1">
      <c r="A4" s="188" t="str">
        <f>"in '000 "&amp;"EUR"</f>
        <v>in '000 EUR</v>
      </c>
      <c r="B4" s="1037" t="s">
        <v>153</v>
      </c>
      <c r="C4" s="1035"/>
      <c r="D4" s="1038"/>
      <c r="F4" s="267" t="s">
        <v>733</v>
      </c>
    </row>
    <row r="5" spans="1:6" ht="24" customHeight="1">
      <c r="A5" s="188"/>
      <c r="B5" s="659" t="s">
        <v>195</v>
      </c>
      <c r="C5" s="187" t="s">
        <v>207</v>
      </c>
      <c r="D5" s="188" t="s">
        <v>734</v>
      </c>
    </row>
    <row r="6" spans="1:6" ht="19.149999999999999" customHeight="1">
      <c r="A6" s="751" t="str">
        <f>'11. R&amp;O (LC) '!A6</f>
        <v>Risk 1</v>
      </c>
      <c r="B6" s="752">
        <f>IFERROR('11. R&amp;O (LC) '!B6/'Input-FX Rates'!$H$16,0)</f>
        <v>0</v>
      </c>
      <c r="C6" s="753">
        <f>IFERROR('11. R&amp;O (LC) '!C6/'Input-FX Rates'!$H$16,0)</f>
        <v>0</v>
      </c>
      <c r="D6" s="754">
        <f>IFERROR('11. R&amp;O (LC) '!D6/'Input-FX Rates'!$H$16,0)</f>
        <v>0</v>
      </c>
      <c r="F6" s="267" t="s">
        <v>736</v>
      </c>
    </row>
    <row r="7" spans="1:6" ht="19.149999999999999" customHeight="1">
      <c r="A7" s="751" t="str">
        <f>'11. R&amp;O (LC) '!A7</f>
        <v>Risk 2</v>
      </c>
      <c r="B7" s="752">
        <f>IFERROR('11. R&amp;O (LC) '!B7/'Input-FX Rates'!$H$16,0)</f>
        <v>0</v>
      </c>
      <c r="C7" s="753">
        <f>IFERROR('11. R&amp;O (LC) '!C7/'Input-FX Rates'!$H$16,0)</f>
        <v>0</v>
      </c>
      <c r="D7" s="754">
        <f>IFERROR('11. R&amp;O (LC) '!D7/'Input-FX Rates'!$H$16,0)</f>
        <v>0</v>
      </c>
    </row>
    <row r="8" spans="1:6" ht="19.149999999999999" customHeight="1">
      <c r="A8" s="751" t="str">
        <f>'11. R&amp;O (LC) '!A8</f>
        <v>Risk 3</v>
      </c>
      <c r="B8" s="752">
        <f>IFERROR('11. R&amp;O (LC) '!B8/'Input-FX Rates'!$H$16,0)</f>
        <v>0</v>
      </c>
      <c r="C8" s="753">
        <f>IFERROR('11. R&amp;O (LC) '!C8/'Input-FX Rates'!$H$16,0)</f>
        <v>0</v>
      </c>
      <c r="D8" s="754">
        <f>IFERROR('11. R&amp;O (LC) '!D8/'Input-FX Rates'!$H$16,0)</f>
        <v>0</v>
      </c>
    </row>
    <row r="9" spans="1:6" ht="19.149999999999999" customHeight="1">
      <c r="A9" s="751" t="str">
        <f>'11. R&amp;O (LC) '!A9</f>
        <v>Risk 4</v>
      </c>
      <c r="B9" s="752">
        <f>IFERROR('11. R&amp;O (LC) '!B9/'Input-FX Rates'!$H$16,0)</f>
        <v>0</v>
      </c>
      <c r="C9" s="753">
        <f>IFERROR('11. R&amp;O (LC) '!C9/'Input-FX Rates'!$H$16,0)</f>
        <v>0</v>
      </c>
      <c r="D9" s="754">
        <f>IFERROR('11. R&amp;O (LC) '!D9/'Input-FX Rates'!$H$16,0)</f>
        <v>0</v>
      </c>
    </row>
    <row r="10" spans="1:6" ht="19.149999999999999" customHeight="1">
      <c r="A10" s="751" t="str">
        <f>'11. R&amp;O (LC) '!A10</f>
        <v>Risk 5</v>
      </c>
      <c r="B10" s="752">
        <f>IFERROR('11. R&amp;O (LC) '!B10/'Input-FX Rates'!$H$16,0)</f>
        <v>0</v>
      </c>
      <c r="C10" s="753">
        <f>IFERROR('11. R&amp;O (LC) '!C10/'Input-FX Rates'!$H$16,0)</f>
        <v>0</v>
      </c>
      <c r="D10" s="754">
        <f>IFERROR('11. R&amp;O (LC) '!D10/'Input-FX Rates'!$H$16,0)</f>
        <v>0</v>
      </c>
    </row>
    <row r="11" spans="1:6" ht="19.149999999999999" customHeight="1">
      <c r="A11" s="751" t="str">
        <f>'11. R&amp;O (LC) '!A11</f>
        <v>Risk 6</v>
      </c>
      <c r="B11" s="752">
        <f>IFERROR('11. R&amp;O (LC) '!B11/'Input-FX Rates'!$H$16,0)</f>
        <v>0</v>
      </c>
      <c r="C11" s="753">
        <f>IFERROR('11. R&amp;O (LC) '!C11/'Input-FX Rates'!$H$16,0)</f>
        <v>0</v>
      </c>
      <c r="D11" s="754">
        <f>IFERROR('11. R&amp;O (LC) '!D11/'Input-FX Rates'!$H$16,0)</f>
        <v>0</v>
      </c>
    </row>
    <row r="12" spans="1:6" ht="19.149999999999999" customHeight="1">
      <c r="A12" s="751" t="str">
        <f>'11. R&amp;O (LC) '!A12</f>
        <v>Risk 7</v>
      </c>
      <c r="B12" s="752">
        <f>IFERROR('11. R&amp;O (LC) '!B12/'Input-FX Rates'!$H$16,0)</f>
        <v>0</v>
      </c>
      <c r="C12" s="753">
        <f>IFERROR('11. R&amp;O (LC) '!C12/'Input-FX Rates'!$H$16,0)</f>
        <v>0</v>
      </c>
      <c r="D12" s="754">
        <f>IFERROR('11. R&amp;O (LC) '!D12/'Input-FX Rates'!$H$16,0)</f>
        <v>0</v>
      </c>
    </row>
    <row r="13" spans="1:6" ht="19.149999999999999" customHeight="1">
      <c r="A13" s="751" t="str">
        <f>'11. R&amp;O (LC) '!A13</f>
        <v>Risk 8</v>
      </c>
      <c r="B13" s="752">
        <f>IFERROR('11. R&amp;O (LC) '!B13/'Input-FX Rates'!$H$16,0)</f>
        <v>0</v>
      </c>
      <c r="C13" s="753">
        <f>IFERROR('11. R&amp;O (LC) '!C13/'Input-FX Rates'!$H$16,0)</f>
        <v>0</v>
      </c>
      <c r="D13" s="754">
        <f>IFERROR('11. R&amp;O (LC) '!D13/'Input-FX Rates'!$H$16,0)</f>
        <v>0</v>
      </c>
    </row>
    <row r="14" spans="1:6" ht="19.149999999999999" customHeight="1">
      <c r="A14" s="751" t="str">
        <f>'11. R&amp;O (LC) '!A14</f>
        <v>Risk 9</v>
      </c>
      <c r="B14" s="752">
        <f>IFERROR('11. R&amp;O (LC) '!B14/'Input-FX Rates'!$H$16,0)</f>
        <v>0</v>
      </c>
      <c r="C14" s="753">
        <f>IFERROR('11. R&amp;O (LC) '!C14/'Input-FX Rates'!$H$16,0)</f>
        <v>0</v>
      </c>
      <c r="D14" s="754">
        <f>IFERROR('11. R&amp;O (LC) '!D14/'Input-FX Rates'!$H$16,0)</f>
        <v>0</v>
      </c>
    </row>
    <row r="15" spans="1:6" ht="22.9" customHeight="1">
      <c r="A15" s="215" t="str">
        <f>'11. R&amp;O (LC) '!A15</f>
        <v>Total Risks</v>
      </c>
      <c r="B15" s="266">
        <f>SUM(B6:B14)</f>
        <v>0</v>
      </c>
      <c r="C15" s="78">
        <f>SUM(C6:C14)</f>
        <v>0</v>
      </c>
      <c r="D15" s="80">
        <f>SUM(D6:D14)</f>
        <v>0</v>
      </c>
    </row>
    <row r="16" spans="1:6" ht="19.149999999999999" customHeight="1">
      <c r="A16" s="751" t="str">
        <f>'11. R&amp;O (LC) '!A16</f>
        <v>Opportunity 1</v>
      </c>
      <c r="B16" s="752">
        <f>IFERROR('11. R&amp;O (LC) '!B16/'Input-FX Rates'!$H$16,0)</f>
        <v>0</v>
      </c>
      <c r="C16" s="753">
        <f>IFERROR('11. R&amp;O (LC) '!C16/'Input-FX Rates'!$H$16,0)</f>
        <v>0</v>
      </c>
      <c r="D16" s="754">
        <f>IFERROR('11. R&amp;O (LC) '!D16/'Input-FX Rates'!$H$16,0)</f>
        <v>0</v>
      </c>
    </row>
    <row r="17" spans="1:4" ht="19.149999999999999" customHeight="1">
      <c r="A17" s="751" t="str">
        <f>'11. R&amp;O (LC) '!A17</f>
        <v>Opportunity 2</v>
      </c>
      <c r="B17" s="752">
        <f>IFERROR('11. R&amp;O (LC) '!B17/'Input-FX Rates'!$H$16,0)</f>
        <v>0</v>
      </c>
      <c r="C17" s="753">
        <f>IFERROR('11. R&amp;O (LC) '!C17/'Input-FX Rates'!$H$16,0)</f>
        <v>0</v>
      </c>
      <c r="D17" s="754">
        <f>IFERROR('11. R&amp;O (LC) '!D17/'Input-FX Rates'!$H$16,0)</f>
        <v>0</v>
      </c>
    </row>
    <row r="18" spans="1:4" ht="19.149999999999999" customHeight="1">
      <c r="A18" s="751" t="str">
        <f>'11. R&amp;O (LC) '!A18</f>
        <v>Opportunity 3</v>
      </c>
      <c r="B18" s="752">
        <f>IFERROR('11. R&amp;O (LC) '!B18/'Input-FX Rates'!$H$16,0)</f>
        <v>0</v>
      </c>
      <c r="C18" s="753">
        <f>IFERROR('11. R&amp;O (LC) '!C18/'Input-FX Rates'!$H$16,0)</f>
        <v>0</v>
      </c>
      <c r="D18" s="754">
        <f>IFERROR('11. R&amp;O (LC) '!D18/'Input-FX Rates'!$H$16,0)</f>
        <v>0</v>
      </c>
    </row>
    <row r="19" spans="1:4" ht="19.149999999999999" customHeight="1">
      <c r="A19" s="751" t="str">
        <f>'11. R&amp;O (LC) '!A19</f>
        <v>Opportunity 4</v>
      </c>
      <c r="B19" s="752">
        <f>IFERROR('11. R&amp;O (LC) '!B19/'Input-FX Rates'!$H$16,0)</f>
        <v>0</v>
      </c>
      <c r="C19" s="753">
        <f>IFERROR('11. R&amp;O (LC) '!C19/'Input-FX Rates'!$H$16,0)</f>
        <v>0</v>
      </c>
      <c r="D19" s="754">
        <f>IFERROR('11. R&amp;O (LC) '!D19/'Input-FX Rates'!$H$16,0)</f>
        <v>0</v>
      </c>
    </row>
    <row r="20" spans="1:4" ht="19.149999999999999" customHeight="1">
      <c r="A20" s="751" t="str">
        <f>'11. R&amp;O (LC) '!A20</f>
        <v>Opportunity 5</v>
      </c>
      <c r="B20" s="752">
        <f>IFERROR('11. R&amp;O (LC) '!B20/'Input-FX Rates'!$H$16,0)</f>
        <v>0</v>
      </c>
      <c r="C20" s="753">
        <f>IFERROR('11. R&amp;O (LC) '!C20/'Input-FX Rates'!$H$16,0)</f>
        <v>0</v>
      </c>
      <c r="D20" s="754">
        <f>IFERROR('11. R&amp;O (LC) '!D20/'Input-FX Rates'!$H$16,0)</f>
        <v>0</v>
      </c>
    </row>
    <row r="21" spans="1:4" ht="19.149999999999999" customHeight="1">
      <c r="A21" s="751" t="str">
        <f>'11. R&amp;O (LC) '!A21</f>
        <v>Opportunity 6</v>
      </c>
      <c r="B21" s="752">
        <f>IFERROR('11. R&amp;O (LC) '!B21/'Input-FX Rates'!$H$16,0)</f>
        <v>0</v>
      </c>
      <c r="C21" s="753">
        <f>IFERROR('11. R&amp;O (LC) '!C21/'Input-FX Rates'!$H$16,0)</f>
        <v>0</v>
      </c>
      <c r="D21" s="754">
        <f>IFERROR('11. R&amp;O (LC) '!D21/'Input-FX Rates'!$H$16,0)</f>
        <v>0</v>
      </c>
    </row>
    <row r="22" spans="1:4" ht="19.149999999999999" customHeight="1">
      <c r="A22" s="751" t="str">
        <f>'11. R&amp;O (LC) '!A22</f>
        <v>Opportunity 7</v>
      </c>
      <c r="B22" s="752">
        <f>IFERROR('11. R&amp;O (LC) '!B22/'Input-FX Rates'!$H$16,0)</f>
        <v>0</v>
      </c>
      <c r="C22" s="753">
        <f>IFERROR('11. R&amp;O (LC) '!C22/'Input-FX Rates'!$H$16,0)</f>
        <v>0</v>
      </c>
      <c r="D22" s="754">
        <f>IFERROR('11. R&amp;O (LC) '!D22/'Input-FX Rates'!$H$16,0)</f>
        <v>0</v>
      </c>
    </row>
    <row r="23" spans="1:4" ht="19.149999999999999" customHeight="1">
      <c r="A23" s="751" t="str">
        <f>'11. R&amp;O (LC) '!A23</f>
        <v>Opportunity 8</v>
      </c>
      <c r="B23" s="752">
        <f>IFERROR('11. R&amp;O (LC) '!B23/'Input-FX Rates'!$H$16,0)</f>
        <v>0</v>
      </c>
      <c r="C23" s="753">
        <f>IFERROR('11. R&amp;O (LC) '!C23/'Input-FX Rates'!$H$16,0)</f>
        <v>0</v>
      </c>
      <c r="D23" s="754">
        <f>IFERROR('11. R&amp;O (LC) '!D23/'Input-FX Rates'!$H$16,0)</f>
        <v>0</v>
      </c>
    </row>
    <row r="24" spans="1:4" ht="19.149999999999999" customHeight="1">
      <c r="A24" s="751" t="str">
        <f>'11. R&amp;O (LC) '!A24</f>
        <v>Opportunity 9</v>
      </c>
      <c r="B24" s="752">
        <f>IFERROR('11. R&amp;O (LC) '!B24/'Input-FX Rates'!$H$16,0)</f>
        <v>0</v>
      </c>
      <c r="C24" s="753">
        <f>IFERROR('11. R&amp;O (LC) '!C24/'Input-FX Rates'!$H$16,0)</f>
        <v>0</v>
      </c>
      <c r="D24" s="754">
        <f>IFERROR('11. R&amp;O (LC) '!D24/'Input-FX Rates'!$H$16,0)</f>
        <v>0</v>
      </c>
    </row>
    <row r="25" spans="1:4" ht="22.9" customHeight="1">
      <c r="A25" s="215" t="str">
        <f>'11. R&amp;O (LC) '!A25</f>
        <v>Total Opportunities</v>
      </c>
      <c r="B25" s="266">
        <f>SUM(B16:B24)</f>
        <v>0</v>
      </c>
      <c r="C25" s="78">
        <f>SUM(C16:C24)</f>
        <v>0</v>
      </c>
      <c r="D25" s="80">
        <f>SUM(D16:D24)</f>
        <v>0</v>
      </c>
    </row>
    <row r="26" spans="1:4" ht="26.65" customHeight="1">
      <c r="A26" s="215" t="str">
        <f>'11. R&amp;O (LC) '!A26</f>
        <v>Total Risks &amp; Opportunities</v>
      </c>
      <c r="B26" s="266">
        <f>+B25+B15</f>
        <v>0</v>
      </c>
      <c r="C26" s="78">
        <f>+C25+C15</f>
        <v>0</v>
      </c>
      <c r="D26" s="80">
        <f>+D25+D15</f>
        <v>0</v>
      </c>
    </row>
  </sheetData>
  <mergeCells count="1">
    <mergeCell ref="B4:D4"/>
  </mergeCells>
  <phoneticPr fontId="65" type="noConversion"/>
  <pageMargins left="0.70866141732283472" right="0.70866141732283472" top="0.74803149606299213" bottom="0.74803149606299213" header="0.31496062992125984" footer="0.31496062992125984"/>
  <pageSetup paperSize="9" scale="89" orientation="landscape" r:id="rId1"/>
  <customProperties>
    <customPr name="_pios_id" r:id="rId2"/>
  </customPropertie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74AF6-8D62-48C3-BA54-99BDFF4A5C76}">
  <sheetPr>
    <tabColor rgb="FF0070C0"/>
  </sheetPr>
  <dimension ref="A1:N147"/>
  <sheetViews>
    <sheetView showGridLines="0" zoomScale="70" zoomScaleNormal="70" workbookViewId="0">
      <pane xSplit="3" ySplit="7" topLeftCell="D8" activePane="bottomRight" state="frozen"/>
      <selection pane="topRight" activeCell="D14" sqref="D14"/>
      <selection pane="bottomLeft" activeCell="D14" sqref="D14"/>
      <selection pane="bottomRight" activeCell="M44" sqref="M44"/>
    </sheetView>
  </sheetViews>
  <sheetFormatPr defaultColWidth="9.28515625" defaultRowHeight="12.75" customHeight="1" outlineLevelCol="1"/>
  <cols>
    <col min="1" max="1" width="16.7109375" style="451" customWidth="1" outlineLevel="1"/>
    <col min="2" max="2" width="56.28515625" style="451" customWidth="1" outlineLevel="1"/>
    <col min="3" max="3" width="60.7109375" style="451" bestFit="1" customWidth="1"/>
    <col min="4" max="4" width="16.140625" style="451" bestFit="1" customWidth="1"/>
    <col min="5" max="9" width="20" style="451" customWidth="1"/>
    <col min="10" max="10" width="9.28515625" style="451" customWidth="1"/>
    <col min="11" max="11" width="24.28515625" style="451" bestFit="1" customWidth="1"/>
    <col min="12" max="12" width="11.7109375" style="451" bestFit="1" customWidth="1"/>
    <col min="13" max="13" width="10.7109375" style="451" bestFit="1" customWidth="1"/>
    <col min="14" max="16384" width="9.28515625" style="451"/>
  </cols>
  <sheetData>
    <row r="1" spans="1:14" ht="19.899999999999999" customHeight="1">
      <c r="C1" s="60" t="str">
        <f>+'0. Instructions'!A1</f>
        <v>Budget 2024</v>
      </c>
      <c r="F1" s="423"/>
      <c r="G1" s="423"/>
      <c r="H1" s="423"/>
      <c r="I1" s="423"/>
      <c r="K1" s="1045"/>
      <c r="L1" s="1046"/>
      <c r="N1" s="679" t="s">
        <v>753</v>
      </c>
    </row>
    <row r="2" spans="1:14" ht="19.899999999999999" customHeight="1" thickBot="1">
      <c r="C2" s="55" t="s">
        <v>754</v>
      </c>
      <c r="D2" s="55"/>
      <c r="E2" s="55"/>
      <c r="F2" s="55"/>
      <c r="G2" s="55"/>
      <c r="H2" s="55"/>
      <c r="I2" s="55"/>
      <c r="K2" s="1045"/>
      <c r="L2" s="1046"/>
      <c r="N2" s="679" t="s">
        <v>755</v>
      </c>
    </row>
    <row r="3" spans="1:14" ht="39.6" customHeight="1">
      <c r="A3" s="546"/>
      <c r="B3" s="546"/>
      <c r="C3" s="544"/>
      <c r="D3" s="544"/>
      <c r="E3" s="544"/>
      <c r="F3" s="544"/>
      <c r="G3" s="544"/>
      <c r="H3" s="544"/>
      <c r="I3" s="544"/>
      <c r="J3" s="544"/>
      <c r="K3" s="544"/>
    </row>
    <row r="4" spans="1:14" ht="15">
      <c r="A4" s="546"/>
      <c r="B4" s="546"/>
      <c r="C4" s="544"/>
      <c r="D4" s="544"/>
      <c r="E4" s="544"/>
      <c r="F4" s="544"/>
      <c r="G4" s="544"/>
      <c r="H4" s="544"/>
      <c r="I4" s="544"/>
      <c r="J4" s="544"/>
      <c r="K4" s="544"/>
    </row>
    <row r="5" spans="1:14" ht="15">
      <c r="A5" s="546"/>
      <c r="B5" s="546"/>
      <c r="C5" s="544"/>
      <c r="D5" s="622"/>
      <c r="E5" s="622"/>
      <c r="F5" s="622"/>
      <c r="G5" s="622"/>
      <c r="H5" s="622"/>
      <c r="I5" s="622"/>
      <c r="J5" s="545"/>
      <c r="K5" s="544"/>
    </row>
    <row r="6" spans="1:14" ht="30">
      <c r="A6" s="546"/>
      <c r="B6" s="546"/>
      <c r="C6" s="574"/>
      <c r="D6" s="623" t="s">
        <v>756</v>
      </c>
      <c r="E6" s="623" t="s">
        <v>757</v>
      </c>
      <c r="F6" s="623" t="s">
        <v>758</v>
      </c>
      <c r="G6" s="623" t="s">
        <v>759</v>
      </c>
      <c r="H6" s="623" t="s">
        <v>760</v>
      </c>
      <c r="I6" s="623" t="s">
        <v>761</v>
      </c>
      <c r="J6" s="554"/>
      <c r="K6" s="544"/>
    </row>
    <row r="7" spans="1:14" ht="28.9" customHeight="1">
      <c r="A7" s="546"/>
      <c r="B7" s="546"/>
      <c r="C7" s="571" t="s">
        <v>762</v>
      </c>
      <c r="D7" s="571" t="str">
        <f>KeyData!D7</f>
        <v>Year-2</v>
      </c>
      <c r="E7" s="571" t="str">
        <f>KeyData!E7</f>
        <v>Plan-1</v>
      </c>
      <c r="F7" s="571" t="s">
        <v>763</v>
      </c>
      <c r="G7" s="571" t="s">
        <v>764</v>
      </c>
      <c r="H7" s="571" t="str">
        <f>KeyData!G7</f>
        <v>FC PY</v>
      </c>
      <c r="I7" s="571" t="str">
        <f>KeyData!H7</f>
        <v>Plan</v>
      </c>
      <c r="J7" s="554"/>
      <c r="K7" s="544"/>
    </row>
    <row r="8" spans="1:14" ht="15">
      <c r="A8" s="546" t="s">
        <v>765</v>
      </c>
      <c r="B8" s="546" t="str">
        <f>IFERROR(VLOOKUP(A8,Race_2024!A:C,3,FALSE), VLOOKUP(A8,Race_2024!A:C,3,FALSE))</f>
        <v>Sales</v>
      </c>
      <c r="C8" s="570" t="s">
        <v>195</v>
      </c>
      <c r="D8" s="569">
        <f>IFERROR(VLOOKUP($A8,Race_2024!A:L, 7,FALSE),0)</f>
        <v>125697705.465</v>
      </c>
      <c r="E8" s="569">
        <f>IFERROR(VLOOKUP($A8,Race_2024!A:L, 9,FALSE),0)</f>
        <v>122276397.866</v>
      </c>
      <c r="F8" s="569">
        <f>IFERROR(VLOOKUP($A8,Race_2024!A:L, 8,FALSE),0)</f>
        <v>78052717.702999994</v>
      </c>
      <c r="G8" s="569">
        <f>IFERROR(VLOOKUP($A8,Race_2024!A:L, 10,FALSE),0)</f>
        <v>139131840.68099999</v>
      </c>
      <c r="H8" s="569">
        <f>IFERROR(VLOOKUP($A8,Race_2024!A:L, 11,FALSE),0)</f>
        <v>140545930.37400001</v>
      </c>
      <c r="I8" s="569">
        <f>IFERROR(VLOOKUP($A8,Race_2024!A:L, 12,FALSE),0)</f>
        <v>127417506.756</v>
      </c>
      <c r="J8" s="554"/>
      <c r="K8" s="544"/>
    </row>
    <row r="9" spans="1:14" ht="15">
      <c r="A9" s="546" t="s">
        <v>766</v>
      </c>
      <c r="B9" s="546" t="str">
        <f>IFERROR(VLOOKUP(A9,Race_2024!A:C,3,FALSE), VLOOKUP(A9,Race_2024!A:C,3,FALSE))</f>
        <v>Net sales</v>
      </c>
      <c r="C9" s="566" t="s">
        <v>767</v>
      </c>
      <c r="D9" s="551">
        <f>IFERROR(VLOOKUP($A9,Race_2024!A:L, 7,FALSE),0)</f>
        <v>127108928.64300001</v>
      </c>
      <c r="E9" s="551">
        <f>IFERROR(VLOOKUP($A9,Race_2024!A:L, 9,FALSE),0)</f>
        <v>122276397.866</v>
      </c>
      <c r="F9" s="551">
        <f>IFERROR(VLOOKUP($A9,Race_2024!A:L, 8,FALSE),0)</f>
        <v>78052717.702999994</v>
      </c>
      <c r="G9" s="551">
        <f>IFERROR(VLOOKUP($A9,Race_2024!A:L, 10,FALSE),0)</f>
        <v>139131840.68099999</v>
      </c>
      <c r="H9" s="551">
        <f>IFERROR(VLOOKUP($A9,Race_2024!A:L, 11,FALSE),0)</f>
        <v>140545930.37400001</v>
      </c>
      <c r="I9" s="550">
        <f>IFERROR(VLOOKUP($A9,Race_2024!A:L, 12,FALSE),0)</f>
        <v>127417506.756</v>
      </c>
      <c r="J9" s="554"/>
      <c r="K9" s="544"/>
    </row>
    <row r="10" spans="1:14" ht="15">
      <c r="A10" s="546" t="s">
        <v>768</v>
      </c>
      <c r="B10" s="546" t="e">
        <f>IFERROR(VLOOKUP(A10,Race_2024!A:C,3,FALSE), VLOOKUP(A10,Race_2024!A:C,3,FALSE))</f>
        <v>#N/A</v>
      </c>
      <c r="C10" s="553" t="s">
        <v>769</v>
      </c>
      <c r="D10" s="548">
        <f>IFERROR(VLOOKUP($A10,Race_2024!A:L, 7,FALSE),0)</f>
        <v>0</v>
      </c>
      <c r="E10" s="548">
        <f>IFERROR(VLOOKUP($A10,Race_2024!A:L, 9,FALSE),0)</f>
        <v>0</v>
      </c>
      <c r="F10" s="548">
        <f>IFERROR(VLOOKUP($A10,Race_2024!A:L, 8,FALSE),0)</f>
        <v>0</v>
      </c>
      <c r="G10" s="548">
        <f>IFERROR(VLOOKUP($A10,Race_2024!A:L, 10,FALSE),0)</f>
        <v>0</v>
      </c>
      <c r="H10" s="548">
        <f>IFERROR(VLOOKUP($A10,Race_2024!A:L, 11,FALSE),0)</f>
        <v>0</v>
      </c>
      <c r="I10" s="547">
        <f>IFERROR(VLOOKUP($A10,Race_2024!A:L, 12,FALSE),0)</f>
        <v>0</v>
      </c>
      <c r="J10" s="554"/>
      <c r="K10" s="544"/>
    </row>
    <row r="11" spans="1:14" ht="15">
      <c r="A11" s="546" t="s">
        <v>770</v>
      </c>
      <c r="B11" s="546" t="str">
        <f>IFERROR(VLOOKUP(A11,Race_2024!A:C,3,FALSE), VLOOKUP(A11,Race_2024!A:C,3,FALSE))</f>
        <v>Net sales ICO</v>
      </c>
      <c r="C11" s="553" t="s">
        <v>771</v>
      </c>
      <c r="D11" s="548">
        <f>IFERROR(VLOOKUP($A11,Race_2024!A:L, 7,FALSE),0)</f>
        <v>31635.350999999999</v>
      </c>
      <c r="E11" s="548">
        <f>IFERROR(VLOOKUP($A11,Race_2024!A:L, 9,FALSE),0)</f>
        <v>0</v>
      </c>
      <c r="F11" s="548">
        <f>IFERROR(VLOOKUP($A11,Race_2024!A:L, 8,FALSE),0)</f>
        <v>36714.991999999998</v>
      </c>
      <c r="G11" s="548">
        <f>IFERROR(VLOOKUP($A11,Race_2024!A:L, 10,FALSE),0)</f>
        <v>35975.514999999999</v>
      </c>
      <c r="H11" s="548">
        <f>IFERROR(VLOOKUP($A11,Race_2024!A:L, 11,FALSE),0)</f>
        <v>36714.991999999998</v>
      </c>
      <c r="I11" s="547">
        <f>IFERROR(VLOOKUP($A11,Race_2024!A:L, 12,FALSE),0)</f>
        <v>0</v>
      </c>
      <c r="J11" s="554"/>
      <c r="K11" s="544"/>
    </row>
    <row r="12" spans="1:14" ht="15">
      <c r="A12" s="546" t="s">
        <v>772</v>
      </c>
      <c r="B12" s="546" t="str">
        <f>IFERROR(VLOOKUP(A12,Race_2024!A:C,3,FALSE), VLOOKUP(A12,Race_2024!A:C,3,FALSE))</f>
        <v>Net sales rel. par.</v>
      </c>
      <c r="C12" s="553" t="s">
        <v>773</v>
      </c>
      <c r="D12" s="548">
        <f>IFERROR(VLOOKUP($A12,Race_2024!A:L, 7,FALSE),0)</f>
        <v>1616.5550000000001</v>
      </c>
      <c r="E12" s="548">
        <f>IFERROR(VLOOKUP($A12,Race_2024!A:L, 9,FALSE),0)</f>
        <v>0</v>
      </c>
      <c r="F12" s="548">
        <f>IFERROR(VLOOKUP($A12,Race_2024!A:L, 8,FALSE),0)</f>
        <v>875</v>
      </c>
      <c r="G12" s="548">
        <f>IFERROR(VLOOKUP($A12,Race_2024!A:L, 10,FALSE),0)</f>
        <v>875</v>
      </c>
      <c r="H12" s="548">
        <f>IFERROR(VLOOKUP($A12,Race_2024!A:L, 11,FALSE),0)</f>
        <v>875</v>
      </c>
      <c r="I12" s="547">
        <f>IFERROR(VLOOKUP($A12,Race_2024!A:L, 12,FALSE),0)</f>
        <v>0</v>
      </c>
      <c r="J12" s="554"/>
      <c r="K12" s="544"/>
    </row>
    <row r="13" spans="1:14" ht="15">
      <c r="A13" s="546" t="s">
        <v>774</v>
      </c>
      <c r="B13" s="546" t="str">
        <f>IFERROR(VLOOKUP(A13,Race_2024!A:C,3,FALSE), VLOOKUP(A13,Race_2024!A:C,3,FALSE))</f>
        <v>Net sales external</v>
      </c>
      <c r="C13" s="553" t="s">
        <v>775</v>
      </c>
      <c r="D13" s="548">
        <f>IFERROR(VLOOKUP($A13,Race_2024!A:L, 7,FALSE),0)</f>
        <v>127075676.737</v>
      </c>
      <c r="E13" s="548">
        <f>IFERROR(VLOOKUP($A13,Race_2024!A:L, 9,FALSE),0)</f>
        <v>122276397.866</v>
      </c>
      <c r="F13" s="548">
        <f>IFERROR(VLOOKUP($A13,Race_2024!A:L, 8,FALSE),0)</f>
        <v>78015127.710999995</v>
      </c>
      <c r="G13" s="548">
        <f>IFERROR(VLOOKUP($A13,Race_2024!A:L, 10,FALSE),0)</f>
        <v>139094990.16600001</v>
      </c>
      <c r="H13" s="548">
        <f>IFERROR(VLOOKUP($A13,Race_2024!A:L, 11,FALSE),0)</f>
        <v>140508340.382</v>
      </c>
      <c r="I13" s="547">
        <f>IFERROR(VLOOKUP($A13,Race_2024!A:L, 12,FALSE),0)</f>
        <v>127417506.756</v>
      </c>
      <c r="J13" s="554"/>
      <c r="K13" s="544"/>
    </row>
    <row r="14" spans="1:14" ht="15">
      <c r="A14" s="546" t="s">
        <v>776</v>
      </c>
      <c r="B14" s="546" t="str">
        <f>IFERROR(VLOOKUP(A14,Race_2024!A:C,3,FALSE), VLOOKUP(A14,Race_2024!A:C,3,FALSE))</f>
        <v>Sales variations</v>
      </c>
      <c r="C14" s="566" t="s">
        <v>777</v>
      </c>
      <c r="D14" s="551">
        <f>IFERROR(VLOOKUP($A14,Race_2024!A:L, 7,FALSE),0)</f>
        <v>-1411223.1780000001</v>
      </c>
      <c r="E14" s="551">
        <f>IFERROR(VLOOKUP($A14,Race_2024!A:L, 9,FALSE),0)</f>
        <v>0</v>
      </c>
      <c r="F14" s="551">
        <f>IFERROR(VLOOKUP($A14,Race_2024!A:L, 8,FALSE),0)</f>
        <v>0</v>
      </c>
      <c r="G14" s="551">
        <f>IFERROR(VLOOKUP($A14,Race_2024!A:L, 10,FALSE),0)</f>
        <v>0</v>
      </c>
      <c r="H14" s="551">
        <f>IFERROR(VLOOKUP($A14,Race_2024!A:L, 11,FALSE),0)</f>
        <v>0</v>
      </c>
      <c r="I14" s="550">
        <f>IFERROR(VLOOKUP($A14,Race_2024!A:L, 12,FALSE),0)</f>
        <v>0</v>
      </c>
      <c r="J14" s="554"/>
      <c r="K14" s="544"/>
    </row>
    <row r="15" spans="1:14" ht="15">
      <c r="A15" s="546" t="s">
        <v>778</v>
      </c>
      <c r="B15" s="546" t="e">
        <f>IFERROR(VLOOKUP(A15,Race_2024!A:C,3,FALSE), VLOOKUP(A15,Race_2024!A:C,3,FALSE))</f>
        <v>#N/A</v>
      </c>
      <c r="C15" s="553" t="s">
        <v>779</v>
      </c>
      <c r="D15" s="548">
        <f>IFERROR(VLOOKUP($A15,Race_2024!A:L, 7,FALSE),0)</f>
        <v>0</v>
      </c>
      <c r="E15" s="548">
        <f>IFERROR(VLOOKUP($A15,Race_2024!A:L, 9,FALSE),0)</f>
        <v>0</v>
      </c>
      <c r="F15" s="548">
        <f>IFERROR(VLOOKUP($A15,Race_2024!A:L, 8,FALSE),0)</f>
        <v>0</v>
      </c>
      <c r="G15" s="548">
        <f>IFERROR(VLOOKUP($A15,Race_2024!A:L, 10,FALSE),0)</f>
        <v>0</v>
      </c>
      <c r="H15" s="548">
        <f>IFERROR(VLOOKUP($A15,Race_2024!A:L, 11,FALSE),0)</f>
        <v>0</v>
      </c>
      <c r="I15" s="547">
        <f>IFERROR(VLOOKUP($A15,Race_2024!A:L, 12,FALSE),0)</f>
        <v>0</v>
      </c>
      <c r="J15" s="554"/>
      <c r="K15" s="544"/>
    </row>
    <row r="16" spans="1:14" ht="15">
      <c r="A16" s="546" t="s">
        <v>780</v>
      </c>
      <c r="B16" s="546" t="str">
        <f>IFERROR(VLOOKUP(A16,Race_2024!A:C,3,FALSE), VLOOKUP(A16,Race_2024!A:C,3,FALSE))</f>
        <v>Equalization ICO</v>
      </c>
      <c r="C16" s="555" t="s">
        <v>781</v>
      </c>
      <c r="D16" s="548">
        <f>IFERROR(VLOOKUP($A16,Race_2024!A:L, 7,FALSE),0)</f>
        <v>-1411223.1780000001</v>
      </c>
      <c r="E16" s="548">
        <f>IFERROR(VLOOKUP($A16,Race_2024!A:L, 9,FALSE),0)</f>
        <v>0</v>
      </c>
      <c r="F16" s="548">
        <f>IFERROR(VLOOKUP($A16,Race_2024!A:L, 8,FALSE),0)</f>
        <v>0</v>
      </c>
      <c r="G16" s="548">
        <f>IFERROR(VLOOKUP($A16,Race_2024!A:L, 10,FALSE),0)</f>
        <v>0</v>
      </c>
      <c r="H16" s="548">
        <f>IFERROR(VLOOKUP($A16,Race_2024!A:L, 11,FALSE),0)</f>
        <v>0</v>
      </c>
      <c r="I16" s="547">
        <f>IFERROR(VLOOKUP($A16,Race_2024!A:L, 12,FALSE),0)</f>
        <v>0</v>
      </c>
      <c r="J16" s="554"/>
      <c r="K16" s="544"/>
    </row>
    <row r="17" spans="1:11" ht="15">
      <c r="A17" s="546" t="s">
        <v>782</v>
      </c>
      <c r="B17" s="546" t="str">
        <f>IFERROR(VLOOKUP(A17,Race_2024!A:C,3,FALSE), VLOOKUP(A17,Race_2024!A:C,3,FALSE))</f>
        <v>Variable costs</v>
      </c>
      <c r="C17" s="552" t="s">
        <v>783</v>
      </c>
      <c r="D17" s="551">
        <f>IFERROR(VLOOKUP($A17,Race_2024!A:L, 7,FALSE),0)</f>
        <v>-82784175.642000005</v>
      </c>
      <c r="E17" s="551">
        <f>IFERROR(VLOOKUP($A17,Race_2024!A:L, 9,FALSE),0)</f>
        <v>-86562303.963</v>
      </c>
      <c r="F17" s="551">
        <f>IFERROR(VLOOKUP($A17,Race_2024!A:L, 8,FALSE),0)</f>
        <v>-51340771.609999999</v>
      </c>
      <c r="G17" s="551">
        <f>IFERROR(VLOOKUP($A17,Race_2024!A:L, 10,FALSE),0)</f>
        <v>-91336484.645999998</v>
      </c>
      <c r="H17" s="551">
        <f>IFERROR(VLOOKUP($A17,Race_2024!A:L, 11,FALSE),0)</f>
        <v>-91355935.665999994</v>
      </c>
      <c r="I17" s="550">
        <f>IFERROR(VLOOKUP($A17,Race_2024!A:L, 12,FALSE),0)</f>
        <v>-85422718.768999994</v>
      </c>
      <c r="J17" s="554"/>
      <c r="K17" s="544"/>
    </row>
    <row r="18" spans="1:11" ht="15">
      <c r="A18" s="546" t="s">
        <v>784</v>
      </c>
      <c r="B18" s="546" t="str">
        <f>IFERROR(VLOOKUP(A18,Race_2024!A:C,3,FALSE), VLOOKUP(A18,Race_2024!A:C,3,FALSE))</f>
        <v>Var costs over stand</v>
      </c>
      <c r="C18" s="566" t="s">
        <v>785</v>
      </c>
      <c r="D18" s="551">
        <f>IFERROR(VLOOKUP($A18,Race_2024!A:L, 7,FALSE),0)</f>
        <v>-73801774.355000004</v>
      </c>
      <c r="E18" s="551">
        <f>IFERROR(VLOOKUP($A18,Race_2024!A:L, 9,FALSE),0)</f>
        <v>-85767507.178000003</v>
      </c>
      <c r="F18" s="551">
        <f>IFERROR(VLOOKUP($A18,Race_2024!A:L, 8,FALSE),0)</f>
        <v>-46029321.993000001</v>
      </c>
      <c r="G18" s="551">
        <f>IFERROR(VLOOKUP($A18,Race_2024!A:L, 10,FALSE),0)</f>
        <v>-84376608.747999996</v>
      </c>
      <c r="H18" s="551">
        <f>IFERROR(VLOOKUP($A18,Race_2024!A:L, 11,FALSE),0)</f>
        <v>-83509262.899000004</v>
      </c>
      <c r="I18" s="550">
        <f>IFERROR(VLOOKUP($A18,Race_2024!A:L, 12,FALSE),0)</f>
        <v>-84639256.966999993</v>
      </c>
      <c r="J18" s="554"/>
      <c r="K18" s="544"/>
    </row>
    <row r="19" spans="1:11" ht="15">
      <c r="A19" s="546" t="s">
        <v>786</v>
      </c>
      <c r="B19" s="546" t="str">
        <f>IFERROR(VLOOKUP(A19,Race_2024!A:C,3,FALSE), VLOOKUP(A19,Race_2024!A:C,3,FALSE))</f>
        <v>Variable costs ICO</v>
      </c>
      <c r="C19" s="553" t="s">
        <v>787</v>
      </c>
      <c r="D19" s="548">
        <f>IFERROR(VLOOKUP($A19,Race_2024!A:L, 7,FALSE),0)</f>
        <v>-19670.065999999999</v>
      </c>
      <c r="E19" s="548">
        <f>IFERROR(VLOOKUP($A19,Race_2024!A:L, 9,FALSE),0)</f>
        <v>0</v>
      </c>
      <c r="F19" s="548">
        <f>IFERROR(VLOOKUP($A19,Race_2024!A:L, 8,FALSE),0)</f>
        <v>-29341.127</v>
      </c>
      <c r="G19" s="548">
        <f>IFERROR(VLOOKUP($A19,Race_2024!A:L, 10,FALSE),0)</f>
        <v>-28656.488000000001</v>
      </c>
      <c r="H19" s="548">
        <f>IFERROR(VLOOKUP($A19,Race_2024!A:L, 11,FALSE),0)</f>
        <v>-29341.127</v>
      </c>
      <c r="I19" s="547">
        <f>IFERROR(VLOOKUP($A19,Race_2024!A:L, 12,FALSE),0)</f>
        <v>0</v>
      </c>
      <c r="J19" s="554"/>
      <c r="K19" s="544"/>
    </row>
    <row r="20" spans="1:11" ht="15">
      <c r="A20" s="546" t="s">
        <v>788</v>
      </c>
      <c r="B20" s="546" t="str">
        <f>IFERROR(VLOOKUP(A20,Race_2024!A:C,3,FALSE), VLOOKUP(A20,Race_2024!A:C,3,FALSE))</f>
        <v>Var. manuf. costs</v>
      </c>
      <c r="C20" s="553" t="s">
        <v>789</v>
      </c>
      <c r="D20" s="548">
        <f>IFERROR(VLOOKUP($A20,Race_2024!A:L, 7,FALSE),0)</f>
        <v>-72510873.439999998</v>
      </c>
      <c r="E20" s="548">
        <f>IFERROR(VLOOKUP($A20,Race_2024!A:L, 9,FALSE),0)</f>
        <v>-84722828.355000004</v>
      </c>
      <c r="F20" s="548">
        <f>IFERROR(VLOOKUP($A20,Race_2024!A:L, 8,FALSE),0)</f>
        <v>-45457751.611000001</v>
      </c>
      <c r="G20" s="548">
        <f>IFERROR(VLOOKUP($A20,Race_2024!A:L, 10,FALSE),0)</f>
        <v>-83322213.256999999</v>
      </c>
      <c r="H20" s="548">
        <f>IFERROR(VLOOKUP($A20,Race_2024!A:L, 11,FALSE),0)</f>
        <v>-82279350.706</v>
      </c>
      <c r="I20" s="547">
        <f>IFERROR(VLOOKUP($A20,Race_2024!A:L, 12,FALSE),0)</f>
        <v>-83503629.902999997</v>
      </c>
      <c r="J20" s="554"/>
      <c r="K20" s="544"/>
    </row>
    <row r="21" spans="1:11" ht="15">
      <c r="A21" s="546" t="s">
        <v>790</v>
      </c>
      <c r="B21" s="546" t="str">
        <f>IFERROR(VLOOKUP(A21,Race_2024!A:C,3,FALSE), VLOOKUP(A21,Race_2024!A:C,3,FALSE))</f>
        <v>Other var. costs</v>
      </c>
      <c r="C21" s="564" t="s">
        <v>791</v>
      </c>
      <c r="D21" s="551">
        <f>IFERROR(VLOOKUP($A21,Race_2024!A:L, 7,FALSE),0)</f>
        <v>-1271230.8489999999</v>
      </c>
      <c r="E21" s="551">
        <f>IFERROR(VLOOKUP($A21,Race_2024!A:L, 9,FALSE),0)</f>
        <v>-1044678.823</v>
      </c>
      <c r="F21" s="551">
        <f>IFERROR(VLOOKUP($A21,Race_2024!A:L, 8,FALSE),0)</f>
        <v>-542229.255</v>
      </c>
      <c r="G21" s="551">
        <f>IFERROR(VLOOKUP($A21,Race_2024!A:L, 10,FALSE),0)</f>
        <v>-1025739.003</v>
      </c>
      <c r="H21" s="551">
        <f>IFERROR(VLOOKUP($A21,Race_2024!A:L, 11,FALSE),0)</f>
        <v>-1200571.0660000001</v>
      </c>
      <c r="I21" s="550">
        <f>IFERROR(VLOOKUP($A21,Race_2024!A:L, 12,FALSE),0)</f>
        <v>-1135627.064</v>
      </c>
      <c r="J21" s="554"/>
      <c r="K21" s="544"/>
    </row>
    <row r="22" spans="1:11" ht="15">
      <c r="A22" s="546" t="s">
        <v>792</v>
      </c>
      <c r="B22" s="546" t="str">
        <f>IFERROR(VLOOKUP(A22,Race_2024!A:C,3,FALSE), VLOOKUP(A22,Race_2024!A:C,3,FALSE))</f>
        <v>OVC handling</v>
      </c>
      <c r="C22" s="563" t="s">
        <v>793</v>
      </c>
      <c r="D22" s="548">
        <f>IFERROR(VLOOKUP($A22,Race_2024!A:L, 7,FALSE),0)</f>
        <v>-482035.60200000001</v>
      </c>
      <c r="E22" s="548">
        <f>IFERROR(VLOOKUP($A22,Race_2024!A:L, 9,FALSE),0)</f>
        <v>-410177.489</v>
      </c>
      <c r="F22" s="548">
        <f>IFERROR(VLOOKUP($A22,Race_2024!A:L, 8,FALSE),0)</f>
        <v>-225269.86799999999</v>
      </c>
      <c r="G22" s="548">
        <f>IFERROR(VLOOKUP($A22,Race_2024!A:L, 10,FALSE),0)</f>
        <v>-418433.46600000001</v>
      </c>
      <c r="H22" s="548">
        <f>IFERROR(VLOOKUP($A22,Race_2024!A:L, 11,FALSE),0)</f>
        <v>-471462.82500000001</v>
      </c>
      <c r="I22" s="547">
        <f>IFERROR(VLOOKUP($A22,Race_2024!A:L, 12,FALSE),0)</f>
        <v>-402623.19900000002</v>
      </c>
      <c r="J22" s="554"/>
      <c r="K22" s="544"/>
    </row>
    <row r="23" spans="1:11" ht="15">
      <c r="A23" s="546" t="s">
        <v>794</v>
      </c>
      <c r="B23" s="546" t="str">
        <f>IFERROR(VLOOKUP(A23,Race_2024!A:C,3,FALSE), VLOOKUP(A23,Race_2024!A:C,3,FALSE))</f>
        <v>OVC freight</v>
      </c>
      <c r="C23" s="563" t="s">
        <v>795</v>
      </c>
      <c r="D23" s="548">
        <f>IFERROR(VLOOKUP($A23,Race_2024!A:L, 7,FALSE),0)</f>
        <v>-789195.24699999997</v>
      </c>
      <c r="E23" s="548">
        <f>IFERROR(VLOOKUP($A23,Race_2024!A:L, 9,FALSE),0)</f>
        <v>-634501.33400000003</v>
      </c>
      <c r="F23" s="548">
        <f>IFERROR(VLOOKUP($A23,Race_2024!A:L, 8,FALSE),0)</f>
        <v>-316959.38699999999</v>
      </c>
      <c r="G23" s="548">
        <f>IFERROR(VLOOKUP($A23,Race_2024!A:L, 10,FALSE),0)</f>
        <v>-607305.53700000001</v>
      </c>
      <c r="H23" s="548">
        <f>IFERROR(VLOOKUP($A23,Race_2024!A:L, 11,FALSE),0)</f>
        <v>-729108.24100000004</v>
      </c>
      <c r="I23" s="547">
        <f>IFERROR(VLOOKUP($A23,Race_2024!A:L, 12,FALSE),0)</f>
        <v>-733003.86499999999</v>
      </c>
      <c r="J23" s="554"/>
      <c r="K23" s="544"/>
    </row>
    <row r="24" spans="1:11" ht="15">
      <c r="A24" s="546" t="s">
        <v>796</v>
      </c>
      <c r="B24" s="546" t="e">
        <f>IFERROR(VLOOKUP(A24,Race_2024!A:C,3,FALSE), VLOOKUP(A24,Race_2024!A:C,3,FALSE))</f>
        <v>#N/A</v>
      </c>
      <c r="C24" s="563" t="s">
        <v>797</v>
      </c>
      <c r="D24" s="548">
        <f>IFERROR(VLOOKUP($A24,Race_2024!A:L, 7,FALSE),0)</f>
        <v>0</v>
      </c>
      <c r="E24" s="548">
        <f>IFERROR(VLOOKUP($A24,Race_2024!A:L, 9,FALSE),0)</f>
        <v>0</v>
      </c>
      <c r="F24" s="548">
        <f>IFERROR(VLOOKUP($A24,Race_2024!A:L, 8,FALSE),0)</f>
        <v>0</v>
      </c>
      <c r="G24" s="548">
        <f>IFERROR(VLOOKUP($A24,Race_2024!A:L, 10,FALSE),0)</f>
        <v>0</v>
      </c>
      <c r="H24" s="548">
        <f>IFERROR(VLOOKUP($A24,Race_2024!A:L, 11,FALSE),0)</f>
        <v>0</v>
      </c>
      <c r="I24" s="547">
        <f>IFERROR(VLOOKUP($A24,Race_2024!A:L, 12,FALSE),0)</f>
        <v>0</v>
      </c>
      <c r="J24" s="554"/>
      <c r="K24" s="544"/>
    </row>
    <row r="25" spans="1:11" ht="15">
      <c r="A25" s="546" t="s">
        <v>798</v>
      </c>
      <c r="B25" s="546" t="str">
        <f>IFERROR(VLOOKUP(A25,Race_2024!A:C,3,FALSE), VLOOKUP(A25,Race_2024!A:C,3,FALSE))</f>
        <v>Cost variations</v>
      </c>
      <c r="C25" s="566" t="s">
        <v>799</v>
      </c>
      <c r="D25" s="551">
        <f>IFERROR(VLOOKUP($A25,Race_2024!A:L, 7,FALSE),0)</f>
        <v>-8982401.2870000005</v>
      </c>
      <c r="E25" s="551">
        <f>IFERROR(VLOOKUP($A25,Race_2024!A:L, 9,FALSE),0)</f>
        <v>-794796.78500000003</v>
      </c>
      <c r="F25" s="551">
        <f>IFERROR(VLOOKUP($A25,Race_2024!A:L, 8,FALSE),0)</f>
        <v>-5311449.6169999996</v>
      </c>
      <c r="G25" s="551">
        <f>IFERROR(VLOOKUP($A25,Race_2024!A:L, 10,FALSE),0)</f>
        <v>-6959875.898</v>
      </c>
      <c r="H25" s="551">
        <f>IFERROR(VLOOKUP($A25,Race_2024!A:L, 11,FALSE),0)</f>
        <v>-7846672.767</v>
      </c>
      <c r="I25" s="550">
        <f>IFERROR(VLOOKUP($A25,Race_2024!A:L, 12,FALSE),0)</f>
        <v>-783461.80200000003</v>
      </c>
      <c r="J25" s="554"/>
      <c r="K25" s="544"/>
    </row>
    <row r="26" spans="1:11" ht="13.15" customHeight="1">
      <c r="A26" s="546" t="s">
        <v>800</v>
      </c>
      <c r="B26" s="546" t="str">
        <f>IFERROR(VLOOKUP(A26,Race_2024!A:C,3,FALSE), VLOOKUP(A26,Race_2024!A:C,3,FALSE))</f>
        <v>Var.to raw mat total</v>
      </c>
      <c r="C26" s="564" t="s">
        <v>801</v>
      </c>
      <c r="D26" s="551">
        <f>IFERROR(VLOOKUP($A26,Race_2024!A:L, 7,FALSE),0)</f>
        <v>-7336430.8380000005</v>
      </c>
      <c r="E26" s="551">
        <f>IFERROR(VLOOKUP($A26,Race_2024!A:L, 9,FALSE),0)</f>
        <v>0</v>
      </c>
      <c r="F26" s="551">
        <f>IFERROR(VLOOKUP($A26,Race_2024!A:L, 8,FALSE),0)</f>
        <v>-4717507.3590000002</v>
      </c>
      <c r="G26" s="551">
        <f>IFERROR(VLOOKUP($A26,Race_2024!A:L, 10,FALSE),0)</f>
        <v>-5623722.2589999996</v>
      </c>
      <c r="H26" s="551">
        <f>IFERROR(VLOOKUP($A26,Race_2024!A:L, 11,FALSE),0)</f>
        <v>-6523231.5599999996</v>
      </c>
      <c r="I26" s="550">
        <f>IFERROR(VLOOKUP($A26,Race_2024!A:L, 12,FALSE),0)</f>
        <v>0</v>
      </c>
      <c r="J26" s="554"/>
      <c r="K26" s="544"/>
    </row>
    <row r="27" spans="1:11" ht="15">
      <c r="A27" s="546" t="s">
        <v>802</v>
      </c>
      <c r="B27" s="546" t="str">
        <f>IFERROR(VLOOKUP(A27,Race_2024!A:C,3,FALSE), VLOOKUP(A27,Race_2024!A:C,3,FALSE))</f>
        <v>Var.to raw mat price</v>
      </c>
      <c r="C27" s="563" t="s">
        <v>803</v>
      </c>
      <c r="D27" s="548">
        <f>IFERROR(VLOOKUP($A27,Race_2024!A:L, 7,FALSE),0)</f>
        <v>-7539928.9119999995</v>
      </c>
      <c r="E27" s="548">
        <f>IFERROR(VLOOKUP($A27,Race_2024!A:L, 9,FALSE),0)</f>
        <v>0</v>
      </c>
      <c r="F27" s="548">
        <f>IFERROR(VLOOKUP($A27,Race_2024!A:L, 8,FALSE),0)</f>
        <v>-5574537.9060000004</v>
      </c>
      <c r="G27" s="548">
        <f>IFERROR(VLOOKUP($A27,Race_2024!A:L, 10,FALSE),0)</f>
        <v>-6110654.4800000004</v>
      </c>
      <c r="H27" s="548">
        <f>IFERROR(VLOOKUP($A27,Race_2024!A:L, 11,FALSE),0)</f>
        <v>-7238496.6859999998</v>
      </c>
      <c r="I27" s="547">
        <f>IFERROR(VLOOKUP($A27,Race_2024!A:L, 12,FALSE),0)</f>
        <v>0</v>
      </c>
      <c r="J27" s="554"/>
      <c r="K27" s="544"/>
    </row>
    <row r="28" spans="1:11" ht="15">
      <c r="A28" s="546" t="s">
        <v>804</v>
      </c>
      <c r="B28" s="546" t="e">
        <f>IFERROR(VLOOKUP(A28,Race_2024!A:C,3,FALSE), VLOOKUP(A28,Race_2024!A:C,3,FALSE))</f>
        <v>#N/A</v>
      </c>
      <c r="C28" s="563" t="s">
        <v>805</v>
      </c>
      <c r="D28" s="548">
        <f>IFERROR(VLOOKUP($A28,Race_2024!A:L, 7,FALSE),0)</f>
        <v>0</v>
      </c>
      <c r="E28" s="548">
        <f>IFERROR(VLOOKUP($A28,Race_2024!A:L, 9,FALSE),0)</f>
        <v>0</v>
      </c>
      <c r="F28" s="548">
        <f>IFERROR(VLOOKUP($A28,Race_2024!A:L, 8,FALSE),0)</f>
        <v>0</v>
      </c>
      <c r="G28" s="548">
        <f>IFERROR(VLOOKUP($A28,Race_2024!A:L, 10,FALSE),0)</f>
        <v>0</v>
      </c>
      <c r="H28" s="548">
        <f>IFERROR(VLOOKUP($A28,Race_2024!A:L, 11,FALSE),0)</f>
        <v>0</v>
      </c>
      <c r="I28" s="547">
        <f>IFERROR(VLOOKUP($A28,Race_2024!A:L, 12,FALSE),0)</f>
        <v>0</v>
      </c>
      <c r="J28" s="554"/>
      <c r="K28" s="544"/>
    </row>
    <row r="29" spans="1:11" ht="15">
      <c r="A29" s="546" t="s">
        <v>806</v>
      </c>
      <c r="B29" s="546" t="str">
        <f>IFERROR(VLOOKUP(A29,Race_2024!A:C,3,FALSE), VLOOKUP(A29,Race_2024!A:C,3,FALSE))</f>
        <v>Inv.val.allo RM&amp;supp</v>
      </c>
      <c r="C29" s="563" t="s">
        <v>807</v>
      </c>
      <c r="D29" s="548">
        <f>IFERROR(VLOOKUP($A29,Race_2024!A:L, 7,FALSE),0)</f>
        <v>379797.43900000001</v>
      </c>
      <c r="E29" s="548">
        <f>IFERROR(VLOOKUP($A29,Race_2024!A:L, 9,FALSE),0)</f>
        <v>0</v>
      </c>
      <c r="F29" s="548">
        <f>IFERROR(VLOOKUP($A29,Race_2024!A:L, 8,FALSE),0)</f>
        <v>860115.12600000005</v>
      </c>
      <c r="G29" s="548">
        <f>IFERROR(VLOOKUP($A29,Race_2024!A:L, 10,FALSE),0)</f>
        <v>633121.72</v>
      </c>
      <c r="H29" s="548">
        <f>IFERROR(VLOOKUP($A29,Race_2024!A:L, 11,FALSE),0)</f>
        <v>860115.12600000005</v>
      </c>
      <c r="I29" s="547">
        <f>IFERROR(VLOOKUP($A29,Race_2024!A:L, 12,FALSE),0)</f>
        <v>0</v>
      </c>
      <c r="J29" s="554"/>
      <c r="K29" s="544"/>
    </row>
    <row r="30" spans="1:11" ht="15">
      <c r="A30" s="546" t="s">
        <v>808</v>
      </c>
      <c r="B30" s="546" t="str">
        <f>IFERROR(VLOOKUP(A30,Race_2024!A:C,3,FALSE), VLOOKUP(A30,Race_2024!A:C,3,FALSE))</f>
        <v>Inv.var.(RM&amp;supp)</v>
      </c>
      <c r="C30" s="563" t="s">
        <v>809</v>
      </c>
      <c r="D30" s="548">
        <f>IFERROR(VLOOKUP($A30,Race_2024!A:L, 7,FALSE),0)</f>
        <v>-176299.36499999999</v>
      </c>
      <c r="E30" s="548">
        <f>IFERROR(VLOOKUP($A30,Race_2024!A:L, 9,FALSE),0)</f>
        <v>0</v>
      </c>
      <c r="F30" s="548">
        <f>IFERROR(VLOOKUP($A30,Race_2024!A:L, 8,FALSE),0)</f>
        <v>-3084.5790000000002</v>
      </c>
      <c r="G30" s="548">
        <f>IFERROR(VLOOKUP($A30,Race_2024!A:L, 10,FALSE),0)</f>
        <v>-146189.49900000001</v>
      </c>
      <c r="H30" s="548">
        <f>IFERROR(VLOOKUP($A30,Race_2024!A:L, 11,FALSE),0)</f>
        <v>-144850</v>
      </c>
      <c r="I30" s="547">
        <f>IFERROR(VLOOKUP($A30,Race_2024!A:L, 12,FALSE),0)</f>
        <v>0</v>
      </c>
      <c r="J30" s="554"/>
      <c r="K30" s="544"/>
    </row>
    <row r="31" spans="1:11" ht="15">
      <c r="A31" s="546" t="s">
        <v>810</v>
      </c>
      <c r="B31" s="546" t="e">
        <f>IFERROR(VLOOKUP(A31,Race_2024!A:C,3,FALSE), VLOOKUP(A31,Race_2024!A:C,3,FALSE))</f>
        <v>#N/A</v>
      </c>
      <c r="C31" s="563" t="s">
        <v>811</v>
      </c>
      <c r="D31" s="548">
        <f>IFERROR(VLOOKUP($A31,Race_2024!A:L, 7,FALSE),0)</f>
        <v>0</v>
      </c>
      <c r="E31" s="548">
        <f>IFERROR(VLOOKUP($A31,Race_2024!A:L, 9,FALSE),0)</f>
        <v>0</v>
      </c>
      <c r="F31" s="548">
        <f>IFERROR(VLOOKUP($A31,Race_2024!A:L, 8,FALSE),0)</f>
        <v>0</v>
      </c>
      <c r="G31" s="548">
        <f>IFERROR(VLOOKUP($A31,Race_2024!A:L, 10,FALSE),0)</f>
        <v>0</v>
      </c>
      <c r="H31" s="548">
        <f>IFERROR(VLOOKUP($A31,Race_2024!A:L, 11,FALSE),0)</f>
        <v>0</v>
      </c>
      <c r="I31" s="547">
        <f>IFERROR(VLOOKUP($A31,Race_2024!A:L, 12,FALSE),0)</f>
        <v>0</v>
      </c>
      <c r="J31" s="554"/>
      <c r="K31" s="544"/>
    </row>
    <row r="32" spans="1:11" ht="15">
      <c r="A32" s="546" t="s">
        <v>812</v>
      </c>
      <c r="B32" s="546" t="e">
        <f>IFERROR(VLOOKUP(A32,Race_2024!A:C,3,FALSE), VLOOKUP(A32,Race_2024!A:C,3,FALSE))</f>
        <v>#N/A</v>
      </c>
      <c r="C32" s="563" t="s">
        <v>813</v>
      </c>
      <c r="D32" s="548">
        <f>IFERROR(VLOOKUP($A32,Race_2024!A:L, 7,FALSE),0)</f>
        <v>0</v>
      </c>
      <c r="E32" s="548">
        <f>IFERROR(VLOOKUP($A32,Race_2024!A:L, 9,FALSE),0)</f>
        <v>0</v>
      </c>
      <c r="F32" s="548">
        <f>IFERROR(VLOOKUP($A32,Race_2024!A:L, 8,FALSE),0)</f>
        <v>0</v>
      </c>
      <c r="G32" s="548">
        <f>IFERROR(VLOOKUP($A32,Race_2024!A:L, 10,FALSE),0)</f>
        <v>0</v>
      </c>
      <c r="H32" s="548">
        <f>IFERROR(VLOOKUP($A32,Race_2024!A:L, 11,FALSE),0)</f>
        <v>0</v>
      </c>
      <c r="I32" s="547">
        <f>IFERROR(VLOOKUP($A32,Race_2024!A:L, 12,FALSE),0)</f>
        <v>0</v>
      </c>
      <c r="J32" s="554"/>
      <c r="K32" s="544"/>
    </row>
    <row r="33" spans="1:13" ht="15">
      <c r="A33" s="546" t="s">
        <v>814</v>
      </c>
      <c r="B33" s="546" t="str">
        <f>IFERROR(VLOOKUP(A33,Race_2024!A:C,3,FALSE), VLOOKUP(A33,Race_2024!A:C,3,FALSE))</f>
        <v>Var. in manuf. tot</v>
      </c>
      <c r="C33" s="564" t="s">
        <v>815</v>
      </c>
      <c r="D33" s="551">
        <f>IFERROR(VLOOKUP($A33,Race_2024!A:L, 7,FALSE),0)</f>
        <v>-1374721.858</v>
      </c>
      <c r="E33" s="551">
        <f>IFERROR(VLOOKUP($A33,Race_2024!A:L, 9,FALSE),0)</f>
        <v>-183414.796</v>
      </c>
      <c r="F33" s="551">
        <f>IFERROR(VLOOKUP($A33,Race_2024!A:L, 8,FALSE),0)</f>
        <v>-98835.148000000001</v>
      </c>
      <c r="G33" s="551">
        <f>IFERROR(VLOOKUP($A33,Race_2024!A:L, 10,FALSE),0)</f>
        <v>-463681.50099999999</v>
      </c>
      <c r="H33" s="551">
        <f>IFERROR(VLOOKUP($A33,Race_2024!A:L, 11,FALSE),0)</f>
        <v>-295755.21899999998</v>
      </c>
      <c r="I33" s="550">
        <f>IFERROR(VLOOKUP($A33,Race_2024!A:L, 12,FALSE),0)</f>
        <v>-151637.76800000001</v>
      </c>
      <c r="J33" s="554"/>
      <c r="K33" s="544"/>
    </row>
    <row r="34" spans="1:13" ht="15">
      <c r="A34" s="546" t="s">
        <v>816</v>
      </c>
      <c r="B34" s="546" t="e">
        <f>IFERROR(VLOOKUP(A34,Race_2024!A:C,3,FALSE), VLOOKUP(A34,Race_2024!A:C,3,FALSE))</f>
        <v>#N/A</v>
      </c>
      <c r="C34" s="565" t="s">
        <v>817</v>
      </c>
      <c r="D34" s="548">
        <f>IFERROR(VLOOKUP($A34,Race_2024!A:L, 7,FALSE),0)</f>
        <v>0</v>
      </c>
      <c r="E34" s="548">
        <f>IFERROR(VLOOKUP($A34,Race_2024!A:L, 9,FALSE),0)</f>
        <v>0</v>
      </c>
      <c r="F34" s="548">
        <f>IFERROR(VLOOKUP($A34,Race_2024!A:L, 8,FALSE),0)</f>
        <v>0</v>
      </c>
      <c r="G34" s="548">
        <f>IFERROR(VLOOKUP($A34,Race_2024!A:L, 10,FALSE),0)</f>
        <v>0</v>
      </c>
      <c r="H34" s="548">
        <f>IFERROR(VLOOKUP($A34,Race_2024!A:L, 11,FALSE),0)</f>
        <v>0</v>
      </c>
      <c r="I34" s="547">
        <f>IFERROR(VLOOKUP($A34,Race_2024!A:L, 12,FALSE),0)</f>
        <v>0</v>
      </c>
      <c r="J34" s="554"/>
      <c r="K34" s="544"/>
    </row>
    <row r="35" spans="1:13" ht="15">
      <c r="A35" s="546" t="s">
        <v>818</v>
      </c>
      <c r="B35" s="546" t="str">
        <f>IFERROR(VLOOKUP(A35,Race_2024!A:C,3,FALSE), VLOOKUP(A35,Race_2024!A:C,3,FALSE))</f>
        <v>Var.to mfg oth.inp.</v>
      </c>
      <c r="C35" s="565" t="s">
        <v>819</v>
      </c>
      <c r="D35" s="548">
        <f>IFERROR(VLOOKUP($A35,Race_2024!A:L, 7,FALSE),0)</f>
        <v>-12311.682000000001</v>
      </c>
      <c r="E35" s="548">
        <f>IFERROR(VLOOKUP($A35,Race_2024!A:L, 9,FALSE),0)</f>
        <v>0</v>
      </c>
      <c r="F35" s="548">
        <f>IFERROR(VLOOKUP($A35,Race_2024!A:L, 8,FALSE),0)</f>
        <v>-21346.51</v>
      </c>
      <c r="G35" s="548">
        <f>IFERROR(VLOOKUP($A35,Race_2024!A:L, 10,FALSE),0)</f>
        <v>-8641.3019999999997</v>
      </c>
      <c r="H35" s="548">
        <f>IFERROR(VLOOKUP($A35,Race_2024!A:L, 11,FALSE),0)</f>
        <v>-42672.317999999999</v>
      </c>
      <c r="I35" s="547">
        <f>IFERROR(VLOOKUP($A35,Race_2024!A:L, 12,FALSE),0)</f>
        <v>0</v>
      </c>
      <c r="J35" s="554"/>
      <c r="K35" s="544"/>
    </row>
    <row r="36" spans="1:13" ht="15">
      <c r="A36" s="546" t="s">
        <v>820</v>
      </c>
      <c r="B36" s="546" t="str">
        <f>IFERROR(VLOOKUP(A36,Race_2024!A:C,3,FALSE), VLOOKUP(A36,Race_2024!A:C,3,FALSE))</f>
        <v>Var.to mfg oth.inp.</v>
      </c>
      <c r="C36" s="565" t="s">
        <v>821</v>
      </c>
      <c r="D36" s="548">
        <f>IFERROR(VLOOKUP($A36,Race_2024!A:L, 7,FALSE),0)</f>
        <v>-11727.326999999999</v>
      </c>
      <c r="E36" s="548">
        <f>IFERROR(VLOOKUP($A36,Race_2024!A:L, 9,FALSE),0)</f>
        <v>0</v>
      </c>
      <c r="F36" s="548">
        <f>IFERROR(VLOOKUP($A36,Race_2024!A:L, 8,FALSE),0)</f>
        <v>10974.884</v>
      </c>
      <c r="G36" s="548">
        <f>IFERROR(VLOOKUP($A36,Race_2024!A:L, 10,FALSE),0)</f>
        <v>11330.34</v>
      </c>
      <c r="H36" s="548">
        <f>IFERROR(VLOOKUP($A36,Race_2024!A:L, 11,FALSE),0)</f>
        <v>21939.124</v>
      </c>
      <c r="I36" s="547">
        <f>IFERROR(VLOOKUP($A36,Race_2024!A:L, 12,FALSE),0)</f>
        <v>0</v>
      </c>
      <c r="J36" s="554"/>
      <c r="K36" s="544"/>
    </row>
    <row r="37" spans="1:13" ht="15">
      <c r="A37" s="546" t="s">
        <v>822</v>
      </c>
      <c r="B37" s="546" t="e">
        <f>IFERROR(VLOOKUP(A37,Race_2024!A:C,3,FALSE), VLOOKUP(A37,Race_2024!A:C,3,FALSE))</f>
        <v>#N/A</v>
      </c>
      <c r="C37" s="565" t="s">
        <v>823</v>
      </c>
      <c r="D37" s="548">
        <f>IFERROR(VLOOKUP($A37,Race_2024!A:L, 7,FALSE),0)</f>
        <v>0</v>
      </c>
      <c r="E37" s="548">
        <f>IFERROR(VLOOKUP($A37,Race_2024!A:L, 9,FALSE),0)</f>
        <v>0</v>
      </c>
      <c r="F37" s="548">
        <f>IFERROR(VLOOKUP($A37,Race_2024!A:L, 8,FALSE),0)</f>
        <v>0</v>
      </c>
      <c r="G37" s="548">
        <f>IFERROR(VLOOKUP($A37,Race_2024!A:L, 10,FALSE),0)</f>
        <v>0</v>
      </c>
      <c r="H37" s="548">
        <f>IFERROR(VLOOKUP($A37,Race_2024!A:L, 11,FALSE),0)</f>
        <v>0</v>
      </c>
      <c r="I37" s="547">
        <f>IFERROR(VLOOKUP($A37,Race_2024!A:L, 12,FALSE),0)</f>
        <v>0</v>
      </c>
      <c r="J37" s="554"/>
      <c r="K37" s="544"/>
    </row>
    <row r="38" spans="1:13" ht="15">
      <c r="A38" s="546" t="s">
        <v>824</v>
      </c>
      <c r="B38" s="546" t="str">
        <f>IFERROR(VLOOKUP(A38,Race_2024!A:C,3,FALSE), VLOOKUP(A38,Race_2024!A:C,3,FALSE))</f>
        <v>Var.in Pr.Labor dep.</v>
      </c>
      <c r="C38" s="565" t="s">
        <v>825</v>
      </c>
      <c r="D38" s="548">
        <f>IFERROR(VLOOKUP($A38,Race_2024!A:L, 7,FALSE),0)</f>
        <v>-368256.13400000002</v>
      </c>
      <c r="E38" s="548">
        <f>IFERROR(VLOOKUP($A38,Race_2024!A:L, 9,FALSE),0)</f>
        <v>0</v>
      </c>
      <c r="F38" s="548">
        <f>IFERROR(VLOOKUP($A38,Race_2024!A:L, 8,FALSE),0)</f>
        <v>-53573.186999999998</v>
      </c>
      <c r="G38" s="548">
        <f>IFERROR(VLOOKUP($A38,Race_2024!A:L, 10,FALSE),0)</f>
        <v>-23217.277999999998</v>
      </c>
      <c r="H38" s="548">
        <f>IFERROR(VLOOKUP($A38,Race_2024!A:L, 11,FALSE),0)</f>
        <v>-106950.696</v>
      </c>
      <c r="I38" s="547">
        <f>IFERROR(VLOOKUP($A38,Race_2024!A:L, 12,FALSE),0)</f>
        <v>0</v>
      </c>
      <c r="J38" s="554"/>
      <c r="K38" s="544"/>
    </row>
    <row r="39" spans="1:13" ht="15">
      <c r="A39" s="546" t="s">
        <v>826</v>
      </c>
      <c r="B39" s="546" t="str">
        <f>IFERROR(VLOOKUP(A39,Race_2024!A:C,3,FALSE), VLOOKUP(A39,Race_2024!A:C,3,FALSE))</f>
        <v>Var.in Pro.Machine d</v>
      </c>
      <c r="C39" s="565" t="s">
        <v>827</v>
      </c>
      <c r="D39" s="548">
        <f>IFERROR(VLOOKUP($A39,Race_2024!A:L, 7,FALSE),0)</f>
        <v>-99875.926000000007</v>
      </c>
      <c r="E39" s="548">
        <f>IFERROR(VLOOKUP($A39,Race_2024!A:L, 9,FALSE),0)</f>
        <v>0</v>
      </c>
      <c r="F39" s="548">
        <f>IFERROR(VLOOKUP($A39,Race_2024!A:L, 8,FALSE),0)</f>
        <v>189362.83300000001</v>
      </c>
      <c r="G39" s="548">
        <f>IFERROR(VLOOKUP($A39,Race_2024!A:L, 10,FALSE),0)</f>
        <v>-95433.885999999999</v>
      </c>
      <c r="H39" s="548">
        <f>IFERROR(VLOOKUP($A39,Race_2024!A:L, 11,FALSE),0)</f>
        <v>298736.28700000001</v>
      </c>
      <c r="I39" s="547">
        <f>IFERROR(VLOOKUP($A39,Race_2024!A:L, 12,FALSE),0)</f>
        <v>0</v>
      </c>
      <c r="J39" s="554"/>
      <c r="K39" s="544"/>
    </row>
    <row r="40" spans="1:13" ht="15">
      <c r="A40" s="546" t="s">
        <v>828</v>
      </c>
      <c r="B40" s="546" t="str">
        <f>IFERROR(VLOOKUP(A40,Race_2024!A:C,3,FALSE), VLOOKUP(A40,Race_2024!A:C,3,FALSE))</f>
        <v>Var.act to std.prod.</v>
      </c>
      <c r="C40" s="565" t="s">
        <v>829</v>
      </c>
      <c r="D40" s="548">
        <f>IFERROR(VLOOKUP($A40,Race_2024!A:L, 7,FALSE),0)</f>
        <v>-21013.937000000002</v>
      </c>
      <c r="E40" s="548">
        <f>IFERROR(VLOOKUP($A40,Race_2024!A:L, 9,FALSE),0)</f>
        <v>0</v>
      </c>
      <c r="F40" s="548">
        <f>IFERROR(VLOOKUP($A40,Race_2024!A:L, 8,FALSE),0)</f>
        <v>19443.904999999999</v>
      </c>
      <c r="G40" s="548">
        <f>IFERROR(VLOOKUP($A40,Race_2024!A:L, 10,FALSE),0)</f>
        <v>19442.746999999999</v>
      </c>
      <c r="H40" s="548">
        <f>IFERROR(VLOOKUP($A40,Race_2024!A:L, 11,FALSE),0)</f>
        <v>19443.904999999999</v>
      </c>
      <c r="I40" s="547">
        <f>IFERROR(VLOOKUP($A40,Race_2024!A:L, 12,FALSE),0)</f>
        <v>0</v>
      </c>
      <c r="J40" s="554"/>
      <c r="K40" s="544"/>
    </row>
    <row r="41" spans="1:13" ht="15">
      <c r="A41" s="546" t="s">
        <v>830</v>
      </c>
      <c r="B41" s="546" t="str">
        <f>IFERROR(VLOOKUP(A41,Race_2024!A:C,3,FALSE), VLOOKUP(A41,Race_2024!A:C,3,FALSE))</f>
        <v>Var.Inbound freight</v>
      </c>
      <c r="C41" s="565" t="s">
        <v>831</v>
      </c>
      <c r="D41" s="548">
        <f>IFERROR(VLOOKUP($A41,Race_2024!A:L, 7,FALSE),0)</f>
        <v>-1364605.713</v>
      </c>
      <c r="E41" s="548">
        <f>IFERROR(VLOOKUP($A41,Race_2024!A:L, 9,FALSE),0)</f>
        <v>0</v>
      </c>
      <c r="F41" s="548">
        <f>IFERROR(VLOOKUP($A41,Race_2024!A:L, 8,FALSE),0)</f>
        <v>-121154.274</v>
      </c>
      <c r="G41" s="548">
        <f>IFERROR(VLOOKUP($A41,Race_2024!A:L, 10,FALSE),0)</f>
        <v>-263888.37300000002</v>
      </c>
      <c r="H41" s="548">
        <f>IFERROR(VLOOKUP($A41,Race_2024!A:L, 11,FALSE),0)</f>
        <v>-395898</v>
      </c>
      <c r="I41" s="547">
        <f>IFERROR(VLOOKUP($A41,Race_2024!A:L, 12,FALSE),0)</f>
        <v>0</v>
      </c>
      <c r="J41" s="554"/>
      <c r="K41" s="544"/>
    </row>
    <row r="42" spans="1:13" ht="15">
      <c r="A42" s="546" t="s">
        <v>832</v>
      </c>
      <c r="B42" s="546" t="str">
        <f>IFERROR(VLOOKUP(A42,Race_2024!A:C,3,FALSE), VLOOKUP(A42,Race_2024!A:C,3,FALSE))</f>
        <v>Var. ICO Cus. &amp; Duty</v>
      </c>
      <c r="C42" s="565" t="s">
        <v>833</v>
      </c>
      <c r="D42" s="548">
        <f>IFERROR(VLOOKUP($A42,Race_2024!A:L, 7,FALSE),0)</f>
        <v>11117.516</v>
      </c>
      <c r="E42" s="548">
        <f>IFERROR(VLOOKUP($A42,Race_2024!A:L, 9,FALSE),0)</f>
        <v>0</v>
      </c>
      <c r="F42" s="548">
        <f>IFERROR(VLOOKUP($A42,Race_2024!A:L, 8,FALSE),0)</f>
        <v>-161743.32199999999</v>
      </c>
      <c r="G42" s="548">
        <f>IFERROR(VLOOKUP($A42,Race_2024!A:L, 10,FALSE),0)</f>
        <v>0</v>
      </c>
      <c r="H42" s="548">
        <f>IFERROR(VLOOKUP($A42,Race_2024!A:L, 11,FALSE),0)</f>
        <v>0</v>
      </c>
      <c r="I42" s="547">
        <f>IFERROR(VLOOKUP($A42,Race_2024!A:L, 12,FALSE),0)</f>
        <v>0</v>
      </c>
      <c r="J42" s="554"/>
      <c r="K42" s="544"/>
    </row>
    <row r="43" spans="1:13" ht="15">
      <c r="A43" s="546" t="s">
        <v>834</v>
      </c>
      <c r="B43" s="546" t="str">
        <f>IFERROR(VLOOKUP(A43,Race_2024!A:C,3,FALSE), VLOOKUP(A43,Race_2024!A:C,3,FALSE))</f>
        <v>Var.to lab.C.T.incr.</v>
      </c>
      <c r="C43" s="565" t="s">
        <v>835</v>
      </c>
      <c r="D43" s="548">
        <f>IFERROR(VLOOKUP($A43,Race_2024!A:L, 7,FALSE),0)</f>
        <v>205127.459</v>
      </c>
      <c r="E43" s="548">
        <f>IFERROR(VLOOKUP($A43,Race_2024!A:L, 9,FALSE),0)</f>
        <v>0</v>
      </c>
      <c r="F43" s="548">
        <f>IFERROR(VLOOKUP($A43,Race_2024!A:L, 8,FALSE),0)</f>
        <v>-14636.941000000001</v>
      </c>
      <c r="G43" s="548">
        <f>IFERROR(VLOOKUP($A43,Race_2024!A:L, 10,FALSE),0)</f>
        <v>-14636.941000000001</v>
      </c>
      <c r="H43" s="548">
        <f>IFERROR(VLOOKUP($A43,Race_2024!A:L, 11,FALSE),0)</f>
        <v>-14636.941000000001</v>
      </c>
      <c r="I43" s="547">
        <f>IFERROR(VLOOKUP($A43,Race_2024!A:L, 12,FALSE),0)</f>
        <v>0</v>
      </c>
      <c r="J43" s="554"/>
      <c r="K43" s="544"/>
    </row>
    <row r="44" spans="1:13" ht="15">
      <c r="A44" s="546" t="s">
        <v>836</v>
      </c>
      <c r="B44" s="546" t="str">
        <f>IFERROR(VLOOKUP(A44,Race_2024!A:C,3,FALSE), VLOOKUP(A44,Race_2024!A:C,3,FALSE))</f>
        <v>Var.rew/spoil/scrap</v>
      </c>
      <c r="C44" s="565" t="s">
        <v>308</v>
      </c>
      <c r="D44" s="548">
        <f>IFERROR(VLOOKUP($A44,Race_2024!A:L, 7,FALSE),0)</f>
        <v>-13717.183999999999</v>
      </c>
      <c r="E44" s="548">
        <f>IFERROR(VLOOKUP($A44,Race_2024!A:L, 9,FALSE),0)</f>
        <v>-183414.796</v>
      </c>
      <c r="F44" s="548">
        <f>IFERROR(VLOOKUP($A44,Race_2024!A:L, 8,FALSE),0)</f>
        <v>-39055.754000000001</v>
      </c>
      <c r="G44" s="548">
        <f>IFERROR(VLOOKUP($A44,Race_2024!A:L, 10,FALSE),0)</f>
        <v>-142184.35</v>
      </c>
      <c r="H44" s="548">
        <f>IFERROR(VLOOKUP($A44,Race_2024!A:L, 11,FALSE),0)</f>
        <v>-168609.79800000001</v>
      </c>
      <c r="I44" s="547">
        <f>IFERROR(VLOOKUP($A44,Race_2024!A:L, 12,FALSE),0)</f>
        <v>-151637.76800000001</v>
      </c>
      <c r="J44" s="1004">
        <f>I44/I8</f>
        <v>-1.1900858199209701E-3</v>
      </c>
      <c r="K44" s="1005">
        <f>H44/H8</f>
        <v>-1.1996775541726508E-3</v>
      </c>
      <c r="L44" s="1006">
        <f>I8*K44</f>
        <v>-152859.9228638153</v>
      </c>
      <c r="M44" s="1006">
        <f>I44-L44</f>
        <v>1222.154863815289</v>
      </c>
    </row>
    <row r="45" spans="1:13" ht="15">
      <c r="A45" s="546" t="s">
        <v>837</v>
      </c>
      <c r="B45" s="546" t="str">
        <f>IFERROR(VLOOKUP(A45,Race_2024!A:C,3,FALSE), VLOOKUP(A45,Race_2024!A:C,3,FALSE))</f>
        <v>Var. material usage</v>
      </c>
      <c r="C45" s="565" t="s">
        <v>838</v>
      </c>
      <c r="D45" s="548">
        <f>IFERROR(VLOOKUP($A45,Race_2024!A:L, 7,FALSE),0)</f>
        <v>300749.12199999997</v>
      </c>
      <c r="E45" s="548">
        <f>IFERROR(VLOOKUP($A45,Race_2024!A:L, 9,FALSE),0)</f>
        <v>0</v>
      </c>
      <c r="F45" s="548">
        <f>IFERROR(VLOOKUP($A45,Race_2024!A:L, 8,FALSE),0)</f>
        <v>92893.217999999993</v>
      </c>
      <c r="G45" s="548">
        <f>IFERROR(VLOOKUP($A45,Race_2024!A:L, 10,FALSE),0)</f>
        <v>53547.542000000001</v>
      </c>
      <c r="H45" s="548">
        <f>IFERROR(VLOOKUP($A45,Race_2024!A:L, 11,FALSE),0)</f>
        <v>92893.217999999993</v>
      </c>
      <c r="I45" s="547">
        <f>IFERROR(VLOOKUP($A45,Race_2024!A:L, 12,FALSE),0)</f>
        <v>0</v>
      </c>
      <c r="J45" s="554"/>
      <c r="K45" s="544"/>
    </row>
    <row r="46" spans="1:13" ht="15">
      <c r="A46" s="546" t="s">
        <v>839</v>
      </c>
      <c r="B46" s="546" t="str">
        <f>IFERROR(VLOOKUP(A46,Race_2024!A:C,3,FALSE), VLOOKUP(A46,Race_2024!A:C,3,FALSE))</f>
        <v>Var.due t.startUp C</v>
      </c>
      <c r="C46" s="565" t="s">
        <v>840</v>
      </c>
      <c r="D46" s="548">
        <f>IFERROR(VLOOKUP($A46,Race_2024!A:L, 7,FALSE),0)</f>
        <v>-208.05199999999999</v>
      </c>
      <c r="E46" s="548">
        <f>IFERROR(VLOOKUP($A46,Race_2024!A:L, 9,FALSE),0)</f>
        <v>0</v>
      </c>
      <c r="F46" s="548">
        <f>IFERROR(VLOOKUP($A46,Race_2024!A:L, 8,FALSE),0)</f>
        <v>0</v>
      </c>
      <c r="G46" s="548">
        <f>IFERROR(VLOOKUP($A46,Race_2024!A:L, 10,FALSE),0)</f>
        <v>0</v>
      </c>
      <c r="H46" s="548">
        <f>IFERROR(VLOOKUP($A46,Race_2024!A:L, 11,FALSE),0)</f>
        <v>0</v>
      </c>
      <c r="I46" s="547">
        <f>IFERROR(VLOOKUP($A46,Race_2024!A:L, 12,FALSE),0)</f>
        <v>0</v>
      </c>
      <c r="J46" s="554"/>
      <c r="K46" s="544"/>
    </row>
    <row r="47" spans="1:13" ht="15">
      <c r="A47" s="546" t="s">
        <v>841</v>
      </c>
      <c r="B47" s="546" t="str">
        <f>IFERROR(VLOOKUP(A47,Race_2024!A:C,3,FALSE), VLOOKUP(A47,Race_2024!A:C,3,FALSE))</f>
        <v>Other cost var. tot</v>
      </c>
      <c r="C47" s="564" t="s">
        <v>842</v>
      </c>
      <c r="D47" s="551">
        <f>IFERROR(VLOOKUP($A47,Race_2024!A:L, 7,FALSE),0)</f>
        <v>-271248.59100000001</v>
      </c>
      <c r="E47" s="551">
        <f>IFERROR(VLOOKUP($A47,Race_2024!A:L, 9,FALSE),0)</f>
        <v>-611381.98899999994</v>
      </c>
      <c r="F47" s="551">
        <f>IFERROR(VLOOKUP($A47,Race_2024!A:L, 8,FALSE),0)</f>
        <v>-495107.11</v>
      </c>
      <c r="G47" s="551">
        <f>IFERROR(VLOOKUP($A47,Race_2024!A:L, 10,FALSE),0)</f>
        <v>-872472.13800000004</v>
      </c>
      <c r="H47" s="551">
        <f>IFERROR(VLOOKUP($A47,Race_2024!A:L, 11,FALSE),0)</f>
        <v>-1027685.988</v>
      </c>
      <c r="I47" s="550">
        <f>IFERROR(VLOOKUP($A47,Race_2024!A:L, 12,FALSE),0)</f>
        <v>-631824.03399999999</v>
      </c>
      <c r="J47" s="554"/>
      <c r="K47" s="544"/>
    </row>
    <row r="48" spans="1:13" ht="15">
      <c r="A48" s="546" t="s">
        <v>843</v>
      </c>
      <c r="B48" s="546" t="e">
        <f>IFERROR(VLOOKUP(A48,Race_2024!A:C,3,FALSE), VLOOKUP(A48,Race_2024!A:C,3,FALSE))</f>
        <v>#N/A</v>
      </c>
      <c r="C48" s="563" t="s">
        <v>844</v>
      </c>
      <c r="D48" s="548">
        <f>IFERROR(VLOOKUP($A48,Race_2024!A:L, 7,FALSE),0)</f>
        <v>0</v>
      </c>
      <c r="E48" s="548">
        <f>IFERROR(VLOOKUP($A48,Race_2024!A:L, 9,FALSE),0)</f>
        <v>0</v>
      </c>
      <c r="F48" s="548">
        <f>IFERROR(VLOOKUP($A48,Race_2024!A:L, 8,FALSE),0)</f>
        <v>0</v>
      </c>
      <c r="G48" s="548">
        <f>IFERROR(VLOOKUP($A48,Race_2024!A:L, 10,FALSE),0)</f>
        <v>0</v>
      </c>
      <c r="H48" s="548">
        <f>IFERROR(VLOOKUP($A48,Race_2024!A:L, 11,FALSE),0)</f>
        <v>0</v>
      </c>
      <c r="I48" s="547">
        <f>IFERROR(VLOOKUP($A48,Race_2024!A:L, 12,FALSE),0)</f>
        <v>0</v>
      </c>
      <c r="J48" s="554"/>
      <c r="K48" s="544"/>
    </row>
    <row r="49" spans="1:11" ht="15">
      <c r="A49" s="546" t="s">
        <v>845</v>
      </c>
      <c r="B49" s="546" t="str">
        <f>IFERROR(VLOOKUP(A49,Race_2024!A:C,3,FALSE), VLOOKUP(A49,Race_2024!A:C,3,FALSE))</f>
        <v>R&amp;A and gen.warr.</v>
      </c>
      <c r="C49" s="563" t="s">
        <v>846</v>
      </c>
      <c r="D49" s="548">
        <f>IFERROR(VLOOKUP($A49,Race_2024!A:L, 7,FALSE),0)</f>
        <v>-161508.23300000001</v>
      </c>
      <c r="E49" s="548">
        <f>IFERROR(VLOOKUP($A49,Race_2024!A:L, 9,FALSE),0)</f>
        <v>-611381.98899999994</v>
      </c>
      <c r="F49" s="548">
        <f>IFERROR(VLOOKUP($A49,Race_2024!A:L, 8,FALSE),0)</f>
        <v>-250091.71100000001</v>
      </c>
      <c r="G49" s="548">
        <f>IFERROR(VLOOKUP($A49,Race_2024!A:L, 10,FALSE),0)</f>
        <v>-695360.43900000001</v>
      </c>
      <c r="H49" s="548">
        <f>IFERROR(VLOOKUP($A49,Race_2024!A:L, 11,FALSE),0)</f>
        <v>-702541.70200000005</v>
      </c>
      <c r="I49" s="547">
        <f>IFERROR(VLOOKUP($A49,Race_2024!A:L, 12,FALSE),0)</f>
        <v>-631824.03399999999</v>
      </c>
      <c r="J49" s="554"/>
      <c r="K49" s="544"/>
    </row>
    <row r="50" spans="1:11" ht="15">
      <c r="A50" s="546" t="s">
        <v>847</v>
      </c>
      <c r="B50" s="546" t="str">
        <f>IFERROR(VLOOKUP(A50,Race_2024!A:C,3,FALSE), VLOOKUP(A50,Race_2024!A:C,3,FALSE))</f>
        <v>Var. to handling</v>
      </c>
      <c r="C50" s="563" t="s">
        <v>848</v>
      </c>
      <c r="D50" s="548">
        <f>IFERROR(VLOOKUP($A50,Race_2024!A:L, 7,FALSE),0)</f>
        <v>75739.039000000004</v>
      </c>
      <c r="E50" s="548">
        <f>IFERROR(VLOOKUP($A50,Race_2024!A:L, 9,FALSE),0)</f>
        <v>0</v>
      </c>
      <c r="F50" s="548">
        <f>IFERROR(VLOOKUP($A50,Race_2024!A:L, 8,FALSE),0)</f>
        <v>2794.7440000000001</v>
      </c>
      <c r="G50" s="548">
        <f>IFERROR(VLOOKUP($A50,Race_2024!A:L, 10,FALSE),0)</f>
        <v>15838.128000000001</v>
      </c>
      <c r="H50" s="548">
        <f>IFERROR(VLOOKUP($A50,Race_2024!A:L, 11,FALSE),0)</f>
        <v>10502.575999999999</v>
      </c>
      <c r="I50" s="547">
        <f>IFERROR(VLOOKUP($A50,Race_2024!A:L, 12,FALSE),0)</f>
        <v>0</v>
      </c>
      <c r="J50" s="554"/>
      <c r="K50" s="544"/>
    </row>
    <row r="51" spans="1:11" ht="15">
      <c r="A51" s="546" t="s">
        <v>849</v>
      </c>
      <c r="B51" s="546" t="str">
        <f>IFERROR(VLOOKUP(A51,Race_2024!A:C,3,FALSE), VLOOKUP(A51,Race_2024!A:C,3,FALSE))</f>
        <v>Var. to freight</v>
      </c>
      <c r="C51" s="563" t="s">
        <v>850</v>
      </c>
      <c r="D51" s="548">
        <f>IFERROR(VLOOKUP($A51,Race_2024!A:L, 7,FALSE),0)</f>
        <v>-185747.68100000001</v>
      </c>
      <c r="E51" s="548">
        <f>IFERROR(VLOOKUP($A51,Race_2024!A:L, 9,FALSE),0)</f>
        <v>0</v>
      </c>
      <c r="F51" s="548">
        <f>IFERROR(VLOOKUP($A51,Race_2024!A:L, 8,FALSE),0)</f>
        <v>-248629.72</v>
      </c>
      <c r="G51" s="548">
        <f>IFERROR(VLOOKUP($A51,Race_2024!A:L, 10,FALSE),0)</f>
        <v>-192949.82699999999</v>
      </c>
      <c r="H51" s="548">
        <f>IFERROR(VLOOKUP($A51,Race_2024!A:L, 11,FALSE),0)</f>
        <v>-336466.43900000001</v>
      </c>
      <c r="I51" s="547">
        <f>IFERROR(VLOOKUP($A51,Race_2024!A:L, 12,FALSE),0)</f>
        <v>0</v>
      </c>
      <c r="J51" s="554"/>
      <c r="K51" s="544"/>
    </row>
    <row r="52" spans="1:11" ht="15">
      <c r="A52" s="546" t="s">
        <v>851</v>
      </c>
      <c r="B52" s="546" t="str">
        <f>IFERROR(VLOOKUP(A52,Race_2024!A:C,3,FALSE), VLOOKUP(A52,Race_2024!A:C,3,FALSE))</f>
        <v>Other cost var.</v>
      </c>
      <c r="C52" s="563" t="s">
        <v>852</v>
      </c>
      <c r="D52" s="548">
        <f>IFERROR(VLOOKUP($A52,Race_2024!A:L, 7,FALSE),0)</f>
        <v>268.28399999999999</v>
      </c>
      <c r="E52" s="548">
        <f>IFERROR(VLOOKUP($A52,Race_2024!A:L, 9,FALSE),0)</f>
        <v>0</v>
      </c>
      <c r="F52" s="548">
        <f>IFERROR(VLOOKUP($A52,Race_2024!A:L, 8,FALSE),0)</f>
        <v>819.577</v>
      </c>
      <c r="G52" s="548">
        <f>IFERROR(VLOOKUP($A52,Race_2024!A:L, 10,FALSE),0)</f>
        <v>0</v>
      </c>
      <c r="H52" s="548">
        <f>IFERROR(VLOOKUP($A52,Race_2024!A:L, 11,FALSE),0)</f>
        <v>819.577</v>
      </c>
      <c r="I52" s="547">
        <f>IFERROR(VLOOKUP($A52,Race_2024!A:L, 12,FALSE),0)</f>
        <v>0</v>
      </c>
      <c r="J52" s="554"/>
      <c r="K52" s="544"/>
    </row>
    <row r="53" spans="1:11" ht="15">
      <c r="A53" s="617" t="s">
        <v>853</v>
      </c>
      <c r="B53" s="546" t="str">
        <f>IFERROR(VLOOKUP(A53,Race_2024!A:C,3,FALSE), VLOOKUP(A53,Race_2024!A:C,3,FALSE))</f>
        <v>MC after variations</v>
      </c>
      <c r="C53" s="618" t="s">
        <v>854</v>
      </c>
      <c r="D53" s="568">
        <f>IFERROR(VLOOKUP($A53,Race_2024!A:L, 7,FALSE),0)</f>
        <v>42913529.822999999</v>
      </c>
      <c r="E53" s="568">
        <f>IFERROR(VLOOKUP($A53,Race_2024!A:L, 9,FALSE),0)</f>
        <v>35714093.902999997</v>
      </c>
      <c r="F53" s="568">
        <f>IFERROR(VLOOKUP($A53,Race_2024!A:L, 8,FALSE),0)</f>
        <v>26711946.092999998</v>
      </c>
      <c r="G53" s="568">
        <f>IFERROR(VLOOKUP($A53,Race_2024!A:L, 10,FALSE),0)</f>
        <v>47795356.034999996</v>
      </c>
      <c r="H53" s="568">
        <f>IFERROR(VLOOKUP($A53,Race_2024!A:L, 11,FALSE),0)</f>
        <v>49189994.707999997</v>
      </c>
      <c r="I53" s="567">
        <f>IFERROR(VLOOKUP($A53,Race_2024!A:L, 12,FALSE),0)</f>
        <v>41994787.987000003</v>
      </c>
      <c r="J53" s="554"/>
      <c r="K53" s="544"/>
    </row>
    <row r="54" spans="1:11" ht="15">
      <c r="A54" s="546" t="s">
        <v>855</v>
      </c>
      <c r="B54" s="546" t="str">
        <f>IFERROR(VLOOKUP(A54,Race_2024!A:C,3,FALSE), VLOOKUP(A54,Race_2024!A:C,3,FALSE))</f>
        <v>Prod.&amp;mat.mgmt.exp.</v>
      </c>
      <c r="C54" s="552" t="s">
        <v>856</v>
      </c>
      <c r="D54" s="551">
        <f>IFERROR(VLOOKUP($A54,Race_2024!A:L, 7,FALSE),0)</f>
        <v>-21794510.965</v>
      </c>
      <c r="E54" s="551">
        <f>IFERROR(VLOOKUP($A54,Race_2024!A:L, 9,FALSE),0)</f>
        <v>-20194084.888</v>
      </c>
      <c r="F54" s="551">
        <f>IFERROR(VLOOKUP($A54,Race_2024!A:L, 8,FALSE),0)</f>
        <v>-11591043.421</v>
      </c>
      <c r="G54" s="551">
        <f>IFERROR(VLOOKUP($A54,Race_2024!A:L, 10,FALSE),0)</f>
        <v>-21866567.717</v>
      </c>
      <c r="H54" s="551">
        <f>IFERROR(VLOOKUP($A54,Race_2024!A:L, 11,FALSE),0)</f>
        <v>-22004333.855</v>
      </c>
      <c r="I54" s="550">
        <f>IFERROR(VLOOKUP($A54,Race_2024!A:L, 12,FALSE),0)</f>
        <v>-20504473.105</v>
      </c>
      <c r="J54" s="554"/>
      <c r="K54" s="544"/>
    </row>
    <row r="55" spans="1:11" ht="15">
      <c r="A55" s="546" t="s">
        <v>857</v>
      </c>
      <c r="B55" s="546" t="str">
        <f>IFERROR(VLOOKUP(A55,Race_2024!A:C,3,FALSE), VLOOKUP(A55,Race_2024!A:C,3,FALSE))</f>
        <v>PE production</v>
      </c>
      <c r="C55" s="549" t="s">
        <v>858</v>
      </c>
      <c r="D55" s="548">
        <f>IFERROR(VLOOKUP($A55,Race_2024!A:L, 7,FALSE),0)</f>
        <v>-12749084.193</v>
      </c>
      <c r="E55" s="548">
        <f>IFERROR(VLOOKUP($A55,Race_2024!A:L, 9,FALSE),0)</f>
        <v>-12532236.005000001</v>
      </c>
      <c r="F55" s="548">
        <f>IFERROR(VLOOKUP($A55,Race_2024!A:L, 8,FALSE),0)</f>
        <v>-6254983.0669999998</v>
      </c>
      <c r="G55" s="548">
        <f>IFERROR(VLOOKUP($A55,Race_2024!A:L, 10,FALSE),0)</f>
        <v>-12184201.431</v>
      </c>
      <c r="H55" s="548">
        <f>IFERROR(VLOOKUP($A55,Race_2024!A:L, 11,FALSE),0)</f>
        <v>-12188192.732000001</v>
      </c>
      <c r="I55" s="547">
        <f>IFERROR(VLOOKUP($A55,Race_2024!A:L, 12,FALSE),0)</f>
        <v>-11781290.247</v>
      </c>
      <c r="J55" s="554"/>
      <c r="K55" s="544"/>
    </row>
    <row r="56" spans="1:11" ht="15">
      <c r="A56" s="546" t="s">
        <v>859</v>
      </c>
      <c r="B56" s="546" t="str">
        <f>IFERROR(VLOOKUP(A56,Race_2024!A:C,3,FALSE), VLOOKUP(A56,Race_2024!A:C,3,FALSE))</f>
        <v>PE mat. management</v>
      </c>
      <c r="C56" s="549" t="s">
        <v>860</v>
      </c>
      <c r="D56" s="548">
        <f>IFERROR(VLOOKUP($A56,Race_2024!A:L, 7,FALSE),0)</f>
        <v>-1539757.2279999999</v>
      </c>
      <c r="E56" s="548">
        <f>IFERROR(VLOOKUP($A56,Race_2024!A:L, 9,FALSE),0)</f>
        <v>-2133642.3029999998</v>
      </c>
      <c r="F56" s="548">
        <f>IFERROR(VLOOKUP($A56,Race_2024!A:L, 8,FALSE),0)</f>
        <v>-1102468.416</v>
      </c>
      <c r="G56" s="548">
        <f>IFERROR(VLOOKUP($A56,Race_2024!A:L, 10,FALSE),0)</f>
        <v>-2207421.8590000002</v>
      </c>
      <c r="H56" s="548">
        <f>IFERROR(VLOOKUP($A56,Race_2024!A:L, 11,FALSE),0)</f>
        <v>-2211335.9789999998</v>
      </c>
      <c r="I56" s="547">
        <f>IFERROR(VLOOKUP($A56,Race_2024!A:L, 12,FALSE),0)</f>
        <v>-2251211.96</v>
      </c>
      <c r="J56" s="554"/>
      <c r="K56" s="544"/>
    </row>
    <row r="57" spans="1:11" ht="15">
      <c r="A57" s="546" t="s">
        <v>861</v>
      </c>
      <c r="B57" s="546" t="str">
        <f>IFERROR(VLOOKUP(A57,Race_2024!A:C,3,FALSE), VLOOKUP(A57,Race_2024!A:C,3,FALSE))</f>
        <v>PE plant admin.</v>
      </c>
      <c r="C57" s="549" t="s">
        <v>862</v>
      </c>
      <c r="D57" s="548">
        <f>IFERROR(VLOOKUP($A57,Race_2024!A:L, 7,FALSE),0)</f>
        <v>-837537.09299999999</v>
      </c>
      <c r="E57" s="548">
        <f>IFERROR(VLOOKUP($A57,Race_2024!A:L, 9,FALSE),0)</f>
        <v>-793531.61800000002</v>
      </c>
      <c r="F57" s="548">
        <f>IFERROR(VLOOKUP($A57,Race_2024!A:L, 8,FALSE),0)</f>
        <v>-372757.75</v>
      </c>
      <c r="G57" s="548">
        <f>IFERROR(VLOOKUP($A57,Race_2024!A:L, 10,FALSE),0)</f>
        <v>-770269.46400000004</v>
      </c>
      <c r="H57" s="548">
        <f>IFERROR(VLOOKUP($A57,Race_2024!A:L, 11,FALSE),0)</f>
        <v>-762340.4</v>
      </c>
      <c r="I57" s="547">
        <f>IFERROR(VLOOKUP($A57,Race_2024!A:L, 12,FALSE),0)</f>
        <v>-596636.80700000003</v>
      </c>
      <c r="J57" s="554"/>
      <c r="K57" s="544"/>
    </row>
    <row r="58" spans="1:11" ht="15">
      <c r="A58" s="546" t="s">
        <v>863</v>
      </c>
      <c r="B58" s="546" t="str">
        <f>IFERROR(VLOOKUP(A58,Race_2024!A:C,3,FALSE), VLOOKUP(A58,Race_2024!A:C,3,FALSE))</f>
        <v>Period expenses ICO</v>
      </c>
      <c r="C58" s="549" t="s">
        <v>473</v>
      </c>
      <c r="D58" s="548">
        <f>IFERROR(VLOOKUP($A58,Race_2024!A:L, 7,FALSE),0)</f>
        <v>-6668132.4510000004</v>
      </c>
      <c r="E58" s="548">
        <f>IFERROR(VLOOKUP($A58,Race_2024!A:L, 9,FALSE),0)</f>
        <v>-4734674.9620000003</v>
      </c>
      <c r="F58" s="548">
        <f>IFERROR(VLOOKUP($A58,Race_2024!A:L, 8,FALSE),0)</f>
        <v>-3860834.1880000001</v>
      </c>
      <c r="G58" s="548">
        <f>IFERROR(VLOOKUP($A58,Race_2024!A:L, 10,FALSE),0)</f>
        <v>-6704674.9630000005</v>
      </c>
      <c r="H58" s="548">
        <f>IFERROR(VLOOKUP($A58,Race_2024!A:L, 11,FALSE),0)</f>
        <v>-6842464.7439999999</v>
      </c>
      <c r="I58" s="547">
        <f>IFERROR(VLOOKUP($A58,Race_2024!A:L, 12,FALSE),0)</f>
        <v>-5875334.091</v>
      </c>
      <c r="J58" s="554"/>
      <c r="K58" s="544"/>
    </row>
    <row r="59" spans="1:11" ht="15">
      <c r="A59" s="546" t="s">
        <v>864</v>
      </c>
      <c r="B59" s="546" t="e">
        <f>IFERROR(VLOOKUP(A59,Race_2024!A:C,3,FALSE), VLOOKUP(A59,Race_2024!A:C,3,FALSE))</f>
        <v>#N/A</v>
      </c>
      <c r="C59" s="556" t="s">
        <v>865</v>
      </c>
      <c r="D59" s="548">
        <f>IFERROR(VLOOKUP($A59,Race_2024!A:L, 7,FALSE),0)</f>
        <v>0</v>
      </c>
      <c r="E59" s="548">
        <f>IFERROR(VLOOKUP($A59,Race_2024!A:L, 9,FALSE),0)</f>
        <v>0</v>
      </c>
      <c r="F59" s="548">
        <f>IFERROR(VLOOKUP($A59,Race_2024!A:L, 8,FALSE),0)</f>
        <v>0</v>
      </c>
      <c r="G59" s="548">
        <f>IFERROR(VLOOKUP($A59,Race_2024!A:L, 10,FALSE),0)</f>
        <v>0</v>
      </c>
      <c r="H59" s="548">
        <f>IFERROR(VLOOKUP($A59,Race_2024!A:L, 11,FALSE),0)</f>
        <v>0</v>
      </c>
      <c r="I59" s="547">
        <f>IFERROR(VLOOKUP($A59,Race_2024!A:L, 12,FALSE),0)</f>
        <v>0</v>
      </c>
      <c r="J59" s="554"/>
      <c r="K59" s="544"/>
    </row>
    <row r="60" spans="1:11" ht="15">
      <c r="A60" s="546" t="s">
        <v>866</v>
      </c>
      <c r="B60" s="546" t="str">
        <f>IFERROR(VLOOKUP(A60,Race_2024!A:C,3,FALSE), VLOOKUP(A60,Race_2024!A:C,3,FALSE))</f>
        <v>Gross margin adj.</v>
      </c>
      <c r="C60" s="552" t="s">
        <v>867</v>
      </c>
      <c r="D60" s="551">
        <f>IFERROR(VLOOKUP($A60,Race_2024!A:L, 7,FALSE),0)</f>
        <v>-59841.521999999997</v>
      </c>
      <c r="E60" s="551">
        <f>IFERROR(VLOOKUP($A60,Race_2024!A:L, 9,FALSE),0)</f>
        <v>0</v>
      </c>
      <c r="F60" s="551">
        <f>IFERROR(VLOOKUP($A60,Race_2024!A:L, 8,FALSE),0)</f>
        <v>-28395.342000000001</v>
      </c>
      <c r="G60" s="551">
        <f>IFERROR(VLOOKUP($A60,Race_2024!A:L, 10,FALSE),0)</f>
        <v>15752.608</v>
      </c>
      <c r="H60" s="550">
        <f>IFERROR(VLOOKUP($A60,Race_2024!A:L, 11,FALSE),0)</f>
        <v>-28395.342000000001</v>
      </c>
      <c r="I60" s="550">
        <f>IFERROR(VLOOKUP($A60,Race_2024!A:L, 12,FALSE),0)</f>
        <v>0</v>
      </c>
      <c r="J60" s="554"/>
      <c r="K60" s="544"/>
    </row>
    <row r="61" spans="1:11" ht="15">
      <c r="A61" s="546" t="s">
        <v>868</v>
      </c>
      <c r="B61" s="546" t="str">
        <f>IFERROR(VLOOKUP(A61,Race_2024!A:C,3,FALSE), VLOOKUP(A61,Race_2024!A:C,3,FALSE))</f>
        <v>Inv.var.fin.goods</v>
      </c>
      <c r="C61" s="549" t="s">
        <v>869</v>
      </c>
      <c r="D61" s="548">
        <f>IFERROR(VLOOKUP($A61,Race_2024!A:L, 7,FALSE),0)</f>
        <v>-18056.243999999999</v>
      </c>
      <c r="E61" s="548">
        <f>IFERROR(VLOOKUP($A61,Race_2024!A:L, 9,FALSE),0)</f>
        <v>0</v>
      </c>
      <c r="F61" s="548">
        <f>IFERROR(VLOOKUP($A61,Race_2024!A:L, 8,FALSE),0)</f>
        <v>-1510.865</v>
      </c>
      <c r="G61" s="548">
        <f>IFERROR(VLOOKUP($A61,Race_2024!A:L, 10,FALSE),0)</f>
        <v>0</v>
      </c>
      <c r="H61" s="548">
        <f>IFERROR(VLOOKUP($A61,Race_2024!A:L, 11,FALSE),0)</f>
        <v>-1510.865</v>
      </c>
      <c r="I61" s="547">
        <f>IFERROR(VLOOKUP($A61,Race_2024!A:L, 12,FALSE),0)</f>
        <v>0</v>
      </c>
      <c r="J61" s="554"/>
      <c r="K61" s="544"/>
    </row>
    <row r="62" spans="1:11" ht="15">
      <c r="A62" s="546" t="s">
        <v>870</v>
      </c>
      <c r="B62" s="546" t="str">
        <f>IFERROR(VLOOKUP(A62,Race_2024!A:C,3,FALSE), VLOOKUP(A62,Race_2024!A:C,3,FALSE))</f>
        <v>Inv.val.allow.fin.g.</v>
      </c>
      <c r="C62" s="549" t="s">
        <v>871</v>
      </c>
      <c r="D62" s="548">
        <f>IFERROR(VLOOKUP($A62,Race_2024!A:L, 7,FALSE),0)</f>
        <v>81137.785999999993</v>
      </c>
      <c r="E62" s="548">
        <f>IFERROR(VLOOKUP($A62,Race_2024!A:L, 9,FALSE),0)</f>
        <v>0</v>
      </c>
      <c r="F62" s="548">
        <f>IFERROR(VLOOKUP($A62,Race_2024!A:L, 8,FALSE),0)</f>
        <v>49586.987000000001</v>
      </c>
      <c r="G62" s="548">
        <f>IFERROR(VLOOKUP($A62,Race_2024!A:L, 10,FALSE),0)</f>
        <v>-27498.563999999998</v>
      </c>
      <c r="H62" s="548">
        <f>IFERROR(VLOOKUP($A62,Race_2024!A:L, 11,FALSE),0)</f>
        <v>49586.987000000001</v>
      </c>
      <c r="I62" s="547">
        <f>IFERROR(VLOOKUP($A62,Race_2024!A:L, 12,FALSE),0)</f>
        <v>0</v>
      </c>
      <c r="J62" s="554"/>
      <c r="K62" s="544"/>
    </row>
    <row r="63" spans="1:11" ht="15">
      <c r="A63" s="546" t="s">
        <v>872</v>
      </c>
      <c r="B63" s="546" t="str">
        <f>IFERROR(VLOOKUP(A63,Race_2024!A:C,3,FALSE), VLOOKUP(A63,Race_2024!A:C,3,FALSE))</f>
        <v>Inv.val.allow.fin.g.</v>
      </c>
      <c r="C63" s="556" t="s">
        <v>871</v>
      </c>
      <c r="D63" s="548">
        <f>IFERROR(VLOOKUP($A63,Race_2024!A:L, 7,FALSE),0)</f>
        <v>-122923.064</v>
      </c>
      <c r="E63" s="548">
        <f>IFERROR(VLOOKUP($A63,Race_2024!A:L, 9,FALSE),0)</f>
        <v>0</v>
      </c>
      <c r="F63" s="548">
        <f>IFERROR(VLOOKUP($A63,Race_2024!A:L, 8,FALSE),0)</f>
        <v>-76471.464000000007</v>
      </c>
      <c r="G63" s="548">
        <f>IFERROR(VLOOKUP($A63,Race_2024!A:L, 10,FALSE),0)</f>
        <v>43251.171999999999</v>
      </c>
      <c r="H63" s="548">
        <f>IFERROR(VLOOKUP($A63,Race_2024!A:L, 11,FALSE),0)</f>
        <v>-76471.464000000007</v>
      </c>
      <c r="I63" s="561">
        <f>IFERROR(VLOOKUP($A63,Race_2024!A:L, 12,FALSE),0)</f>
        <v>0</v>
      </c>
      <c r="J63" s="554"/>
      <c r="K63" s="544"/>
    </row>
    <row r="64" spans="1:11" ht="15">
      <c r="A64" s="617" t="s">
        <v>873</v>
      </c>
      <c r="B64" s="546" t="str">
        <f>IFERROR(VLOOKUP(A64,Race_2024!A:C,3,FALSE), VLOOKUP(A64,Race_2024!A:C,3,FALSE))</f>
        <v>Gross margin</v>
      </c>
      <c r="C64" s="618" t="s">
        <v>874</v>
      </c>
      <c r="D64" s="568">
        <f>IFERROR(VLOOKUP($A64,Race_2024!A:L, 7,FALSE),0)</f>
        <v>21059177.335999999</v>
      </c>
      <c r="E64" s="568">
        <f>IFERROR(VLOOKUP($A64,Race_2024!A:L, 9,FALSE),0)</f>
        <v>15520009.015000001</v>
      </c>
      <c r="F64" s="568">
        <f>IFERROR(VLOOKUP($A64,Race_2024!A:L, 8,FALSE),0)</f>
        <v>15092507.33</v>
      </c>
      <c r="G64" s="568">
        <f>IFERROR(VLOOKUP($A64,Race_2024!A:L, 10,FALSE),0)</f>
        <v>25944540.925999999</v>
      </c>
      <c r="H64" s="568">
        <f>IFERROR(VLOOKUP($A64,Race_2024!A:L, 11,FALSE),0)</f>
        <v>27157265.511</v>
      </c>
      <c r="I64" s="567">
        <f>IFERROR(VLOOKUP($A64,Race_2024!A:L, 12,FALSE),0)</f>
        <v>21490314.881999999</v>
      </c>
      <c r="J64" s="554"/>
      <c r="K64" s="544"/>
    </row>
    <row r="65" spans="1:11" ht="15">
      <c r="A65" s="546" t="s">
        <v>875</v>
      </c>
      <c r="B65" s="546" t="str">
        <f>IFERROR(VLOOKUP(A65,Race_2024!A:C,3,FALSE), VLOOKUP(A65,Race_2024!A:C,3,FALSE))</f>
        <v>R, D &amp; E expenses</v>
      </c>
      <c r="C65" s="552" t="s">
        <v>876</v>
      </c>
      <c r="D65" s="551">
        <f>IFERROR(VLOOKUP($A65,Race_2024!A:L, 7,FALSE),0)</f>
        <v>-6980426.7850000001</v>
      </c>
      <c r="E65" s="551">
        <f>IFERROR(VLOOKUP($A65,Race_2024!A:L, 9,FALSE),0)</f>
        <v>-11645610.437000001</v>
      </c>
      <c r="F65" s="551">
        <f>IFERROR(VLOOKUP($A65,Race_2024!A:L, 8,FALSE),0)</f>
        <v>-5028863.3739999998</v>
      </c>
      <c r="G65" s="551">
        <f>IFERROR(VLOOKUP($A65,Race_2024!A:L, 10,FALSE),0)</f>
        <v>-10226978.114</v>
      </c>
      <c r="H65" s="551">
        <f>IFERROR(VLOOKUP($A65,Race_2024!A:L, 11,FALSE),0)</f>
        <v>-10226978.114</v>
      </c>
      <c r="I65" s="550">
        <f>IFERROR(VLOOKUP($A65,Race_2024!A:L, 12,FALSE),0)</f>
        <v>-10864045.464</v>
      </c>
      <c r="J65" s="554"/>
      <c r="K65" s="544"/>
    </row>
    <row r="66" spans="1:11" ht="15">
      <c r="A66" s="546" t="s">
        <v>877</v>
      </c>
      <c r="B66" s="546" t="e">
        <f>IFERROR(VLOOKUP(A66,Race_2024!A:C,3,FALSE), VLOOKUP(A66,Race_2024!A:C,3,FALSE))</f>
        <v>#N/A</v>
      </c>
      <c r="C66" s="560" t="s">
        <v>878</v>
      </c>
      <c r="D66" s="559">
        <f>IFERROR(VLOOKUP($A66,Race_2024!A:L, 7,FALSE),0)</f>
        <v>0</v>
      </c>
      <c r="E66" s="559">
        <f>IFERROR(VLOOKUP($A66,Race_2024!A:L, 9,FALSE),0)</f>
        <v>0</v>
      </c>
      <c r="F66" s="559">
        <f>IFERROR(VLOOKUP($A66,Race_2024!A:L, 8,FALSE),0)</f>
        <v>0</v>
      </c>
      <c r="G66" s="559">
        <f>IFERROR(VLOOKUP($A66,Race_2024!A:L, 10,FALSE),0)</f>
        <v>0</v>
      </c>
      <c r="H66" s="559">
        <f>IFERROR(VLOOKUP($A66,Race_2024!A:L, 11,FALSE),0)</f>
        <v>0</v>
      </c>
      <c r="I66" s="562">
        <f>IFERROR(VLOOKUP($A66,Race_2024!A:L, 12,FALSE),0)</f>
        <v>0</v>
      </c>
      <c r="J66" s="554"/>
      <c r="K66" s="544"/>
    </row>
    <row r="67" spans="1:11" ht="15">
      <c r="A67" s="546" t="s">
        <v>879</v>
      </c>
      <c r="B67" s="546" t="e">
        <f>IFERROR(VLOOKUP(A67,Race_2024!A:C,3,FALSE), VLOOKUP(A67,Race_2024!A:C,3,FALSE))</f>
        <v>#N/A</v>
      </c>
      <c r="C67" s="553" t="s">
        <v>880</v>
      </c>
      <c r="D67" s="548">
        <f>IFERROR(VLOOKUP($A67,Race_2024!A:L, 7,FALSE),0)</f>
        <v>0</v>
      </c>
      <c r="E67" s="548">
        <f>IFERROR(VLOOKUP($A67,Race_2024!A:L, 9,FALSE),0)</f>
        <v>0</v>
      </c>
      <c r="F67" s="548">
        <f>IFERROR(VLOOKUP($A67,Race_2024!A:L, 8,FALSE),0)</f>
        <v>0</v>
      </c>
      <c r="G67" s="548">
        <f>IFERROR(VLOOKUP($A67,Race_2024!A:L, 10,FALSE),0)</f>
        <v>0</v>
      </c>
      <c r="H67" s="548">
        <f>IFERROR(VLOOKUP($A67,Race_2024!A:L, 11,FALSE),0)</f>
        <v>0</v>
      </c>
      <c r="I67" s="547">
        <f>IFERROR(VLOOKUP($A67,Race_2024!A:L, 12,FALSE),0)</f>
        <v>0</v>
      </c>
      <c r="J67" s="554"/>
      <c r="K67" s="544"/>
    </row>
    <row r="68" spans="1:11" ht="15">
      <c r="A68" s="546" t="s">
        <v>881</v>
      </c>
      <c r="B68" s="546" t="e">
        <f>IFERROR(VLOOKUP(A68,Race_2024!A:C,3,FALSE), VLOOKUP(A68,Race_2024!A:C,3,FALSE))</f>
        <v>#N/A</v>
      </c>
      <c r="C68" s="553" t="s">
        <v>882</v>
      </c>
      <c r="D68" s="548">
        <f>IFERROR(VLOOKUP($A68,Race_2024!A:L, 7,FALSE),0)</f>
        <v>0</v>
      </c>
      <c r="E68" s="548">
        <f>IFERROR(VLOOKUP($A68,Race_2024!A:L, 9,FALSE),0)</f>
        <v>0</v>
      </c>
      <c r="F68" s="548">
        <f>IFERROR(VLOOKUP($A68,Race_2024!A:L, 8,FALSE),0)</f>
        <v>0</v>
      </c>
      <c r="G68" s="548">
        <f>IFERROR(VLOOKUP($A68,Race_2024!A:L, 10,FALSE),0)</f>
        <v>0</v>
      </c>
      <c r="H68" s="548">
        <f>IFERROR(VLOOKUP($A68,Race_2024!A:L, 11,FALSE),0)</f>
        <v>0</v>
      </c>
      <c r="I68" s="547">
        <f>IFERROR(VLOOKUP($A68,Race_2024!A:L, 12,FALSE),0)</f>
        <v>0</v>
      </c>
      <c r="J68" s="554"/>
      <c r="K68" s="544"/>
    </row>
    <row r="69" spans="1:11" ht="15">
      <c r="A69" s="546" t="s">
        <v>883</v>
      </c>
      <c r="B69" s="546" t="e">
        <f>IFERROR(VLOOKUP(A69,Race_2024!A:C,3,FALSE), VLOOKUP(A69,Race_2024!A:C,3,FALSE))</f>
        <v>#N/A</v>
      </c>
      <c r="C69" s="560" t="s">
        <v>884</v>
      </c>
      <c r="D69" s="559">
        <f>IFERROR(VLOOKUP($A69,Race_2024!A:L, 7,FALSE),0)</f>
        <v>0</v>
      </c>
      <c r="E69" s="559">
        <f>IFERROR(VLOOKUP($A69,Race_2024!A:L, 9,FALSE),0)</f>
        <v>0</v>
      </c>
      <c r="F69" s="558">
        <f>IFERROR(VLOOKUP($A69,Race_2024!A:L, 8,FALSE),0)</f>
        <v>0</v>
      </c>
      <c r="G69" s="558">
        <f>IFERROR(VLOOKUP($A69,Race_2024!A:L, 10,FALSE),0)</f>
        <v>0</v>
      </c>
      <c r="H69" s="558">
        <f>IFERROR(VLOOKUP($A69,Race_2024!A:L, 11,FALSE),0)</f>
        <v>0</v>
      </c>
      <c r="I69" s="557">
        <f>IFERROR(VLOOKUP($A69,Race_2024!A:L, 12,FALSE),0)</f>
        <v>0</v>
      </c>
      <c r="J69" s="554"/>
      <c r="K69" s="544"/>
    </row>
    <row r="70" spans="1:11" ht="15">
      <c r="A70" s="546" t="s">
        <v>885</v>
      </c>
      <c r="B70" s="546" t="e">
        <f>IFERROR(VLOOKUP(A70,Race_2024!A:C,3,FALSE), VLOOKUP(A70,Race_2024!A:C,3,FALSE))</f>
        <v>#N/A</v>
      </c>
      <c r="C70" s="553" t="s">
        <v>886</v>
      </c>
      <c r="D70" s="548">
        <f>IFERROR(VLOOKUP($A70,Race_2024!A:L, 7,FALSE),0)</f>
        <v>0</v>
      </c>
      <c r="E70" s="548">
        <f>IFERROR(VLOOKUP($A70,Race_2024!A:L, 9,FALSE),0)</f>
        <v>0</v>
      </c>
      <c r="F70" s="548">
        <f>IFERROR(VLOOKUP($A70,Race_2024!A:L, 8,FALSE),0)</f>
        <v>0</v>
      </c>
      <c r="G70" s="548">
        <f>IFERROR(VLOOKUP($A70,Race_2024!A:L, 10,FALSE),0)</f>
        <v>0</v>
      </c>
      <c r="H70" s="548">
        <f>IFERROR(VLOOKUP($A70,Race_2024!A:L, 11,FALSE),0)</f>
        <v>0</v>
      </c>
      <c r="I70" s="547">
        <f>IFERROR(VLOOKUP($A70,Race_2024!A:L, 12,FALSE),0)</f>
        <v>0</v>
      </c>
      <c r="J70" s="554"/>
      <c r="K70" s="544"/>
    </row>
    <row r="71" spans="1:11" ht="15">
      <c r="A71" s="546" t="s">
        <v>887</v>
      </c>
      <c r="B71" s="546" t="e">
        <f>IFERROR(VLOOKUP(A71,Race_2024!A:C,3,FALSE), VLOOKUP(A71,Race_2024!A:C,3,FALSE))</f>
        <v>#N/A</v>
      </c>
      <c r="C71" s="553" t="s">
        <v>888</v>
      </c>
      <c r="D71" s="548">
        <f>IFERROR(VLOOKUP($A71,Race_2024!A:L, 7,FALSE),0)</f>
        <v>0</v>
      </c>
      <c r="E71" s="548">
        <f>IFERROR(VLOOKUP($A71,Race_2024!A:L, 9,FALSE),0)</f>
        <v>0</v>
      </c>
      <c r="F71" s="548">
        <f>IFERROR(VLOOKUP($A71,Race_2024!A:L, 8,FALSE),0)</f>
        <v>0</v>
      </c>
      <c r="G71" s="548">
        <f>IFERROR(VLOOKUP($A71,Race_2024!A:L, 10,FALSE),0)</f>
        <v>0</v>
      </c>
      <c r="H71" s="548">
        <f>IFERROR(VLOOKUP($A71,Race_2024!A:L, 11,FALSE),0)</f>
        <v>0</v>
      </c>
      <c r="I71" s="547">
        <f>IFERROR(VLOOKUP($A71,Race_2024!A:L, 12,FALSE),0)</f>
        <v>0</v>
      </c>
      <c r="J71" s="554"/>
      <c r="K71" s="544"/>
    </row>
    <row r="72" spans="1:11" ht="15">
      <c r="A72" s="546" t="s">
        <v>889</v>
      </c>
      <c r="B72" s="546" t="e">
        <f>IFERROR(VLOOKUP(A72,Race_2024!A:C,3,FALSE), VLOOKUP(A72,Race_2024!A:C,3,FALSE))</f>
        <v>#N/A</v>
      </c>
      <c r="C72" s="560" t="s">
        <v>890</v>
      </c>
      <c r="D72" s="559">
        <f>IFERROR(VLOOKUP($A72,Race_2024!A:L, 7,FALSE),0)</f>
        <v>0</v>
      </c>
      <c r="E72" s="559">
        <f>IFERROR(VLOOKUP($A72,Race_2024!A:L, 9,FALSE),0)</f>
        <v>0</v>
      </c>
      <c r="F72" s="558">
        <f>IFERROR(VLOOKUP($A72,Race_2024!A:L, 8,FALSE),0)</f>
        <v>0</v>
      </c>
      <c r="G72" s="558">
        <f>IFERROR(VLOOKUP($A72,Race_2024!A:L, 10,FALSE),0)</f>
        <v>0</v>
      </c>
      <c r="H72" s="558">
        <f>IFERROR(VLOOKUP($A72,Race_2024!A:L, 11,FALSE),0)</f>
        <v>0</v>
      </c>
      <c r="I72" s="557">
        <f>IFERROR(VLOOKUP($A72,Race_2024!A:L, 12,FALSE),0)</f>
        <v>0</v>
      </c>
      <c r="J72" s="554"/>
      <c r="K72" s="544"/>
    </row>
    <row r="73" spans="1:11" ht="15">
      <c r="A73" s="546" t="s">
        <v>891</v>
      </c>
      <c r="B73" s="546" t="e">
        <f>IFERROR(VLOOKUP(A73,Race_2024!A:C,3,FALSE), VLOOKUP(A73,Race_2024!A:C,3,FALSE))</f>
        <v>#N/A</v>
      </c>
      <c r="C73" s="553" t="s">
        <v>892</v>
      </c>
      <c r="D73" s="548">
        <f>IFERROR(VLOOKUP($A73,Race_2024!A:L, 7,FALSE),0)</f>
        <v>0</v>
      </c>
      <c r="E73" s="548">
        <f>IFERROR(VLOOKUP($A73,Race_2024!A:L, 9,FALSE),0)</f>
        <v>0</v>
      </c>
      <c r="F73" s="548">
        <f>IFERROR(VLOOKUP($A73,Race_2024!A:L, 8,FALSE),0)</f>
        <v>0</v>
      </c>
      <c r="G73" s="548">
        <f>IFERROR(VLOOKUP($A73,Race_2024!A:L, 10,FALSE),0)</f>
        <v>0</v>
      </c>
      <c r="H73" s="548">
        <f>IFERROR(VLOOKUP($A73,Race_2024!A:L, 11,FALSE),0)</f>
        <v>0</v>
      </c>
      <c r="I73" s="547">
        <f>IFERROR(VLOOKUP($A73,Race_2024!A:L, 12,FALSE),0)</f>
        <v>0</v>
      </c>
      <c r="J73" s="554"/>
      <c r="K73" s="544"/>
    </row>
    <row r="74" spans="1:11" ht="15">
      <c r="A74" s="546" t="s">
        <v>893</v>
      </c>
      <c r="B74" s="546" t="e">
        <f>IFERROR(VLOOKUP(A74,Race_2024!A:C,3,FALSE), VLOOKUP(A74,Race_2024!A:C,3,FALSE))</f>
        <v>#N/A</v>
      </c>
      <c r="C74" s="553" t="s">
        <v>894</v>
      </c>
      <c r="D74" s="548">
        <f>IFERROR(VLOOKUP($A74,Race_2024!A:L, 7,FALSE),0)</f>
        <v>0</v>
      </c>
      <c r="E74" s="548">
        <f>IFERROR(VLOOKUP($A74,Race_2024!A:L, 9,FALSE),0)</f>
        <v>0</v>
      </c>
      <c r="F74" s="548">
        <f>IFERROR(VLOOKUP($A74,Race_2024!A:L, 8,FALSE),0)</f>
        <v>0</v>
      </c>
      <c r="G74" s="548">
        <f>IFERROR(VLOOKUP($A74,Race_2024!A:L, 10,FALSE),0)</f>
        <v>0</v>
      </c>
      <c r="H74" s="548">
        <f>IFERROR(VLOOKUP($A74,Race_2024!A:L, 11,FALSE),0)</f>
        <v>0</v>
      </c>
      <c r="I74" s="547">
        <f>IFERROR(VLOOKUP($A74,Race_2024!A:L, 12,FALSE),0)</f>
        <v>0</v>
      </c>
      <c r="J74" s="554"/>
      <c r="K74" s="544"/>
    </row>
    <row r="75" spans="1:11" ht="15">
      <c r="A75" s="546" t="s">
        <v>895</v>
      </c>
      <c r="B75" s="546" t="e">
        <f>IFERROR(VLOOKUP(A75,Race_2024!A:C,3,FALSE), VLOOKUP(A75,Race_2024!A:C,3,FALSE))</f>
        <v>#N/A</v>
      </c>
      <c r="C75" s="560" t="s">
        <v>896</v>
      </c>
      <c r="D75" s="559">
        <f>IFERROR(VLOOKUP($A75,Race_2024!A:L, 7,FALSE),0)</f>
        <v>0</v>
      </c>
      <c r="E75" s="559">
        <f>IFERROR(VLOOKUP($A75,Race_2024!A:L, 9,FALSE),0)</f>
        <v>0</v>
      </c>
      <c r="F75" s="558">
        <f>IFERROR(VLOOKUP($A75,Race_2024!A:L, 8,FALSE),0)</f>
        <v>0</v>
      </c>
      <c r="G75" s="558">
        <f>IFERROR(VLOOKUP($A75,Race_2024!A:L, 10,FALSE),0)</f>
        <v>0</v>
      </c>
      <c r="H75" s="558">
        <f>IFERROR(VLOOKUP($A75,Race_2024!A:L, 11,FALSE),0)</f>
        <v>0</v>
      </c>
      <c r="I75" s="557">
        <f>IFERROR(VLOOKUP($A75,Race_2024!A:L, 12,FALSE),0)</f>
        <v>0</v>
      </c>
      <c r="J75" s="554"/>
      <c r="K75" s="544"/>
    </row>
    <row r="76" spans="1:11" ht="15">
      <c r="A76" s="546" t="s">
        <v>897</v>
      </c>
      <c r="B76" s="546" t="e">
        <f>IFERROR(VLOOKUP(A76,Race_2024!A:C,3,FALSE), VLOOKUP(A76,Race_2024!A:C,3,FALSE))</f>
        <v>#N/A</v>
      </c>
      <c r="C76" s="553" t="s">
        <v>898</v>
      </c>
      <c r="D76" s="548">
        <f>IFERROR(VLOOKUP($A76,Race_2024!A:L, 7,FALSE),0)</f>
        <v>0</v>
      </c>
      <c r="E76" s="548">
        <f>IFERROR(VLOOKUP($A76,Race_2024!A:L, 9,FALSE),0)</f>
        <v>0</v>
      </c>
      <c r="F76" s="548">
        <f>IFERROR(VLOOKUP($A76,Race_2024!A:L, 8,FALSE),0)</f>
        <v>0</v>
      </c>
      <c r="G76" s="548">
        <f>IFERROR(VLOOKUP($A76,Race_2024!A:L, 10,FALSE),0)</f>
        <v>0</v>
      </c>
      <c r="H76" s="548">
        <f>IFERROR(VLOOKUP($A76,Race_2024!A:L, 11,FALSE),0)</f>
        <v>0</v>
      </c>
      <c r="I76" s="547">
        <f>IFERROR(VLOOKUP($A76,Race_2024!A:L, 12,FALSE),0)</f>
        <v>0</v>
      </c>
      <c r="J76" s="554"/>
      <c r="K76" s="544"/>
    </row>
    <row r="77" spans="1:11" ht="15">
      <c r="A77" s="546" t="s">
        <v>899</v>
      </c>
      <c r="B77" s="546" t="str">
        <f>IFERROR(VLOOKUP(A77,Race_2024!A:C,3,FALSE), VLOOKUP(A77,Race_2024!A:C,3,FALSE))</f>
        <v>R,D&amp;E alloc. in</v>
      </c>
      <c r="C77" s="549" t="s">
        <v>900</v>
      </c>
      <c r="D77" s="548">
        <f>IFERROR(VLOOKUP($A77,Race_2024!A:L, 7,FALSE),0)</f>
        <v>-8199899.5899999999</v>
      </c>
      <c r="E77" s="548">
        <f>IFERROR(VLOOKUP($A77,Race_2024!A:L, 9,FALSE),0)</f>
        <v>-11645610.437000001</v>
      </c>
      <c r="F77" s="548">
        <f>IFERROR(VLOOKUP($A77,Race_2024!A:L, 8,FALSE),0)</f>
        <v>-5884606.1210000003</v>
      </c>
      <c r="G77" s="548">
        <f>IFERROR(VLOOKUP($A77,Race_2024!A:L, 10,FALSE),0)</f>
        <v>-11082720.861</v>
      </c>
      <c r="H77" s="548">
        <f>IFERROR(VLOOKUP($A77,Race_2024!A:L, 11,FALSE),0)</f>
        <v>-11082720.861</v>
      </c>
      <c r="I77" s="547">
        <f>IFERROR(VLOOKUP($A77,Race_2024!A:L, 12,FALSE),0)</f>
        <v>-10864045.464</v>
      </c>
      <c r="J77" s="1002">
        <f>I77/H77-1</f>
        <v>-1.9731201366761542E-2</v>
      </c>
      <c r="K77" s="1003">
        <f>(I77-H77)/1450</f>
        <v>150.81061862068958</v>
      </c>
    </row>
    <row r="78" spans="1:11" ht="15">
      <c r="A78" s="546" t="s">
        <v>901</v>
      </c>
      <c r="B78" s="546" t="e">
        <f>IFERROR(VLOOKUP(A78,Race_2024!A:C,3,FALSE), VLOOKUP(A78,Race_2024!A:C,3,FALSE))</f>
        <v>#N/A</v>
      </c>
      <c r="C78" s="549" t="s">
        <v>902</v>
      </c>
      <c r="D78" s="548">
        <f>IFERROR(VLOOKUP($A78,Race_2024!A:L, 7,FALSE),0)</f>
        <v>0</v>
      </c>
      <c r="E78" s="548">
        <f>IFERROR(VLOOKUP($A78,Race_2024!A:L, 9,FALSE),0)</f>
        <v>0</v>
      </c>
      <c r="F78" s="548">
        <f>IFERROR(VLOOKUP($A78,Race_2024!A:L, 8,FALSE),0)</f>
        <v>0</v>
      </c>
      <c r="G78" s="548">
        <f>IFERROR(VLOOKUP($A78,Race_2024!A:L, 10,FALSE),0)</f>
        <v>0</v>
      </c>
      <c r="H78" s="548">
        <f>IFERROR(VLOOKUP($A78,Race_2024!A:L, 11,FALSE),0)</f>
        <v>0</v>
      </c>
      <c r="I78" s="547">
        <f>IFERROR(VLOOKUP($A78,Race_2024!A:L, 12,FALSE),0)</f>
        <v>0</v>
      </c>
      <c r="J78" s="554"/>
      <c r="K78" s="544"/>
    </row>
    <row r="79" spans="1:11" ht="15">
      <c r="A79" s="546" t="s">
        <v>903</v>
      </c>
      <c r="B79" s="546" t="str">
        <f>IFERROR(VLOOKUP(A79,Race_2024!A:C,3,FALSE), VLOOKUP(A79,Race_2024!A:C,3,FALSE))</f>
        <v>R, D &amp; E prior year</v>
      </c>
      <c r="C79" s="549" t="s">
        <v>904</v>
      </c>
      <c r="D79" s="548">
        <f>IFERROR(VLOOKUP($A79,Race_2024!A:L, 7,FALSE),0)</f>
        <v>1219472.8049999999</v>
      </c>
      <c r="E79" s="548">
        <f>IFERROR(VLOOKUP($A79,Race_2024!A:L, 9,FALSE),0)</f>
        <v>0</v>
      </c>
      <c r="F79" s="548">
        <f>IFERROR(VLOOKUP($A79,Race_2024!A:L, 8,FALSE),0)</f>
        <v>855742.74699999997</v>
      </c>
      <c r="G79" s="548">
        <f>IFERROR(VLOOKUP($A79,Race_2024!A:L, 10,FALSE),0)</f>
        <v>855742.74699999997</v>
      </c>
      <c r="H79" s="548">
        <f>IFERROR(VLOOKUP($A79,Race_2024!A:L, 11,FALSE),0)</f>
        <v>855742.74699999997</v>
      </c>
      <c r="I79" s="547">
        <f>IFERROR(VLOOKUP($A79,Race_2024!A:L, 12,FALSE),0)</f>
        <v>0</v>
      </c>
      <c r="J79" s="554"/>
      <c r="K79" s="544"/>
    </row>
    <row r="80" spans="1:11" ht="15">
      <c r="A80" s="546" t="s">
        <v>905</v>
      </c>
      <c r="B80" s="546" t="str">
        <f>IFERROR(VLOOKUP(A80,Race_2024!A:C,3,FALSE), VLOOKUP(A80,Race_2024!A:C,3,FALSE))</f>
        <v>Sales&amp;distrib.exp.</v>
      </c>
      <c r="C80" s="552" t="s">
        <v>906</v>
      </c>
      <c r="D80" s="551">
        <f>IFERROR(VLOOKUP($A80,Race_2024!A:L, 7,FALSE),0)</f>
        <v>-2146940.6749999998</v>
      </c>
      <c r="E80" s="551">
        <f>IFERROR(VLOOKUP($A80,Race_2024!A:L, 9,FALSE),0)</f>
        <v>-2059788.915</v>
      </c>
      <c r="F80" s="551">
        <f>IFERROR(VLOOKUP($A80,Race_2024!A:L, 8,FALSE),0)</f>
        <v>-1124756.716</v>
      </c>
      <c r="G80" s="551">
        <f>IFERROR(VLOOKUP($A80,Race_2024!A:L, 10,FALSE),0)</f>
        <v>-2071510.189</v>
      </c>
      <c r="H80" s="551">
        <f>IFERROR(VLOOKUP($A80,Race_2024!A:L, 11,FALSE),0)</f>
        <v>-2086981.879</v>
      </c>
      <c r="I80" s="550">
        <f>IFERROR(VLOOKUP($A80,Race_2024!A:L, 12,FALSE),0)</f>
        <v>-2104653.8650000002</v>
      </c>
      <c r="J80" s="554"/>
      <c r="K80" s="544"/>
    </row>
    <row r="81" spans="1:11" ht="15">
      <c r="A81" s="546" t="s">
        <v>907</v>
      </c>
      <c r="B81" s="546" t="str">
        <f>IFERROR(VLOOKUP(A81,Race_2024!A:C,3,FALSE), VLOOKUP(A81,Race_2024!A:C,3,FALSE))</f>
        <v>PE selling</v>
      </c>
      <c r="C81" s="556" t="s">
        <v>908</v>
      </c>
      <c r="D81" s="548">
        <f>IFERROR(VLOOKUP($A81,Race_2024!A:L, 7,FALSE),0)</f>
        <v>-1482797.9040000001</v>
      </c>
      <c r="E81" s="548">
        <f>IFERROR(VLOOKUP($A81,Race_2024!A:L, 9,FALSE),0)</f>
        <v>-1290758.679</v>
      </c>
      <c r="F81" s="548">
        <f>IFERROR(VLOOKUP($A81,Race_2024!A:L, 8,FALSE),0)</f>
        <v>-680264.67099999997</v>
      </c>
      <c r="G81" s="548">
        <f>IFERROR(VLOOKUP($A81,Race_2024!A:L, 10,FALSE),0)</f>
        <v>-1238976.8970000001</v>
      </c>
      <c r="H81" s="548">
        <f>IFERROR(VLOOKUP($A81,Race_2024!A:L, 11,FALSE),0)</f>
        <v>-1238976.895</v>
      </c>
      <c r="I81" s="547">
        <f>IFERROR(VLOOKUP($A81,Race_2024!A:L, 12,FALSE),0)</f>
        <v>-1395944.2320000001</v>
      </c>
      <c r="J81" s="554"/>
      <c r="K81" s="544"/>
    </row>
    <row r="82" spans="1:11" ht="15">
      <c r="A82" s="546" t="s">
        <v>909</v>
      </c>
      <c r="B82" s="546" t="str">
        <f>IFERROR(VLOOKUP(A82,Race_2024!A:C,3,FALSE), VLOOKUP(A82,Race_2024!A:C,3,FALSE))</f>
        <v>PE communication</v>
      </c>
      <c r="C82" s="556" t="s">
        <v>910</v>
      </c>
      <c r="D82" s="548">
        <f>IFERROR(VLOOKUP($A82,Race_2024!A:L, 7,FALSE),0)</f>
        <v>-61455.082000000002</v>
      </c>
      <c r="E82" s="548">
        <f>IFERROR(VLOOKUP($A82,Race_2024!A:L, 9,FALSE),0)</f>
        <v>-57461.296999999999</v>
      </c>
      <c r="F82" s="548">
        <f>IFERROR(VLOOKUP($A82,Race_2024!A:L, 8,FALSE),0)</f>
        <v>-30283.614000000001</v>
      </c>
      <c r="G82" s="548">
        <f>IFERROR(VLOOKUP($A82,Race_2024!A:L, 10,FALSE),0)</f>
        <v>-65013.116999999998</v>
      </c>
      <c r="H82" s="548">
        <f>IFERROR(VLOOKUP($A82,Race_2024!A:L, 11,FALSE),0)</f>
        <v>-65013.114000000001</v>
      </c>
      <c r="I82" s="547">
        <f>IFERROR(VLOOKUP($A82,Race_2024!A:L, 12,FALSE),0)</f>
        <v>-58781.663999999997</v>
      </c>
      <c r="J82" s="554"/>
      <c r="K82" s="544"/>
    </row>
    <row r="83" spans="1:11" ht="15">
      <c r="A83" s="546" t="s">
        <v>911</v>
      </c>
      <c r="B83" s="546" t="str">
        <f>IFERROR(VLOOKUP(A83,Race_2024!A:C,3,FALSE), VLOOKUP(A83,Race_2024!A:C,3,FALSE))</f>
        <v>PE distribution</v>
      </c>
      <c r="C83" s="556" t="s">
        <v>484</v>
      </c>
      <c r="D83" s="548">
        <f>IFERROR(VLOOKUP($A83,Race_2024!A:L, 7,FALSE),0)</f>
        <v>-602687.68900000001</v>
      </c>
      <c r="E83" s="548">
        <f>IFERROR(VLOOKUP($A83,Race_2024!A:L, 9,FALSE),0)</f>
        <v>-711568.93900000001</v>
      </c>
      <c r="F83" s="548">
        <f>IFERROR(VLOOKUP($A83,Race_2024!A:L, 8,FALSE),0)</f>
        <v>-414208.43099999998</v>
      </c>
      <c r="G83" s="548">
        <f>IFERROR(VLOOKUP($A83,Race_2024!A:L, 10,FALSE),0)</f>
        <v>-767520.17500000005</v>
      </c>
      <c r="H83" s="548">
        <f>IFERROR(VLOOKUP($A83,Race_2024!A:L, 11,FALSE),0)</f>
        <v>-782991.87</v>
      </c>
      <c r="I83" s="547">
        <f>IFERROR(VLOOKUP($A83,Race_2024!A:L, 12,FALSE),0)</f>
        <v>-649927.96900000004</v>
      </c>
      <c r="J83" s="554"/>
      <c r="K83" s="544"/>
    </row>
    <row r="84" spans="1:11" ht="15">
      <c r="A84" s="546" t="s">
        <v>912</v>
      </c>
      <c r="B84" s="546" t="e">
        <f>IFERROR(VLOOKUP(A84,Race_2024!A:C,3,FALSE), VLOOKUP(A84,Race_2024!A:C,3,FALSE))</f>
        <v>#N/A</v>
      </c>
      <c r="C84" s="556" t="s">
        <v>913</v>
      </c>
      <c r="D84" s="548">
        <f>IFERROR(VLOOKUP($A84,Race_2024!A:L, 7,FALSE),0)</f>
        <v>0</v>
      </c>
      <c r="E84" s="548">
        <f>IFERROR(VLOOKUP($A84,Race_2024!A:L, 9,FALSE),0)</f>
        <v>0</v>
      </c>
      <c r="F84" s="548">
        <f>IFERROR(VLOOKUP($A84,Race_2024!A:L, 8,FALSE),0)</f>
        <v>0</v>
      </c>
      <c r="G84" s="548">
        <f>IFERROR(VLOOKUP($A84,Race_2024!A:L, 10,FALSE),0)</f>
        <v>0</v>
      </c>
      <c r="H84" s="548">
        <f>IFERROR(VLOOKUP($A84,Race_2024!A:L, 11,FALSE),0)</f>
        <v>0</v>
      </c>
      <c r="I84" s="547">
        <f>IFERROR(VLOOKUP($A84,Race_2024!A:L, 12,FALSE),0)</f>
        <v>0</v>
      </c>
      <c r="J84" s="545"/>
      <c r="K84" s="544"/>
    </row>
    <row r="85" spans="1:11" ht="15">
      <c r="A85" s="546" t="s">
        <v>914</v>
      </c>
      <c r="B85" s="546" t="str">
        <f>IFERROR(VLOOKUP(A85,Race_2024!A:C,3,FALSE), VLOOKUP(A85,Race_2024!A:C,3,FALSE))</f>
        <v>F,G and A expenses</v>
      </c>
      <c r="C85" s="552" t="s">
        <v>490</v>
      </c>
      <c r="D85" s="551">
        <f>IFERROR(VLOOKUP($A85,Race_2024!A:L, 7,FALSE),0)</f>
        <v>-1283494.683</v>
      </c>
      <c r="E85" s="551">
        <f>IFERROR(VLOOKUP($A85,Race_2024!A:L, 9,FALSE),0)</f>
        <v>-2478063.0950000002</v>
      </c>
      <c r="F85" s="551">
        <f>IFERROR(VLOOKUP($A85,Race_2024!A:L, 8,FALSE),0)</f>
        <v>-1295507.0649999999</v>
      </c>
      <c r="G85" s="551">
        <f>IFERROR(VLOOKUP($A85,Race_2024!A:L, 10,FALSE),0)</f>
        <v>-2498090.852</v>
      </c>
      <c r="H85" s="551">
        <f>IFERROR(VLOOKUP($A85,Race_2024!A:L, 11,FALSE),0)</f>
        <v>-2489984.6329999999</v>
      </c>
      <c r="I85" s="550">
        <f>IFERROR(VLOOKUP($A85,Race_2024!A:L, 12,FALSE),0)</f>
        <v>-2583254.9249999998</v>
      </c>
      <c r="J85" s="545"/>
      <c r="K85" s="544"/>
    </row>
    <row r="86" spans="1:11" ht="15">
      <c r="A86" s="546" t="s">
        <v>915</v>
      </c>
      <c r="B86" s="546" t="str">
        <f>IFERROR(VLOOKUP(A86,Race_2024!A:C,3,FALSE), VLOOKUP(A86,Race_2024!A:C,3,FALSE))</f>
        <v>F,G&amp;A expenses</v>
      </c>
      <c r="C86" s="556" t="s">
        <v>490</v>
      </c>
      <c r="D86" s="548">
        <f>IFERROR(VLOOKUP($A86,Race_2024!A:L, 7,FALSE),0)</f>
        <v>-1283494.683</v>
      </c>
      <c r="E86" s="548">
        <f>IFERROR(VLOOKUP($A86,Race_2024!A:L, 9,FALSE),0)</f>
        <v>-2478063.0950000002</v>
      </c>
      <c r="F86" s="548">
        <f>IFERROR(VLOOKUP($A86,Race_2024!A:L, 8,FALSE),0)</f>
        <v>-1295507.0649999999</v>
      </c>
      <c r="G86" s="548">
        <f>IFERROR(VLOOKUP($A86,Race_2024!A:L, 10,FALSE),0)</f>
        <v>-2498090.852</v>
      </c>
      <c r="H86" s="548">
        <f>IFERROR(VLOOKUP($A86,Race_2024!A:L, 11,FALSE),0)</f>
        <v>-2489984.6329999999</v>
      </c>
      <c r="I86" s="547">
        <f>IFERROR(VLOOKUP($A86,Race_2024!A:L, 12,FALSE),0)</f>
        <v>-2583254.9249999998</v>
      </c>
      <c r="J86" s="545"/>
      <c r="K86" s="544"/>
    </row>
    <row r="87" spans="1:11" ht="15">
      <c r="A87" s="546" t="s">
        <v>916</v>
      </c>
      <c r="B87" s="546" t="e">
        <f>IFERROR(VLOOKUP(A87,Race_2024!A:C,3,FALSE), VLOOKUP(A87,Race_2024!A:C,3,FALSE))</f>
        <v>#N/A</v>
      </c>
      <c r="C87" s="556" t="s">
        <v>917</v>
      </c>
      <c r="D87" s="548">
        <f>IFERROR(VLOOKUP($A87,Race_2024!A:L, 7,FALSE),0)</f>
        <v>0</v>
      </c>
      <c r="E87" s="548">
        <f>IFERROR(VLOOKUP($A87,Race_2024!A:L, 9,FALSE),0)</f>
        <v>0</v>
      </c>
      <c r="F87" s="548">
        <f>IFERROR(VLOOKUP($A87,Race_2024!A:L, 8,FALSE),0)</f>
        <v>0</v>
      </c>
      <c r="G87" s="548">
        <f>IFERROR(VLOOKUP($A87,Race_2024!A:L, 10,FALSE),0)</f>
        <v>0</v>
      </c>
      <c r="H87" s="548">
        <f>IFERROR(VLOOKUP($A87,Race_2024!A:L, 11,FALSE),0)</f>
        <v>0</v>
      </c>
      <c r="I87" s="547">
        <f>IFERROR(VLOOKUP($A87,Race_2024!A:L, 12,FALSE),0)</f>
        <v>0</v>
      </c>
      <c r="J87" s="545"/>
      <c r="K87" s="544"/>
    </row>
    <row r="88" spans="1:11" ht="15">
      <c r="A88" s="546" t="s">
        <v>918</v>
      </c>
      <c r="B88" s="546" t="str">
        <f>IFERROR(VLOOKUP(A88,Race_2024!A:C,3,FALSE), VLOOKUP(A88,Race_2024!A:C,3,FALSE))</f>
        <v>Oth.op. inc./exp.tot</v>
      </c>
      <c r="C88" s="552" t="s">
        <v>919</v>
      </c>
      <c r="D88" s="551">
        <f>IFERROR(VLOOKUP($A88,Race_2024!A:L, 7,FALSE),0)</f>
        <v>3998243.57</v>
      </c>
      <c r="E88" s="551">
        <f>IFERROR(VLOOKUP($A88,Race_2024!A:L, 9,FALSE),0)</f>
        <v>0</v>
      </c>
      <c r="F88" s="551">
        <f>IFERROR(VLOOKUP($A88,Race_2024!A:L, 8,FALSE),0)</f>
        <v>599668.201</v>
      </c>
      <c r="G88" s="551">
        <f>IFERROR(VLOOKUP($A88,Race_2024!A:L, 10,FALSE),0)</f>
        <v>596910.51100000006</v>
      </c>
      <c r="H88" s="551">
        <f>IFERROR(VLOOKUP($A88,Race_2024!A:L, 11,FALSE),0)</f>
        <v>1275304.689</v>
      </c>
      <c r="I88" s="550">
        <f>IFERROR(VLOOKUP($A88,Race_2024!A:L, 12,FALSE),0)</f>
        <v>0</v>
      </c>
      <c r="J88" s="545"/>
      <c r="K88" s="544"/>
    </row>
    <row r="89" spans="1:11" ht="15">
      <c r="A89" s="546" t="s">
        <v>920</v>
      </c>
      <c r="B89" s="546" t="e">
        <f>IFERROR(VLOOKUP(A89,Race_2024!A:C,3,FALSE), VLOOKUP(A89,Race_2024!A:C,3,FALSE))</f>
        <v>#N/A</v>
      </c>
      <c r="C89" s="549" t="s">
        <v>921</v>
      </c>
      <c r="D89" s="548">
        <f>IFERROR(VLOOKUP($A89,Race_2024!A:L, 7,FALSE),0)</f>
        <v>0</v>
      </c>
      <c r="E89" s="548">
        <f>IFERROR(VLOOKUP($A89,Race_2024!A:L, 9,FALSE),0)</f>
        <v>0</v>
      </c>
      <c r="F89" s="548">
        <f>IFERROR(VLOOKUP($A89,Race_2024!A:L, 8,FALSE),0)</f>
        <v>0</v>
      </c>
      <c r="G89" s="548">
        <f>IFERROR(VLOOKUP($A89,Race_2024!A:L, 10,FALSE),0)</f>
        <v>0</v>
      </c>
      <c r="H89" s="548">
        <f>IFERROR(VLOOKUP($A89,Race_2024!A:L, 11,FALSE),0)</f>
        <v>0</v>
      </c>
      <c r="I89" s="547">
        <f>IFERROR(VLOOKUP($A89,Race_2024!A:L, 12,FALSE),0)</f>
        <v>0</v>
      </c>
      <c r="J89" s="545"/>
      <c r="K89" s="544"/>
    </row>
    <row r="90" spans="1:11" ht="15">
      <c r="A90" s="546" t="s">
        <v>922</v>
      </c>
      <c r="B90" s="546" t="str">
        <f>IFERROR(VLOOKUP(A90,Race_2024!A:C,3,FALSE), VLOOKUP(A90,Race_2024!A:C,3,FALSE))</f>
        <v>Prov.f.dbtful acc.</v>
      </c>
      <c r="C90" s="549" t="s">
        <v>923</v>
      </c>
      <c r="D90" s="548">
        <f>IFERROR(VLOOKUP($A90,Race_2024!A:L, 7,FALSE),0)</f>
        <v>-28673.327000000001</v>
      </c>
      <c r="E90" s="548">
        <f>IFERROR(VLOOKUP($A90,Race_2024!A:L, 9,FALSE),0)</f>
        <v>0</v>
      </c>
      <c r="F90" s="548">
        <f>IFERROR(VLOOKUP($A90,Race_2024!A:L, 8,FALSE),0)</f>
        <v>-3606.3330000000001</v>
      </c>
      <c r="G90" s="548">
        <f>IFERROR(VLOOKUP($A90,Race_2024!A:L, 10,FALSE),0)</f>
        <v>-3262.9189999999999</v>
      </c>
      <c r="H90" s="548">
        <f>IFERROR(VLOOKUP($A90,Race_2024!A:L, 11,FALSE),0)</f>
        <v>-3606.3330000000001</v>
      </c>
      <c r="I90" s="547">
        <f>IFERROR(VLOOKUP($A90,Race_2024!A:L, 12,FALSE),0)</f>
        <v>0</v>
      </c>
      <c r="J90" s="545"/>
      <c r="K90" s="544"/>
    </row>
    <row r="91" spans="1:11" ht="15">
      <c r="A91" s="546" t="s">
        <v>924</v>
      </c>
      <c r="B91" s="546" t="e">
        <f>IFERROR(VLOOKUP(A91,Race_2024!A:C,3,FALSE), VLOOKUP(A91,Race_2024!A:C,3,FALSE))</f>
        <v>#N/A</v>
      </c>
      <c r="C91" s="549" t="s">
        <v>925</v>
      </c>
      <c r="D91" s="548">
        <f>IFERROR(VLOOKUP($A91,Race_2024!A:L, 7,FALSE),0)</f>
        <v>0</v>
      </c>
      <c r="E91" s="548">
        <f>IFERROR(VLOOKUP($A91,Race_2024!A:L, 9,FALSE),0)</f>
        <v>0</v>
      </c>
      <c r="F91" s="548">
        <f>IFERROR(VLOOKUP($A91,Race_2024!A:L, 8,FALSE),0)</f>
        <v>0</v>
      </c>
      <c r="G91" s="548">
        <f>IFERROR(VLOOKUP($A91,Race_2024!A:L, 10,FALSE),0)</f>
        <v>0</v>
      </c>
      <c r="H91" s="548">
        <f>IFERROR(VLOOKUP($A91,Race_2024!A:L, 11,FALSE),0)</f>
        <v>0</v>
      </c>
      <c r="I91" s="547">
        <f>IFERROR(VLOOKUP($A91,Race_2024!A:L, 12,FALSE),0)</f>
        <v>0</v>
      </c>
      <c r="J91" s="545"/>
      <c r="K91" s="544"/>
    </row>
    <row r="92" spans="1:11" ht="15">
      <c r="A92" s="546" t="s">
        <v>926</v>
      </c>
      <c r="B92" s="546" t="e">
        <f>IFERROR(VLOOKUP(A92,Race_2024!A:C,3,FALSE), VLOOKUP(A92,Race_2024!A:C,3,FALSE))</f>
        <v>#N/A</v>
      </c>
      <c r="C92" s="549" t="s">
        <v>927</v>
      </c>
      <c r="D92" s="548">
        <f>IFERROR(VLOOKUP($A92,Race_2024!A:L, 7,FALSE),0)</f>
        <v>0</v>
      </c>
      <c r="E92" s="548">
        <f>IFERROR(VLOOKUP($A92,Race_2024!A:L, 9,FALSE),0)</f>
        <v>0</v>
      </c>
      <c r="F92" s="548">
        <f>IFERROR(VLOOKUP($A92,Race_2024!A:L, 8,FALSE),0)</f>
        <v>0</v>
      </c>
      <c r="G92" s="548">
        <f>IFERROR(VLOOKUP($A92,Race_2024!A:L, 10,FALSE),0)</f>
        <v>0</v>
      </c>
      <c r="H92" s="548">
        <f>IFERROR(VLOOKUP($A92,Race_2024!A:L, 11,FALSE),0)</f>
        <v>0</v>
      </c>
      <c r="I92" s="547">
        <f>IFERROR(VLOOKUP($A92,Race_2024!A:L, 12,FALSE),0)</f>
        <v>0</v>
      </c>
      <c r="J92" s="545"/>
      <c r="K92" s="544"/>
    </row>
    <row r="93" spans="1:11" ht="15">
      <c r="A93" s="546" t="s">
        <v>928</v>
      </c>
      <c r="B93" s="546" t="e">
        <f>IFERROR(VLOOKUP(A93,Race_2024!A:C,3,FALSE), VLOOKUP(A93,Race_2024!A:C,3,FALSE))</f>
        <v>#N/A</v>
      </c>
      <c r="C93" s="549" t="s">
        <v>929</v>
      </c>
      <c r="D93" s="548">
        <f>IFERROR(VLOOKUP($A93,Race_2024!A:L, 7,FALSE),0)</f>
        <v>0</v>
      </c>
      <c r="E93" s="548">
        <f>IFERROR(VLOOKUP($A93,Race_2024!A:L, 9,FALSE),0)</f>
        <v>0</v>
      </c>
      <c r="F93" s="548">
        <f>IFERROR(VLOOKUP($A93,Race_2024!A:L, 8,FALSE),0)</f>
        <v>0</v>
      </c>
      <c r="G93" s="548">
        <f>IFERROR(VLOOKUP($A93,Race_2024!A:L, 10,FALSE),0)</f>
        <v>0</v>
      </c>
      <c r="H93" s="548">
        <f>IFERROR(VLOOKUP($A93,Race_2024!A:L, 11,FALSE),0)</f>
        <v>0</v>
      </c>
      <c r="I93" s="547">
        <f>IFERROR(VLOOKUP($A93,Race_2024!A:L, 12,FALSE),0)</f>
        <v>0</v>
      </c>
      <c r="J93" s="545"/>
      <c r="K93" s="544"/>
    </row>
    <row r="94" spans="1:11" ht="15">
      <c r="A94" s="546" t="s">
        <v>930</v>
      </c>
      <c r="B94" s="546" t="e">
        <f>IFERROR(VLOOKUP(A94,Race_2024!A:C,3,FALSE), VLOOKUP(A94,Race_2024!A:C,3,FALSE))</f>
        <v>#N/A</v>
      </c>
      <c r="C94" s="549" t="s">
        <v>931</v>
      </c>
      <c r="D94" s="548">
        <f>IFERROR(VLOOKUP($A94,Race_2024!A:L, 7,FALSE),0)</f>
        <v>0</v>
      </c>
      <c r="E94" s="548">
        <f>IFERROR(VLOOKUP($A94,Race_2024!A:L, 9,FALSE),0)</f>
        <v>0</v>
      </c>
      <c r="F94" s="548">
        <f>IFERROR(VLOOKUP($A94,Race_2024!A:L, 8,FALSE),0)</f>
        <v>0</v>
      </c>
      <c r="G94" s="548">
        <f>IFERROR(VLOOKUP($A94,Race_2024!A:L, 10,FALSE),0)</f>
        <v>0</v>
      </c>
      <c r="H94" s="548">
        <f>IFERROR(VLOOKUP($A94,Race_2024!A:L, 11,FALSE),0)</f>
        <v>0</v>
      </c>
      <c r="I94" s="547">
        <f>IFERROR(VLOOKUP($A94,Race_2024!A:L, 12,FALSE),0)</f>
        <v>0</v>
      </c>
      <c r="J94" s="545"/>
      <c r="K94" s="544"/>
    </row>
    <row r="95" spans="1:11" ht="15">
      <c r="A95" s="546" t="s">
        <v>932</v>
      </c>
      <c r="B95" s="546" t="e">
        <f>IFERROR(VLOOKUP(A95,Race_2024!A:C,3,FALSE), VLOOKUP(A95,Race_2024!A:C,3,FALSE))</f>
        <v>#N/A</v>
      </c>
      <c r="C95" s="553" t="s">
        <v>933</v>
      </c>
      <c r="D95" s="548">
        <f>IFERROR(VLOOKUP($A95,Race_2024!A:L, 7,FALSE),0)</f>
        <v>0</v>
      </c>
      <c r="E95" s="548">
        <f>IFERROR(VLOOKUP($A95,Race_2024!A:L, 9,FALSE),0)</f>
        <v>0</v>
      </c>
      <c r="F95" s="548">
        <f>IFERROR(VLOOKUP($A95,Race_2024!A:L, 8,FALSE),0)</f>
        <v>0</v>
      </c>
      <c r="G95" s="548">
        <f>IFERROR(VLOOKUP($A95,Race_2024!A:L, 10,FALSE),0)</f>
        <v>0</v>
      </c>
      <c r="H95" s="548">
        <f>IFERROR(VLOOKUP($A95,Race_2024!A:L, 11,FALSE),0)</f>
        <v>0</v>
      </c>
      <c r="I95" s="547">
        <f>IFERROR(VLOOKUP($A95,Race_2024!A:L, 12,FALSE),0)</f>
        <v>0</v>
      </c>
      <c r="J95" s="545"/>
      <c r="K95" s="544"/>
    </row>
    <row r="96" spans="1:11" ht="15">
      <c r="A96" s="546" t="s">
        <v>934</v>
      </c>
      <c r="B96" s="546" t="e">
        <f>IFERROR(VLOOKUP(A96,Race_2024!A:C,3,FALSE), VLOOKUP(A96,Race_2024!A:C,3,FALSE))</f>
        <v>#N/A</v>
      </c>
      <c r="C96" s="553" t="s">
        <v>935</v>
      </c>
      <c r="D96" s="548">
        <f>IFERROR(VLOOKUP($A96,Race_2024!A:L, 7,FALSE),0)</f>
        <v>0</v>
      </c>
      <c r="E96" s="548">
        <f>IFERROR(VLOOKUP($A96,Race_2024!A:L, 9,FALSE),0)</f>
        <v>0</v>
      </c>
      <c r="F96" s="548">
        <f>IFERROR(VLOOKUP($A96,Race_2024!A:L, 8,FALSE),0)</f>
        <v>0</v>
      </c>
      <c r="G96" s="548">
        <f>IFERROR(VLOOKUP($A96,Race_2024!A:L, 10,FALSE),0)</f>
        <v>0</v>
      </c>
      <c r="H96" s="548">
        <f>IFERROR(VLOOKUP($A96,Race_2024!A:L, 11,FALSE),0)</f>
        <v>0</v>
      </c>
      <c r="I96" s="547">
        <f>IFERROR(VLOOKUP($A96,Race_2024!A:L, 12,FALSE),0)</f>
        <v>0</v>
      </c>
      <c r="J96" s="545"/>
      <c r="K96" s="544"/>
    </row>
    <row r="97" spans="1:11" ht="15">
      <c r="A97" s="546" t="s">
        <v>936</v>
      </c>
      <c r="B97" s="546" t="e">
        <f>IFERROR(VLOOKUP(A97,Race_2024!A:C,3,FALSE), VLOOKUP(A97,Race_2024!A:C,3,FALSE))</f>
        <v>#N/A</v>
      </c>
      <c r="C97" s="553" t="s">
        <v>937</v>
      </c>
      <c r="D97" s="548">
        <f>IFERROR(VLOOKUP($A97,Race_2024!A:L, 7,FALSE),0)</f>
        <v>0</v>
      </c>
      <c r="E97" s="548">
        <f>IFERROR(VLOOKUP($A97,Race_2024!A:L, 9,FALSE),0)</f>
        <v>0</v>
      </c>
      <c r="F97" s="548">
        <f>IFERROR(VLOOKUP($A97,Race_2024!A:L, 8,FALSE),0)</f>
        <v>0</v>
      </c>
      <c r="G97" s="548">
        <f>IFERROR(VLOOKUP($A97,Race_2024!A:L, 10,FALSE),0)</f>
        <v>0</v>
      </c>
      <c r="H97" s="548">
        <f>IFERROR(VLOOKUP($A97,Race_2024!A:L, 11,FALSE),0)</f>
        <v>0</v>
      </c>
      <c r="I97" s="547">
        <f>IFERROR(VLOOKUP($A97,Race_2024!A:L, 12,FALSE),0)</f>
        <v>0</v>
      </c>
      <c r="J97" s="545"/>
      <c r="K97" s="544"/>
    </row>
    <row r="98" spans="1:11" ht="15">
      <c r="A98" s="546" t="s">
        <v>938</v>
      </c>
      <c r="B98" s="546" t="e">
        <f>IFERROR(VLOOKUP(A98,Race_2024!A:C,3,FALSE), VLOOKUP(A98,Race_2024!A:C,3,FALSE))</f>
        <v>#N/A</v>
      </c>
      <c r="C98" s="553" t="s">
        <v>939</v>
      </c>
      <c r="D98" s="548">
        <f>IFERROR(VLOOKUP($A98,Race_2024!A:L, 7,FALSE),0)</f>
        <v>0</v>
      </c>
      <c r="E98" s="548">
        <f>IFERROR(VLOOKUP($A98,Race_2024!A:L, 9,FALSE),0)</f>
        <v>0</v>
      </c>
      <c r="F98" s="548">
        <f>IFERROR(VLOOKUP($A98,Race_2024!A:L, 8,FALSE),0)</f>
        <v>0</v>
      </c>
      <c r="G98" s="548">
        <f>IFERROR(VLOOKUP($A98,Race_2024!A:L, 10,FALSE),0)</f>
        <v>0</v>
      </c>
      <c r="H98" s="548">
        <f>IFERROR(VLOOKUP($A98,Race_2024!A:L, 11,FALSE),0)</f>
        <v>0</v>
      </c>
      <c r="I98" s="547">
        <f>IFERROR(VLOOKUP($A98,Race_2024!A:L, 12,FALSE),0)</f>
        <v>0</v>
      </c>
      <c r="J98" s="545"/>
      <c r="K98" s="544"/>
    </row>
    <row r="99" spans="1:11" ht="15">
      <c r="A99" s="546" t="s">
        <v>940</v>
      </c>
      <c r="B99" s="546" t="e">
        <f>IFERROR(VLOOKUP(A99,Race_2024!A:C,3,FALSE), VLOOKUP(A99,Race_2024!A:C,3,FALSE))</f>
        <v>#N/A</v>
      </c>
      <c r="C99" s="553" t="s">
        <v>941</v>
      </c>
      <c r="D99" s="548">
        <f>IFERROR(VLOOKUP($A99,Race_2024!A:L, 7,FALSE),0)</f>
        <v>0</v>
      </c>
      <c r="E99" s="548">
        <f>IFERROR(VLOOKUP($A99,Race_2024!A:L, 9,FALSE),0)</f>
        <v>0</v>
      </c>
      <c r="F99" s="548">
        <f>IFERROR(VLOOKUP($A99,Race_2024!A:L, 8,FALSE),0)</f>
        <v>0</v>
      </c>
      <c r="G99" s="548">
        <f>IFERROR(VLOOKUP($A99,Race_2024!A:L, 10,FALSE),0)</f>
        <v>0</v>
      </c>
      <c r="H99" s="548">
        <f>IFERROR(VLOOKUP($A99,Race_2024!A:L, 11,FALSE),0)</f>
        <v>0</v>
      </c>
      <c r="I99" s="547">
        <f>IFERROR(VLOOKUP($A99,Race_2024!A:L, 12,FALSE),0)</f>
        <v>0</v>
      </c>
      <c r="J99" s="545"/>
      <c r="K99" s="544"/>
    </row>
    <row r="100" spans="1:11" ht="15">
      <c r="A100" s="546" t="s">
        <v>942</v>
      </c>
      <c r="B100" s="546" t="e">
        <f>IFERROR(VLOOKUP(A100,Race_2024!A:C,3,FALSE), VLOOKUP(A100,Race_2024!A:C,3,FALSE))</f>
        <v>#N/A</v>
      </c>
      <c r="C100" s="661" t="s">
        <v>943</v>
      </c>
      <c r="D100" s="548">
        <f>IFERROR(VLOOKUP($A100,Race_2024!A:L, 7,FALSE),0)</f>
        <v>0</v>
      </c>
      <c r="E100" s="548">
        <f>IFERROR(VLOOKUP($A100,Race_2024!A:L, 9,FALSE),0)</f>
        <v>0</v>
      </c>
      <c r="F100" s="548">
        <f>IFERROR(VLOOKUP($A100,Race_2024!A:L, 8,FALSE),0)</f>
        <v>0</v>
      </c>
      <c r="G100" s="548">
        <f>IFERROR(VLOOKUP($A100,Race_2024!A:L, 10,FALSE),0)</f>
        <v>0</v>
      </c>
      <c r="H100" s="548">
        <f>IFERROR(VLOOKUP($A100,Race_2024!A:L, 11,FALSE),0)</f>
        <v>0</v>
      </c>
      <c r="I100" s="547">
        <f>IFERROR(VLOOKUP($A100,Race_2024!A:L, 12,FALSE),0)</f>
        <v>0</v>
      </c>
      <c r="J100" s="545"/>
      <c r="K100" s="544"/>
    </row>
    <row r="101" spans="1:11" ht="15">
      <c r="A101" s="546" t="s">
        <v>944</v>
      </c>
      <c r="B101" s="546" t="str">
        <f>IFERROR(VLOOKUP(A101,Race_2024!A:C,3,FALSE), VLOOKUP(A101,Race_2024!A:C,3,FALSE))</f>
        <v>FX op. total</v>
      </c>
      <c r="C101" s="549" t="s">
        <v>945</v>
      </c>
      <c r="D101" s="548">
        <f>IFERROR(VLOOKUP($A101,Race_2024!A:L, 7,FALSE),0)</f>
        <v>-447481.09399999998</v>
      </c>
      <c r="E101" s="548">
        <f>IFERROR(VLOOKUP($A101,Race_2024!A:L, 9,FALSE),0)</f>
        <v>0</v>
      </c>
      <c r="F101" s="548">
        <f>IFERROR(VLOOKUP($A101,Race_2024!A:L, 8,FALSE),0)</f>
        <v>-728597.16200000001</v>
      </c>
      <c r="G101" s="548">
        <f>IFERROR(VLOOKUP($A101,Race_2024!A:L, 10,FALSE),0)</f>
        <v>-728597.16200000001</v>
      </c>
      <c r="H101" s="548">
        <f>IFERROR(VLOOKUP($A101,Race_2024!A:L, 11,FALSE),0)</f>
        <v>-52960.673999999999</v>
      </c>
      <c r="I101" s="547">
        <f>IFERROR(VLOOKUP($A101,Race_2024!A:L, 12,FALSE),0)</f>
        <v>0</v>
      </c>
      <c r="J101" s="545"/>
      <c r="K101" s="544"/>
    </row>
    <row r="102" spans="1:11" ht="15">
      <c r="A102" s="546" t="s">
        <v>946</v>
      </c>
      <c r="B102" s="546" t="str">
        <f>IFERROR(VLOOKUP(A102,Race_2024!A:C,3,FALSE), VLOOKUP(A102,Race_2024!A:C,3,FALSE))</f>
        <v>FX - trading</v>
      </c>
      <c r="C102" s="553" t="s">
        <v>947</v>
      </c>
      <c r="D102" s="548">
        <f>IFERROR(VLOOKUP($A102,Race_2024!A:L, 7,FALSE),0)</f>
        <v>-447481.09399999998</v>
      </c>
      <c r="E102" s="548">
        <f>IFERROR(VLOOKUP($A102,Race_2024!A:L, 9,FALSE),0)</f>
        <v>0</v>
      </c>
      <c r="F102" s="548">
        <f>IFERROR(VLOOKUP($A102,Race_2024!A:L, 8,FALSE),0)</f>
        <v>-728597.16200000001</v>
      </c>
      <c r="G102" s="548">
        <f>IFERROR(VLOOKUP($A102,Race_2024!A:L, 10,FALSE),0)</f>
        <v>-728597.16200000001</v>
      </c>
      <c r="H102" s="548">
        <f>IFERROR(VLOOKUP($A102,Race_2024!A:L, 11,FALSE),0)</f>
        <v>-52960.673999999999</v>
      </c>
      <c r="I102" s="547">
        <f>IFERROR(VLOOKUP($A102,Race_2024!A:L, 12,FALSE),0)</f>
        <v>0</v>
      </c>
      <c r="J102" s="545"/>
      <c r="K102" s="544"/>
    </row>
    <row r="103" spans="1:11" ht="15">
      <c r="A103" s="546" t="s">
        <v>948</v>
      </c>
      <c r="B103" s="546" t="e">
        <f>IFERROR(VLOOKUP(A103,Race_2024!A:C,3,FALSE), VLOOKUP(A103,Race_2024!A:C,3,FALSE))</f>
        <v>#N/A</v>
      </c>
      <c r="C103" s="553" t="s">
        <v>949</v>
      </c>
      <c r="D103" s="548">
        <f>IFERROR(VLOOKUP($A103,Race_2024!A:L, 7,FALSE),0)</f>
        <v>0</v>
      </c>
      <c r="E103" s="548">
        <f>IFERROR(VLOOKUP($A103,Race_2024!A:L, 9,FALSE),0)</f>
        <v>0</v>
      </c>
      <c r="F103" s="548">
        <f>IFERROR(VLOOKUP($A103,Race_2024!A:L, 8,FALSE),0)</f>
        <v>0</v>
      </c>
      <c r="G103" s="548">
        <f>IFERROR(VLOOKUP($A103,Race_2024!A:L, 10,FALSE),0)</f>
        <v>0</v>
      </c>
      <c r="H103" s="548">
        <f>IFERROR(VLOOKUP($A103,Race_2024!A:L, 11,FALSE),0)</f>
        <v>0</v>
      </c>
      <c r="I103" s="547">
        <f>IFERROR(VLOOKUP($A103,Race_2024!A:L, 12,FALSE),0)</f>
        <v>0</v>
      </c>
      <c r="J103" s="545"/>
      <c r="K103" s="544"/>
    </row>
    <row r="104" spans="1:11" ht="15">
      <c r="A104" s="546" t="s">
        <v>950</v>
      </c>
      <c r="B104" s="546" t="e">
        <f>IFERROR(VLOOKUP(A104,Race_2024!A:C,3,FALSE), VLOOKUP(A104,Race_2024!A:C,3,FALSE))</f>
        <v>#N/A</v>
      </c>
      <c r="C104" s="553" t="s">
        <v>951</v>
      </c>
      <c r="D104" s="548">
        <f>IFERROR(VLOOKUP($A104,Race_2024!A:L, 7,FALSE),0)</f>
        <v>0</v>
      </c>
      <c r="E104" s="548">
        <f>IFERROR(VLOOKUP($A104,Race_2024!A:L, 9,FALSE),0)</f>
        <v>0</v>
      </c>
      <c r="F104" s="548">
        <f>IFERROR(VLOOKUP($A104,Race_2024!A:L, 8,FALSE),0)</f>
        <v>0</v>
      </c>
      <c r="G104" s="548">
        <f>IFERROR(VLOOKUP($A104,Race_2024!A:L, 10,FALSE),0)</f>
        <v>0</v>
      </c>
      <c r="H104" s="548">
        <f>IFERROR(VLOOKUP($A104,Race_2024!A:L, 11,FALSE),0)</f>
        <v>0</v>
      </c>
      <c r="I104" s="547">
        <f>IFERROR(VLOOKUP($A104,Race_2024!A:L, 12,FALSE),0)</f>
        <v>0</v>
      </c>
      <c r="J104" s="545"/>
      <c r="K104" s="544"/>
    </row>
    <row r="105" spans="1:11" ht="15">
      <c r="A105" s="546" t="s">
        <v>952</v>
      </c>
      <c r="B105" s="546" t="str">
        <f>IFERROR(VLOOKUP(A105,Race_2024!A:C,3,FALSE), VLOOKUP(A105,Race_2024!A:C,3,FALSE))</f>
        <v>PPE disposal</v>
      </c>
      <c r="C105" s="549" t="s">
        <v>953</v>
      </c>
      <c r="D105" s="548">
        <f>IFERROR(VLOOKUP($A105,Race_2024!A:L, 7,FALSE),0)</f>
        <v>-3055.6489999999999</v>
      </c>
      <c r="E105" s="548">
        <f>IFERROR(VLOOKUP($A105,Race_2024!A:L, 9,FALSE),0)</f>
        <v>0</v>
      </c>
      <c r="F105" s="548">
        <f>IFERROR(VLOOKUP($A105,Race_2024!A:L, 8,FALSE),0)</f>
        <v>0</v>
      </c>
      <c r="G105" s="548">
        <f>IFERROR(VLOOKUP($A105,Race_2024!A:L, 10,FALSE),0)</f>
        <v>0</v>
      </c>
      <c r="H105" s="548">
        <f>IFERROR(VLOOKUP($A105,Race_2024!A:L, 11,FALSE),0)</f>
        <v>0</v>
      </c>
      <c r="I105" s="547">
        <f>IFERROR(VLOOKUP($A105,Race_2024!A:L, 12,FALSE),0)</f>
        <v>0</v>
      </c>
      <c r="J105" s="545"/>
      <c r="K105" s="544"/>
    </row>
    <row r="106" spans="1:11" ht="15">
      <c r="A106" s="546" t="s">
        <v>954</v>
      </c>
      <c r="B106" s="546" t="str">
        <f>IFERROR(VLOOKUP(A106,Race_2024!A:C,3,FALSE), VLOOKUP(A106,Race_2024!A:C,3,FALSE))</f>
        <v>PPE scrap expenses</v>
      </c>
      <c r="C106" s="553" t="s">
        <v>955</v>
      </c>
      <c r="D106" s="548">
        <f>IFERROR(VLOOKUP($A106,Race_2024!A:L, 7,FALSE),0)</f>
        <v>-3534.2190000000001</v>
      </c>
      <c r="E106" s="548">
        <f>IFERROR(VLOOKUP($A106,Race_2024!A:L, 9,FALSE),0)</f>
        <v>0</v>
      </c>
      <c r="F106" s="548">
        <f>IFERROR(VLOOKUP($A106,Race_2024!A:L, 8,FALSE),0)</f>
        <v>0</v>
      </c>
      <c r="G106" s="548">
        <f>IFERROR(VLOOKUP($A106,Race_2024!A:L, 10,FALSE),0)</f>
        <v>0</v>
      </c>
      <c r="H106" s="548">
        <f>IFERROR(VLOOKUP($A106,Race_2024!A:L, 11,FALSE),0)</f>
        <v>0</v>
      </c>
      <c r="I106" s="547">
        <f>IFERROR(VLOOKUP($A106,Race_2024!A:L, 12,FALSE),0)</f>
        <v>0</v>
      </c>
      <c r="J106" s="545"/>
      <c r="K106" s="544"/>
    </row>
    <row r="107" spans="1:11" ht="15">
      <c r="A107" s="546" t="s">
        <v>956</v>
      </c>
      <c r="B107" s="546" t="e">
        <f>IFERROR(VLOOKUP(A107,Race_2024!A:C,3,FALSE), VLOOKUP(A107,Race_2024!A:C,3,FALSE))</f>
        <v>#N/A</v>
      </c>
      <c r="C107" s="553" t="s">
        <v>957</v>
      </c>
      <c r="D107" s="548">
        <f>IFERROR(VLOOKUP($A107,Race_2024!A:L, 7,FALSE),0)</f>
        <v>0</v>
      </c>
      <c r="E107" s="548">
        <f>IFERROR(VLOOKUP($A107,Race_2024!A:L, 9,FALSE),0)</f>
        <v>0</v>
      </c>
      <c r="F107" s="548">
        <f>IFERROR(VLOOKUP($A107,Race_2024!A:L, 8,FALSE),0)</f>
        <v>0</v>
      </c>
      <c r="G107" s="548">
        <f>IFERROR(VLOOKUP($A107,Race_2024!A:L, 10,FALSE),0)</f>
        <v>0</v>
      </c>
      <c r="H107" s="548">
        <f>IFERROR(VLOOKUP($A107,Race_2024!A:L, 11,FALSE),0)</f>
        <v>0</v>
      </c>
      <c r="I107" s="547">
        <f>IFERROR(VLOOKUP($A107,Race_2024!A:L, 12,FALSE),0)</f>
        <v>0</v>
      </c>
      <c r="J107" s="545"/>
      <c r="K107" s="544"/>
    </row>
    <row r="108" spans="1:11" ht="15">
      <c r="A108" s="546" t="s">
        <v>958</v>
      </c>
      <c r="B108" s="546" t="e">
        <f>IFERROR(VLOOKUP(A108,Race_2024!A:C,3,FALSE), VLOOKUP(A108,Race_2024!A:C,3,FALSE))</f>
        <v>#N/A</v>
      </c>
      <c r="C108" s="555" t="s">
        <v>959</v>
      </c>
      <c r="D108" s="548">
        <f>IFERROR(VLOOKUP($A108,Race_2024!A:L, 7,FALSE),0)</f>
        <v>0</v>
      </c>
      <c r="E108" s="548">
        <f>IFERROR(VLOOKUP($A108,Race_2024!A:L, 9,FALSE),0)</f>
        <v>0</v>
      </c>
      <c r="F108" s="548">
        <f>IFERROR(VLOOKUP($A108,Race_2024!A:L, 8,FALSE),0)</f>
        <v>0</v>
      </c>
      <c r="G108" s="548">
        <f>IFERROR(VLOOKUP($A108,Race_2024!A:L, 10,FALSE),0)</f>
        <v>0</v>
      </c>
      <c r="H108" s="548">
        <f>IFERROR(VLOOKUP($A108,Race_2024!A:L, 11,FALSE),0)</f>
        <v>0</v>
      </c>
      <c r="I108" s="547">
        <f>IFERROR(VLOOKUP($A108,Race_2024!A:L, 12,FALSE),0)</f>
        <v>0</v>
      </c>
      <c r="J108" s="545"/>
      <c r="K108" s="544"/>
    </row>
    <row r="109" spans="1:11" ht="15">
      <c r="A109" s="546" t="s">
        <v>960</v>
      </c>
      <c r="B109" s="546" t="e">
        <f>IFERROR(VLOOKUP(A109,Race_2024!A:C,3,FALSE), VLOOKUP(A109,Race_2024!A:C,3,FALSE))</f>
        <v>#N/A</v>
      </c>
      <c r="C109" s="555" t="s">
        <v>961</v>
      </c>
      <c r="D109" s="548">
        <f>IFERROR(VLOOKUP($A109,Race_2024!A:L, 7,FALSE),0)</f>
        <v>0</v>
      </c>
      <c r="E109" s="548">
        <f>IFERROR(VLOOKUP($A109,Race_2024!A:L, 9,FALSE),0)</f>
        <v>0</v>
      </c>
      <c r="F109" s="548">
        <f>IFERROR(VLOOKUP($A109,Race_2024!A:L, 8,FALSE),0)</f>
        <v>0</v>
      </c>
      <c r="G109" s="548">
        <f>IFERROR(VLOOKUP($A109,Race_2024!A:L, 10,FALSE),0)</f>
        <v>0</v>
      </c>
      <c r="H109" s="548">
        <f>IFERROR(VLOOKUP($A109,Race_2024!A:L, 11,FALSE),0)</f>
        <v>0</v>
      </c>
      <c r="I109" s="547">
        <f>IFERROR(VLOOKUP($A109,Race_2024!A:L, 12,FALSE),0)</f>
        <v>0</v>
      </c>
      <c r="J109" s="545"/>
      <c r="K109" s="544"/>
    </row>
    <row r="110" spans="1:11" ht="15">
      <c r="A110" s="546" t="s">
        <v>962</v>
      </c>
      <c r="B110" s="546" t="e">
        <f>IFERROR(VLOOKUP(A110,Race_2024!A:C,3,FALSE), VLOOKUP(A110,Race_2024!A:C,3,FALSE))</f>
        <v>#N/A</v>
      </c>
      <c r="C110" s="555" t="s">
        <v>963</v>
      </c>
      <c r="D110" s="548">
        <f>IFERROR(VLOOKUP($A110,Race_2024!A:L, 7,FALSE),0)</f>
        <v>0</v>
      </c>
      <c r="E110" s="548">
        <f>IFERROR(VLOOKUP($A110,Race_2024!A:L, 9,FALSE),0)</f>
        <v>0</v>
      </c>
      <c r="F110" s="548">
        <f>IFERROR(VLOOKUP($A110,Race_2024!A:L, 8,FALSE),0)</f>
        <v>0</v>
      </c>
      <c r="G110" s="548">
        <f>IFERROR(VLOOKUP($A110,Race_2024!A:L, 10,FALSE),0)</f>
        <v>0</v>
      </c>
      <c r="H110" s="548">
        <f>IFERROR(VLOOKUP($A110,Race_2024!A:L, 11,FALSE),0)</f>
        <v>0</v>
      </c>
      <c r="I110" s="547">
        <f>IFERROR(VLOOKUP($A110,Race_2024!A:L, 12,FALSE),0)</f>
        <v>0</v>
      </c>
      <c r="J110" s="545"/>
      <c r="K110" s="544"/>
    </row>
    <row r="111" spans="1:11" ht="15">
      <c r="A111" s="546" t="s">
        <v>964</v>
      </c>
      <c r="B111" s="546" t="e">
        <f>IFERROR(VLOOKUP(A111,Race_2024!A:C,3,FALSE), VLOOKUP(A111,Race_2024!A:C,3,FALSE))</f>
        <v>#N/A</v>
      </c>
      <c r="C111" s="555" t="s">
        <v>965</v>
      </c>
      <c r="D111" s="548">
        <f>IFERROR(VLOOKUP($A111,Race_2024!A:L, 7,FALSE),0)</f>
        <v>0</v>
      </c>
      <c r="E111" s="548">
        <f>IFERROR(VLOOKUP($A111,Race_2024!A:L, 9,FALSE),0)</f>
        <v>0</v>
      </c>
      <c r="F111" s="548">
        <f>IFERROR(VLOOKUP($A111,Race_2024!A:L, 8,FALSE),0)</f>
        <v>0</v>
      </c>
      <c r="G111" s="548">
        <f>IFERROR(VLOOKUP($A111,Race_2024!A:L, 10,FALSE),0)</f>
        <v>0</v>
      </c>
      <c r="H111" s="548">
        <f>IFERROR(VLOOKUP($A111,Race_2024!A:L, 11,FALSE),0)</f>
        <v>0</v>
      </c>
      <c r="I111" s="547">
        <f>IFERROR(VLOOKUP($A111,Race_2024!A:L, 12,FALSE),0)</f>
        <v>0</v>
      </c>
      <c r="J111" s="545"/>
      <c r="K111" s="544"/>
    </row>
    <row r="112" spans="1:11" ht="15">
      <c r="A112" s="546" t="s">
        <v>966</v>
      </c>
      <c r="B112" s="546" t="e">
        <f>IFERROR(VLOOKUP(A112,Race_2024!A:C,3,FALSE), VLOOKUP(A112,Race_2024!A:C,3,FALSE))</f>
        <v>#N/A</v>
      </c>
      <c r="C112" s="555" t="s">
        <v>967</v>
      </c>
      <c r="D112" s="548">
        <f>IFERROR(VLOOKUP($A112,Race_2024!A:L, 7,FALSE),0)</f>
        <v>0</v>
      </c>
      <c r="E112" s="548">
        <f>IFERROR(VLOOKUP($A112,Race_2024!A:L, 9,FALSE),0)</f>
        <v>0</v>
      </c>
      <c r="F112" s="548">
        <f>IFERROR(VLOOKUP($A112,Race_2024!A:L, 8,FALSE),0)</f>
        <v>0</v>
      </c>
      <c r="G112" s="548">
        <f>IFERROR(VLOOKUP($A112,Race_2024!A:L, 10,FALSE),0)</f>
        <v>0</v>
      </c>
      <c r="H112" s="548">
        <f>IFERROR(VLOOKUP($A112,Race_2024!A:L, 11,FALSE),0)</f>
        <v>0</v>
      </c>
      <c r="I112" s="547">
        <f>IFERROR(VLOOKUP($A112,Race_2024!A:L, 12,FALSE),0)</f>
        <v>0</v>
      </c>
      <c r="J112" s="545"/>
      <c r="K112" s="544"/>
    </row>
    <row r="113" spans="1:11" ht="15">
      <c r="A113" s="546" t="s">
        <v>968</v>
      </c>
      <c r="B113" s="546" t="e">
        <f>IFERROR(VLOOKUP(A113,Race_2024!A:C,3,FALSE), VLOOKUP(A113,Race_2024!A:C,3,FALSE))</f>
        <v>#N/A</v>
      </c>
      <c r="C113" s="555" t="s">
        <v>969</v>
      </c>
      <c r="D113" s="548">
        <f>IFERROR(VLOOKUP($A113,Race_2024!A:L, 7,FALSE),0)</f>
        <v>0</v>
      </c>
      <c r="E113" s="548">
        <f>IFERROR(VLOOKUP($A113,Race_2024!A:L, 9,FALSE),0)</f>
        <v>0</v>
      </c>
      <c r="F113" s="548">
        <f>IFERROR(VLOOKUP($A113,Race_2024!A:L, 8,FALSE),0)</f>
        <v>0</v>
      </c>
      <c r="G113" s="548">
        <f>IFERROR(VLOOKUP($A113,Race_2024!A:L, 10,FALSE),0)</f>
        <v>0</v>
      </c>
      <c r="H113" s="548">
        <f>IFERROR(VLOOKUP($A113,Race_2024!A:L, 11,FALSE),0)</f>
        <v>0</v>
      </c>
      <c r="I113" s="547">
        <f>IFERROR(VLOOKUP($A113,Race_2024!A:L, 12,FALSE),0)</f>
        <v>0</v>
      </c>
      <c r="J113" s="545"/>
      <c r="K113" s="544"/>
    </row>
    <row r="114" spans="1:11" ht="15">
      <c r="A114" s="546" t="s">
        <v>970</v>
      </c>
      <c r="B114" s="546" t="str">
        <f>IFERROR(VLOOKUP(A114,Race_2024!A:C,3,FALSE), VLOOKUP(A114,Race_2024!A:C,3,FALSE))</f>
        <v>PPE disp. ext. gains</v>
      </c>
      <c r="C114" s="555" t="s">
        <v>971</v>
      </c>
      <c r="D114" s="548">
        <f>IFERROR(VLOOKUP($A114,Race_2024!A:L, 7,FALSE),0)</f>
        <v>436.2</v>
      </c>
      <c r="E114" s="548">
        <f>IFERROR(VLOOKUP($A114,Race_2024!A:L, 9,FALSE),0)</f>
        <v>0</v>
      </c>
      <c r="F114" s="548">
        <f>IFERROR(VLOOKUP($A114,Race_2024!A:L, 8,FALSE),0)</f>
        <v>0</v>
      </c>
      <c r="G114" s="548">
        <f>IFERROR(VLOOKUP($A114,Race_2024!A:L, 10,FALSE),0)</f>
        <v>0</v>
      </c>
      <c r="H114" s="548">
        <f>IFERROR(VLOOKUP($A114,Race_2024!A:L, 11,FALSE),0)</f>
        <v>0</v>
      </c>
      <c r="I114" s="547">
        <f>IFERROR(VLOOKUP($A114,Race_2024!A:L, 12,FALSE),0)</f>
        <v>0</v>
      </c>
      <c r="J114" s="545"/>
      <c r="K114" s="544"/>
    </row>
    <row r="115" spans="1:11" ht="15">
      <c r="A115" s="546" t="s">
        <v>972</v>
      </c>
      <c r="B115" s="546" t="str">
        <f>IFERROR(VLOOKUP(A115,Race_2024!A:C,3,FALSE), VLOOKUP(A115,Race_2024!A:C,3,FALSE))</f>
        <v>PPE RoU dis.ext.gain</v>
      </c>
      <c r="C115" s="555" t="s">
        <v>973</v>
      </c>
      <c r="D115" s="548">
        <f>IFERROR(VLOOKUP($A115,Race_2024!A:L, 7,FALSE),0)</f>
        <v>42.37</v>
      </c>
      <c r="E115" s="548">
        <f>IFERROR(VLOOKUP($A115,Race_2024!A:L, 9,FALSE),0)</f>
        <v>0</v>
      </c>
      <c r="F115" s="548">
        <f>IFERROR(VLOOKUP($A115,Race_2024!A:L, 8,FALSE),0)</f>
        <v>0</v>
      </c>
      <c r="G115" s="548">
        <f>IFERROR(VLOOKUP($A115,Race_2024!A:L, 10,FALSE),0)</f>
        <v>0</v>
      </c>
      <c r="H115" s="548">
        <f>IFERROR(VLOOKUP($A115,Race_2024!A:L, 11,FALSE),0)</f>
        <v>0</v>
      </c>
      <c r="I115" s="547">
        <f>IFERROR(VLOOKUP($A115,Race_2024!A:L, 12,FALSE),0)</f>
        <v>0</v>
      </c>
      <c r="J115" s="545"/>
      <c r="K115" s="544"/>
    </row>
    <row r="116" spans="1:11" ht="15">
      <c r="A116" s="546" t="s">
        <v>974</v>
      </c>
      <c r="B116" s="546" t="str">
        <f>IFERROR(VLOOKUP(A116,Race_2024!A:C,3,FALSE), VLOOKUP(A116,Race_2024!A:C,3,FALSE))</f>
        <v>Equal. PY total</v>
      </c>
      <c r="C116" s="556" t="s">
        <v>975</v>
      </c>
      <c r="D116" s="548">
        <f>IFERROR(VLOOKUP($A116,Race_2024!A:L, 7,FALSE),0)</f>
        <v>426123.85399999999</v>
      </c>
      <c r="E116" s="548">
        <f>IFERROR(VLOOKUP($A116,Race_2024!A:L, 9,FALSE),0)</f>
        <v>0</v>
      </c>
      <c r="F116" s="548">
        <f>IFERROR(VLOOKUP($A116,Race_2024!A:L, 8,FALSE),0)</f>
        <v>1327894.9609999999</v>
      </c>
      <c r="G116" s="548">
        <f>IFERROR(VLOOKUP($A116,Race_2024!A:L, 10,FALSE),0)</f>
        <v>1327894.9609999999</v>
      </c>
      <c r="H116" s="548">
        <f>IFERROR(VLOOKUP($A116,Race_2024!A:L, 11,FALSE),0)</f>
        <v>1327894.9609999999</v>
      </c>
      <c r="I116" s="547">
        <f>IFERROR(VLOOKUP($A116,Race_2024!A:L, 12,FALSE),0)</f>
        <v>0</v>
      </c>
      <c r="J116" s="545"/>
      <c r="K116" s="544"/>
    </row>
    <row r="117" spans="1:11" ht="15">
      <c r="A117" s="546" t="s">
        <v>976</v>
      </c>
      <c r="B117" s="546" t="str">
        <f>IFERROR(VLOOKUP(A117,Race_2024!A:C,3,FALSE), VLOOKUP(A117,Race_2024!A:C,3,FALSE))</f>
        <v>Equalization PY ICO</v>
      </c>
      <c r="C117" s="555" t="s">
        <v>977</v>
      </c>
      <c r="D117" s="548">
        <f>IFERROR(VLOOKUP($A117,Race_2024!A:L, 7,FALSE),0)</f>
        <v>426123.85399999999</v>
      </c>
      <c r="E117" s="548">
        <f>IFERROR(VLOOKUP($A117,Race_2024!A:L, 9,FALSE),0)</f>
        <v>0</v>
      </c>
      <c r="F117" s="548">
        <f>IFERROR(VLOOKUP($A117,Race_2024!A:L, 8,FALSE),0)</f>
        <v>1327894.9609999999</v>
      </c>
      <c r="G117" s="548">
        <f>IFERROR(VLOOKUP($A117,Race_2024!A:L, 10,FALSE),0)</f>
        <v>1327894.9609999999</v>
      </c>
      <c r="H117" s="548">
        <f>IFERROR(VLOOKUP($A117,Race_2024!A:L, 11,FALSE),0)</f>
        <v>1327894.9609999999</v>
      </c>
      <c r="I117" s="547">
        <f>IFERROR(VLOOKUP($A117,Race_2024!A:L, 12,FALSE),0)</f>
        <v>0</v>
      </c>
      <c r="J117" s="545"/>
      <c r="K117" s="544"/>
    </row>
    <row r="118" spans="1:11" ht="15">
      <c r="A118" s="546" t="s">
        <v>978</v>
      </c>
      <c r="B118" s="546" t="e">
        <f>IFERROR(VLOOKUP(A118,Race_2024!A:C,3,FALSE), VLOOKUP(A118,Race_2024!A:C,3,FALSE))</f>
        <v>#N/A</v>
      </c>
      <c r="C118" s="555" t="s">
        <v>979</v>
      </c>
      <c r="D118" s="548">
        <f>IFERROR(VLOOKUP($A118,Race_2024!A:L, 7,FALSE),0)</f>
        <v>0</v>
      </c>
      <c r="E118" s="548">
        <f>IFERROR(VLOOKUP($A118,Race_2024!A:L, 9,FALSE),0)</f>
        <v>0</v>
      </c>
      <c r="F118" s="548">
        <f>IFERROR(VLOOKUP($A118,Race_2024!A:L, 8,FALSE),0)</f>
        <v>0</v>
      </c>
      <c r="G118" s="548">
        <f>IFERROR(VLOOKUP($A118,Race_2024!A:L, 10,FALSE),0)</f>
        <v>0</v>
      </c>
      <c r="H118" s="548">
        <f>IFERROR(VLOOKUP($A118,Race_2024!A:L, 11,FALSE),0)</f>
        <v>0</v>
      </c>
      <c r="I118" s="547">
        <f>IFERROR(VLOOKUP($A118,Race_2024!A:L, 12,FALSE),0)</f>
        <v>0</v>
      </c>
      <c r="J118" s="545"/>
      <c r="K118" s="544"/>
    </row>
    <row r="119" spans="1:11" ht="15">
      <c r="A119" s="546" t="s">
        <v>980</v>
      </c>
      <c r="B119" s="546" t="e">
        <f>IFERROR(VLOOKUP(A119,Race_2024!A:C,3,FALSE), VLOOKUP(A119,Race_2024!A:C,3,FALSE))</f>
        <v>#N/A</v>
      </c>
      <c r="C119" s="553" t="s">
        <v>981</v>
      </c>
      <c r="D119" s="548">
        <f>IFERROR(VLOOKUP($A119,Race_2024!A:L, 7,FALSE),0)</f>
        <v>0</v>
      </c>
      <c r="E119" s="548">
        <f>IFERROR(VLOOKUP($A119,Race_2024!A:L, 9,FALSE),0)</f>
        <v>0</v>
      </c>
      <c r="F119" s="548">
        <f>IFERROR(VLOOKUP($A119,Race_2024!A:L, 8,FALSE),0)</f>
        <v>0</v>
      </c>
      <c r="G119" s="548">
        <f>IFERROR(VLOOKUP($A119,Race_2024!A:L, 10,FALSE),0)</f>
        <v>0</v>
      </c>
      <c r="H119" s="548">
        <f>IFERROR(VLOOKUP($A119,Race_2024!A:L, 11,FALSE),0)</f>
        <v>0</v>
      </c>
      <c r="I119" s="547">
        <f>IFERROR(VLOOKUP($A119,Race_2024!A:L, 12,FALSE),0)</f>
        <v>0</v>
      </c>
      <c r="J119" s="545"/>
      <c r="K119" s="544"/>
    </row>
    <row r="120" spans="1:11" ht="15">
      <c r="A120" s="546" t="s">
        <v>982</v>
      </c>
      <c r="B120" s="546" t="e">
        <f>IFERROR(VLOOKUP(A120,Race_2024!A:C,3,FALSE), VLOOKUP(A120,Race_2024!A:C,3,FALSE))</f>
        <v>#N/A</v>
      </c>
      <c r="C120" s="549" t="s">
        <v>983</v>
      </c>
      <c r="D120" s="548">
        <f>IFERROR(VLOOKUP($A120,Race_2024!A:L, 7,FALSE),0)</f>
        <v>0</v>
      </c>
      <c r="E120" s="548">
        <f>IFERROR(VLOOKUP($A120,Race_2024!A:L, 9,FALSE),0)</f>
        <v>0</v>
      </c>
      <c r="F120" s="548">
        <f>IFERROR(VLOOKUP($A120,Race_2024!A:L, 8,FALSE),0)</f>
        <v>0</v>
      </c>
      <c r="G120" s="548">
        <f>IFERROR(VLOOKUP($A120,Race_2024!A:L, 10,FALSE),0)</f>
        <v>0</v>
      </c>
      <c r="H120" s="548">
        <f>IFERROR(VLOOKUP($A120,Race_2024!A:L, 11,FALSE),0)</f>
        <v>0</v>
      </c>
      <c r="I120" s="547">
        <f>IFERROR(VLOOKUP($A120,Race_2024!A:L, 12,FALSE),0)</f>
        <v>0</v>
      </c>
      <c r="J120" s="545"/>
      <c r="K120" s="544"/>
    </row>
    <row r="121" spans="1:11" ht="15">
      <c r="A121" s="546" t="s">
        <v>984</v>
      </c>
      <c r="B121" s="546" t="e">
        <f>IFERROR(VLOOKUP(A121,Race_2024!A:C,3,FALSE), VLOOKUP(A121,Race_2024!A:C,3,FALSE))</f>
        <v>#N/A</v>
      </c>
      <c r="C121" s="549" t="s">
        <v>985</v>
      </c>
      <c r="D121" s="548">
        <f>IFERROR(VLOOKUP($A121,Race_2024!A:L, 7,FALSE),0)</f>
        <v>0</v>
      </c>
      <c r="E121" s="548">
        <f>IFERROR(VLOOKUP($A121,Race_2024!A:L, 9,FALSE),0)</f>
        <v>0</v>
      </c>
      <c r="F121" s="548">
        <f>IFERROR(VLOOKUP($A121,Race_2024!A:L, 8,FALSE),0)</f>
        <v>0</v>
      </c>
      <c r="G121" s="548">
        <f>IFERROR(VLOOKUP($A121,Race_2024!A:L, 10,FALSE),0)</f>
        <v>0</v>
      </c>
      <c r="H121" s="548">
        <f>IFERROR(VLOOKUP($A121,Race_2024!A:L, 11,FALSE),0)</f>
        <v>0</v>
      </c>
      <c r="I121" s="547">
        <f>IFERROR(VLOOKUP($A121,Race_2024!A:L, 12,FALSE),0)</f>
        <v>0</v>
      </c>
      <c r="J121" s="545"/>
      <c r="K121" s="544"/>
    </row>
    <row r="122" spans="1:11" ht="15">
      <c r="A122" s="546" t="s">
        <v>986</v>
      </c>
      <c r="B122" s="546" t="e">
        <f>IFERROR(VLOOKUP(A122,Race_2024!A:C,3,FALSE), VLOOKUP(A122,Race_2024!A:C,3,FALSE))</f>
        <v>#N/A</v>
      </c>
      <c r="C122" s="549" t="s">
        <v>987</v>
      </c>
      <c r="D122" s="548">
        <f>IFERROR(VLOOKUP($A122,Race_2024!A:L, 7,FALSE),0)</f>
        <v>0</v>
      </c>
      <c r="E122" s="548">
        <f>IFERROR(VLOOKUP($A122,Race_2024!A:L, 9,FALSE),0)</f>
        <v>0</v>
      </c>
      <c r="F122" s="548">
        <f>IFERROR(VLOOKUP($A122,Race_2024!A:L, 8,FALSE),0)</f>
        <v>0</v>
      </c>
      <c r="G122" s="548">
        <f>IFERROR(VLOOKUP($A122,Race_2024!A:L, 10,FALSE),0)</f>
        <v>0</v>
      </c>
      <c r="H122" s="548">
        <f>IFERROR(VLOOKUP($A122,Race_2024!A:L, 11,FALSE),0)</f>
        <v>0</v>
      </c>
      <c r="I122" s="547">
        <f>IFERROR(VLOOKUP($A122,Race_2024!A:L, 12,FALSE),0)</f>
        <v>0</v>
      </c>
      <c r="J122" s="545"/>
      <c r="K122" s="544"/>
    </row>
    <row r="123" spans="1:11" ht="15">
      <c r="A123" s="546" t="s">
        <v>988</v>
      </c>
      <c r="B123" s="546" t="e">
        <f>IFERROR(VLOOKUP(A123,Race_2024!A:C,3,FALSE), VLOOKUP(A123,Race_2024!A:C,3,FALSE))</f>
        <v>#N/A</v>
      </c>
      <c r="C123" s="549" t="s">
        <v>989</v>
      </c>
      <c r="D123" s="548">
        <f>IFERROR(VLOOKUP($A123,Race_2024!A:L, 7,FALSE),0)</f>
        <v>0</v>
      </c>
      <c r="E123" s="548">
        <f>IFERROR(VLOOKUP($A123,Race_2024!A:L, 9,FALSE),0)</f>
        <v>0</v>
      </c>
      <c r="F123" s="548">
        <f>IFERROR(VLOOKUP($A123,Race_2024!A:L, 8,FALSE),0)</f>
        <v>0</v>
      </c>
      <c r="G123" s="548">
        <f>IFERROR(VLOOKUP($A123,Race_2024!A:L, 10,FALSE),0)</f>
        <v>0</v>
      </c>
      <c r="H123" s="548">
        <f>IFERROR(VLOOKUP($A123,Race_2024!A:L, 11,FALSE),0)</f>
        <v>0</v>
      </c>
      <c r="I123" s="547">
        <f>IFERROR(VLOOKUP($A123,Race_2024!A:L, 12,FALSE),0)</f>
        <v>0</v>
      </c>
      <c r="J123" s="545"/>
      <c r="K123" s="544"/>
    </row>
    <row r="124" spans="1:11" ht="15">
      <c r="A124" s="546" t="s">
        <v>990</v>
      </c>
      <c r="B124" s="546" t="e">
        <f>IFERROR(VLOOKUP(A124,Race_2024!A:C,3,FALSE), VLOOKUP(A124,Race_2024!A:C,3,FALSE))</f>
        <v>#N/A</v>
      </c>
      <c r="C124" s="549" t="s">
        <v>991</v>
      </c>
      <c r="D124" s="548">
        <f>IFERROR(VLOOKUP($A124,Race_2024!A:L, 7,FALSE),0)</f>
        <v>0</v>
      </c>
      <c r="E124" s="548">
        <f>IFERROR(VLOOKUP($A124,Race_2024!A:L, 9,FALSE),0)</f>
        <v>0</v>
      </c>
      <c r="F124" s="548">
        <f>IFERROR(VLOOKUP($A124,Race_2024!A:L, 8,FALSE),0)</f>
        <v>0</v>
      </c>
      <c r="G124" s="548">
        <f>IFERROR(VLOOKUP($A124,Race_2024!A:L, 10,FALSE),0)</f>
        <v>0</v>
      </c>
      <c r="H124" s="548">
        <f>IFERROR(VLOOKUP($A124,Race_2024!A:L, 11,FALSE),0)</f>
        <v>0</v>
      </c>
      <c r="I124" s="547">
        <f>IFERROR(VLOOKUP($A124,Race_2024!A:L, 12,FALSE),0)</f>
        <v>0</v>
      </c>
      <c r="J124" s="545"/>
      <c r="K124" s="544"/>
    </row>
    <row r="125" spans="1:11" ht="15">
      <c r="A125" s="546" t="s">
        <v>992</v>
      </c>
      <c r="B125" s="546" t="str">
        <f>IFERROR(VLOOKUP(A125,Race_2024!A:C,3,FALSE), VLOOKUP(A125,Race_2024!A:C,3,FALSE))</f>
        <v>Other op. inc./ exp.</v>
      </c>
      <c r="C125" s="549" t="s">
        <v>993</v>
      </c>
      <c r="D125" s="548">
        <f>IFERROR(VLOOKUP($A125,Race_2024!A:L, 7,FALSE),0)</f>
        <v>4051329.7859999998</v>
      </c>
      <c r="E125" s="548">
        <f>IFERROR(VLOOKUP($A125,Race_2024!A:L, 9,FALSE),0)</f>
        <v>0</v>
      </c>
      <c r="F125" s="548">
        <f>IFERROR(VLOOKUP($A125,Race_2024!A:L, 8,FALSE),0)</f>
        <v>3976.7350000000001</v>
      </c>
      <c r="G125" s="548">
        <f>IFERROR(VLOOKUP($A125,Race_2024!A:L, 10,FALSE),0)</f>
        <v>875.63099999999997</v>
      </c>
      <c r="H125" s="548">
        <f>IFERROR(VLOOKUP($A125,Race_2024!A:L, 11,FALSE),0)</f>
        <v>3976.7350000000001</v>
      </c>
      <c r="I125" s="547">
        <f>IFERROR(VLOOKUP($A125,Race_2024!A:L, 12,FALSE),0)</f>
        <v>0</v>
      </c>
      <c r="J125" s="554"/>
      <c r="K125" s="544"/>
    </row>
    <row r="126" spans="1:11" ht="15">
      <c r="A126" s="546" t="s">
        <v>994</v>
      </c>
      <c r="B126" s="546" t="str">
        <f>IFERROR(VLOOKUP(A126,Race_2024!A:C,3,FALSE), VLOOKUP(A126,Race_2024!A:C,3,FALSE))</f>
        <v>Other op. exp. ext.</v>
      </c>
      <c r="C126" s="553" t="s">
        <v>995</v>
      </c>
      <c r="D126" s="548">
        <f>IFERROR(VLOOKUP($A126,Race_2024!A:L, 7,FALSE),0)</f>
        <v>-63927.105000000003</v>
      </c>
      <c r="E126" s="548">
        <f>IFERROR(VLOOKUP($A126,Race_2024!A:L, 9,FALSE),0)</f>
        <v>0</v>
      </c>
      <c r="F126" s="548">
        <f>IFERROR(VLOOKUP($A126,Race_2024!A:L, 8,FALSE),0)</f>
        <v>-353.654</v>
      </c>
      <c r="G126" s="548">
        <f>IFERROR(VLOOKUP($A126,Race_2024!A:L, 10,FALSE),0)</f>
        <v>-325.62299999999999</v>
      </c>
      <c r="H126" s="548">
        <f>IFERROR(VLOOKUP($A126,Race_2024!A:L, 11,FALSE),0)</f>
        <v>-353.654</v>
      </c>
      <c r="I126" s="547">
        <f>IFERROR(VLOOKUP($A126,Race_2024!A:L, 12,FALSE),0)</f>
        <v>0</v>
      </c>
      <c r="J126" s="554"/>
      <c r="K126" s="544"/>
    </row>
    <row r="127" spans="1:11" ht="15">
      <c r="A127" s="546" t="s">
        <v>996</v>
      </c>
      <c r="B127" s="546" t="e">
        <f>IFERROR(VLOOKUP(A127,Race_2024!A:C,3,FALSE), VLOOKUP(A127,Race_2024!A:C,3,FALSE))</f>
        <v>#N/A</v>
      </c>
      <c r="C127" s="553" t="s">
        <v>997</v>
      </c>
      <c r="D127" s="548">
        <f>IFERROR(VLOOKUP($A127,Race_2024!A:L, 7,FALSE),0)</f>
        <v>0</v>
      </c>
      <c r="E127" s="548">
        <f>IFERROR(VLOOKUP($A127,Race_2024!A:L, 9,FALSE),0)</f>
        <v>0</v>
      </c>
      <c r="F127" s="548">
        <f>IFERROR(VLOOKUP($A127,Race_2024!A:L, 8,FALSE),0)</f>
        <v>0</v>
      </c>
      <c r="G127" s="548">
        <f>IFERROR(VLOOKUP($A127,Race_2024!A:L, 10,FALSE),0)</f>
        <v>0</v>
      </c>
      <c r="H127" s="548">
        <f>IFERROR(VLOOKUP($A127,Race_2024!A:L, 11,FALSE),0)</f>
        <v>0</v>
      </c>
      <c r="I127" s="547">
        <f>IFERROR(VLOOKUP($A127,Race_2024!A:L, 12,FALSE),0)</f>
        <v>0</v>
      </c>
      <c r="J127" s="554"/>
      <c r="K127" s="544"/>
    </row>
    <row r="128" spans="1:11" ht="15">
      <c r="A128" s="546" t="s">
        <v>998</v>
      </c>
      <c r="B128" s="546" t="e">
        <f>IFERROR(VLOOKUP(A128,Race_2024!A:C,3,FALSE), VLOOKUP(A128,Race_2024!A:C,3,FALSE))</f>
        <v>#N/A</v>
      </c>
      <c r="C128" s="553" t="s">
        <v>999</v>
      </c>
      <c r="D128" s="548">
        <f>IFERROR(VLOOKUP($A128,Race_2024!A:L, 7,FALSE),0)</f>
        <v>0</v>
      </c>
      <c r="E128" s="548">
        <f>IFERROR(VLOOKUP($A128,Race_2024!A:L, 9,FALSE),0)</f>
        <v>0</v>
      </c>
      <c r="F128" s="548">
        <f>IFERROR(VLOOKUP($A128,Race_2024!A:L, 8,FALSE),0)</f>
        <v>0</v>
      </c>
      <c r="G128" s="548">
        <f>IFERROR(VLOOKUP($A128,Race_2024!A:L, 10,FALSE),0)</f>
        <v>0</v>
      </c>
      <c r="H128" s="548">
        <f>IFERROR(VLOOKUP($A128,Race_2024!A:L, 11,FALSE),0)</f>
        <v>0</v>
      </c>
      <c r="I128" s="547">
        <f>IFERROR(VLOOKUP($A128,Race_2024!A:L, 12,FALSE),0)</f>
        <v>0</v>
      </c>
      <c r="J128" s="545"/>
      <c r="K128" s="544"/>
    </row>
    <row r="129" spans="1:11" ht="15">
      <c r="A129" s="546" t="s">
        <v>1000</v>
      </c>
      <c r="B129" s="546" t="str">
        <f>IFERROR(VLOOKUP(A129,Race_2024!A:C,3,FALSE), VLOOKUP(A129,Race_2024!A:C,3,FALSE))</f>
        <v>Other op. inc. ext.</v>
      </c>
      <c r="C129" s="553" t="s">
        <v>1001</v>
      </c>
      <c r="D129" s="548">
        <f>IFERROR(VLOOKUP($A129,Race_2024!A:L, 7,FALSE),0)</f>
        <v>4004757.3530000001</v>
      </c>
      <c r="E129" s="548">
        <f>IFERROR(VLOOKUP($A129,Race_2024!A:L, 9,FALSE),0)</f>
        <v>0</v>
      </c>
      <c r="F129" s="548">
        <f>IFERROR(VLOOKUP($A129,Race_2024!A:L, 8,FALSE),0)</f>
        <v>2899.0010000000002</v>
      </c>
      <c r="G129" s="548">
        <f>IFERROR(VLOOKUP($A129,Race_2024!A:L, 10,FALSE),0)</f>
        <v>246.99600000000001</v>
      </c>
      <c r="H129" s="548">
        <f>IFERROR(VLOOKUP($A129,Race_2024!A:L, 11,FALSE),0)</f>
        <v>2899.0010000000002</v>
      </c>
      <c r="I129" s="547">
        <f>IFERROR(VLOOKUP($A129,Race_2024!A:L, 12,FALSE),0)</f>
        <v>0</v>
      </c>
      <c r="J129" s="545"/>
      <c r="K129" s="544"/>
    </row>
    <row r="130" spans="1:11" ht="15">
      <c r="A130" s="546" t="s">
        <v>1002</v>
      </c>
      <c r="B130" s="546" t="e">
        <f>IFERROR(VLOOKUP(A130,Race_2024!A:C,3,FALSE), VLOOKUP(A130,Race_2024!A:C,3,FALSE))</f>
        <v>#N/A</v>
      </c>
      <c r="C130" s="553" t="s">
        <v>1003</v>
      </c>
      <c r="D130" s="548">
        <f>IFERROR(VLOOKUP($A130,Race_2024!A:L, 7,FALSE),0)</f>
        <v>0</v>
      </c>
      <c r="E130" s="548">
        <f>IFERROR(VLOOKUP($A130,Race_2024!A:L, 9,FALSE),0)</f>
        <v>0</v>
      </c>
      <c r="F130" s="548">
        <f>IFERROR(VLOOKUP($A130,Race_2024!A:L, 8,FALSE),0)</f>
        <v>0</v>
      </c>
      <c r="G130" s="548">
        <f>IFERROR(VLOOKUP($A130,Race_2024!A:L, 10,FALSE),0)</f>
        <v>0</v>
      </c>
      <c r="H130" s="548">
        <f>IFERROR(VLOOKUP($A130,Race_2024!A:L, 11,FALSE),0)</f>
        <v>0</v>
      </c>
      <c r="I130" s="547">
        <f>IFERROR(VLOOKUP($A130,Race_2024!A:L, 12,FALSE),0)</f>
        <v>0</v>
      </c>
      <c r="J130" s="545"/>
      <c r="K130" s="544"/>
    </row>
    <row r="131" spans="1:11" ht="15">
      <c r="A131" s="546" t="s">
        <v>1004</v>
      </c>
      <c r="B131" s="546" t="str">
        <f>IFERROR(VLOOKUP(A131,Race_2024!A:C,3,FALSE), VLOOKUP(A131,Race_2024!A:C,3,FALSE))</f>
        <v>Oth. op. inc. re.pa.</v>
      </c>
      <c r="C131" s="553" t="s">
        <v>1005</v>
      </c>
      <c r="D131" s="548">
        <f>IFERROR(VLOOKUP($A131,Race_2024!A:L, 7,FALSE),0)</f>
        <v>110499.538</v>
      </c>
      <c r="E131" s="548">
        <f>IFERROR(VLOOKUP($A131,Race_2024!A:L, 9,FALSE),0)</f>
        <v>0</v>
      </c>
      <c r="F131" s="548">
        <f>IFERROR(VLOOKUP($A131,Race_2024!A:L, 8,FALSE),0)</f>
        <v>1431.3879999999999</v>
      </c>
      <c r="G131" s="548">
        <f>IFERROR(VLOOKUP($A131,Race_2024!A:L, 10,FALSE),0)</f>
        <v>954.25800000000004</v>
      </c>
      <c r="H131" s="548">
        <f>IFERROR(VLOOKUP($A131,Race_2024!A:L, 11,FALSE),0)</f>
        <v>1431.3879999999999</v>
      </c>
      <c r="I131" s="547">
        <f>IFERROR(VLOOKUP($A131,Race_2024!A:L, 12,FALSE),0)</f>
        <v>0</v>
      </c>
      <c r="J131" s="545"/>
      <c r="K131" s="544"/>
    </row>
    <row r="132" spans="1:11" ht="15">
      <c r="A132" s="546" t="s">
        <v>1006</v>
      </c>
      <c r="B132" s="546" t="e">
        <f>IFERROR(VLOOKUP(A132,Race_2024!A:C,3,FALSE), VLOOKUP(A132,Race_2024!A:C,3,FALSE))</f>
        <v>#N/A</v>
      </c>
      <c r="C132" s="552" t="s">
        <v>1007</v>
      </c>
      <c r="D132" s="551">
        <f>IFERROR(VLOOKUP($A132,Race_2024!A:L, 7,FALSE),0)</f>
        <v>0</v>
      </c>
      <c r="E132" s="551">
        <f>IFERROR(VLOOKUP($A132,Race_2024!A:L, 9,FALSE),0)</f>
        <v>0</v>
      </c>
      <c r="F132" s="551">
        <f>IFERROR(VLOOKUP($A132,Race_2024!A:L, 8,FALSE),0)</f>
        <v>0</v>
      </c>
      <c r="G132" s="551">
        <f>IFERROR(VLOOKUP($A132,Race_2024!A:L, 10,FALSE),0)</f>
        <v>0</v>
      </c>
      <c r="H132" s="551">
        <f>IFERROR(VLOOKUP($A132,Race_2024!A:L, 11,FALSE),0)</f>
        <v>0</v>
      </c>
      <c r="I132" s="550">
        <f>IFERROR(VLOOKUP($A132,Race_2024!A:L, 12,FALSE),0)</f>
        <v>0</v>
      </c>
      <c r="J132" s="545"/>
      <c r="K132" s="544"/>
    </row>
    <row r="133" spans="1:11" ht="15">
      <c r="A133" s="546" t="s">
        <v>1008</v>
      </c>
      <c r="B133" s="546" t="e">
        <f>IFERROR(VLOOKUP(A133,Race_2024!A:C,3,FALSE), VLOOKUP(A133,Race_2024!A:C,3,FALSE))</f>
        <v>#N/A</v>
      </c>
      <c r="C133" s="549" t="s">
        <v>1009</v>
      </c>
      <c r="D133" s="548">
        <f>IFERROR(VLOOKUP($A133,Race_2024!A:L, 7,FALSE),0)</f>
        <v>0</v>
      </c>
      <c r="E133" s="548">
        <f>IFERROR(VLOOKUP($A133,Race_2024!A:L, 9,FALSE),0)</f>
        <v>0</v>
      </c>
      <c r="F133" s="548">
        <f>IFERROR(VLOOKUP($A133,Race_2024!A:L, 8,FALSE),0)</f>
        <v>0</v>
      </c>
      <c r="G133" s="548">
        <f>IFERROR(VLOOKUP($A133,Race_2024!A:L, 10,FALSE),0)</f>
        <v>0</v>
      </c>
      <c r="H133" s="548">
        <f>IFERROR(VLOOKUP($A133,Race_2024!A:L, 11,FALSE),0)</f>
        <v>0</v>
      </c>
      <c r="I133" s="547">
        <f>IFERROR(VLOOKUP($A133,Race_2024!A:L, 12,FALSE),0)</f>
        <v>0</v>
      </c>
      <c r="J133" s="545"/>
      <c r="K133" s="544"/>
    </row>
    <row r="134" spans="1:11" ht="15">
      <c r="A134" s="617" t="s">
        <v>1010</v>
      </c>
      <c r="B134" s="546" t="str">
        <f>IFERROR(VLOOKUP(A134,Race_2024!A:C,3,FALSE), VLOOKUP(A134,Race_2024!A:C,3,FALSE))</f>
        <v>NOP</v>
      </c>
      <c r="C134" s="618" t="s">
        <v>1011</v>
      </c>
      <c r="D134" s="568">
        <f>IFERROR(VLOOKUP($A134,Race_2024!A:L, 7,FALSE),0)</f>
        <v>14646558.763</v>
      </c>
      <c r="E134" s="568">
        <f>IFERROR(VLOOKUP($A134,Race_2024!A:L, 9,FALSE),0)</f>
        <v>-663453.43200000003</v>
      </c>
      <c r="F134" s="568">
        <f>IFERROR(VLOOKUP($A134,Race_2024!A:L, 8,FALSE),0)</f>
        <v>8243048.3760000002</v>
      </c>
      <c r="G134" s="568">
        <f>IFERROR(VLOOKUP($A134,Race_2024!A:L, 10,FALSE),0)</f>
        <v>11744872.282</v>
      </c>
      <c r="H134" s="568">
        <f>IFERROR(VLOOKUP($A134,Race_2024!A:L, 11,FALSE),0)</f>
        <v>13628625.573999999</v>
      </c>
      <c r="I134" s="567">
        <f>IFERROR(VLOOKUP($A134,Race_2024!A:L, 12,FALSE),0)</f>
        <v>5938360.6279999996</v>
      </c>
      <c r="J134" s="545"/>
      <c r="K134" s="544"/>
    </row>
    <row r="135" spans="1:11" ht="14.45" customHeight="1">
      <c r="A135" s="546" t="s">
        <v>1012</v>
      </c>
      <c r="B135" s="546" t="e">
        <f>IFERROR(VLOOKUP(A135,Race_2024!A:C,3,FALSE), VLOOKUP(A135,Race_2024!A:C,3,FALSE))</f>
        <v>#N/A</v>
      </c>
      <c r="C135" s="552" t="s">
        <v>1013</v>
      </c>
      <c r="D135" s="551">
        <f>IFERROR(VLOOKUP($A135,Race_2024!A:L, 7,FALSE),0)</f>
        <v>0</v>
      </c>
      <c r="E135" s="551">
        <f>IFERROR(VLOOKUP($A135,Race_2024!A:L, 9,FALSE),0)</f>
        <v>0</v>
      </c>
      <c r="F135" s="551">
        <f>IFERROR(VLOOKUP($A135,Race_2024!A:L, 8,FALSE),0)</f>
        <v>0</v>
      </c>
      <c r="G135" s="551">
        <f>IFERROR(VLOOKUP($A135,Race_2024!A:L, 10,FALSE),0)</f>
        <v>0</v>
      </c>
      <c r="H135" s="551">
        <f>IFERROR(VLOOKUP($A135,Race_2024!A:L, 11,FALSE),0)</f>
        <v>0</v>
      </c>
      <c r="I135" s="550">
        <f>IFERROR(VLOOKUP($A135,Race_2024!A:L, 12,FALSE),0)</f>
        <v>0</v>
      </c>
      <c r="J135" s="545"/>
      <c r="K135" s="544"/>
    </row>
    <row r="136" spans="1:11" ht="14.45" customHeight="1">
      <c r="A136" s="546" t="s">
        <v>1014</v>
      </c>
      <c r="B136" s="546" t="e">
        <f>IFERROR(VLOOKUP(A136,Race_2024!A:C,3,FALSE), VLOOKUP(A136,Race_2024!A:C,3,FALSE))</f>
        <v>#N/A</v>
      </c>
      <c r="C136" s="549" t="s">
        <v>1015</v>
      </c>
      <c r="D136" s="548">
        <f>IFERROR(VLOOKUP($A136,Race_2024!A:L, 7,FALSE),0)</f>
        <v>0</v>
      </c>
      <c r="E136" s="548">
        <f>IFERROR(VLOOKUP($A136,Race_2024!A:L, 9,FALSE),0)</f>
        <v>0</v>
      </c>
      <c r="F136" s="548">
        <f>IFERROR(VLOOKUP($A136,Race_2024!A:L, 8,FALSE),0)</f>
        <v>0</v>
      </c>
      <c r="G136" s="548">
        <f>IFERROR(VLOOKUP($A136,Race_2024!A:L, 10,FALSE),0)</f>
        <v>0</v>
      </c>
      <c r="H136" s="548">
        <f>IFERROR(VLOOKUP($A136,Race_2024!A:L, 11,FALSE),0)</f>
        <v>0</v>
      </c>
      <c r="I136" s="547">
        <f>IFERROR(VLOOKUP($A136,Race_2024!A:L, 12,FALSE),0)</f>
        <v>0</v>
      </c>
      <c r="J136" s="545"/>
      <c r="K136" s="544"/>
    </row>
    <row r="137" spans="1:11" ht="15">
      <c r="A137" s="546" t="s">
        <v>1016</v>
      </c>
      <c r="B137" s="546" t="e">
        <f>IFERROR(VLOOKUP(A137,Race_2024!A:C,3,FALSE), VLOOKUP(A137,Race_2024!A:C,3,FALSE))</f>
        <v>#N/A</v>
      </c>
      <c r="C137" s="549" t="s">
        <v>205</v>
      </c>
      <c r="D137" s="548">
        <f>IFERROR(VLOOKUP($A137,Race_2024!A:L, 7,FALSE),0)</f>
        <v>0</v>
      </c>
      <c r="E137" s="548">
        <f>IFERROR(VLOOKUP($A137,Race_2024!A:L, 9,FALSE),0)</f>
        <v>0</v>
      </c>
      <c r="F137" s="548">
        <f>IFERROR(VLOOKUP($A137,Race_2024!A:L, 8,FALSE),0)</f>
        <v>0</v>
      </c>
      <c r="G137" s="548">
        <f>IFERROR(VLOOKUP($A137,Race_2024!A:L, 10,FALSE),0)</f>
        <v>0</v>
      </c>
      <c r="H137" s="548">
        <f>IFERROR(VLOOKUP($A137,Race_2024!A:L, 11,FALSE),0)</f>
        <v>0</v>
      </c>
      <c r="I137" s="547">
        <f>IFERROR(VLOOKUP($A137,Race_2024!A:L, 12,FALSE),0)</f>
        <v>0</v>
      </c>
      <c r="J137" s="544"/>
      <c r="K137" s="544"/>
    </row>
    <row r="138" spans="1:11" ht="15">
      <c r="A138" s="546" t="s">
        <v>1017</v>
      </c>
      <c r="B138" s="546" t="e">
        <f>IFERROR(VLOOKUP(A138,Race_2024!A:C,3,FALSE), VLOOKUP(A138,Race_2024!A:C,3,FALSE))</f>
        <v>#N/A</v>
      </c>
      <c r="C138" s="549" t="s">
        <v>1018</v>
      </c>
      <c r="D138" s="548">
        <f>IFERROR(VLOOKUP($A138,Race_2024!A:L, 7,FALSE),0)</f>
        <v>0</v>
      </c>
      <c r="E138" s="548">
        <f>IFERROR(VLOOKUP($A138,Race_2024!A:L, 9,FALSE),0)</f>
        <v>0</v>
      </c>
      <c r="F138" s="548">
        <f>IFERROR(VLOOKUP($A138,Race_2024!A:L, 8,FALSE),0)</f>
        <v>0</v>
      </c>
      <c r="G138" s="548">
        <f>IFERROR(VLOOKUP($A138,Race_2024!A:L, 10,FALSE),0)</f>
        <v>0</v>
      </c>
      <c r="H138" s="548">
        <f>IFERROR(VLOOKUP($A138,Race_2024!A:L, 11,FALSE),0)</f>
        <v>0</v>
      </c>
      <c r="I138" s="547">
        <f>IFERROR(VLOOKUP($A138,Race_2024!A:L, 12,FALSE),0)</f>
        <v>0</v>
      </c>
      <c r="J138" s="544"/>
      <c r="K138" s="544"/>
    </row>
    <row r="139" spans="1:11" ht="15">
      <c r="A139" s="546" t="s">
        <v>1019</v>
      </c>
      <c r="B139" s="546" t="e">
        <f>IFERROR(VLOOKUP(A139,Race_2024!A:C,3,FALSE), VLOOKUP(A139,Race_2024!A:C,3,FALSE))</f>
        <v>#N/A</v>
      </c>
      <c r="C139" s="549" t="s">
        <v>1020</v>
      </c>
      <c r="D139" s="548">
        <f>IFERROR(VLOOKUP($A139,Race_2024!A:L, 7,FALSE),0)</f>
        <v>0</v>
      </c>
      <c r="E139" s="548">
        <f>IFERROR(VLOOKUP($A139,Race_2024!A:L, 9,FALSE),0)</f>
        <v>0</v>
      </c>
      <c r="F139" s="548">
        <f>IFERROR(VLOOKUP($A139,Race_2024!A:L, 8,FALSE),0)</f>
        <v>0</v>
      </c>
      <c r="G139" s="548">
        <f>IFERROR(VLOOKUP($A139,Race_2024!A:L, 10,FALSE),0)</f>
        <v>0</v>
      </c>
      <c r="H139" s="548">
        <f>IFERROR(VLOOKUP($A139,Race_2024!A:L, 11,FALSE),0)</f>
        <v>0</v>
      </c>
      <c r="I139" s="547">
        <f>IFERROR(VLOOKUP($A139,Race_2024!A:L, 12,FALSE),0)</f>
        <v>0</v>
      </c>
      <c r="J139" s="544"/>
      <c r="K139" s="544"/>
    </row>
    <row r="140" spans="1:11" ht="15">
      <c r="A140" s="546" t="s">
        <v>1021</v>
      </c>
      <c r="B140" s="546" t="e">
        <f>IFERROR(VLOOKUP(A140,Race_2024!A:C,3,FALSE), VLOOKUP(A140,Race_2024!A:C,3,FALSE))</f>
        <v>#N/A</v>
      </c>
      <c r="C140" s="549" t="s">
        <v>1022</v>
      </c>
      <c r="D140" s="548">
        <f>IFERROR(VLOOKUP($A140,Race_2024!A:L, 7,FALSE),0)</f>
        <v>0</v>
      </c>
      <c r="E140" s="548">
        <f>IFERROR(VLOOKUP($A140,Race_2024!A:L, 9,FALSE),0)</f>
        <v>0</v>
      </c>
      <c r="F140" s="548">
        <f>IFERROR(VLOOKUP($A140,Race_2024!A:L, 8,FALSE),0)</f>
        <v>0</v>
      </c>
      <c r="G140" s="548">
        <f>IFERROR(VLOOKUP($A140,Race_2024!A:L, 10,FALSE),0)</f>
        <v>0</v>
      </c>
      <c r="H140" s="548">
        <f>IFERROR(VLOOKUP($A140,Race_2024!A:L, 11,FALSE),0)</f>
        <v>0</v>
      </c>
      <c r="I140" s="547">
        <f>IFERROR(VLOOKUP($A140,Race_2024!A:L, 12,FALSE),0)</f>
        <v>0</v>
      </c>
      <c r="J140" s="544"/>
      <c r="K140" s="544"/>
    </row>
    <row r="141" spans="1:11" ht="15">
      <c r="A141" s="546" t="s">
        <v>1023</v>
      </c>
      <c r="B141" s="546" t="e">
        <f>IFERROR(VLOOKUP(A141,Race_2024!A:C,3,FALSE), VLOOKUP(A141,Race_2024!A:C,3,FALSE))</f>
        <v>#N/A</v>
      </c>
      <c r="C141" s="549" t="s">
        <v>1024</v>
      </c>
      <c r="D141" s="548">
        <f>IFERROR(VLOOKUP($A141,Race_2024!A:L, 7,FALSE),0)</f>
        <v>0</v>
      </c>
      <c r="E141" s="548">
        <f>IFERROR(VLOOKUP($A141,Race_2024!A:L, 9,FALSE),0)</f>
        <v>0</v>
      </c>
      <c r="F141" s="548">
        <f>IFERROR(VLOOKUP($A141,Race_2024!A:L, 8,FALSE),0)</f>
        <v>0</v>
      </c>
      <c r="G141" s="548">
        <f>IFERROR(VLOOKUP($A141,Race_2024!A:L, 10,FALSE),0)</f>
        <v>0</v>
      </c>
      <c r="H141" s="548">
        <f>IFERROR(VLOOKUP($A141,Race_2024!A:L, 11,FALSE),0)</f>
        <v>0</v>
      </c>
      <c r="I141" s="547">
        <f>IFERROR(VLOOKUP($A141,Race_2024!A:L, 12,FALSE),0)</f>
        <v>0</v>
      </c>
      <c r="J141" s="544"/>
      <c r="K141" s="544"/>
    </row>
    <row r="142" spans="1:11" ht="15">
      <c r="A142" s="546" t="s">
        <v>1025</v>
      </c>
      <c r="B142" s="546" t="e">
        <f>IFERROR(VLOOKUP(A142,Race_2024!A:C,3,FALSE), VLOOKUP(A142,Race_2024!A:C,3,FALSE))</f>
        <v>#N/A</v>
      </c>
      <c r="C142" s="549" t="s">
        <v>1026</v>
      </c>
      <c r="D142" s="548">
        <f>IFERROR(VLOOKUP($A142,Race_2024!A:L, 7,FALSE),0)</f>
        <v>0</v>
      </c>
      <c r="E142" s="548">
        <f>IFERROR(VLOOKUP($A142,Race_2024!A:L, 9,FALSE),0)</f>
        <v>0</v>
      </c>
      <c r="F142" s="548">
        <f>IFERROR(VLOOKUP($A142,Race_2024!A:L, 8,FALSE),0)</f>
        <v>0</v>
      </c>
      <c r="G142" s="548">
        <f>IFERROR(VLOOKUP($A142,Race_2024!A:L, 10,FALSE),0)</f>
        <v>0</v>
      </c>
      <c r="H142" s="548">
        <f>IFERROR(VLOOKUP($A142,Race_2024!A:L, 11,FALSE),0)</f>
        <v>0</v>
      </c>
      <c r="I142" s="547">
        <f>IFERROR(VLOOKUP($A142,Race_2024!A:L, 12,FALSE),0)</f>
        <v>0</v>
      </c>
      <c r="J142" s="544"/>
      <c r="K142" s="544"/>
    </row>
    <row r="143" spans="1:11" ht="15">
      <c r="A143" s="546" t="s">
        <v>1027</v>
      </c>
      <c r="B143" s="546" t="e">
        <f>IFERROR(VLOOKUP(A143,Race_2024!A:C,3,FALSE), VLOOKUP(A143,Race_2024!A:C,3,FALSE))</f>
        <v>#N/A</v>
      </c>
      <c r="C143" s="549" t="s">
        <v>1028</v>
      </c>
      <c r="D143" s="548">
        <f>IFERROR(VLOOKUP($A143,Race_2024!A:L, 7,FALSE),0)</f>
        <v>0</v>
      </c>
      <c r="E143" s="548">
        <f>IFERROR(VLOOKUP($A143,Race_2024!A:L, 9,FALSE),0)</f>
        <v>0</v>
      </c>
      <c r="F143" s="548">
        <f>IFERROR(VLOOKUP($A143,Race_2024!A:L, 8,FALSE),0)</f>
        <v>0</v>
      </c>
      <c r="G143" s="548">
        <f>IFERROR(VLOOKUP($A143,Race_2024!A:L, 10,FALSE),0)</f>
        <v>0</v>
      </c>
      <c r="H143" s="548">
        <f>IFERROR(VLOOKUP($A143,Race_2024!A:L, 11,FALSE),0)</f>
        <v>0</v>
      </c>
      <c r="I143" s="547">
        <f>IFERROR(VLOOKUP($A143,Race_2024!A:L, 12,FALSE),0)</f>
        <v>0</v>
      </c>
      <c r="J143" s="544"/>
      <c r="K143" s="544"/>
    </row>
    <row r="144" spans="1:11" ht="15">
      <c r="A144" s="546" t="s">
        <v>1029</v>
      </c>
      <c r="B144" s="546" t="e">
        <f>IFERROR(VLOOKUP(A144,Race_2024!A:C,3,FALSE), VLOOKUP(A144,Race_2024!A:C,3,FALSE))</f>
        <v>#N/A</v>
      </c>
      <c r="C144" s="549" t="s">
        <v>1030</v>
      </c>
      <c r="D144" s="548">
        <f>IFERROR(VLOOKUP($A144,Race_2024!A:L, 7,FALSE),0)</f>
        <v>0</v>
      </c>
      <c r="E144" s="548">
        <f>IFERROR(VLOOKUP($A144,Race_2024!A:L, 9,FALSE),0)</f>
        <v>0</v>
      </c>
      <c r="F144" s="548">
        <f>IFERROR(VLOOKUP($A144,Race_2024!A:L, 8,FALSE),0)</f>
        <v>0</v>
      </c>
      <c r="G144" s="548">
        <f>IFERROR(VLOOKUP($A144,Race_2024!A:L, 10,FALSE),0)</f>
        <v>0</v>
      </c>
      <c r="H144" s="548">
        <f>IFERROR(VLOOKUP($A144,Race_2024!A:L, 11,FALSE),0)</f>
        <v>0</v>
      </c>
      <c r="I144" s="547">
        <f>IFERROR(VLOOKUP($A144,Race_2024!A:L, 12,FALSE),0)</f>
        <v>0</v>
      </c>
      <c r="J144" s="544"/>
      <c r="K144" s="544"/>
    </row>
    <row r="145" spans="1:11" ht="15">
      <c r="A145" s="546" t="s">
        <v>1031</v>
      </c>
      <c r="B145" s="546" t="e">
        <f>IFERROR(VLOOKUP(A145,Race_2024!A:C,3,FALSE), VLOOKUP(A145,Race_2024!A:C,3,FALSE))</f>
        <v>#N/A</v>
      </c>
      <c r="C145" s="549" t="s">
        <v>1032</v>
      </c>
      <c r="D145" s="548">
        <f>IFERROR(VLOOKUP($A145,Race_2024!A:L, 7,FALSE),0)</f>
        <v>0</v>
      </c>
      <c r="E145" s="548">
        <f>IFERROR(VLOOKUP($A145,Race_2024!A:L, 9,FALSE),0)</f>
        <v>0</v>
      </c>
      <c r="F145" s="548">
        <f>IFERROR(VLOOKUP($A145,Race_2024!A:L, 8,FALSE),0)</f>
        <v>0</v>
      </c>
      <c r="G145" s="548">
        <f>IFERROR(VLOOKUP($A145,Race_2024!A:L, 10,FALSE),0)</f>
        <v>0</v>
      </c>
      <c r="H145" s="548">
        <f>IFERROR(VLOOKUP($A145,Race_2024!A:L, 11,FALSE),0)</f>
        <v>0</v>
      </c>
      <c r="I145" s="547">
        <f>IFERROR(VLOOKUP($A145,Race_2024!A:L, 12,FALSE),0)</f>
        <v>0</v>
      </c>
      <c r="J145" s="544"/>
      <c r="K145" s="544"/>
    </row>
    <row r="146" spans="1:11" ht="15">
      <c r="A146" s="546" t="s">
        <v>1033</v>
      </c>
      <c r="B146" s="546" t="e">
        <f>IFERROR(VLOOKUP(A146,Race_2024!A:C,3,FALSE), VLOOKUP(A146,Race_2024!A:C,3,FALSE))</f>
        <v>#N/A</v>
      </c>
      <c r="C146" s="549" t="s">
        <v>1034</v>
      </c>
      <c r="D146" s="548">
        <f>IFERROR(VLOOKUP($A146,Race_2024!A:L, 7,FALSE),0)</f>
        <v>0</v>
      </c>
      <c r="E146" s="548">
        <f>IFERROR(VLOOKUP($A146,Race_2024!A:L, 9,FALSE),0)</f>
        <v>0</v>
      </c>
      <c r="F146" s="548">
        <f>IFERROR(VLOOKUP($A146,Race_2024!A:L, 8,FALSE),0)</f>
        <v>0</v>
      </c>
      <c r="G146" s="548">
        <f>IFERROR(VLOOKUP($A146,Race_2024!A:L, 10,FALSE),0)</f>
        <v>0</v>
      </c>
      <c r="H146" s="548">
        <f>IFERROR(VLOOKUP($A146,Race_2024!A:L, 11,FALSE),0)</f>
        <v>0</v>
      </c>
      <c r="I146" s="547">
        <f>IFERROR(VLOOKUP($A146,Race_2024!A:L, 12,FALSE),0)</f>
        <v>0</v>
      </c>
      <c r="J146" s="544"/>
      <c r="K146" s="544"/>
    </row>
    <row r="147" spans="1:11" ht="15">
      <c r="A147" s="617" t="s">
        <v>1035</v>
      </c>
      <c r="B147" s="546" t="str">
        <f>IFERROR(VLOOKUP(A147,Race_2024!A:C,3,FALSE), VLOOKUP(A147,Race_2024!A:C,3,FALSE))</f>
        <v>EBIT</v>
      </c>
      <c r="C147" s="619" t="s">
        <v>1036</v>
      </c>
      <c r="D147" s="620">
        <f>IFERROR(VLOOKUP($A147,Race_2024!A:L, 7,FALSE),0)</f>
        <v>14646558.763</v>
      </c>
      <c r="E147" s="620">
        <f>IFERROR(VLOOKUP($A147,Race_2024!A:L, 9,FALSE),0)</f>
        <v>-663453.43200000003</v>
      </c>
      <c r="F147" s="620">
        <f>IFERROR(VLOOKUP($A147,Race_2024!A:L, 8,FALSE),0)</f>
        <v>8243048.3760000002</v>
      </c>
      <c r="G147" s="620">
        <f>IFERROR(VLOOKUP($A147,Race_2024!A:L, 10,FALSE),0)</f>
        <v>11744872.282</v>
      </c>
      <c r="H147" s="620">
        <f>IFERROR(VLOOKUP($A147,Race_2024!A:L, 11,FALSE),0)</f>
        <v>13628625.573999999</v>
      </c>
      <c r="I147" s="621">
        <f>IFERROR(VLOOKUP($A147,Race_2024!A:L, 12,FALSE),0)</f>
        <v>5938360.6279999996</v>
      </c>
      <c r="J147" s="544"/>
      <c r="K147" s="544"/>
    </row>
  </sheetData>
  <autoFilter ref="C7:I7" xr:uid="{67A75636-6977-42F1-9840-22E76F5961A4}"/>
  <mergeCells count="2">
    <mergeCell ref="K1:K2"/>
    <mergeCell ref="L1:L2"/>
  </mergeCells>
  <phoneticPr fontId="65" type="noConversion"/>
  <dataValidations count="1">
    <dataValidation type="list" allowBlank="1" showInputMessage="1" showErrorMessage="1" sqref="L1:L2" xr:uid="{3FA9BBDC-37CA-4BDE-810B-FE4223F0A8A8}">
      <formula1>$N$1:$N$2</formula1>
    </dataValidation>
  </dataValidation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08A7-0C71-4946-AE91-5FC172171994}">
  <sheetPr>
    <tabColor theme="6"/>
  </sheetPr>
  <dimension ref="A1:AK56"/>
  <sheetViews>
    <sheetView showGridLines="0" zoomScale="70" zoomScaleNormal="70" workbookViewId="0"/>
  </sheetViews>
  <sheetFormatPr defaultColWidth="9.28515625" defaultRowHeight="12.75" customHeight="1"/>
  <cols>
    <col min="1" max="1" width="8.28515625" style="6" bestFit="1" customWidth="1"/>
    <col min="2" max="2" width="25.28515625" style="5" bestFit="1" customWidth="1"/>
    <col min="3" max="3" width="9.28515625" style="5" bestFit="1" customWidth="1"/>
    <col min="4" max="4" width="14.7109375" style="5" bestFit="1" customWidth="1"/>
    <col min="5" max="5" width="13.28515625" style="5" bestFit="1" customWidth="1"/>
    <col min="6" max="6" width="35.28515625" style="5" bestFit="1" customWidth="1"/>
    <col min="7" max="7" width="12.28515625" style="5" bestFit="1" customWidth="1"/>
    <col min="8" max="8" width="40.28515625" style="5" bestFit="1" customWidth="1"/>
    <col min="9" max="9" width="22.140625" style="5" customWidth="1"/>
    <col min="10" max="10" width="8" style="5" bestFit="1" customWidth="1"/>
    <col min="11" max="11" width="25.7109375" style="5" bestFit="1" customWidth="1"/>
    <col min="12" max="12" width="4.28515625" style="5" bestFit="1" customWidth="1"/>
    <col min="13" max="13" width="35.28515625" style="5" bestFit="1" customWidth="1"/>
    <col min="14" max="14" width="26.7109375" style="5" bestFit="1" customWidth="1"/>
    <col min="15" max="15" width="3.28515625" style="5" customWidth="1"/>
    <col min="16" max="23" width="15.7109375" style="5" customWidth="1"/>
    <col min="24" max="24" width="1.28515625" style="5" customWidth="1"/>
    <col min="25" max="32" width="14.28515625" style="5" customWidth="1"/>
    <col min="33" max="33" width="13.7109375" style="5" bestFit="1" customWidth="1"/>
    <col min="34" max="34" width="8.28515625" style="5" bestFit="1" customWidth="1"/>
    <col min="35" max="35" width="25.28515625" style="5" bestFit="1" customWidth="1"/>
    <col min="36" max="39" width="9.28515625" style="5"/>
    <col min="40" max="40" width="13.7109375" style="5" bestFit="1" customWidth="1"/>
    <col min="41" max="16384" width="9.28515625" style="5"/>
  </cols>
  <sheetData>
    <row r="1" spans="1:37" ht="12.75" customHeight="1">
      <c r="A1" s="6" t="s">
        <v>1</v>
      </c>
    </row>
    <row r="2" spans="1:37">
      <c r="A2" s="1027" t="s">
        <v>2</v>
      </c>
      <c r="B2" s="1027"/>
      <c r="C2" s="1027"/>
      <c r="E2" s="1027" t="s">
        <v>3</v>
      </c>
      <c r="F2" s="1027"/>
      <c r="G2" s="1027"/>
      <c r="H2" s="1027"/>
      <c r="I2" s="1027"/>
      <c r="J2" s="1027"/>
      <c r="K2" s="1027"/>
      <c r="L2" s="1027"/>
      <c r="M2" s="1027"/>
      <c r="N2" s="1027"/>
      <c r="P2" s="1027" t="s">
        <v>4</v>
      </c>
      <c r="Q2" s="1027"/>
      <c r="R2" s="1027"/>
      <c r="S2" s="1027"/>
      <c r="T2" s="1027"/>
      <c r="U2" s="1027"/>
      <c r="V2" s="1027"/>
      <c r="W2" s="1027"/>
      <c r="X2" s="19"/>
      <c r="Y2" s="1027" t="s">
        <v>5</v>
      </c>
      <c r="Z2" s="1027"/>
      <c r="AA2" s="1027"/>
      <c r="AB2" s="1027"/>
      <c r="AC2" s="1027"/>
      <c r="AD2" s="1027"/>
      <c r="AE2" s="1027"/>
      <c r="AF2" s="1027"/>
      <c r="AH2" s="1026" t="s">
        <v>6</v>
      </c>
      <c r="AI2" s="1026"/>
      <c r="AJ2" s="1026"/>
      <c r="AK2" s="1026"/>
    </row>
    <row r="4" spans="1:37" ht="15.75" customHeight="1">
      <c r="A4" s="18" t="s">
        <v>7</v>
      </c>
      <c r="B4" s="18" t="s">
        <v>8</v>
      </c>
      <c r="C4" s="18" t="s">
        <v>9</v>
      </c>
      <c r="D4" s="10"/>
      <c r="E4" s="18"/>
      <c r="F4" s="18"/>
      <c r="G4" s="18" t="s">
        <v>10</v>
      </c>
      <c r="H4" s="18" t="s">
        <v>11</v>
      </c>
      <c r="I4" s="18"/>
      <c r="J4" s="18" t="s">
        <v>12</v>
      </c>
      <c r="K4" s="18" t="s">
        <v>13</v>
      </c>
      <c r="L4" s="18"/>
      <c r="M4" s="18"/>
      <c r="N4" s="18"/>
      <c r="P4" s="1025" t="s">
        <v>14</v>
      </c>
      <c r="Q4" s="18" t="s">
        <v>15</v>
      </c>
      <c r="R4" s="18" t="s">
        <v>16</v>
      </c>
      <c r="S4" s="18" t="s">
        <v>17</v>
      </c>
      <c r="T4" s="18"/>
      <c r="U4" s="18" t="s">
        <v>18</v>
      </c>
      <c r="V4" s="18" t="s">
        <v>19</v>
      </c>
      <c r="W4" s="18" t="s">
        <v>15</v>
      </c>
      <c r="X4" s="14"/>
      <c r="Y4" s="1025" t="s">
        <v>20</v>
      </c>
      <c r="Z4" s="18" t="s">
        <v>15</v>
      </c>
      <c r="AA4" s="18" t="s">
        <v>16</v>
      </c>
      <c r="AB4" s="18" t="s">
        <v>17</v>
      </c>
      <c r="AC4" s="18"/>
      <c r="AD4" s="18" t="s">
        <v>18</v>
      </c>
      <c r="AE4" s="18" t="s">
        <v>19</v>
      </c>
      <c r="AF4" s="18" t="s">
        <v>15</v>
      </c>
      <c r="AH4" s="18" t="s">
        <v>7</v>
      </c>
      <c r="AI4" s="18" t="s">
        <v>8</v>
      </c>
      <c r="AJ4" s="18" t="s">
        <v>21</v>
      </c>
      <c r="AK4" s="18" t="s">
        <v>22</v>
      </c>
    </row>
    <row r="5" spans="1:37" ht="15" customHeight="1">
      <c r="A5" s="5">
        <v>64</v>
      </c>
      <c r="B5" s="5" t="s">
        <v>23</v>
      </c>
      <c r="C5" s="5" t="s">
        <v>24</v>
      </c>
      <c r="D5" s="10"/>
      <c r="G5" s="5" t="s">
        <v>25</v>
      </c>
      <c r="H5" s="5" t="s">
        <v>26</v>
      </c>
      <c r="I5" s="8"/>
      <c r="J5" s="7">
        <v>721</v>
      </c>
      <c r="K5" s="7" t="s">
        <v>27</v>
      </c>
      <c r="L5" s="768" t="s">
        <v>28</v>
      </c>
      <c r="M5" s="768" t="s">
        <v>29</v>
      </c>
      <c r="N5" s="6"/>
      <c r="P5" s="1025"/>
      <c r="Q5" s="18">
        <v>2022</v>
      </c>
      <c r="R5" s="18">
        <v>2022</v>
      </c>
      <c r="S5" s="18">
        <v>2023</v>
      </c>
      <c r="T5" s="18"/>
      <c r="U5" s="18">
        <v>2023</v>
      </c>
      <c r="V5" s="18">
        <v>2023</v>
      </c>
      <c r="W5" s="18">
        <v>2024</v>
      </c>
      <c r="X5" s="14"/>
      <c r="Y5" s="1025"/>
      <c r="Z5" s="18">
        <v>2022</v>
      </c>
      <c r="AA5" s="18">
        <v>2022</v>
      </c>
      <c r="AB5" s="18">
        <v>2023</v>
      </c>
      <c r="AC5" s="18"/>
      <c r="AD5" s="18">
        <v>2023</v>
      </c>
      <c r="AE5" s="18">
        <v>2023</v>
      </c>
      <c r="AF5" s="18">
        <v>2024</v>
      </c>
      <c r="AH5" s="5">
        <v>64</v>
      </c>
      <c r="AI5" s="5" t="s">
        <v>23</v>
      </c>
      <c r="AJ5" s="983">
        <v>5.5E-2</v>
      </c>
      <c r="AK5" s="983">
        <v>5.5E-2</v>
      </c>
    </row>
    <row r="6" spans="1:37" ht="15" customHeight="1">
      <c r="A6" s="5">
        <v>70</v>
      </c>
      <c r="B6" s="5" t="s">
        <v>30</v>
      </c>
      <c r="C6" s="5" t="s">
        <v>31</v>
      </c>
      <c r="D6" s="10"/>
      <c r="G6" s="5" t="s">
        <v>32</v>
      </c>
      <c r="H6" s="5" t="s">
        <v>33</v>
      </c>
      <c r="I6" s="8"/>
      <c r="J6" s="7">
        <v>721</v>
      </c>
      <c r="K6" s="7" t="s">
        <v>27</v>
      </c>
      <c r="L6" s="768" t="s">
        <v>28</v>
      </c>
      <c r="M6" s="768" t="s">
        <v>29</v>
      </c>
      <c r="P6" s="5" t="s">
        <v>34</v>
      </c>
      <c r="Q6" s="15">
        <v>6.72</v>
      </c>
      <c r="R6" s="807">
        <v>5.6403999999999996</v>
      </c>
      <c r="S6" s="15">
        <v>5.9</v>
      </c>
      <c r="T6" s="15"/>
      <c r="U6" s="15">
        <v>5.2702999999999998</v>
      </c>
      <c r="V6" s="995">
        <v>5.2763999999999998</v>
      </c>
      <c r="W6" s="15">
        <v>5.9</v>
      </c>
      <c r="X6" s="17"/>
      <c r="Y6" s="5" t="s">
        <v>34</v>
      </c>
      <c r="Z6" s="15">
        <v>6.72</v>
      </c>
      <c r="AA6" s="15">
        <v>5.4451999999999998</v>
      </c>
      <c r="AB6" s="15">
        <v>5.9</v>
      </c>
      <c r="AC6" s="15"/>
      <c r="AD6" s="15">
        <v>5.4846199999999996</v>
      </c>
      <c r="AE6" s="995">
        <v>5.4612100000000003</v>
      </c>
      <c r="AF6" s="15">
        <v>5.9</v>
      </c>
      <c r="AH6" s="5">
        <v>70</v>
      </c>
      <c r="AI6" s="5" t="s">
        <v>30</v>
      </c>
      <c r="AJ6" s="983">
        <v>0.16830000000000001</v>
      </c>
      <c r="AK6" s="983">
        <v>0.06</v>
      </c>
    </row>
    <row r="7" spans="1:37" ht="15" customHeight="1">
      <c r="A7" s="5">
        <v>145</v>
      </c>
      <c r="B7" s="5" t="s">
        <v>35</v>
      </c>
      <c r="C7" s="5" t="s">
        <v>36</v>
      </c>
      <c r="D7" s="10"/>
      <c r="G7" s="5" t="s">
        <v>37</v>
      </c>
      <c r="H7" s="5" t="s">
        <v>38</v>
      </c>
      <c r="I7" s="8"/>
      <c r="J7" s="7">
        <v>721</v>
      </c>
      <c r="K7" s="8" t="s">
        <v>27</v>
      </c>
      <c r="L7" s="768" t="s">
        <v>28</v>
      </c>
      <c r="M7" s="768" t="s">
        <v>29</v>
      </c>
      <c r="N7" s="6"/>
      <c r="P7" s="5" t="s">
        <v>39</v>
      </c>
      <c r="Q7" s="15">
        <v>1.49</v>
      </c>
      <c r="R7" s="807">
        <v>1.4443999999999999</v>
      </c>
      <c r="S7" s="15">
        <v>1.38</v>
      </c>
      <c r="T7" s="15"/>
      <c r="U7" s="15">
        <v>1.44</v>
      </c>
      <c r="V7" s="995">
        <v>1.4678</v>
      </c>
      <c r="W7" s="15">
        <v>1.49</v>
      </c>
      <c r="X7" s="17"/>
      <c r="Y7" s="5" t="s">
        <v>39</v>
      </c>
      <c r="Z7" s="15">
        <v>1.49</v>
      </c>
      <c r="AA7" s="15">
        <v>1.3704799999999999</v>
      </c>
      <c r="AB7" s="15">
        <v>1.38</v>
      </c>
      <c r="AC7" s="15"/>
      <c r="AD7" s="15">
        <v>1.4570700000000001</v>
      </c>
      <c r="AE7" s="995">
        <v>1.4579</v>
      </c>
      <c r="AF7" s="15">
        <v>1.49</v>
      </c>
      <c r="AH7" s="5">
        <v>145</v>
      </c>
      <c r="AI7" s="5" t="s">
        <v>35</v>
      </c>
      <c r="AJ7" s="983">
        <v>4.1300000000000003E-2</v>
      </c>
      <c r="AK7" s="983">
        <v>4.1300000000000003E-2</v>
      </c>
    </row>
    <row r="8" spans="1:37" ht="15" customHeight="1">
      <c r="A8" s="5">
        <v>156</v>
      </c>
      <c r="B8" s="5" t="s">
        <v>40</v>
      </c>
      <c r="C8" s="5" t="s">
        <v>41</v>
      </c>
      <c r="D8" s="10"/>
      <c r="G8" s="5" t="s">
        <v>42</v>
      </c>
      <c r="H8" s="5" t="s">
        <v>43</v>
      </c>
      <c r="I8" s="8"/>
      <c r="J8" s="7">
        <v>721</v>
      </c>
      <c r="K8" s="8" t="s">
        <v>27</v>
      </c>
      <c r="L8" s="768" t="s">
        <v>28</v>
      </c>
      <c r="M8" s="768" t="s">
        <v>29</v>
      </c>
      <c r="N8" s="6"/>
      <c r="P8" s="5" t="s">
        <v>44</v>
      </c>
      <c r="Q8" s="15">
        <v>1.0900000000000001</v>
      </c>
      <c r="R8" s="807">
        <v>0.98370000000000002</v>
      </c>
      <c r="S8" s="15">
        <v>1.03</v>
      </c>
      <c r="T8" s="15"/>
      <c r="U8" s="15">
        <v>0.9778</v>
      </c>
      <c r="V8" s="995">
        <v>0.95409999999999995</v>
      </c>
      <c r="W8" s="15">
        <v>0.96</v>
      </c>
      <c r="X8" s="17"/>
      <c r="Y8" s="5" t="s">
        <v>44</v>
      </c>
      <c r="Z8" s="15">
        <v>1.0900000000000001</v>
      </c>
      <c r="AA8" s="15">
        <v>1.00546</v>
      </c>
      <c r="AB8" s="15">
        <v>1.03</v>
      </c>
      <c r="AC8" s="15"/>
      <c r="AD8" s="15">
        <v>0.98573</v>
      </c>
      <c r="AE8" s="995">
        <v>0.98287999999999998</v>
      </c>
      <c r="AF8" s="15">
        <v>0.96</v>
      </c>
      <c r="AH8" s="5">
        <v>156</v>
      </c>
      <c r="AI8" s="5" t="s">
        <v>40</v>
      </c>
      <c r="AJ8" s="983">
        <v>4.4999999999999998E-2</v>
      </c>
      <c r="AK8" s="983">
        <v>5.2499999999999998E-2</v>
      </c>
    </row>
    <row r="9" spans="1:37" ht="15" customHeight="1">
      <c r="A9" s="5">
        <v>208</v>
      </c>
      <c r="B9" s="5" t="s">
        <v>45</v>
      </c>
      <c r="C9" s="5" t="s">
        <v>24</v>
      </c>
      <c r="D9" s="10"/>
      <c r="G9" s="5" t="s">
        <v>46</v>
      </c>
      <c r="H9" s="5" t="s">
        <v>47</v>
      </c>
      <c r="I9" s="8"/>
      <c r="J9" s="7">
        <v>721</v>
      </c>
      <c r="K9" s="8" t="s">
        <v>27</v>
      </c>
      <c r="L9" s="768">
        <v>740</v>
      </c>
      <c r="M9" s="768" t="s">
        <v>48</v>
      </c>
      <c r="N9" s="6"/>
      <c r="P9" s="5" t="s">
        <v>41</v>
      </c>
      <c r="Q9" s="15">
        <v>7.9</v>
      </c>
      <c r="R9" s="807">
        <v>7.3689</v>
      </c>
      <c r="S9" s="15">
        <v>7</v>
      </c>
      <c r="T9" s="15"/>
      <c r="U9" s="15">
        <v>7.8890000000000002</v>
      </c>
      <c r="V9" s="995">
        <v>7.9570999999999996</v>
      </c>
      <c r="W9" s="15">
        <v>7.6</v>
      </c>
      <c r="X9" s="17"/>
      <c r="Y9" s="5" t="s">
        <v>41</v>
      </c>
      <c r="Z9" s="15">
        <v>7.9</v>
      </c>
      <c r="AA9" s="15">
        <v>7.0816999999999997</v>
      </c>
      <c r="AB9" s="15">
        <v>7</v>
      </c>
      <c r="AC9" s="15"/>
      <c r="AD9" s="15">
        <v>7.4907000000000004</v>
      </c>
      <c r="AE9" s="995">
        <v>7.5573600000000001</v>
      </c>
      <c r="AF9" s="15">
        <v>7.6</v>
      </c>
      <c r="AH9" s="5">
        <v>208</v>
      </c>
      <c r="AI9" s="5" t="s">
        <v>45</v>
      </c>
      <c r="AJ9" s="983">
        <v>5.5E-2</v>
      </c>
      <c r="AK9" s="983">
        <v>5.5E-2</v>
      </c>
    </row>
    <row r="10" spans="1:37" ht="15" customHeight="1">
      <c r="A10" s="5">
        <v>214</v>
      </c>
      <c r="B10" s="5" t="s">
        <v>49</v>
      </c>
      <c r="C10" s="5" t="s">
        <v>24</v>
      </c>
      <c r="D10" s="10"/>
      <c r="G10" s="5" t="s">
        <v>50</v>
      </c>
      <c r="H10" s="5" t="s">
        <v>51</v>
      </c>
      <c r="I10" s="8"/>
      <c r="J10" s="7">
        <v>721</v>
      </c>
      <c r="K10" s="8" t="s">
        <v>27</v>
      </c>
      <c r="L10" s="768">
        <v>740</v>
      </c>
      <c r="M10" s="768" t="s">
        <v>48</v>
      </c>
      <c r="N10" s="6"/>
      <c r="P10" s="5" t="s">
        <v>52</v>
      </c>
      <c r="Q10" s="15">
        <v>25.5</v>
      </c>
      <c r="R10" s="807">
        <v>24.149000000000001</v>
      </c>
      <c r="S10" s="15">
        <v>24.5</v>
      </c>
      <c r="T10" s="15"/>
      <c r="U10" s="15">
        <v>23.774000000000001</v>
      </c>
      <c r="V10" s="995">
        <v>24.052</v>
      </c>
      <c r="W10" s="15">
        <v>23.5</v>
      </c>
      <c r="X10" s="17"/>
      <c r="Y10" s="5" t="s">
        <v>52</v>
      </c>
      <c r="Z10" s="15">
        <v>25.5</v>
      </c>
      <c r="AA10" s="15">
        <v>24.560949999999998</v>
      </c>
      <c r="AB10" s="15">
        <v>24.5</v>
      </c>
      <c r="AC10" s="15"/>
      <c r="AD10" s="15">
        <v>23.687080000000002</v>
      </c>
      <c r="AE10" s="995">
        <v>23.71725</v>
      </c>
      <c r="AF10" s="15">
        <v>23.5</v>
      </c>
      <c r="AH10" s="5">
        <v>214</v>
      </c>
      <c r="AI10" s="5" t="s">
        <v>49</v>
      </c>
      <c r="AJ10" s="983">
        <v>5.3499999999999999E-2</v>
      </c>
      <c r="AK10" s="983">
        <v>5.6599999999999998E-2</v>
      </c>
    </row>
    <row r="11" spans="1:37" ht="15" customHeight="1">
      <c r="A11" s="5">
        <v>218</v>
      </c>
      <c r="B11" s="5" t="s">
        <v>53</v>
      </c>
      <c r="C11" s="5" t="s">
        <v>41</v>
      </c>
      <c r="D11" s="10"/>
      <c r="E11" s="9"/>
      <c r="F11" s="11"/>
      <c r="G11" s="5" t="s">
        <v>54</v>
      </c>
      <c r="H11" s="5" t="s">
        <v>55</v>
      </c>
      <c r="I11" s="8"/>
      <c r="J11" s="7">
        <v>721</v>
      </c>
      <c r="K11" s="8" t="s">
        <v>27</v>
      </c>
      <c r="L11" s="768">
        <v>740</v>
      </c>
      <c r="M11" s="768" t="s">
        <v>48</v>
      </c>
      <c r="N11" s="6"/>
      <c r="P11" s="5" t="s">
        <v>56</v>
      </c>
      <c r="Q11" s="15">
        <v>7.44</v>
      </c>
      <c r="R11" s="807">
        <v>7.4363000000000001</v>
      </c>
      <c r="S11" s="15">
        <v>7.44</v>
      </c>
      <c r="T11" s="15"/>
      <c r="U11" s="15">
        <v>7.4473000000000003</v>
      </c>
      <c r="V11" s="995">
        <v>7.4516999999999998</v>
      </c>
      <c r="W11" s="15"/>
      <c r="X11" s="17"/>
      <c r="Y11" s="5" t="s">
        <v>56</v>
      </c>
      <c r="Z11" s="15">
        <v>7.44</v>
      </c>
      <c r="AA11" s="15">
        <v>7.4396599999999999</v>
      </c>
      <c r="AB11" s="15">
        <v>7.44</v>
      </c>
      <c r="AC11" s="15"/>
      <c r="AD11" s="15">
        <v>7.4465199999999996</v>
      </c>
      <c r="AE11" s="995">
        <v>7.44712</v>
      </c>
      <c r="AF11" s="15"/>
      <c r="AH11" s="5">
        <v>218</v>
      </c>
      <c r="AI11" s="5" t="s">
        <v>53</v>
      </c>
      <c r="AJ11" s="983">
        <v>4.4999999999999998E-2</v>
      </c>
      <c r="AK11" s="983">
        <v>5.3999999999999999E-2</v>
      </c>
    </row>
    <row r="12" spans="1:37" ht="15" customHeight="1">
      <c r="A12" s="5">
        <v>220</v>
      </c>
      <c r="B12" s="5" t="s">
        <v>57</v>
      </c>
      <c r="C12" s="5" t="s">
        <v>31</v>
      </c>
      <c r="D12" s="10"/>
      <c r="E12" s="9"/>
      <c r="F12" s="8"/>
      <c r="G12" s="5" t="s">
        <v>58</v>
      </c>
      <c r="H12" s="5" t="s">
        <v>59</v>
      </c>
      <c r="I12" s="8"/>
      <c r="J12" s="7">
        <v>721</v>
      </c>
      <c r="K12" s="8" t="s">
        <v>27</v>
      </c>
      <c r="L12" s="768">
        <v>740</v>
      </c>
      <c r="M12" s="768" t="s">
        <v>48</v>
      </c>
      <c r="N12" s="9"/>
      <c r="P12" s="5" t="s">
        <v>60</v>
      </c>
      <c r="Q12" s="15">
        <v>0.88</v>
      </c>
      <c r="R12" s="807">
        <v>0.88570000000000004</v>
      </c>
      <c r="S12" s="15">
        <v>0.86</v>
      </c>
      <c r="T12" s="15"/>
      <c r="U12" s="15">
        <v>0.85819999999999996</v>
      </c>
      <c r="V12" s="995">
        <v>0.85950000000000004</v>
      </c>
      <c r="W12" s="15">
        <v>0.89</v>
      </c>
      <c r="X12" s="17"/>
      <c r="Y12" s="5" t="s">
        <v>60</v>
      </c>
      <c r="Z12" s="15">
        <v>0.88</v>
      </c>
      <c r="AA12" s="15">
        <v>0.85258999999999996</v>
      </c>
      <c r="AB12" s="15">
        <v>0.86</v>
      </c>
      <c r="AC12" s="15"/>
      <c r="AD12" s="15">
        <v>0.87685999999999997</v>
      </c>
      <c r="AE12" s="995">
        <v>0.87426999999999999</v>
      </c>
      <c r="AF12" s="15">
        <v>0.89</v>
      </c>
      <c r="AH12" s="5">
        <v>220</v>
      </c>
      <c r="AI12" s="5" t="s">
        <v>57</v>
      </c>
      <c r="AJ12" s="983">
        <v>0.12</v>
      </c>
      <c r="AK12" s="983">
        <v>0.06</v>
      </c>
    </row>
    <row r="13" spans="1:37" ht="15" customHeight="1">
      <c r="A13" s="5">
        <v>225</v>
      </c>
      <c r="B13" s="5" t="s">
        <v>61</v>
      </c>
      <c r="C13" s="5" t="s">
        <v>24</v>
      </c>
      <c r="D13" s="10"/>
      <c r="E13" s="9"/>
      <c r="F13" s="8"/>
      <c r="G13" s="5" t="s">
        <v>62</v>
      </c>
      <c r="H13" s="5" t="s">
        <v>63</v>
      </c>
      <c r="I13" s="8"/>
      <c r="J13" s="7">
        <v>721</v>
      </c>
      <c r="K13" s="8" t="s">
        <v>27</v>
      </c>
      <c r="L13" s="768">
        <v>740</v>
      </c>
      <c r="M13" s="768" t="s">
        <v>48</v>
      </c>
      <c r="N13" s="9"/>
      <c r="P13" s="5" t="s">
        <v>64</v>
      </c>
      <c r="Q13" s="15">
        <v>360</v>
      </c>
      <c r="R13" s="807">
        <v>400.86</v>
      </c>
      <c r="S13" s="15">
        <v>380</v>
      </c>
      <c r="T13" s="15"/>
      <c r="U13" s="15">
        <v>371.76</v>
      </c>
      <c r="V13" s="995">
        <v>379.6</v>
      </c>
      <c r="W13" s="15">
        <v>370</v>
      </c>
      <c r="X13" s="17"/>
      <c r="Y13" s="5" t="s">
        <v>64</v>
      </c>
      <c r="Z13" s="15">
        <v>360</v>
      </c>
      <c r="AA13" s="15">
        <v>390.87991</v>
      </c>
      <c r="AB13" s="15">
        <v>380</v>
      </c>
      <c r="AC13" s="15"/>
      <c r="AD13" s="15">
        <v>380.69213000000002</v>
      </c>
      <c r="AE13" s="995">
        <v>380.37441000000001</v>
      </c>
      <c r="AF13" s="15">
        <v>370</v>
      </c>
      <c r="AH13" s="5">
        <v>225</v>
      </c>
      <c r="AI13" s="5" t="s">
        <v>61</v>
      </c>
      <c r="AJ13" s="983">
        <v>5.5E-2</v>
      </c>
      <c r="AK13" s="983">
        <v>5.5E-2</v>
      </c>
    </row>
    <row r="14" spans="1:37" ht="15" customHeight="1">
      <c r="A14" s="5">
        <v>228</v>
      </c>
      <c r="B14" s="5" t="s">
        <v>65</v>
      </c>
      <c r="C14" s="5" t="s">
        <v>36</v>
      </c>
      <c r="D14" s="10"/>
      <c r="E14" s="9"/>
      <c r="F14" s="8"/>
      <c r="G14" s="5" t="s">
        <v>66</v>
      </c>
      <c r="H14" s="5" t="s">
        <v>67</v>
      </c>
      <c r="I14" s="8"/>
      <c r="J14" s="7">
        <v>721</v>
      </c>
      <c r="K14" s="8" t="s">
        <v>27</v>
      </c>
      <c r="L14" s="768">
        <v>740</v>
      </c>
      <c r="M14" s="768" t="s">
        <v>48</v>
      </c>
      <c r="N14" s="9"/>
      <c r="P14" s="5" t="s">
        <v>68</v>
      </c>
      <c r="Q14" s="15">
        <v>90</v>
      </c>
      <c r="R14" s="807">
        <v>88.257599999999996</v>
      </c>
      <c r="S14" s="15">
        <v>85</v>
      </c>
      <c r="T14" s="15"/>
      <c r="U14" s="15">
        <v>89.046199999999999</v>
      </c>
      <c r="V14" s="995">
        <v>91.252499999999998</v>
      </c>
      <c r="W14" s="15">
        <v>90</v>
      </c>
      <c r="X14" s="17"/>
      <c r="Y14" s="5" t="s">
        <v>68</v>
      </c>
      <c r="Z14" s="15">
        <v>90</v>
      </c>
      <c r="AA14" s="15">
        <v>82.740470000000002</v>
      </c>
      <c r="AB14" s="15">
        <v>85</v>
      </c>
      <c r="AC14" s="15"/>
      <c r="AD14" s="15">
        <v>88.890550000000005</v>
      </c>
      <c r="AE14" s="995">
        <v>89.179760000000002</v>
      </c>
      <c r="AF14" s="15">
        <v>90</v>
      </c>
      <c r="AH14" s="5">
        <v>228</v>
      </c>
      <c r="AI14" s="5" t="s">
        <v>65</v>
      </c>
      <c r="AJ14" s="983"/>
      <c r="AK14" s="983">
        <v>3.3799999999999997E-2</v>
      </c>
    </row>
    <row r="15" spans="1:37" ht="15" customHeight="1">
      <c r="A15" s="5">
        <v>230</v>
      </c>
      <c r="B15" s="5" t="s">
        <v>69</v>
      </c>
      <c r="C15" s="5" t="s">
        <v>24</v>
      </c>
      <c r="D15" s="10"/>
      <c r="E15" s="9"/>
      <c r="F15" s="8"/>
      <c r="G15" s="5" t="s">
        <v>70</v>
      </c>
      <c r="H15" s="5" t="s">
        <v>71</v>
      </c>
      <c r="I15" s="8"/>
      <c r="J15" s="7">
        <v>721</v>
      </c>
      <c r="K15" s="8" t="s">
        <v>27</v>
      </c>
      <c r="L15" s="768">
        <v>740</v>
      </c>
      <c r="M15" s="768" t="s">
        <v>48</v>
      </c>
      <c r="N15" s="9"/>
      <c r="P15" s="5" t="s">
        <v>72</v>
      </c>
      <c r="Q15" s="15">
        <v>125</v>
      </c>
      <c r="R15" s="807">
        <v>140.74</v>
      </c>
      <c r="S15" s="15">
        <v>125</v>
      </c>
      <c r="T15" s="15"/>
      <c r="U15" s="15">
        <v>156.96</v>
      </c>
      <c r="V15" s="995">
        <v>156.19999999999999</v>
      </c>
      <c r="W15" s="15">
        <v>135</v>
      </c>
      <c r="X15" s="17"/>
      <c r="Y15" s="5" t="s">
        <v>72</v>
      </c>
      <c r="Z15" s="15">
        <v>125</v>
      </c>
      <c r="AA15" s="15">
        <v>138.03897000000001</v>
      </c>
      <c r="AB15" s="15">
        <v>125</v>
      </c>
      <c r="AC15" s="15"/>
      <c r="AD15" s="15">
        <v>145.75976</v>
      </c>
      <c r="AE15" s="995">
        <v>147.23639</v>
      </c>
      <c r="AF15" s="15">
        <v>135</v>
      </c>
      <c r="AH15" s="5">
        <v>230</v>
      </c>
      <c r="AI15" s="5" t="s">
        <v>69</v>
      </c>
      <c r="AJ15" s="983">
        <v>5.3499999999999999E-2</v>
      </c>
      <c r="AK15" s="983">
        <v>5.6599999999999998E-2</v>
      </c>
    </row>
    <row r="16" spans="1:37" ht="15" customHeight="1">
      <c r="A16" s="5">
        <v>231</v>
      </c>
      <c r="B16" s="5" t="s">
        <v>73</v>
      </c>
      <c r="C16" s="5" t="s">
        <v>52</v>
      </c>
      <c r="D16" s="10"/>
      <c r="E16" s="9"/>
      <c r="F16" s="8"/>
      <c r="G16" s="5" t="s">
        <v>74</v>
      </c>
      <c r="H16" s="5" t="s">
        <v>75</v>
      </c>
      <c r="I16" s="8"/>
      <c r="J16" s="7">
        <v>721</v>
      </c>
      <c r="K16" s="8" t="s">
        <v>27</v>
      </c>
      <c r="L16" s="768">
        <v>740</v>
      </c>
      <c r="M16" s="768" t="s">
        <v>48</v>
      </c>
      <c r="N16" s="9"/>
      <c r="P16" s="5" t="s">
        <v>76</v>
      </c>
      <c r="Q16" s="15">
        <v>1362</v>
      </c>
      <c r="R16" s="807">
        <v>1344.72</v>
      </c>
      <c r="S16" s="15">
        <v>1329</v>
      </c>
      <c r="T16" s="15"/>
      <c r="U16" s="15">
        <v>1430.47</v>
      </c>
      <c r="V16" s="995">
        <v>1422.8</v>
      </c>
      <c r="W16" s="15">
        <v>1450</v>
      </c>
      <c r="X16" s="17"/>
      <c r="Y16" s="5" t="s">
        <v>76</v>
      </c>
      <c r="Z16" s="15">
        <v>1362</v>
      </c>
      <c r="AA16" s="15">
        <v>1357.90319</v>
      </c>
      <c r="AB16" s="15">
        <v>1329</v>
      </c>
      <c r="AC16" s="15"/>
      <c r="AD16" s="15">
        <v>1400.8527799999999</v>
      </c>
      <c r="AE16" s="995">
        <v>1403.6801399999999</v>
      </c>
      <c r="AF16" s="15">
        <v>1450</v>
      </c>
      <c r="AH16" s="5">
        <v>231</v>
      </c>
      <c r="AI16" s="5" t="s">
        <v>73</v>
      </c>
      <c r="AJ16" s="983">
        <v>6.3799999999999996E-2</v>
      </c>
      <c r="AK16" s="983">
        <v>6.3799999999999996E-2</v>
      </c>
    </row>
    <row r="17" spans="1:37" ht="15" customHeight="1">
      <c r="A17" s="5">
        <v>242</v>
      </c>
      <c r="B17" s="5" t="s">
        <v>77</v>
      </c>
      <c r="C17" s="5" t="s">
        <v>76</v>
      </c>
      <c r="D17" s="10"/>
      <c r="E17" s="9"/>
      <c r="F17" s="8"/>
      <c r="G17" s="5" t="s">
        <v>78</v>
      </c>
      <c r="H17" s="5" t="s">
        <v>79</v>
      </c>
      <c r="I17" s="8"/>
      <c r="J17" s="7">
        <v>721</v>
      </c>
      <c r="K17" s="8" t="s">
        <v>27</v>
      </c>
      <c r="L17" s="768">
        <v>750</v>
      </c>
      <c r="M17" s="768" t="s">
        <v>80</v>
      </c>
      <c r="N17" s="8"/>
      <c r="P17" s="5" t="s">
        <v>31</v>
      </c>
      <c r="Q17" s="15">
        <v>24</v>
      </c>
      <c r="R17" s="807">
        <v>20.823599999999999</v>
      </c>
      <c r="S17" s="15">
        <v>23.5</v>
      </c>
      <c r="T17" s="15"/>
      <c r="U17" s="15">
        <v>18.5501</v>
      </c>
      <c r="V17" s="995">
        <v>18.670000000000002</v>
      </c>
      <c r="W17" s="15">
        <v>20.3</v>
      </c>
      <c r="X17" s="17"/>
      <c r="Y17" s="5" t="s">
        <v>31</v>
      </c>
      <c r="Z17" s="15">
        <v>24</v>
      </c>
      <c r="AA17" s="15">
        <v>21.216239999999999</v>
      </c>
      <c r="AB17" s="15">
        <v>23.5</v>
      </c>
      <c r="AC17" s="15"/>
      <c r="AD17" s="15">
        <v>19.660240000000002</v>
      </c>
      <c r="AE17" s="995">
        <v>19.52956</v>
      </c>
      <c r="AF17" s="15">
        <v>20.3</v>
      </c>
      <c r="AH17" s="5">
        <v>242</v>
      </c>
      <c r="AI17" s="5" t="s">
        <v>77</v>
      </c>
      <c r="AJ17" s="983">
        <v>3.7499999999999999E-2</v>
      </c>
      <c r="AK17" s="983">
        <v>4.1300000000000003E-2</v>
      </c>
    </row>
    <row r="18" spans="1:37" ht="15" customHeight="1">
      <c r="A18" s="5">
        <v>246</v>
      </c>
      <c r="B18" s="5" t="s">
        <v>81</v>
      </c>
      <c r="C18" s="5" t="s">
        <v>24</v>
      </c>
      <c r="D18" s="10"/>
      <c r="E18" s="9"/>
      <c r="F18" s="8"/>
      <c r="G18" s="5" t="s">
        <v>82</v>
      </c>
      <c r="H18" s="5" t="s">
        <v>83</v>
      </c>
      <c r="I18" s="8"/>
      <c r="J18" s="7">
        <v>721</v>
      </c>
      <c r="K18" s="8" t="s">
        <v>27</v>
      </c>
      <c r="L18" s="768">
        <v>750</v>
      </c>
      <c r="M18" s="768" t="s">
        <v>80</v>
      </c>
      <c r="N18" s="8"/>
      <c r="P18" s="5" t="s">
        <v>84</v>
      </c>
      <c r="Q18" s="15">
        <v>5</v>
      </c>
      <c r="R18" s="807">
        <v>4.9474999999999998</v>
      </c>
      <c r="S18" s="15">
        <v>5</v>
      </c>
      <c r="T18" s="15"/>
      <c r="U18" s="15">
        <v>4.9641999999999999</v>
      </c>
      <c r="V18" s="995">
        <v>4.9276999999999997</v>
      </c>
      <c r="W18" s="15">
        <v>4.95</v>
      </c>
      <c r="X18" s="17"/>
      <c r="Y18" s="5" t="s">
        <v>84</v>
      </c>
      <c r="Z18" s="15">
        <v>5</v>
      </c>
      <c r="AA18" s="15">
        <v>4.9316800000000001</v>
      </c>
      <c r="AB18" s="15">
        <v>5</v>
      </c>
      <c r="AC18" s="15"/>
      <c r="AD18" s="15">
        <v>4.9336200000000003</v>
      </c>
      <c r="AE18" s="995">
        <v>4.9346199999999998</v>
      </c>
      <c r="AF18" s="15">
        <v>4.95</v>
      </c>
      <c r="AH18" s="5">
        <v>246</v>
      </c>
      <c r="AI18" s="5" t="s">
        <v>81</v>
      </c>
      <c r="AJ18" s="983">
        <v>5.5E-2</v>
      </c>
      <c r="AK18" s="983">
        <v>5.5E-2</v>
      </c>
    </row>
    <row r="19" spans="1:37" ht="15" customHeight="1">
      <c r="A19" s="5">
        <v>265</v>
      </c>
      <c r="B19" s="5" t="s">
        <v>85</v>
      </c>
      <c r="C19" s="5" t="s">
        <v>24</v>
      </c>
      <c r="D19" s="10"/>
      <c r="E19" s="9"/>
      <c r="F19" s="8"/>
      <c r="G19" s="5" t="s">
        <v>86</v>
      </c>
      <c r="H19" s="5" t="s">
        <v>87</v>
      </c>
      <c r="I19" s="8"/>
      <c r="J19" s="7">
        <v>721</v>
      </c>
      <c r="K19" s="8" t="s">
        <v>27</v>
      </c>
      <c r="L19" s="768">
        <v>750</v>
      </c>
      <c r="M19" s="6" t="s">
        <v>80</v>
      </c>
      <c r="N19" s="8"/>
      <c r="P19" s="5" t="s">
        <v>88</v>
      </c>
      <c r="Q19" s="15">
        <v>95</v>
      </c>
      <c r="R19" s="807">
        <v>77.270499999999998</v>
      </c>
      <c r="S19" s="15">
        <v>100</v>
      </c>
      <c r="T19" s="15"/>
      <c r="U19" s="15">
        <v>95.996399999999994</v>
      </c>
      <c r="V19" s="995">
        <v>100.1771</v>
      </c>
      <c r="W19" s="15">
        <v>98.18</v>
      </c>
      <c r="X19" s="17"/>
      <c r="Y19" s="5" t="s">
        <v>88</v>
      </c>
      <c r="Z19" s="15">
        <v>95</v>
      </c>
      <c r="AA19" s="15">
        <v>73.64676</v>
      </c>
      <c r="AB19" s="15">
        <v>100</v>
      </c>
      <c r="AC19" s="15"/>
      <c r="AD19" s="15">
        <v>83.529889999999995</v>
      </c>
      <c r="AE19" s="995">
        <v>85.894120000000001</v>
      </c>
      <c r="AF19" s="15">
        <v>98.18</v>
      </c>
      <c r="AH19" s="5">
        <v>265</v>
      </c>
      <c r="AI19" s="5" t="s">
        <v>85</v>
      </c>
      <c r="AJ19" s="983">
        <v>5.5E-2</v>
      </c>
      <c r="AK19" s="983">
        <v>5.5E-2</v>
      </c>
    </row>
    <row r="20" spans="1:37" ht="15" customHeight="1">
      <c r="A20" s="5">
        <v>278</v>
      </c>
      <c r="B20" s="5" t="s">
        <v>89</v>
      </c>
      <c r="C20" s="5" t="s">
        <v>90</v>
      </c>
      <c r="D20" s="10"/>
      <c r="E20" s="9"/>
      <c r="F20" s="8"/>
      <c r="G20" s="5" t="s">
        <v>91</v>
      </c>
      <c r="H20" s="5" t="s">
        <v>92</v>
      </c>
      <c r="I20" s="8"/>
      <c r="J20" s="7">
        <v>721</v>
      </c>
      <c r="K20" s="8" t="s">
        <v>27</v>
      </c>
      <c r="L20" s="768">
        <v>750</v>
      </c>
      <c r="M20" s="6" t="s">
        <v>80</v>
      </c>
      <c r="N20" s="6"/>
      <c r="P20" s="5" t="s">
        <v>93</v>
      </c>
      <c r="Q20" s="15">
        <v>1.62</v>
      </c>
      <c r="R20" s="807">
        <v>1.4305000000000001</v>
      </c>
      <c r="S20" s="15">
        <v>1.48</v>
      </c>
      <c r="T20" s="15"/>
      <c r="U20" s="15">
        <v>1.4722999999999999</v>
      </c>
      <c r="V20" s="995">
        <v>1.474</v>
      </c>
      <c r="W20" s="15"/>
      <c r="X20" s="17"/>
      <c r="Y20" s="5" t="s">
        <v>93</v>
      </c>
      <c r="Z20" s="15">
        <v>1.62</v>
      </c>
      <c r="AA20" s="15">
        <v>1.4522299999999999</v>
      </c>
      <c r="AB20" s="15">
        <v>1.48</v>
      </c>
      <c r="AC20" s="15"/>
      <c r="AD20" s="15">
        <v>1.44441</v>
      </c>
      <c r="AE20" s="995">
        <v>1.4489799999999999</v>
      </c>
      <c r="AF20" s="15"/>
      <c r="AH20" s="5">
        <v>278</v>
      </c>
      <c r="AI20" s="5" t="s">
        <v>89</v>
      </c>
      <c r="AJ20" s="983">
        <v>7.0000000000000007E-2</v>
      </c>
      <c r="AK20" s="983">
        <v>3.7499999999999999E-2</v>
      </c>
    </row>
    <row r="21" spans="1:37" ht="15" customHeight="1">
      <c r="A21" s="5">
        <v>282</v>
      </c>
      <c r="B21" s="5" t="s">
        <v>94</v>
      </c>
      <c r="C21" s="5" t="s">
        <v>52</v>
      </c>
      <c r="D21" s="10"/>
      <c r="E21" s="9"/>
      <c r="F21" s="8"/>
      <c r="G21" s="5" t="s">
        <v>95</v>
      </c>
      <c r="H21" s="5" t="s">
        <v>96</v>
      </c>
      <c r="I21" s="8"/>
      <c r="J21" s="7">
        <v>721</v>
      </c>
      <c r="K21" s="8" t="s">
        <v>27</v>
      </c>
      <c r="L21" s="768">
        <v>760</v>
      </c>
      <c r="M21" s="6" t="s">
        <v>97</v>
      </c>
      <c r="N21" s="6"/>
      <c r="P21" s="5" t="s">
        <v>90</v>
      </c>
      <c r="Q21" s="15">
        <v>37.6</v>
      </c>
      <c r="R21" s="807">
        <v>36.887799999999999</v>
      </c>
      <c r="S21" s="15">
        <v>36.15</v>
      </c>
      <c r="T21" s="15"/>
      <c r="U21" s="15">
        <v>38.445999999999998</v>
      </c>
      <c r="V21" s="995">
        <v>37.956600000000002</v>
      </c>
      <c r="W21" s="15">
        <v>37.4</v>
      </c>
      <c r="X21" s="17"/>
      <c r="Y21" s="5" t="s">
        <v>90</v>
      </c>
      <c r="Z21" s="15">
        <v>37.6</v>
      </c>
      <c r="AA21" s="15">
        <v>36.870780000000003</v>
      </c>
      <c r="AB21" s="15">
        <v>36.15</v>
      </c>
      <c r="AC21" s="15"/>
      <c r="AD21" s="15">
        <v>36.97927</v>
      </c>
      <c r="AE21" s="995">
        <v>37.165120000000002</v>
      </c>
      <c r="AF21" s="15">
        <v>37.4</v>
      </c>
      <c r="AH21" s="5">
        <v>282</v>
      </c>
      <c r="AI21" s="5" t="s">
        <v>94</v>
      </c>
      <c r="AJ21" s="983">
        <v>6.3799999999999996E-2</v>
      </c>
      <c r="AK21" s="983">
        <v>6.3799999999999996E-2</v>
      </c>
    </row>
    <row r="22" spans="1:37" ht="15" customHeight="1">
      <c r="A22" s="5">
        <v>290</v>
      </c>
      <c r="B22" s="5" t="s">
        <v>98</v>
      </c>
      <c r="C22" s="5" t="s">
        <v>41</v>
      </c>
      <c r="D22" s="10"/>
      <c r="E22" s="9"/>
      <c r="F22" s="8"/>
      <c r="G22" s="5" t="s">
        <v>99</v>
      </c>
      <c r="H22" s="5" t="s">
        <v>100</v>
      </c>
      <c r="I22" s="8"/>
      <c r="J22" s="7">
        <v>721</v>
      </c>
      <c r="K22" s="8" t="s">
        <v>27</v>
      </c>
      <c r="L22" s="768">
        <v>760</v>
      </c>
      <c r="M22" s="6" t="s">
        <v>97</v>
      </c>
      <c r="N22" s="6"/>
      <c r="P22" s="5" t="s">
        <v>36</v>
      </c>
      <c r="Q22" s="15">
        <v>1.2</v>
      </c>
      <c r="R22" s="807">
        <v>1.0669999999999999</v>
      </c>
      <c r="S22" s="15">
        <v>1.08</v>
      </c>
      <c r="T22" s="15"/>
      <c r="U22" s="15">
        <v>1.0852999999999999</v>
      </c>
      <c r="V22" s="995">
        <v>1.1136999999999999</v>
      </c>
      <c r="W22" s="15">
        <v>1.1000000000000001</v>
      </c>
      <c r="X22" s="17"/>
      <c r="Y22" s="5" t="s">
        <v>36</v>
      </c>
      <c r="Z22" s="15">
        <v>1.2</v>
      </c>
      <c r="AA22" s="15">
        <v>1.0540799999999999</v>
      </c>
      <c r="AB22" s="15">
        <v>1.08</v>
      </c>
      <c r="AC22" s="15"/>
      <c r="AD22" s="15">
        <v>1.08125</v>
      </c>
      <c r="AE22" s="995">
        <v>1.08494</v>
      </c>
      <c r="AF22" s="15">
        <v>1.1000000000000001</v>
      </c>
      <c r="AH22" s="5">
        <v>290</v>
      </c>
      <c r="AI22" s="5" t="s">
        <v>98</v>
      </c>
      <c r="AJ22" s="983">
        <v>4.4999999999999998E-2</v>
      </c>
      <c r="AK22" s="983">
        <v>5.2499999999999998E-2</v>
      </c>
    </row>
    <row r="23" spans="1:37" ht="15" customHeight="1">
      <c r="A23" s="5">
        <v>296</v>
      </c>
      <c r="B23" s="5" t="s">
        <v>101</v>
      </c>
      <c r="C23" s="5" t="s">
        <v>24</v>
      </c>
      <c r="D23" s="10"/>
      <c r="E23" s="9"/>
      <c r="F23" s="8"/>
      <c r="G23" s="5" t="s">
        <v>102</v>
      </c>
      <c r="H23" s="5" t="s">
        <v>103</v>
      </c>
      <c r="I23" s="8"/>
      <c r="J23" s="7">
        <v>721</v>
      </c>
      <c r="K23" s="8" t="s">
        <v>27</v>
      </c>
      <c r="L23" s="768">
        <v>760</v>
      </c>
      <c r="M23" s="6" t="s">
        <v>97</v>
      </c>
      <c r="N23" s="6"/>
      <c r="P23" s="5" t="s">
        <v>24</v>
      </c>
      <c r="Q23" s="15">
        <v>1</v>
      </c>
      <c r="R23" s="807">
        <v>1</v>
      </c>
      <c r="S23" s="15">
        <v>1</v>
      </c>
      <c r="T23" s="15"/>
      <c r="U23" s="15">
        <v>1</v>
      </c>
      <c r="V23" s="995">
        <v>1</v>
      </c>
      <c r="W23" s="15">
        <v>1</v>
      </c>
      <c r="X23" s="17"/>
      <c r="Y23" s="5" t="s">
        <v>24</v>
      </c>
      <c r="Z23" s="15">
        <v>1</v>
      </c>
      <c r="AA23" s="15">
        <v>1</v>
      </c>
      <c r="AB23" s="15">
        <v>1</v>
      </c>
      <c r="AC23" s="15"/>
      <c r="AD23" s="15">
        <v>1</v>
      </c>
      <c r="AE23" s="995">
        <v>1</v>
      </c>
      <c r="AF23" s="15">
        <v>1</v>
      </c>
      <c r="AH23" s="5">
        <v>296</v>
      </c>
      <c r="AI23" s="5" t="s">
        <v>101</v>
      </c>
      <c r="AJ23" s="983">
        <v>5.5E-2</v>
      </c>
      <c r="AK23" s="983">
        <v>5.5E-2</v>
      </c>
    </row>
    <row r="24" spans="1:37" ht="15" customHeight="1">
      <c r="A24" s="5">
        <v>517</v>
      </c>
      <c r="B24" s="5" t="s">
        <v>104</v>
      </c>
      <c r="C24" s="5" t="s">
        <v>31</v>
      </c>
      <c r="D24" s="10"/>
      <c r="E24" s="9"/>
      <c r="F24" s="8"/>
      <c r="G24" s="5" t="s">
        <v>105</v>
      </c>
      <c r="H24" s="5" t="s">
        <v>106</v>
      </c>
      <c r="I24" s="8"/>
      <c r="J24" s="7">
        <v>721</v>
      </c>
      <c r="K24" s="8" t="s">
        <v>27</v>
      </c>
      <c r="L24" s="768">
        <v>760</v>
      </c>
      <c r="M24" s="6" t="s">
        <v>97</v>
      </c>
      <c r="N24" s="6"/>
      <c r="P24" s="13"/>
      <c r="Q24" s="15"/>
      <c r="R24" s="12"/>
      <c r="S24" s="15"/>
      <c r="T24" s="15"/>
      <c r="U24" s="15"/>
      <c r="V24" s="15"/>
      <c r="W24" s="15"/>
      <c r="X24" s="17"/>
      <c r="Y24" s="16"/>
      <c r="Z24" s="15"/>
      <c r="AA24" s="12"/>
      <c r="AB24" s="15"/>
      <c r="AC24" s="15"/>
      <c r="AD24" s="15"/>
      <c r="AE24" s="15"/>
      <c r="AF24" s="15"/>
      <c r="AH24" s="5">
        <v>517</v>
      </c>
      <c r="AI24" s="5" t="s">
        <v>104</v>
      </c>
      <c r="AJ24" s="983">
        <v>0.12</v>
      </c>
      <c r="AK24" s="983">
        <v>0.06</v>
      </c>
    </row>
    <row r="25" spans="1:37" ht="15" customHeight="1">
      <c r="A25" s="5">
        <v>519</v>
      </c>
      <c r="B25" s="5" t="s">
        <v>107</v>
      </c>
      <c r="C25" s="5" t="s">
        <v>68</v>
      </c>
      <c r="D25" s="10"/>
      <c r="E25" s="9"/>
      <c r="F25" s="8"/>
      <c r="G25" s="5" t="s">
        <v>108</v>
      </c>
      <c r="H25" s="5" t="s">
        <v>109</v>
      </c>
      <c r="I25" s="8"/>
      <c r="J25" s="7">
        <v>722</v>
      </c>
      <c r="K25" s="8" t="s">
        <v>110</v>
      </c>
      <c r="L25" s="768">
        <v>770</v>
      </c>
      <c r="M25" s="6" t="s">
        <v>111</v>
      </c>
      <c r="N25" s="6"/>
      <c r="P25" s="13"/>
      <c r="Q25" s="15"/>
      <c r="R25" s="12"/>
      <c r="S25" s="15"/>
      <c r="T25" s="15"/>
      <c r="U25" s="15"/>
      <c r="V25" s="15"/>
      <c r="W25" s="15"/>
      <c r="X25" s="17"/>
      <c r="Y25" s="16"/>
      <c r="Z25" s="15"/>
      <c r="AA25" s="12"/>
      <c r="AB25" s="15"/>
      <c r="AC25" s="15"/>
      <c r="AD25" s="15"/>
      <c r="AE25" s="15"/>
      <c r="AF25" s="15"/>
      <c r="AH25" s="5">
        <v>519</v>
      </c>
      <c r="AI25" s="5" t="s">
        <v>107</v>
      </c>
      <c r="AJ25" s="983">
        <v>9.7500000000000003E-2</v>
      </c>
      <c r="AK25" s="983">
        <v>0.09</v>
      </c>
    </row>
    <row r="26" spans="1:37" ht="15" customHeight="1">
      <c r="A26" s="5">
        <v>526</v>
      </c>
      <c r="B26" s="5" t="s">
        <v>112</v>
      </c>
      <c r="C26" s="5" t="s">
        <v>36</v>
      </c>
      <c r="D26" s="10"/>
      <c r="E26" s="9"/>
      <c r="F26" s="8"/>
      <c r="G26" s="5" t="s">
        <v>113</v>
      </c>
      <c r="H26" s="5" t="s">
        <v>114</v>
      </c>
      <c r="I26" s="8"/>
      <c r="J26" s="7">
        <v>722</v>
      </c>
      <c r="K26" s="8" t="s">
        <v>110</v>
      </c>
      <c r="L26" s="768">
        <v>770</v>
      </c>
      <c r="M26" s="6" t="s">
        <v>111</v>
      </c>
      <c r="N26" s="6"/>
      <c r="P26" s="13"/>
      <c r="Q26" s="15"/>
      <c r="R26" s="12"/>
      <c r="S26" s="15"/>
      <c r="T26" s="15"/>
      <c r="U26" s="15"/>
      <c r="V26" s="15"/>
      <c r="W26" s="15"/>
      <c r="X26" s="17"/>
      <c r="Y26" s="16"/>
      <c r="Z26" s="15"/>
      <c r="AA26" s="12"/>
      <c r="AB26" s="15"/>
      <c r="AC26" s="15"/>
      <c r="AD26" s="15"/>
      <c r="AE26" s="15"/>
      <c r="AF26" s="15"/>
      <c r="AH26" s="5">
        <v>526</v>
      </c>
      <c r="AI26" s="5" t="s">
        <v>112</v>
      </c>
      <c r="AJ26" s="983"/>
      <c r="AK26" s="983">
        <v>3.3799999999999997E-2</v>
      </c>
    </row>
    <row r="27" spans="1:37" ht="15" customHeight="1">
      <c r="A27" s="5">
        <v>549</v>
      </c>
      <c r="B27" s="5" t="s">
        <v>115</v>
      </c>
      <c r="C27" s="5" t="s">
        <v>84</v>
      </c>
      <c r="D27" s="10"/>
      <c r="E27" s="9"/>
      <c r="F27" s="8"/>
      <c r="G27" s="5" t="s">
        <v>116</v>
      </c>
      <c r="H27" s="5" t="s">
        <v>117</v>
      </c>
      <c r="I27" s="8"/>
      <c r="J27" s="7">
        <v>722</v>
      </c>
      <c r="K27" s="8" t="s">
        <v>110</v>
      </c>
      <c r="L27" s="768">
        <v>770</v>
      </c>
      <c r="M27" s="6" t="s">
        <v>111</v>
      </c>
      <c r="N27" s="6"/>
      <c r="P27" s="13"/>
      <c r="Q27" s="15"/>
      <c r="R27" s="12"/>
      <c r="S27" s="15"/>
      <c r="T27" s="15"/>
      <c r="U27" s="15"/>
      <c r="V27" s="15"/>
      <c r="W27" s="15"/>
      <c r="X27" s="17"/>
      <c r="Y27" s="16"/>
      <c r="Z27" s="15"/>
      <c r="AA27" s="12"/>
      <c r="AB27" s="15"/>
      <c r="AC27" s="15"/>
      <c r="AD27" s="15"/>
      <c r="AE27" s="15"/>
      <c r="AF27" s="15"/>
      <c r="AH27" s="5">
        <v>549</v>
      </c>
      <c r="AI27" s="5" t="s">
        <v>115</v>
      </c>
      <c r="AJ27" s="983">
        <v>9.2299999999999993E-2</v>
      </c>
      <c r="AK27" s="983">
        <v>9.2299999999999993E-2</v>
      </c>
    </row>
    <row r="28" spans="1:37" ht="15" customHeight="1">
      <c r="A28" s="5">
        <v>599</v>
      </c>
      <c r="B28" s="5" t="s">
        <v>118</v>
      </c>
      <c r="C28" s="5" t="s">
        <v>68</v>
      </c>
      <c r="D28" s="10"/>
      <c r="E28" s="9"/>
      <c r="F28" s="8"/>
      <c r="G28" s="5" t="s">
        <v>119</v>
      </c>
      <c r="H28" s="5" t="s">
        <v>120</v>
      </c>
      <c r="I28" s="8"/>
      <c r="J28" s="7">
        <v>722</v>
      </c>
      <c r="K28" s="8" t="s">
        <v>110</v>
      </c>
      <c r="L28" s="768">
        <v>780</v>
      </c>
      <c r="M28" s="6" t="s">
        <v>121</v>
      </c>
      <c r="N28" s="6"/>
      <c r="P28" s="13"/>
      <c r="Q28" s="15"/>
      <c r="R28" s="12"/>
      <c r="S28" s="15"/>
      <c r="T28" s="15"/>
      <c r="U28" s="15"/>
      <c r="V28" s="15"/>
      <c r="W28" s="15"/>
      <c r="X28" s="17"/>
      <c r="Y28" s="16"/>
      <c r="Z28" s="15"/>
      <c r="AA28" s="12"/>
      <c r="AB28" s="15"/>
      <c r="AC28" s="15"/>
      <c r="AD28" s="15"/>
      <c r="AE28" s="15"/>
      <c r="AF28" s="15"/>
      <c r="AH28" s="5">
        <v>599</v>
      </c>
      <c r="AI28" s="5" t="s">
        <v>118</v>
      </c>
      <c r="AJ28" s="983">
        <v>9.7500000000000003E-2</v>
      </c>
      <c r="AK28" s="983">
        <v>0.09</v>
      </c>
    </row>
    <row r="29" spans="1:37" ht="15" customHeight="1">
      <c r="A29" s="5">
        <v>705</v>
      </c>
      <c r="B29" s="5" t="s">
        <v>122</v>
      </c>
      <c r="C29" s="5" t="s">
        <v>64</v>
      </c>
      <c r="D29" s="10"/>
      <c r="E29" s="9"/>
      <c r="F29" s="8"/>
      <c r="G29" s="5" t="s">
        <v>123</v>
      </c>
      <c r="H29" s="5" t="s">
        <v>124</v>
      </c>
      <c r="I29" s="8"/>
      <c r="J29" s="7">
        <v>722</v>
      </c>
      <c r="K29" s="8" t="s">
        <v>110</v>
      </c>
      <c r="L29" s="768">
        <v>780</v>
      </c>
      <c r="M29" s="6" t="s">
        <v>121</v>
      </c>
      <c r="N29" s="6"/>
      <c r="P29" s="13"/>
      <c r="Q29" s="15"/>
      <c r="R29" s="12"/>
      <c r="S29" s="15"/>
      <c r="T29" s="15"/>
      <c r="U29" s="15"/>
      <c r="V29" s="15"/>
      <c r="W29" s="15"/>
      <c r="X29" s="17"/>
      <c r="Y29" s="16"/>
      <c r="Z29" s="15"/>
      <c r="AA29" s="12"/>
      <c r="AB29" s="15"/>
      <c r="AC29" s="15"/>
      <c r="AD29" s="15"/>
      <c r="AE29" s="15"/>
      <c r="AF29" s="15"/>
      <c r="AH29" s="5">
        <v>705</v>
      </c>
      <c r="AI29" s="5" t="s">
        <v>122</v>
      </c>
      <c r="AJ29" s="983">
        <v>0.15</v>
      </c>
      <c r="AK29" s="983">
        <v>0.15</v>
      </c>
    </row>
    <row r="30" spans="1:37" ht="15" customHeight="1">
      <c r="A30" s="5">
        <v>729</v>
      </c>
      <c r="B30" s="5" t="s">
        <v>125</v>
      </c>
      <c r="C30" s="5" t="s">
        <v>68</v>
      </c>
      <c r="D30" s="10"/>
      <c r="E30" s="9"/>
      <c r="F30" s="8"/>
      <c r="G30" s="5" t="s">
        <v>126</v>
      </c>
      <c r="H30" s="5" t="s">
        <v>127</v>
      </c>
      <c r="I30" s="8"/>
      <c r="J30" s="7">
        <v>722</v>
      </c>
      <c r="K30" s="8" t="s">
        <v>110</v>
      </c>
      <c r="L30" s="768">
        <v>780</v>
      </c>
      <c r="M30" s="6" t="s">
        <v>121</v>
      </c>
      <c r="N30" s="6"/>
      <c r="P30" s="13"/>
      <c r="Q30" s="15"/>
      <c r="R30" s="12"/>
      <c r="S30" s="15"/>
      <c r="T30" s="15"/>
      <c r="U30" s="15"/>
      <c r="V30" s="15"/>
      <c r="W30" s="15"/>
      <c r="X30" s="17"/>
      <c r="Y30" s="16"/>
      <c r="Z30" s="15"/>
      <c r="AA30" s="12"/>
      <c r="AB30" s="15"/>
      <c r="AC30" s="15"/>
      <c r="AD30" s="15"/>
      <c r="AE30" s="15"/>
      <c r="AF30" s="15"/>
      <c r="AH30" s="5">
        <v>729</v>
      </c>
      <c r="AI30" s="5" t="s">
        <v>125</v>
      </c>
      <c r="AJ30" s="983">
        <v>9.7500000000000003E-2</v>
      </c>
      <c r="AK30" s="983">
        <v>0.09</v>
      </c>
    </row>
    <row r="31" spans="1:37" ht="15" customHeight="1">
      <c r="A31" s="5">
        <v>761</v>
      </c>
      <c r="B31" s="5" t="s">
        <v>128</v>
      </c>
      <c r="C31" s="5" t="s">
        <v>41</v>
      </c>
      <c r="D31" s="10"/>
      <c r="E31" s="9"/>
      <c r="F31" s="8"/>
      <c r="G31" s="5" t="s">
        <v>129</v>
      </c>
      <c r="H31" s="5" t="s">
        <v>130</v>
      </c>
      <c r="I31" s="8"/>
      <c r="J31" s="7">
        <v>722</v>
      </c>
      <c r="K31" s="8" t="s">
        <v>110</v>
      </c>
      <c r="L31" s="768">
        <v>780</v>
      </c>
      <c r="M31" s="6" t="s">
        <v>121</v>
      </c>
      <c r="N31" s="6"/>
      <c r="P31" s="13"/>
      <c r="Q31" s="15"/>
      <c r="R31" s="12"/>
      <c r="S31" s="15"/>
      <c r="T31" s="15"/>
      <c r="U31" s="15"/>
      <c r="V31" s="15"/>
      <c r="W31" s="15"/>
      <c r="X31" s="17"/>
      <c r="Y31" s="16"/>
      <c r="Z31" s="15"/>
      <c r="AA31" s="12"/>
      <c r="AB31" s="15"/>
      <c r="AC31" s="15"/>
      <c r="AD31" s="15"/>
      <c r="AE31" s="15"/>
      <c r="AF31" s="15"/>
      <c r="AH31" s="5">
        <v>761</v>
      </c>
      <c r="AI31" s="5" t="s">
        <v>128</v>
      </c>
      <c r="AJ31" s="983">
        <v>4.4999999999999998E-2</v>
      </c>
      <c r="AK31" s="983">
        <v>5.2499999999999998E-2</v>
      </c>
    </row>
    <row r="32" spans="1:37" ht="15" customHeight="1">
      <c r="A32" s="5"/>
      <c r="D32" s="10"/>
      <c r="E32" s="9"/>
      <c r="F32" s="8"/>
      <c r="G32" s="5" t="s">
        <v>131</v>
      </c>
      <c r="H32" s="5" t="s">
        <v>132</v>
      </c>
      <c r="I32" s="8"/>
      <c r="J32" s="7">
        <v>722</v>
      </c>
      <c r="K32" s="8" t="s">
        <v>110</v>
      </c>
      <c r="L32" s="768">
        <v>780</v>
      </c>
      <c r="M32" s="6" t="s">
        <v>121</v>
      </c>
      <c r="N32" s="6"/>
      <c r="P32" s="13"/>
      <c r="Q32" s="15"/>
      <c r="R32" s="12"/>
      <c r="S32" s="15"/>
      <c r="T32" s="15"/>
      <c r="U32" s="15"/>
      <c r="V32" s="15"/>
      <c r="W32" s="15"/>
      <c r="X32" s="17"/>
      <c r="Y32" s="16"/>
      <c r="Z32" s="15"/>
      <c r="AA32" s="12"/>
      <c r="AB32" s="15"/>
      <c r="AC32" s="15"/>
      <c r="AD32" s="15"/>
      <c r="AE32" s="15"/>
      <c r="AF32" s="15"/>
      <c r="AJ32" s="984"/>
      <c r="AK32" s="984"/>
    </row>
    <row r="33" spans="1:37" ht="15" customHeight="1">
      <c r="A33" s="5">
        <v>255</v>
      </c>
      <c r="B33" s="5" t="s">
        <v>133</v>
      </c>
      <c r="C33" s="5" t="s">
        <v>36</v>
      </c>
      <c r="D33" s="10"/>
      <c r="E33" s="9"/>
      <c r="F33" s="8"/>
      <c r="N33" s="6"/>
      <c r="P33" s="13"/>
      <c r="Q33" s="15"/>
      <c r="R33" s="12"/>
      <c r="S33" s="15"/>
      <c r="T33" s="15"/>
      <c r="U33" s="15"/>
      <c r="V33" s="15"/>
      <c r="W33" s="15"/>
      <c r="X33" s="17"/>
      <c r="Y33" s="16"/>
      <c r="Z33" s="15"/>
      <c r="AA33" s="12"/>
      <c r="AB33" s="15"/>
      <c r="AC33" s="15"/>
      <c r="AD33" s="15"/>
      <c r="AE33" s="15"/>
      <c r="AF33" s="15"/>
      <c r="AH33" s="5">
        <v>255</v>
      </c>
      <c r="AI33" s="5" t="s">
        <v>133</v>
      </c>
      <c r="AJ33" s="984"/>
      <c r="AK33" s="984"/>
    </row>
    <row r="34" spans="1:37" ht="15" customHeight="1">
      <c r="A34" s="5">
        <v>261</v>
      </c>
      <c r="B34" s="5" t="s">
        <v>134</v>
      </c>
      <c r="C34" s="5" t="s">
        <v>24</v>
      </c>
      <c r="D34" s="10"/>
      <c r="E34" s="9"/>
      <c r="F34" s="8"/>
      <c r="P34" s="13"/>
      <c r="Q34" s="15"/>
      <c r="R34" s="12"/>
      <c r="S34" s="15"/>
      <c r="T34" s="15"/>
      <c r="U34" s="15"/>
      <c r="V34" s="15"/>
      <c r="W34" s="15"/>
      <c r="X34" s="17"/>
      <c r="Y34" s="16"/>
      <c r="Z34" s="15"/>
      <c r="AA34" s="12"/>
      <c r="AB34" s="15"/>
      <c r="AC34" s="15"/>
      <c r="AD34" s="15"/>
      <c r="AE34" s="15"/>
      <c r="AF34" s="15"/>
      <c r="AH34" s="5">
        <v>261</v>
      </c>
      <c r="AI34" s="5" t="s">
        <v>134</v>
      </c>
      <c r="AJ34" s="984"/>
      <c r="AK34" s="984"/>
    </row>
    <row r="35" spans="1:37" ht="15" customHeight="1">
      <c r="A35" s="5">
        <v>516</v>
      </c>
      <c r="B35" s="5" t="s">
        <v>135</v>
      </c>
      <c r="C35" s="5" t="s">
        <v>34</v>
      </c>
      <c r="D35" s="10"/>
      <c r="E35" s="9"/>
      <c r="F35" s="8"/>
      <c r="P35" s="13"/>
      <c r="Q35" s="15"/>
      <c r="R35" s="12"/>
      <c r="S35" s="15"/>
      <c r="T35" s="15"/>
      <c r="U35" s="15"/>
      <c r="V35" s="15"/>
      <c r="W35" s="15"/>
      <c r="X35" s="17"/>
      <c r="Y35" s="16"/>
      <c r="Z35" s="15"/>
      <c r="AA35" s="12"/>
      <c r="AB35" s="15"/>
      <c r="AC35" s="15"/>
      <c r="AD35" s="15"/>
      <c r="AE35" s="15"/>
      <c r="AF35" s="15"/>
      <c r="AH35" s="5">
        <v>516</v>
      </c>
      <c r="AI35" s="5" t="s">
        <v>135</v>
      </c>
      <c r="AJ35" s="984"/>
      <c r="AK35" s="984"/>
    </row>
    <row r="36" spans="1:37" ht="15" customHeight="1">
      <c r="A36" s="5">
        <v>593</v>
      </c>
      <c r="B36" s="5" t="s">
        <v>136</v>
      </c>
      <c r="C36" s="5" t="s">
        <v>24</v>
      </c>
      <c r="D36" s="10"/>
      <c r="E36" s="9"/>
      <c r="F36" s="8"/>
      <c r="G36" s="7"/>
      <c r="H36" s="8"/>
      <c r="I36" s="8"/>
      <c r="J36" s="7"/>
      <c r="K36" s="8"/>
      <c r="L36" s="7"/>
      <c r="P36" s="13"/>
      <c r="Q36" s="15"/>
      <c r="R36" s="12"/>
      <c r="S36" s="15"/>
      <c r="T36" s="15"/>
      <c r="U36" s="15"/>
      <c r="V36" s="15"/>
      <c r="W36" s="15"/>
      <c r="X36" s="17"/>
      <c r="Y36" s="16"/>
      <c r="Z36" s="15"/>
      <c r="AA36" s="12"/>
      <c r="AB36" s="15"/>
      <c r="AC36" s="15"/>
      <c r="AD36" s="15"/>
      <c r="AE36" s="15"/>
      <c r="AF36" s="15"/>
      <c r="AH36" s="5">
        <v>593</v>
      </c>
      <c r="AI36" s="5" t="s">
        <v>136</v>
      </c>
      <c r="AJ36" s="983">
        <v>5.5E-2</v>
      </c>
      <c r="AK36" s="983">
        <v>5.5E-2</v>
      </c>
    </row>
    <row r="37" spans="1:37" ht="15" customHeight="1">
      <c r="A37" s="5">
        <v>597</v>
      </c>
      <c r="B37" s="5" t="s">
        <v>137</v>
      </c>
      <c r="C37" s="5" t="s">
        <v>24</v>
      </c>
      <c r="D37" s="10"/>
      <c r="E37" s="9"/>
      <c r="F37" s="8"/>
      <c r="G37" s="7"/>
      <c r="H37" s="8"/>
      <c r="I37" s="8"/>
      <c r="J37" s="7"/>
      <c r="K37" s="8"/>
      <c r="L37" s="7"/>
      <c r="P37" s="13"/>
      <c r="Q37" s="15"/>
      <c r="R37" s="12"/>
      <c r="S37" s="15"/>
      <c r="T37" s="15"/>
      <c r="U37" s="15"/>
      <c r="V37" s="15"/>
      <c r="W37" s="15"/>
      <c r="X37" s="17"/>
      <c r="Y37" s="16"/>
      <c r="Z37" s="15"/>
      <c r="AA37" s="12"/>
      <c r="AB37" s="15"/>
      <c r="AC37" s="15"/>
      <c r="AD37" s="15"/>
      <c r="AE37" s="15"/>
      <c r="AF37" s="15"/>
      <c r="AH37" s="5">
        <v>597</v>
      </c>
      <c r="AI37" s="5" t="s">
        <v>137</v>
      </c>
      <c r="AJ37" s="983">
        <v>5.5E-2</v>
      </c>
      <c r="AK37" s="983">
        <v>5.5E-2</v>
      </c>
    </row>
    <row r="38" spans="1:37" ht="15" customHeight="1">
      <c r="A38" s="5"/>
      <c r="D38" s="10"/>
      <c r="E38" s="9"/>
      <c r="F38" s="8"/>
      <c r="G38" s="7"/>
      <c r="H38" s="8"/>
      <c r="I38" s="8"/>
      <c r="J38" s="7"/>
      <c r="K38" s="8"/>
      <c r="L38" s="7"/>
      <c r="P38" s="13"/>
      <c r="Q38" s="15"/>
      <c r="R38" s="12"/>
      <c r="S38" s="15"/>
      <c r="T38" s="15"/>
      <c r="U38" s="15"/>
      <c r="V38" s="15"/>
      <c r="W38" s="15"/>
      <c r="X38" s="17"/>
      <c r="Y38" s="16"/>
      <c r="Z38" s="15"/>
      <c r="AA38" s="12"/>
      <c r="AB38" s="15"/>
      <c r="AC38" s="15"/>
      <c r="AD38" s="15"/>
      <c r="AE38" s="15"/>
      <c r="AF38" s="15"/>
      <c r="AJ38" s="984"/>
      <c r="AK38" s="984"/>
    </row>
    <row r="39" spans="1:37" ht="15" customHeight="1">
      <c r="A39" s="5">
        <v>71</v>
      </c>
      <c r="B39" s="5" t="s">
        <v>138</v>
      </c>
      <c r="C39" s="5" t="s">
        <v>64</v>
      </c>
      <c r="D39" s="10"/>
      <c r="E39" s="9"/>
      <c r="F39" s="8"/>
      <c r="G39" s="7"/>
      <c r="H39" s="8"/>
      <c r="I39" s="8"/>
      <c r="J39" s="7"/>
      <c r="K39" s="8"/>
      <c r="L39" s="7"/>
      <c r="P39" s="13"/>
      <c r="Q39" s="15"/>
      <c r="R39" s="12"/>
      <c r="S39" s="15"/>
      <c r="T39" s="15"/>
      <c r="U39" s="15"/>
      <c r="V39" s="15"/>
      <c r="W39" s="15"/>
      <c r="X39" s="17"/>
      <c r="Y39" s="16"/>
      <c r="Z39" s="15"/>
      <c r="AA39" s="12"/>
      <c r="AB39" s="15"/>
      <c r="AC39" s="15"/>
      <c r="AD39" s="15"/>
      <c r="AE39" s="15"/>
      <c r="AF39" s="15"/>
      <c r="AH39" s="5">
        <v>71</v>
      </c>
      <c r="AI39" s="5" t="s">
        <v>138</v>
      </c>
      <c r="AJ39" s="984"/>
      <c r="AK39" s="984"/>
    </row>
    <row r="40" spans="1:37" ht="15" customHeight="1">
      <c r="A40" s="5">
        <v>72</v>
      </c>
      <c r="B40" s="5" t="s">
        <v>139</v>
      </c>
      <c r="C40" s="5" t="s">
        <v>41</v>
      </c>
      <c r="D40" s="10"/>
      <c r="E40" s="9"/>
      <c r="F40" s="8"/>
      <c r="G40" s="7"/>
      <c r="H40" s="8"/>
      <c r="I40" s="8"/>
      <c r="J40" s="7"/>
      <c r="K40" s="8"/>
      <c r="L40" s="7"/>
      <c r="P40" s="13"/>
      <c r="Q40" s="15"/>
      <c r="R40" s="12"/>
      <c r="S40" s="15"/>
      <c r="T40" s="15"/>
      <c r="U40" s="15"/>
      <c r="V40" s="15"/>
      <c r="W40" s="15"/>
      <c r="X40" s="17"/>
      <c r="Y40" s="16"/>
      <c r="Z40" s="15"/>
      <c r="AA40" s="12"/>
      <c r="AB40" s="15"/>
      <c r="AC40" s="15"/>
      <c r="AD40" s="15"/>
      <c r="AE40" s="15"/>
      <c r="AF40" s="15"/>
      <c r="AH40" s="5">
        <v>72</v>
      </c>
      <c r="AI40" s="5" t="s">
        <v>139</v>
      </c>
      <c r="AJ40" s="984"/>
      <c r="AK40" s="984"/>
    </row>
    <row r="41" spans="1:37" ht="15" customHeight="1">
      <c r="A41" s="5">
        <v>114</v>
      </c>
      <c r="B41" s="5" t="s">
        <v>140</v>
      </c>
      <c r="C41" s="5" t="s">
        <v>84</v>
      </c>
      <c r="D41" s="10"/>
      <c r="E41" s="9"/>
      <c r="F41" s="8"/>
      <c r="G41" s="7"/>
      <c r="H41" s="8"/>
      <c r="I41" s="8"/>
      <c r="J41" s="7"/>
      <c r="K41" s="8"/>
      <c r="L41" s="7"/>
      <c r="P41" s="13"/>
      <c r="Q41" s="15"/>
      <c r="R41" s="12"/>
      <c r="S41" s="15"/>
      <c r="T41" s="15"/>
      <c r="U41" s="15"/>
      <c r="V41" s="15"/>
      <c r="W41" s="15"/>
      <c r="X41" s="17"/>
      <c r="Y41" s="16"/>
      <c r="Z41" s="15"/>
      <c r="AA41" s="12"/>
      <c r="AB41" s="15"/>
      <c r="AC41" s="15"/>
      <c r="AD41" s="15"/>
      <c r="AE41" s="15"/>
      <c r="AF41" s="15"/>
      <c r="AH41" s="5">
        <v>114</v>
      </c>
      <c r="AI41" s="5" t="s">
        <v>140</v>
      </c>
      <c r="AJ41" s="984"/>
      <c r="AK41" s="984"/>
    </row>
    <row r="42" spans="1:37" ht="15" customHeight="1">
      <c r="A42" s="5">
        <v>143</v>
      </c>
      <c r="B42" s="5" t="s">
        <v>141</v>
      </c>
      <c r="C42" s="5" t="s">
        <v>36</v>
      </c>
      <c r="D42" s="10"/>
      <c r="E42" s="9"/>
      <c r="F42" s="8"/>
      <c r="G42" s="7"/>
      <c r="H42" s="8"/>
      <c r="I42" s="8"/>
      <c r="J42" s="7"/>
      <c r="K42" s="8"/>
      <c r="L42" s="7"/>
      <c r="P42" s="13"/>
      <c r="Q42" s="15"/>
      <c r="R42" s="12"/>
      <c r="S42" s="15"/>
      <c r="T42" s="15"/>
      <c r="U42" s="15"/>
      <c r="V42" s="15"/>
      <c r="W42" s="15"/>
      <c r="X42" s="17"/>
      <c r="Y42" s="16"/>
      <c r="Z42" s="15"/>
      <c r="AA42" s="12"/>
      <c r="AB42" s="15"/>
      <c r="AC42" s="15"/>
      <c r="AD42" s="15"/>
      <c r="AE42" s="15"/>
      <c r="AF42" s="15"/>
      <c r="AH42" s="5">
        <v>143</v>
      </c>
      <c r="AI42" s="5" t="s">
        <v>141</v>
      </c>
      <c r="AJ42" s="984"/>
      <c r="AK42" s="984"/>
    </row>
    <row r="43" spans="1:37" ht="15" customHeight="1">
      <c r="A43" s="5">
        <v>210</v>
      </c>
      <c r="B43" s="5" t="s">
        <v>142</v>
      </c>
      <c r="C43" s="5" t="s">
        <v>52</v>
      </c>
      <c r="D43" s="10"/>
      <c r="E43" s="9"/>
      <c r="F43" s="8"/>
      <c r="G43" s="7"/>
      <c r="H43" s="8"/>
      <c r="I43" s="8"/>
      <c r="J43" s="7"/>
      <c r="K43" s="8"/>
      <c r="L43" s="7"/>
      <c r="P43" s="13"/>
      <c r="Q43" s="15"/>
      <c r="R43" s="12"/>
      <c r="S43" s="15"/>
      <c r="T43" s="15"/>
      <c r="U43" s="15"/>
      <c r="V43" s="15"/>
      <c r="W43" s="15"/>
      <c r="X43" s="17"/>
      <c r="Y43" s="16"/>
      <c r="Z43" s="15"/>
      <c r="AA43" s="12"/>
      <c r="AB43" s="15"/>
      <c r="AC43" s="15"/>
      <c r="AD43" s="15"/>
      <c r="AE43" s="15"/>
      <c r="AF43" s="15"/>
      <c r="AH43" s="5">
        <v>210</v>
      </c>
      <c r="AI43" s="5" t="s">
        <v>142</v>
      </c>
      <c r="AJ43" s="984"/>
      <c r="AK43" s="984"/>
    </row>
    <row r="44" spans="1:37" ht="15" customHeight="1">
      <c r="A44" s="5">
        <v>212</v>
      </c>
      <c r="B44" s="5" t="s">
        <v>143</v>
      </c>
      <c r="C44" s="5" t="s">
        <v>68</v>
      </c>
      <c r="D44" s="10"/>
      <c r="E44" s="9"/>
      <c r="F44" s="8"/>
      <c r="G44" s="7"/>
      <c r="H44" s="8"/>
      <c r="I44" s="8"/>
      <c r="J44" s="7"/>
      <c r="K44" s="8"/>
      <c r="L44" s="7"/>
      <c r="P44" s="13"/>
      <c r="Q44" s="15"/>
      <c r="R44" s="12"/>
      <c r="S44" s="15"/>
      <c r="T44" s="15"/>
      <c r="U44" s="15"/>
      <c r="V44" s="15"/>
      <c r="W44" s="15"/>
      <c r="X44" s="17"/>
      <c r="Y44" s="16"/>
      <c r="Z44" s="15"/>
      <c r="AA44" s="12"/>
      <c r="AB44" s="15"/>
      <c r="AC44" s="15"/>
      <c r="AD44" s="15"/>
      <c r="AE44" s="15"/>
      <c r="AF44" s="15"/>
      <c r="AH44" s="5">
        <v>212</v>
      </c>
      <c r="AI44" s="5" t="s">
        <v>143</v>
      </c>
      <c r="AJ44" s="984"/>
      <c r="AK44" s="984">
        <v>0.10879999999999999</v>
      </c>
    </row>
    <row r="45" spans="1:37" ht="15" customHeight="1">
      <c r="A45" s="5">
        <v>219</v>
      </c>
      <c r="B45" s="5" t="s">
        <v>144</v>
      </c>
      <c r="C45" s="5" t="s">
        <v>76</v>
      </c>
      <c r="D45" s="10"/>
      <c r="E45" s="9"/>
      <c r="F45" s="8"/>
      <c r="G45" s="7"/>
      <c r="H45" s="8"/>
      <c r="I45" s="8"/>
      <c r="J45" s="7"/>
      <c r="K45" s="8"/>
      <c r="L45" s="7"/>
      <c r="P45" s="13"/>
      <c r="Q45" s="15"/>
      <c r="R45" s="12"/>
      <c r="S45" s="15"/>
      <c r="T45" s="15"/>
      <c r="U45" s="15"/>
      <c r="V45" s="15"/>
      <c r="W45" s="15"/>
      <c r="X45" s="17"/>
      <c r="Y45" s="16"/>
      <c r="Z45" s="15"/>
      <c r="AA45" s="12"/>
      <c r="AB45" s="15"/>
      <c r="AC45" s="15"/>
      <c r="AD45" s="15"/>
      <c r="AE45" s="15"/>
      <c r="AF45" s="15"/>
      <c r="AH45" s="5">
        <v>219</v>
      </c>
      <c r="AI45" s="5" t="s">
        <v>144</v>
      </c>
      <c r="AJ45" s="984"/>
      <c r="AK45" s="984"/>
    </row>
    <row r="46" spans="1:37" ht="15" customHeight="1">
      <c r="A46" s="5">
        <v>233</v>
      </c>
      <c r="B46" s="5" t="s">
        <v>145</v>
      </c>
      <c r="C46" s="5" t="s">
        <v>31</v>
      </c>
      <c r="D46" s="10"/>
      <c r="E46" s="9"/>
      <c r="F46" s="8"/>
      <c r="G46" s="7"/>
      <c r="H46" s="8"/>
      <c r="I46" s="8"/>
      <c r="J46" s="7"/>
      <c r="K46" s="8"/>
      <c r="L46" s="7"/>
      <c r="P46" s="13"/>
      <c r="Q46" s="15"/>
      <c r="R46" s="12"/>
      <c r="S46" s="15"/>
      <c r="T46" s="15"/>
      <c r="U46" s="15"/>
      <c r="V46" s="15"/>
      <c r="W46" s="15"/>
      <c r="X46" s="17"/>
      <c r="Y46" s="16"/>
      <c r="Z46" s="15"/>
      <c r="AA46" s="12"/>
      <c r="AB46" s="15"/>
      <c r="AC46" s="15"/>
      <c r="AD46" s="15"/>
      <c r="AE46" s="15"/>
      <c r="AF46" s="15"/>
      <c r="AH46" s="5">
        <v>233</v>
      </c>
      <c r="AI46" s="5" t="s">
        <v>145</v>
      </c>
      <c r="AJ46" s="984"/>
      <c r="AK46" s="984"/>
    </row>
    <row r="47" spans="1:37" ht="15" customHeight="1">
      <c r="A47" s="5">
        <v>244</v>
      </c>
      <c r="B47" s="5" t="s">
        <v>146</v>
      </c>
      <c r="C47" s="5" t="s">
        <v>88</v>
      </c>
      <c r="D47" s="10"/>
      <c r="E47" s="9"/>
      <c r="F47" s="8"/>
      <c r="G47" s="7"/>
      <c r="H47" s="8"/>
      <c r="I47" s="8"/>
      <c r="J47" s="7"/>
      <c r="K47" s="8"/>
      <c r="L47" s="7"/>
      <c r="P47" s="13"/>
      <c r="Q47" s="15"/>
      <c r="R47" s="12"/>
      <c r="S47" s="15"/>
      <c r="T47" s="15"/>
      <c r="U47" s="15"/>
      <c r="V47" s="15"/>
      <c r="W47" s="15"/>
      <c r="X47" s="17"/>
      <c r="Y47" s="16"/>
      <c r="Z47" s="15"/>
      <c r="AA47" s="12"/>
      <c r="AB47" s="15"/>
      <c r="AC47" s="15"/>
      <c r="AD47" s="15"/>
      <c r="AE47" s="15"/>
      <c r="AF47" s="15"/>
      <c r="AH47" s="5">
        <v>244</v>
      </c>
      <c r="AI47" s="5" t="s">
        <v>146</v>
      </c>
      <c r="AJ47" s="984"/>
      <c r="AK47" s="984"/>
    </row>
    <row r="48" spans="1:37" ht="15" customHeight="1">
      <c r="A48" s="5">
        <v>262</v>
      </c>
      <c r="B48" s="5" t="s">
        <v>147</v>
      </c>
      <c r="C48" s="5" t="s">
        <v>24</v>
      </c>
      <c r="D48" s="10"/>
      <c r="E48" s="9"/>
      <c r="F48" s="8"/>
      <c r="G48" s="7"/>
      <c r="H48" s="8"/>
      <c r="I48" s="8"/>
      <c r="J48" s="7"/>
      <c r="K48" s="8"/>
      <c r="L48" s="7"/>
      <c r="P48" s="13"/>
      <c r="Q48" s="15"/>
      <c r="R48" s="12"/>
      <c r="S48" s="15"/>
      <c r="T48" s="15"/>
      <c r="U48" s="15"/>
      <c r="V48" s="15"/>
      <c r="W48" s="15"/>
      <c r="X48" s="14"/>
      <c r="Y48" s="13"/>
      <c r="Z48" s="15"/>
      <c r="AA48" s="12"/>
      <c r="AB48" s="15"/>
      <c r="AC48" s="15"/>
      <c r="AD48" s="15"/>
      <c r="AE48" s="15"/>
      <c r="AF48" s="15"/>
      <c r="AH48" s="5">
        <v>262</v>
      </c>
      <c r="AI48" s="5" t="s">
        <v>147</v>
      </c>
      <c r="AJ48" s="983">
        <v>5.5E-2</v>
      </c>
      <c r="AK48" s="983">
        <v>5.5E-2</v>
      </c>
    </row>
    <row r="49" spans="1:37" ht="15" customHeight="1">
      <c r="A49" s="5">
        <v>285</v>
      </c>
      <c r="B49" s="5" t="s">
        <v>148</v>
      </c>
      <c r="C49" s="5" t="s">
        <v>72</v>
      </c>
      <c r="D49" s="10"/>
      <c r="E49" s="9"/>
      <c r="F49" s="8"/>
      <c r="G49" s="7"/>
      <c r="H49" s="8"/>
      <c r="I49" s="8"/>
      <c r="J49" s="7"/>
      <c r="K49" s="8"/>
      <c r="L49" s="7"/>
      <c r="P49" s="13"/>
      <c r="Q49" s="12"/>
      <c r="R49" s="12"/>
      <c r="S49" s="12"/>
      <c r="T49" s="12"/>
      <c r="U49" s="15"/>
      <c r="V49" s="12"/>
      <c r="W49" s="12"/>
      <c r="X49" s="14"/>
      <c r="Y49" s="13"/>
      <c r="Z49" s="12"/>
      <c r="AA49" s="12"/>
      <c r="AB49" s="12"/>
      <c r="AC49" s="12"/>
      <c r="AD49" s="12"/>
      <c r="AE49" s="12"/>
      <c r="AF49" s="12"/>
      <c r="AH49" s="5">
        <v>285</v>
      </c>
      <c r="AI49" s="5" t="s">
        <v>148</v>
      </c>
      <c r="AJ49" s="984"/>
      <c r="AK49" s="984">
        <v>0.03</v>
      </c>
    </row>
    <row r="50" spans="1:37" ht="15" customHeight="1">
      <c r="A50" s="5">
        <v>538</v>
      </c>
      <c r="B50" s="5" t="s">
        <v>149</v>
      </c>
      <c r="C50" s="5" t="s">
        <v>24</v>
      </c>
      <c r="D50" s="10"/>
      <c r="E50" s="9"/>
      <c r="F50" s="8"/>
      <c r="G50" s="7"/>
      <c r="H50" s="8"/>
      <c r="I50" s="8"/>
      <c r="J50" s="7"/>
      <c r="K50" s="8"/>
      <c r="L50" s="7"/>
      <c r="AH50" s="5">
        <v>538</v>
      </c>
      <c r="AI50" s="5" t="s">
        <v>149</v>
      </c>
      <c r="AJ50" s="983">
        <v>5.3499999999999999E-2</v>
      </c>
      <c r="AK50" s="983">
        <v>5.6599999999999998E-2</v>
      </c>
    </row>
    <row r="51" spans="1:37" ht="15" customHeight="1">
      <c r="A51" s="5">
        <v>668</v>
      </c>
      <c r="B51" s="5" t="s">
        <v>150</v>
      </c>
      <c r="C51" s="5" t="s">
        <v>31</v>
      </c>
      <c r="AH51" s="5">
        <v>668</v>
      </c>
      <c r="AI51" s="5" t="s">
        <v>150</v>
      </c>
      <c r="AJ51" s="984"/>
      <c r="AK51" s="984"/>
    </row>
    <row r="52" spans="1:37" ht="15" customHeight="1">
      <c r="A52" s="5">
        <v>706</v>
      </c>
      <c r="B52" s="5" t="s">
        <v>151</v>
      </c>
      <c r="C52" s="5" t="s">
        <v>36</v>
      </c>
      <c r="AH52" s="5">
        <v>706</v>
      </c>
      <c r="AI52" s="5" t="s">
        <v>151</v>
      </c>
      <c r="AJ52" s="984"/>
      <c r="AK52" s="984"/>
    </row>
    <row r="53" spans="1:37" ht="15" customHeight="1">
      <c r="AH53" s="6"/>
      <c r="AJ53" s="984"/>
      <c r="AK53" s="984"/>
    </row>
    <row r="54" spans="1:37" ht="15" customHeight="1">
      <c r="A54" s="5">
        <v>9</v>
      </c>
      <c r="B54" s="5" t="s">
        <v>152</v>
      </c>
      <c r="C54" s="5" t="s">
        <v>24</v>
      </c>
      <c r="AH54" s="5">
        <v>9</v>
      </c>
      <c r="AI54" s="5" t="s">
        <v>152</v>
      </c>
      <c r="AJ54" s="984"/>
      <c r="AK54" s="984"/>
    </row>
    <row r="55" spans="1:37" ht="15" customHeight="1">
      <c r="AJ55" s="984"/>
      <c r="AK55" s="984"/>
    </row>
    <row r="56" spans="1:37" ht="15" customHeight="1">
      <c r="AJ56" s="984"/>
      <c r="AK56" s="984"/>
    </row>
  </sheetData>
  <mergeCells count="7">
    <mergeCell ref="P4:P5"/>
    <mergeCell ref="Y4:Y5"/>
    <mergeCell ref="AH2:AK2"/>
    <mergeCell ref="A2:C2"/>
    <mergeCell ref="E2:N2"/>
    <mergeCell ref="P2:W2"/>
    <mergeCell ref="Y2:AF2"/>
  </mergeCells>
  <phoneticPr fontId="65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9E087-69B5-4321-B221-90FB8DF351C7}">
  <sheetPr>
    <tabColor rgb="FF0070C0"/>
  </sheetPr>
  <dimension ref="A1:L61"/>
  <sheetViews>
    <sheetView showGridLines="0" zoomScale="70" zoomScaleNormal="70" workbookViewId="0">
      <pane xSplit="3" ySplit="7" topLeftCell="D18" activePane="bottomRight" state="frozen"/>
      <selection pane="topRight" activeCell="D14" sqref="D14"/>
      <selection pane="bottomLeft" activeCell="D14" sqref="D14"/>
      <selection pane="bottomRight" activeCell="H51" sqref="H51:H61"/>
    </sheetView>
  </sheetViews>
  <sheetFormatPr defaultColWidth="9.28515625" defaultRowHeight="12.75" customHeight="1" outlineLevelCol="1"/>
  <cols>
    <col min="1" max="1" width="14.28515625" style="451" customWidth="1" outlineLevel="1"/>
    <col min="2" max="2" width="9.28515625" style="451" customWidth="1" outlineLevel="1"/>
    <col min="3" max="3" width="48.7109375" style="451" bestFit="1" customWidth="1"/>
    <col min="4" max="8" width="20.7109375" style="451" customWidth="1"/>
    <col min="9" max="9" width="7.7109375" style="451" customWidth="1"/>
    <col min="10" max="16384" width="9.28515625" style="451"/>
  </cols>
  <sheetData>
    <row r="1" spans="1:9" ht="19.899999999999999" customHeight="1">
      <c r="C1" s="60" t="str">
        <f>+'0. Instructions'!$A$1</f>
        <v>Budget 2024</v>
      </c>
      <c r="D1" s="60"/>
      <c r="E1" s="60"/>
      <c r="F1" s="471"/>
      <c r="G1" s="610"/>
      <c r="H1" s="610"/>
      <c r="I1" s="577"/>
    </row>
    <row r="2" spans="1:9" ht="19.899999999999999" customHeight="1" thickBot="1">
      <c r="C2" s="55" t="s">
        <v>754</v>
      </c>
      <c r="D2" s="55"/>
      <c r="E2" s="55"/>
      <c r="F2" s="55"/>
      <c r="G2" s="55"/>
      <c r="H2" s="55"/>
      <c r="I2" s="55"/>
    </row>
    <row r="3" spans="1:9" ht="37.9" customHeight="1">
      <c r="A3" s="546"/>
      <c r="B3" s="546"/>
      <c r="C3" s="545"/>
      <c r="D3" s="575"/>
      <c r="E3" s="575"/>
      <c r="F3" s="575"/>
      <c r="G3" s="575"/>
      <c r="H3" s="575"/>
      <c r="I3" s="545"/>
    </row>
    <row r="4" spans="1:9" ht="15">
      <c r="A4" s="546"/>
      <c r="B4" s="546"/>
      <c r="C4" s="545"/>
      <c r="D4" s="575"/>
      <c r="E4" s="575"/>
      <c r="F4" s="575"/>
      <c r="G4" s="575"/>
      <c r="H4" s="575"/>
      <c r="I4" s="545"/>
    </row>
    <row r="5" spans="1:9" ht="15">
      <c r="A5" s="546"/>
      <c r="B5" s="546"/>
      <c r="C5" s="546"/>
      <c r="D5" s="622"/>
      <c r="E5" s="622"/>
      <c r="F5" s="622"/>
      <c r="G5" s="622"/>
      <c r="H5" s="622"/>
      <c r="I5" s="544"/>
    </row>
    <row r="6" spans="1:9" ht="30" customHeight="1">
      <c r="A6" s="546"/>
      <c r="B6" s="546"/>
      <c r="C6" s="545"/>
      <c r="D6" s="623" t="s">
        <v>756</v>
      </c>
      <c r="E6" s="623" t="s">
        <v>757</v>
      </c>
      <c r="F6" s="623" t="s">
        <v>758</v>
      </c>
      <c r="G6" s="623" t="s">
        <v>760</v>
      </c>
      <c r="H6" s="623" t="s">
        <v>761</v>
      </c>
      <c r="I6" s="574"/>
    </row>
    <row r="7" spans="1:9" ht="30" customHeight="1">
      <c r="A7" s="546"/>
      <c r="B7" s="546"/>
      <c r="C7" s="571"/>
      <c r="D7" s="571" t="s">
        <v>1037</v>
      </c>
      <c r="E7" s="571" t="s">
        <v>1038</v>
      </c>
      <c r="F7" s="571" t="s">
        <v>192</v>
      </c>
      <c r="G7" s="571" t="s">
        <v>764</v>
      </c>
      <c r="H7" s="571" t="s">
        <v>1039</v>
      </c>
      <c r="I7" s="593"/>
    </row>
    <row r="8" spans="1:9" ht="15">
      <c r="A8" s="546" t="s">
        <v>1040</v>
      </c>
      <c r="B8" s="546"/>
      <c r="C8" s="581" t="s">
        <v>678</v>
      </c>
      <c r="D8" s="595">
        <f>IFERROR(VLOOKUP($A8,Race_2024!A:L,7,FALSE),0)</f>
        <v>4784882.4369999999</v>
      </c>
      <c r="E8" s="595">
        <f>IFERROR(VLOOKUP($A8,Race_2024!A:L,9,FALSE),0)</f>
        <v>3833244.4419999998</v>
      </c>
      <c r="F8" s="595">
        <f>IFERROR(VLOOKUP($A8,Race_2024!A:L,8,FALSE),0)</f>
        <v>5741379.426</v>
      </c>
      <c r="G8" s="595">
        <f>IFERROR(VLOOKUP($A8,Race_2024!A:L,11,FALSE),0)</f>
        <v>4692162.2230000002</v>
      </c>
      <c r="H8" s="580">
        <f>IFERROR(VLOOKUP($A8,Race_2024!A:L,12,FALSE),0)</f>
        <v>4412440.0279999999</v>
      </c>
      <c r="I8" s="593"/>
    </row>
    <row r="9" spans="1:9" ht="15">
      <c r="A9" s="546" t="s">
        <v>1041</v>
      </c>
      <c r="B9" s="546"/>
      <c r="C9" s="579" t="s">
        <v>1042</v>
      </c>
      <c r="D9" s="578">
        <f>IFERROR(VLOOKUP($A9,Race_2024!A:L,7,FALSE),0)</f>
        <v>3681474.9589999998</v>
      </c>
      <c r="E9" s="578">
        <f>IFERROR(VLOOKUP($A9,Race_2024!A:L,9,FALSE),0)</f>
        <v>2996778.0559999999</v>
      </c>
      <c r="F9" s="578">
        <f>IFERROR(VLOOKUP($A9,Race_2024!A:L,8,FALSE),0)</f>
        <v>4615843.9230000004</v>
      </c>
      <c r="G9" s="578">
        <f>IFERROR(VLOOKUP($A9,Race_2024!A:L,11,FALSE),0)</f>
        <v>3819673.412</v>
      </c>
      <c r="H9" s="589">
        <f>IFERROR(VLOOKUP($A9,Race_2024!A:L,12,FALSE),0)</f>
        <v>3729192.1290000002</v>
      </c>
      <c r="I9" s="593"/>
    </row>
    <row r="10" spans="1:9" ht="15">
      <c r="A10" s="546" t="s">
        <v>1043</v>
      </c>
      <c r="B10" s="546"/>
      <c r="C10" s="579" t="s">
        <v>1044</v>
      </c>
      <c r="D10" s="578">
        <f>IFERROR(VLOOKUP($A10,Race_2024!A:L,7,FALSE),0)</f>
        <v>376400.43300000002</v>
      </c>
      <c r="E10" s="578">
        <f>IFERROR(VLOOKUP($A10,Race_2024!A:L,9,FALSE),0)</f>
        <v>352400.26699999999</v>
      </c>
      <c r="F10" s="578">
        <f>IFERROR(VLOOKUP($A10,Race_2024!A:L,8,FALSE),0)</f>
        <v>599879.78799999994</v>
      </c>
      <c r="G10" s="578">
        <f>IFERROR(VLOOKUP($A10,Race_2024!A:L,11,FALSE),0)</f>
        <v>357902.85700000002</v>
      </c>
      <c r="H10" s="589">
        <f>IFERROR(VLOOKUP($A10,Race_2024!A:L,12,FALSE),0)</f>
        <v>270409.28899999999</v>
      </c>
      <c r="I10" s="593"/>
    </row>
    <row r="11" spans="1:9" ht="15">
      <c r="A11" s="546" t="s">
        <v>1045</v>
      </c>
      <c r="B11" s="546"/>
      <c r="C11" s="579" t="s">
        <v>1046</v>
      </c>
      <c r="D11" s="578">
        <f>IFERROR(VLOOKUP($A11,Race_2024!A:L,7,FALSE),0)</f>
        <v>0</v>
      </c>
      <c r="E11" s="578">
        <f>IFERROR(VLOOKUP($A11,Race_2024!A:L,9,FALSE),0)</f>
        <v>0</v>
      </c>
      <c r="F11" s="578">
        <f>IFERROR(VLOOKUP($A11,Race_2024!A:L,8,FALSE),0)</f>
        <v>0</v>
      </c>
      <c r="G11" s="578">
        <f>IFERROR(VLOOKUP($A11,Race_2024!A:L,11,FALSE),0)</f>
        <v>0</v>
      </c>
      <c r="H11" s="589">
        <f>IFERROR(VLOOKUP($A11,Race_2024!A:L,12,FALSE),0)</f>
        <v>0</v>
      </c>
      <c r="I11" s="593"/>
    </row>
    <row r="12" spans="1:9" ht="15">
      <c r="A12" s="546" t="s">
        <v>1047</v>
      </c>
      <c r="B12" s="546"/>
      <c r="C12" s="608" t="s">
        <v>1048</v>
      </c>
      <c r="D12" s="585">
        <f>IFERROR(VLOOKUP($A12,Race_2024!A:L,7,FALSE),0)</f>
        <v>727007.04500000004</v>
      </c>
      <c r="E12" s="585">
        <f>IFERROR(VLOOKUP($A12,Race_2024!A:L,9,FALSE),0)</f>
        <v>484066.11900000001</v>
      </c>
      <c r="F12" s="585">
        <f>IFERROR(VLOOKUP($A12,Race_2024!A:L,8,FALSE),0)</f>
        <v>525655.71499999997</v>
      </c>
      <c r="G12" s="585">
        <f>IFERROR(VLOOKUP($A12,Race_2024!A:L,11,FALSE),0)</f>
        <v>514585.95400000003</v>
      </c>
      <c r="H12" s="584">
        <f>IFERROR(VLOOKUP($A12,Race_2024!A:L,12,FALSE),0)</f>
        <v>412838.61</v>
      </c>
      <c r="I12" s="593"/>
    </row>
    <row r="13" spans="1:9" ht="15">
      <c r="A13" s="546"/>
      <c r="B13" s="546"/>
      <c r="C13" s="554"/>
      <c r="D13" s="554"/>
      <c r="E13" s="554"/>
      <c r="F13" s="554"/>
      <c r="G13" s="554"/>
      <c r="H13" s="554"/>
      <c r="I13" s="554"/>
    </row>
    <row r="14" spans="1:9" ht="15">
      <c r="A14" s="546" t="s">
        <v>1049</v>
      </c>
      <c r="B14" s="546"/>
      <c r="C14" s="581" t="s">
        <v>1050</v>
      </c>
      <c r="D14" s="606">
        <f>IFERROR(VLOOKUP($A14,Race_2024!A:L,7,FALSE),0)</f>
        <v>21803972.265999999</v>
      </c>
      <c r="E14" s="606">
        <f>IFERROR(VLOOKUP($A14,Race_2024!A:L,9,FALSE),0)</f>
        <v>19501747.329</v>
      </c>
      <c r="F14" s="606">
        <f>IFERROR(VLOOKUP($A14,Race_2024!A:L,8,FALSE),0)</f>
        <v>30808105.285999998</v>
      </c>
      <c r="G14" s="606">
        <f>IFERROR(VLOOKUP($A14,Race_2024!A:L,11,FALSE),0)</f>
        <v>25622080.024999999</v>
      </c>
      <c r="H14" s="605">
        <f>IFERROR(VLOOKUP($A14,Race_2024!A:L,12,FALSE),0)</f>
        <v>22297470.465999998</v>
      </c>
      <c r="I14" s="554"/>
    </row>
    <row r="15" spans="1:9" ht="15">
      <c r="A15" s="546"/>
      <c r="B15" s="546"/>
      <c r="C15" s="634"/>
      <c r="D15" s="635"/>
      <c r="E15" s="635"/>
      <c r="F15" s="635"/>
      <c r="G15" s="635"/>
      <c r="H15" s="636"/>
      <c r="I15" s="554"/>
    </row>
    <row r="16" spans="1:9" ht="15">
      <c r="A16" s="546"/>
      <c r="B16" s="546"/>
      <c r="C16" s="554"/>
      <c r="D16" s="554"/>
      <c r="E16" s="554"/>
      <c r="F16" s="554"/>
      <c r="G16" s="554"/>
      <c r="H16" s="554"/>
      <c r="I16" s="554"/>
    </row>
    <row r="17" spans="1:9" ht="15">
      <c r="A17" s="546" t="s">
        <v>1051</v>
      </c>
      <c r="B17" s="546"/>
      <c r="C17" s="581" t="s">
        <v>1052</v>
      </c>
      <c r="D17" s="606">
        <f>IFERROR(VLOOKUP($A17,Race_2024!A:L,7,FALSE),0)</f>
        <v>14886788.136</v>
      </c>
      <c r="E17" s="606">
        <f>IFERROR(VLOOKUP($A17,Race_2024!A:L,9,FALSE),0)</f>
        <v>11093338.879000001</v>
      </c>
      <c r="F17" s="606">
        <f>IFERROR(VLOOKUP($A17,Race_2024!A:L,8,FALSE),0)</f>
        <v>14927507.18</v>
      </c>
      <c r="G17" s="606">
        <f>IFERROR(VLOOKUP($A17,Race_2024!A:L,11,FALSE),0)</f>
        <v>15663757.57</v>
      </c>
      <c r="H17" s="605">
        <f>IFERROR(VLOOKUP($A17,Race_2024!A:L,12,FALSE),0)</f>
        <v>14318691.035</v>
      </c>
      <c r="I17" s="593"/>
    </row>
    <row r="18" spans="1:9" ht="15">
      <c r="A18" s="546"/>
      <c r="B18" s="546"/>
      <c r="C18" s="637"/>
      <c r="D18" s="638"/>
      <c r="E18" s="638"/>
      <c r="F18" s="638"/>
      <c r="G18" s="638"/>
      <c r="H18" s="639"/>
      <c r="I18" s="593"/>
    </row>
    <row r="19" spans="1:9" ht="15">
      <c r="A19" s="546"/>
      <c r="B19" s="546"/>
      <c r="C19" s="603" t="s">
        <v>677</v>
      </c>
      <c r="D19" s="826">
        <f>D8+D14-D17</f>
        <v>11702066.566999998</v>
      </c>
      <c r="E19" s="826">
        <f t="shared" ref="E19:G19" si="0">E8+E14-E17</f>
        <v>12241652.891999997</v>
      </c>
      <c r="F19" s="826">
        <f t="shared" si="0"/>
        <v>21621977.531999998</v>
      </c>
      <c r="G19" s="826">
        <f t="shared" si="0"/>
        <v>14650484.677999999</v>
      </c>
      <c r="H19" s="826">
        <f>H8+H14-H17</f>
        <v>12391219.458999999</v>
      </c>
      <c r="I19" s="600"/>
    </row>
    <row r="20" spans="1:9" ht="15">
      <c r="A20" s="546"/>
      <c r="B20" s="546"/>
      <c r="C20" s="592"/>
      <c r="D20" s="592"/>
      <c r="E20" s="592"/>
      <c r="F20" s="592"/>
      <c r="G20" s="592"/>
      <c r="H20" s="592"/>
      <c r="I20" s="593"/>
    </row>
    <row r="21" spans="1:9" ht="15">
      <c r="A21" s="546"/>
      <c r="B21" s="546"/>
      <c r="C21" s="581" t="s">
        <v>1053</v>
      </c>
      <c r="D21" s="827">
        <f>SUM(D22:D23)</f>
        <v>68</v>
      </c>
      <c r="E21" s="827">
        <f>SUM(E22:E23)</f>
        <v>72</v>
      </c>
      <c r="F21" s="827">
        <f>SUM(F22:F23)</f>
        <v>73</v>
      </c>
      <c r="G21" s="827">
        <f>SUM(G22:G23)</f>
        <v>77</v>
      </c>
      <c r="H21" s="828">
        <f>SUM(H22:H23)</f>
        <v>73</v>
      </c>
      <c r="I21" s="593"/>
    </row>
    <row r="22" spans="1:9" ht="15">
      <c r="A22" s="544" t="s">
        <v>1054</v>
      </c>
      <c r="B22" s="544"/>
      <c r="C22" s="591" t="s">
        <v>1055</v>
      </c>
      <c r="D22" s="578">
        <f>IFERROR(VLOOKUP($A22,Race_2024!A:L,7,FALSE),0)</f>
        <v>36</v>
      </c>
      <c r="E22" s="578">
        <f>IFERROR(VLOOKUP($A22,Race_2024!A:L,9,FALSE),0)</f>
        <v>47</v>
      </c>
      <c r="F22" s="578">
        <f>IFERROR(VLOOKUP($A22,Race_2024!A:L,8,FALSE),0)</f>
        <v>50</v>
      </c>
      <c r="G22" s="578">
        <f>IFERROR(VLOOKUP($A22,Race_2024!A:L,11,FALSE),0)</f>
        <v>53</v>
      </c>
      <c r="H22" s="589">
        <f>IFERROR(VLOOKUP($A22,Race_2024!A:L,12,FALSE),0)</f>
        <v>50</v>
      </c>
      <c r="I22" s="593"/>
    </row>
    <row r="23" spans="1:9" ht="15">
      <c r="A23" s="546" t="s">
        <v>1056</v>
      </c>
      <c r="B23" s="546"/>
      <c r="C23" s="591" t="s">
        <v>1057</v>
      </c>
      <c r="D23" s="578">
        <f>IFERROR(VLOOKUP($A23,Race_2024!A:L,7,FALSE),0)</f>
        <v>32</v>
      </c>
      <c r="E23" s="578">
        <f>IFERROR(VLOOKUP($A23,Race_2024!A:L,9,FALSE),0)</f>
        <v>25</v>
      </c>
      <c r="F23" s="578">
        <f>IFERROR(VLOOKUP($A23,Race_2024!A:L,8,FALSE),0)</f>
        <v>23</v>
      </c>
      <c r="G23" s="578">
        <f>IFERROR(VLOOKUP($A23,Race_2024!A:L,11,FALSE),0)</f>
        <v>24</v>
      </c>
      <c r="H23" s="589">
        <f>IFERROR(VLOOKUP($A23,Race_2024!A:L,12,FALSE),0)</f>
        <v>23</v>
      </c>
      <c r="I23" s="593"/>
    </row>
    <row r="24" spans="1:9" ht="15">
      <c r="A24" s="546" t="s">
        <v>1058</v>
      </c>
      <c r="B24" s="546"/>
      <c r="C24" s="591" t="s">
        <v>1059</v>
      </c>
      <c r="D24" s="578">
        <f>IFERROR(VLOOKUP($A24,Race_2024!A:L,7,FALSE),0)</f>
        <v>0</v>
      </c>
      <c r="E24" s="578">
        <f>IFERROR(VLOOKUP($A24,Race_2024!A:L,9,FALSE),0)</f>
        <v>0</v>
      </c>
      <c r="F24" s="578">
        <f>IFERROR(VLOOKUP($A24,Race_2024!A:L,8,FALSE),0)</f>
        <v>0</v>
      </c>
      <c r="G24" s="578">
        <f>IFERROR(VLOOKUP($A24,Race_2024!A:L,11,FALSE),0)</f>
        <v>0</v>
      </c>
      <c r="H24" s="589">
        <f>IFERROR(VLOOKUP($A24,Race_2024!A:L,12,FALSE),0)</f>
        <v>0</v>
      </c>
      <c r="I24" s="544"/>
    </row>
    <row r="25" spans="1:9" ht="15">
      <c r="A25" s="546" t="s">
        <v>1060</v>
      </c>
      <c r="B25" s="546"/>
      <c r="C25" s="591" t="s">
        <v>1061</v>
      </c>
      <c r="D25" s="578">
        <f>IFERROR(VLOOKUP($A25,Race_2024!A:L,7,FALSE),0)</f>
        <v>1</v>
      </c>
      <c r="E25" s="578">
        <f>IFERROR(VLOOKUP($A25,Race_2024!A:L,9,FALSE),0)</f>
        <v>0</v>
      </c>
      <c r="F25" s="578">
        <f>IFERROR(VLOOKUP($A25,Race_2024!A:L,8,FALSE),0)</f>
        <v>0</v>
      </c>
      <c r="G25" s="578">
        <f>IFERROR(VLOOKUP($A25,Race_2024!A:L,11,FALSE),0)</f>
        <v>0</v>
      </c>
      <c r="H25" s="589">
        <f>IFERROR(VLOOKUP($A25,Race_2024!A:L,12,FALSE),0)</f>
        <v>0</v>
      </c>
      <c r="I25" s="592"/>
    </row>
    <row r="26" spans="1:9" ht="15">
      <c r="A26" s="546" t="s">
        <v>1062</v>
      </c>
      <c r="B26" s="546"/>
      <c r="C26" s="591" t="s">
        <v>1063</v>
      </c>
      <c r="D26" s="578">
        <f>IFERROR(VLOOKUP($A26,Race_2024!A:L,7,FALSE),0)</f>
        <v>36</v>
      </c>
      <c r="E26" s="578">
        <f>IFERROR(VLOOKUP($A26,Race_2024!A:L,9,FALSE),0)</f>
        <v>47</v>
      </c>
      <c r="F26" s="578">
        <f>IFERROR(VLOOKUP($A26,Race_2024!A:L,8,FALSE),0)</f>
        <v>50</v>
      </c>
      <c r="G26" s="578">
        <f>IFERROR(VLOOKUP($A26,Race_2024!A:L,11,FALSE),0)</f>
        <v>53</v>
      </c>
      <c r="H26" s="589">
        <f>IFERROR(VLOOKUP($A26,Race_2024!A:L,12,FALSE),0)</f>
        <v>50</v>
      </c>
      <c r="I26" s="588"/>
    </row>
    <row r="27" spans="1:9" ht="15">
      <c r="A27" s="546" t="s">
        <v>1064</v>
      </c>
      <c r="B27" s="546"/>
      <c r="C27" s="591" t="s">
        <v>1065</v>
      </c>
      <c r="D27" s="578">
        <f>IFERROR(VLOOKUP($A27,Race_2024!A:L,7,FALSE),0)</f>
        <v>31</v>
      </c>
      <c r="E27" s="578">
        <f>IFERROR(VLOOKUP($A27,Race_2024!A:L,9,FALSE),0)</f>
        <v>25</v>
      </c>
      <c r="F27" s="578">
        <f>IFERROR(VLOOKUP($A27,Race_2024!A:L,8,FALSE),0)</f>
        <v>23</v>
      </c>
      <c r="G27" s="578">
        <f>IFERROR(VLOOKUP($A27,Race_2024!A:L,11,FALSE),0)</f>
        <v>24</v>
      </c>
      <c r="H27" s="589">
        <f>IFERROR(VLOOKUP($A27,Race_2024!A:L,12,FALSE),0)</f>
        <v>23</v>
      </c>
      <c r="I27" s="588"/>
    </row>
    <row r="28" spans="1:9" ht="15">
      <c r="A28" s="546" t="s">
        <v>1066</v>
      </c>
      <c r="B28" s="546"/>
      <c r="C28" s="590" t="s">
        <v>1067</v>
      </c>
      <c r="D28" s="578">
        <f>IFERROR(VLOOKUP($A28,Race_2024!A:L,7,FALSE),0)</f>
        <v>0</v>
      </c>
      <c r="E28" s="578">
        <f>IFERROR(VLOOKUP($A28,Race_2024!A:L,9,FALSE),0)</f>
        <v>0</v>
      </c>
      <c r="F28" s="578">
        <f>IFERROR(VLOOKUP($A28,Race_2024!A:L,8,FALSE),0)</f>
        <v>0</v>
      </c>
      <c r="G28" s="578">
        <f>IFERROR(VLOOKUP($A28,Race_2024!A:L,11,FALSE),0)</f>
        <v>0</v>
      </c>
      <c r="H28" s="589">
        <f>IFERROR(VLOOKUP($A28,Race_2024!A:L,12,FALSE),0)</f>
        <v>0</v>
      </c>
      <c r="I28" s="588"/>
    </row>
    <row r="29" spans="1:9" ht="15">
      <c r="A29" s="546" t="s">
        <v>1068</v>
      </c>
      <c r="B29" s="546"/>
      <c r="C29" s="590" t="s">
        <v>1069</v>
      </c>
      <c r="D29" s="578">
        <f>IFERROR(VLOOKUP($A29,Race_2024!A:L,7,FALSE),0)</f>
        <v>0</v>
      </c>
      <c r="E29" s="578">
        <f>IFERROR(VLOOKUP($A29,Race_2024!A:L,9,FALSE),0)</f>
        <v>0</v>
      </c>
      <c r="F29" s="578">
        <f>IFERROR(VLOOKUP($A29,Race_2024!A:L,8,FALSE),0)</f>
        <v>0</v>
      </c>
      <c r="G29" s="578">
        <f>IFERROR(VLOOKUP($A29,Race_2024!A:L,11,FALSE),0)</f>
        <v>0</v>
      </c>
      <c r="H29" s="589">
        <f>IFERROR(VLOOKUP($A29,Race_2024!A:L,12,FALSE),0)</f>
        <v>0</v>
      </c>
      <c r="I29" s="588"/>
    </row>
    <row r="30" spans="1:9" ht="15">
      <c r="A30" s="546" t="s">
        <v>1070</v>
      </c>
      <c r="B30" s="546"/>
      <c r="C30" s="586" t="s">
        <v>1071</v>
      </c>
      <c r="D30" s="628">
        <f>IFERROR((VLOOKUP($A30,Race_2024!A:L,7,FALSE)-D21),0)</f>
        <v>0</v>
      </c>
      <c r="E30" s="628">
        <f>IFERROR((VLOOKUP($A30,Race_2024!A:L,9,FALSE)-E21),0)</f>
        <v>0</v>
      </c>
      <c r="F30" s="628">
        <f>IFERROR((VLOOKUP($A30,Race_2024!A:L,8,FALSE)-F21),0)</f>
        <v>0</v>
      </c>
      <c r="G30" s="628">
        <f>IFERROR((VLOOKUP($A30,Race_2024!A:L,11,FALSE)-G21),0)</f>
        <v>0</v>
      </c>
      <c r="H30" s="629">
        <f>IFERROR((VLOOKUP($A30,Race_2024!A:L,12,FALSE)-H21),0)</f>
        <v>0</v>
      </c>
      <c r="I30" s="582"/>
    </row>
    <row r="31" spans="1:9" ht="12.75" customHeight="1">
      <c r="A31" s="544"/>
      <c r="B31" s="544"/>
      <c r="C31" s="544"/>
      <c r="D31" s="544"/>
      <c r="E31" s="544"/>
      <c r="F31" s="544"/>
      <c r="G31" s="544"/>
      <c r="H31" s="544"/>
      <c r="I31" s="544"/>
    </row>
    <row r="32" spans="1:9" ht="12.75" customHeight="1">
      <c r="A32" s="544"/>
      <c r="B32" s="544"/>
      <c r="C32" s="630" t="s">
        <v>471</v>
      </c>
      <c r="D32" s="832">
        <f>SUM(D40+D46)</f>
        <v>-15126378.513999999</v>
      </c>
      <c r="E32" s="832">
        <f>SUM(E40+E46)</f>
        <v>-15459409.934999999</v>
      </c>
      <c r="F32" s="832">
        <f>SUM(F40+F46)</f>
        <v>-7730209.2329999991</v>
      </c>
      <c r="G32" s="832">
        <f>SUM(G40+G46)</f>
        <v>-15161869.111000001</v>
      </c>
      <c r="H32" s="833">
        <f>SUM(H40+H46)</f>
        <v>-14629139.013999999</v>
      </c>
    </row>
    <row r="33" spans="1:12" ht="12.75" customHeight="1">
      <c r="A33" s="544" t="s">
        <v>1072</v>
      </c>
      <c r="B33" s="544"/>
      <c r="C33" s="633" t="s">
        <v>435</v>
      </c>
      <c r="D33" s="578">
        <f>IFERROR(VLOOKUP($A33,Race_2024!A:L,7,FALSE),0)</f>
        <v>-3626564.0989999999</v>
      </c>
      <c r="E33" s="578">
        <f>IFERROR(VLOOKUP($A33,Race_2024!A:L,9,FALSE),0)</f>
        <v>-3983038.91</v>
      </c>
      <c r="F33" s="578">
        <f>IFERROR(VLOOKUP($A33,Race_2024!A:L,8,FALSE),0)</f>
        <v>-1931959.469</v>
      </c>
      <c r="G33" s="578">
        <f>IFERROR(VLOOKUP($A33,Race_2024!A:L,11,FALSE),0)</f>
        <v>-3872603.2790000001</v>
      </c>
      <c r="H33" s="589">
        <f>IFERROR(VLOOKUP($A33,Race_2024!A:L,12,FALSE),0)</f>
        <v>-3222306.3169999998</v>
      </c>
    </row>
    <row r="34" spans="1:12" ht="12.75" customHeight="1">
      <c r="A34" s="544" t="s">
        <v>1073</v>
      </c>
      <c r="B34" s="544"/>
      <c r="C34" s="633" t="s">
        <v>438</v>
      </c>
      <c r="D34" s="578">
        <f>IFERROR(VLOOKUP($A34,Race_2024!A:L,7,FALSE),0)</f>
        <v>0</v>
      </c>
      <c r="E34" s="578">
        <f>IFERROR(VLOOKUP($A34,Race_2024!A:L,9,FALSE),0)</f>
        <v>0</v>
      </c>
      <c r="F34" s="578">
        <f>IFERROR(VLOOKUP($A34,Race_2024!A:L,8,FALSE),0)</f>
        <v>-121435.33100000001</v>
      </c>
      <c r="G34" s="578">
        <f>IFERROR(VLOOKUP($A34,Race_2024!A:L,11,FALSE),0)</f>
        <v>-310920.36099999998</v>
      </c>
      <c r="H34" s="589">
        <f>IFERROR(VLOOKUP($A34,Race_2024!A:L,12,FALSE),0)</f>
        <v>-356783.348</v>
      </c>
    </row>
    <row r="35" spans="1:12" ht="12.75" customHeight="1">
      <c r="A35" s="544" t="s">
        <v>1074</v>
      </c>
      <c r="B35" s="544"/>
      <c r="C35" s="633" t="s">
        <v>441</v>
      </c>
      <c r="D35" s="578">
        <f>IFERROR(VLOOKUP($A35,Race_2024!A:L,7,FALSE),0)</f>
        <v>-1053251.2960000001</v>
      </c>
      <c r="E35" s="578">
        <f>IFERROR(VLOOKUP($A35,Race_2024!A:L,9,FALSE),0)</f>
        <v>-567972.348</v>
      </c>
      <c r="F35" s="578">
        <f>IFERROR(VLOOKUP($A35,Race_2024!A:L,8,FALSE),0)</f>
        <v>-341764.65399999998</v>
      </c>
      <c r="G35" s="578">
        <f>IFERROR(VLOOKUP($A35,Race_2024!A:L,11,FALSE),0)</f>
        <v>-454794.04800000001</v>
      </c>
      <c r="H35" s="589">
        <f>IFERROR(VLOOKUP($A35,Race_2024!A:L,12,FALSE),0)</f>
        <v>-617979.85800000001</v>
      </c>
    </row>
    <row r="36" spans="1:12" ht="12.75" customHeight="1">
      <c r="A36" s="544" t="s">
        <v>1075</v>
      </c>
      <c r="B36" s="544"/>
      <c r="C36" s="633" t="s">
        <v>444</v>
      </c>
      <c r="D36" s="578">
        <f>IFERROR(VLOOKUP($A36,Race_2024!A:L,7,FALSE),0)</f>
        <v>-720</v>
      </c>
      <c r="E36" s="578">
        <f>IFERROR(VLOOKUP($A36,Race_2024!A:L,9,FALSE),0)</f>
        <v>-28711.565999999999</v>
      </c>
      <c r="F36" s="578">
        <f>IFERROR(VLOOKUP($A36,Race_2024!A:L,8,FALSE),0)</f>
        <v>-2443.1999999999998</v>
      </c>
      <c r="G36" s="578">
        <f>IFERROR(VLOOKUP($A36,Race_2024!A:L,11,FALSE),0)</f>
        <v>-3729.6039999999998</v>
      </c>
      <c r="H36" s="589">
        <f>IFERROR(VLOOKUP($A36,Race_2024!A:L,12,FALSE),0)</f>
        <v>-18000</v>
      </c>
    </row>
    <row r="37" spans="1:12" ht="12.75" customHeight="1">
      <c r="A37" s="544" t="s">
        <v>1076</v>
      </c>
      <c r="B37" s="544"/>
      <c r="C37" s="633" t="s">
        <v>446</v>
      </c>
      <c r="D37" s="578">
        <f>IFERROR(VLOOKUP($A37,Race_2024!A:L,7,FALSE),0)</f>
        <v>-457123.59499999997</v>
      </c>
      <c r="E37" s="578">
        <f>IFERROR(VLOOKUP($A37,Race_2024!A:L,9,FALSE),0)</f>
        <v>-133213.38</v>
      </c>
      <c r="F37" s="578">
        <f>IFERROR(VLOOKUP($A37,Race_2024!A:L,8,FALSE),0)</f>
        <v>-55999.345000000001</v>
      </c>
      <c r="G37" s="578">
        <f>IFERROR(VLOOKUP($A37,Race_2024!A:L,11,FALSE),0)</f>
        <v>-133213.386</v>
      </c>
      <c r="H37" s="589">
        <f>IFERROR(VLOOKUP($A37,Race_2024!A:L,12,FALSE),0)</f>
        <v>-186533.8</v>
      </c>
    </row>
    <row r="38" spans="1:12" ht="12.75" customHeight="1">
      <c r="A38" s="544" t="s">
        <v>1077</v>
      </c>
      <c r="B38" s="544"/>
      <c r="C38" s="633" t="s">
        <v>449</v>
      </c>
      <c r="D38" s="578">
        <f>IFERROR(VLOOKUP($A38,Race_2024!A:L,7,FALSE),0)</f>
        <v>-22318.684000000001</v>
      </c>
      <c r="E38" s="578">
        <f>IFERROR(VLOOKUP($A38,Race_2024!A:L,9,FALSE),0)</f>
        <v>-18950.903999999999</v>
      </c>
      <c r="F38" s="578">
        <f>IFERROR(VLOOKUP($A38,Race_2024!A:L,8,FALSE),0)</f>
        <v>0</v>
      </c>
      <c r="G38" s="578">
        <f>IFERROR(VLOOKUP($A38,Race_2024!A:L,11,FALSE),0)</f>
        <v>0</v>
      </c>
      <c r="H38" s="589">
        <f>IFERROR(VLOOKUP($A38,Race_2024!A:L,12,FALSE),0)</f>
        <v>0</v>
      </c>
    </row>
    <row r="39" spans="1:12" ht="12.75" customHeight="1">
      <c r="A39" s="544" t="s">
        <v>1078</v>
      </c>
      <c r="B39" s="544"/>
      <c r="C39" s="633" t="s">
        <v>452</v>
      </c>
      <c r="D39" s="578">
        <f>IFERROR(VLOOKUP($A39,Race_2024!A:L,7,FALSE),0)</f>
        <v>-271219.63299999997</v>
      </c>
      <c r="E39" s="578">
        <f>IFERROR(VLOOKUP($A39,Race_2024!A:L,9,FALSE),0)</f>
        <v>-378873.53700000001</v>
      </c>
      <c r="F39" s="578">
        <f>IFERROR(VLOOKUP($A39,Race_2024!A:L,8,FALSE),0)</f>
        <v>-187469.29500000001</v>
      </c>
      <c r="G39" s="578">
        <f>IFERROR(VLOOKUP($A39,Race_2024!A:L,11,FALSE),0)</f>
        <v>-412366.842</v>
      </c>
      <c r="H39" s="589">
        <f>IFERROR(VLOOKUP($A39,Race_2024!A:L,12,FALSE),0)</f>
        <v>-446206.94400000002</v>
      </c>
    </row>
    <row r="40" spans="1:12" ht="12.75" customHeight="1">
      <c r="A40" s="544"/>
      <c r="B40" s="544"/>
      <c r="C40" s="829" t="s">
        <v>455</v>
      </c>
      <c r="D40" s="830">
        <f>SUM(D33:D39)</f>
        <v>-5431197.307</v>
      </c>
      <c r="E40" s="830">
        <f>SUM(E33:E39)</f>
        <v>-5110760.6449999996</v>
      </c>
      <c r="F40" s="830">
        <f>SUM(F33:F39)</f>
        <v>-2641071.2940000002</v>
      </c>
      <c r="G40" s="830">
        <f>SUM(G33:G39)</f>
        <v>-5187627.5200000005</v>
      </c>
      <c r="H40" s="831">
        <f>SUM(H33:H39)</f>
        <v>-4847810.267</v>
      </c>
    </row>
    <row r="41" spans="1:12" ht="12.75" customHeight="1">
      <c r="A41" s="544" t="s">
        <v>1079</v>
      </c>
      <c r="B41" s="544"/>
      <c r="C41" s="633" t="s">
        <v>456</v>
      </c>
      <c r="D41" s="578">
        <f>IFERROR(VLOOKUP($A41,Race_2024!A:L,7,FALSE),0)</f>
        <v>-2084731.4779999999</v>
      </c>
      <c r="E41" s="578">
        <f>IFERROR(VLOOKUP($A41,Race_2024!A:L,9,FALSE),0)</f>
        <v>-2524185.12</v>
      </c>
      <c r="F41" s="578">
        <f>IFERROR(VLOOKUP($A41,Race_2024!A:L,8,FALSE),0)</f>
        <v>-1330313.8629999999</v>
      </c>
      <c r="G41" s="578">
        <f>IFERROR(VLOOKUP($A41,Race_2024!A:L,11,FALSE),0)</f>
        <v>-2580003.4569999999</v>
      </c>
      <c r="H41" s="589">
        <f>IFERROR(VLOOKUP($A41,Race_2024!A:L,12,FALSE),0)</f>
        <v>-2588569.0440000002</v>
      </c>
    </row>
    <row r="42" spans="1:12" ht="12.75" customHeight="1">
      <c r="A42" s="544" t="s">
        <v>1080</v>
      </c>
      <c r="B42" s="544"/>
      <c r="C42" s="633" t="s">
        <v>458</v>
      </c>
      <c r="D42" s="578">
        <f>IFERROR(VLOOKUP($A42,Race_2024!A:L,7,FALSE),0)</f>
        <v>-700889.29299999995</v>
      </c>
      <c r="E42" s="578">
        <f>IFERROR(VLOOKUP($A42,Race_2024!A:L,9,FALSE),0)</f>
        <v>-1099794.372</v>
      </c>
      <c r="F42" s="578">
        <f>IFERROR(VLOOKUP($A42,Race_2024!A:L,8,FALSE),0)</f>
        <v>-579621.89</v>
      </c>
      <c r="G42" s="578">
        <f>IFERROR(VLOOKUP($A42,Race_2024!A:L,11,FALSE),0)</f>
        <v>-1111026.2180000001</v>
      </c>
      <c r="H42" s="589">
        <f>IFERROR(VLOOKUP($A42,Race_2024!A:L,12,FALSE),0)</f>
        <v>-1161053.196</v>
      </c>
    </row>
    <row r="43" spans="1:12" ht="12.75" customHeight="1">
      <c r="A43" s="544" t="s">
        <v>1081</v>
      </c>
      <c r="B43" s="544"/>
      <c r="C43" s="633" t="s">
        <v>460</v>
      </c>
      <c r="D43" s="578">
        <f>IFERROR(VLOOKUP($A43,Race_2024!A:L,7,FALSE),0)</f>
        <v>-408863.08799999999</v>
      </c>
      <c r="E43" s="578">
        <f>IFERROR(VLOOKUP($A43,Race_2024!A:L,9,FALSE),0)</f>
        <v>39326.807999999997</v>
      </c>
      <c r="F43" s="578">
        <f>IFERROR(VLOOKUP($A43,Race_2024!A:L,8,FALSE),0)</f>
        <v>19663.403999999999</v>
      </c>
      <c r="G43" s="578">
        <f>IFERROR(VLOOKUP($A43,Race_2024!A:L,11,FALSE),0)</f>
        <v>39326.807999999997</v>
      </c>
      <c r="H43" s="589">
        <f>IFERROR(VLOOKUP($A43,Race_2024!A:L,12,FALSE),0)</f>
        <v>117087.792</v>
      </c>
    </row>
    <row r="44" spans="1:12" ht="12.75" customHeight="1">
      <c r="A44" s="544" t="s">
        <v>1082</v>
      </c>
      <c r="B44" s="544"/>
      <c r="C44" s="633" t="s">
        <v>463</v>
      </c>
      <c r="D44" s="578">
        <f>IFERROR(VLOOKUP($A44,Race_2024!A:L,7,FALSE),0)</f>
        <v>-2308253.7059999998</v>
      </c>
      <c r="E44" s="578">
        <f>IFERROR(VLOOKUP($A44,Race_2024!A:L,9,FALSE),0)</f>
        <v>-2308253.7000000002</v>
      </c>
      <c r="F44" s="578">
        <f>IFERROR(VLOOKUP($A44,Race_2024!A:L,8,FALSE),0)</f>
        <v>-1154126.8529999999</v>
      </c>
      <c r="G44" s="578">
        <f>IFERROR(VLOOKUP($A44,Race_2024!A:L,11,FALSE),0)</f>
        <v>-2308253.7089999998</v>
      </c>
      <c r="H44" s="589">
        <f>IFERROR(VLOOKUP($A44,Race_2024!A:L,12,FALSE),0)</f>
        <v>-2308253.7119999998</v>
      </c>
    </row>
    <row r="45" spans="1:12" ht="12.75" customHeight="1">
      <c r="A45" s="544" t="s">
        <v>1083</v>
      </c>
      <c r="B45" s="544"/>
      <c r="C45" s="633" t="s">
        <v>466</v>
      </c>
      <c r="D45" s="578">
        <f>IFERROR(VLOOKUP($A45,Race_2024!A:L,7,FALSE),0)</f>
        <v>-4192443.642</v>
      </c>
      <c r="E45" s="578">
        <f>IFERROR(VLOOKUP($A45,Race_2024!A:L,9,FALSE),0)</f>
        <v>-4455742.9060000004</v>
      </c>
      <c r="F45" s="578">
        <f>IFERROR(VLOOKUP($A45,Race_2024!A:L,8,FALSE),0)</f>
        <v>-2044738.737</v>
      </c>
      <c r="G45" s="578">
        <f>IFERROR(VLOOKUP($A45,Race_2024!A:L,11,FALSE),0)</f>
        <v>-4014285.0150000001</v>
      </c>
      <c r="H45" s="589">
        <f>IFERROR(VLOOKUP($A45,Race_2024!A:L,12,FALSE),0)</f>
        <v>-3840540.5869999998</v>
      </c>
    </row>
    <row r="46" spans="1:12" ht="12.75" customHeight="1">
      <c r="A46" s="544"/>
      <c r="B46" s="544"/>
      <c r="C46" s="834" t="s">
        <v>469</v>
      </c>
      <c r="D46" s="826">
        <f>SUM(D41:D45)</f>
        <v>-9695181.2069999985</v>
      </c>
      <c r="E46" s="826">
        <f>SUM(E41:E45)</f>
        <v>-10348649.289999999</v>
      </c>
      <c r="F46" s="826">
        <f>SUM(F41:F45)</f>
        <v>-5089137.9389999993</v>
      </c>
      <c r="G46" s="826">
        <f>SUM(G41:G45)</f>
        <v>-9974241.591</v>
      </c>
      <c r="H46" s="835">
        <f>SUM(H41:H45)</f>
        <v>-9781328.7469999995</v>
      </c>
    </row>
    <row r="48" spans="1:12" ht="12.75" customHeight="1">
      <c r="A48" s="845"/>
      <c r="B48" s="845"/>
      <c r="C48" s="630" t="s">
        <v>1084</v>
      </c>
      <c r="D48" s="832"/>
      <c r="E48" s="832"/>
      <c r="F48" s="832"/>
      <c r="G48" s="854"/>
      <c r="H48" s="855"/>
      <c r="I48" s="846"/>
      <c r="J48" s="674"/>
      <c r="K48" s="852"/>
      <c r="L48" s="845"/>
    </row>
    <row r="49" spans="1:12" ht="12.75" customHeight="1">
      <c r="A49" s="845"/>
      <c r="B49" s="845"/>
      <c r="C49" s="847" t="s">
        <v>1085</v>
      </c>
      <c r="D49" s="598">
        <f>SUM(D50:D61)</f>
        <v>1230028.595</v>
      </c>
      <c r="E49" s="598">
        <f t="shared" ref="E49:H49" si="1">SUM(E50:E61)</f>
        <v>6533143.9780000011</v>
      </c>
      <c r="F49" s="598">
        <f t="shared" si="1"/>
        <v>826504.51</v>
      </c>
      <c r="G49" s="598">
        <f t="shared" si="1"/>
        <v>3096232.0950000002</v>
      </c>
      <c r="H49" s="597">
        <f t="shared" si="1"/>
        <v>3334245.1189999999</v>
      </c>
      <c r="I49" s="846"/>
      <c r="J49" s="674"/>
      <c r="K49" s="852"/>
      <c r="L49" s="846"/>
    </row>
    <row r="50" spans="1:12" ht="12.75" customHeight="1">
      <c r="A50" s="845" t="s">
        <v>1086</v>
      </c>
      <c r="B50" s="845"/>
      <c r="C50" s="848" t="s">
        <v>1087</v>
      </c>
      <c r="D50" s="578">
        <f>IFERROR(VLOOKUP($A50,Race_2024!A:L,7,FALSE),0)</f>
        <v>0</v>
      </c>
      <c r="E50" s="578">
        <f>IFERROR(VLOOKUP($A50,Race_2024!A:L,9,FALSE),0)</f>
        <v>0</v>
      </c>
      <c r="F50" s="578">
        <f>IFERROR(VLOOKUP($A50,Race_2024!A:L,8,FALSE),0)</f>
        <v>0</v>
      </c>
      <c r="G50" s="578">
        <f>IFERROR(VLOOKUP($A50,Race_2024!A:L,11,FALSE),0)</f>
        <v>0</v>
      </c>
      <c r="H50" s="589">
        <f>IFERROR(VLOOKUP($A50,Race_2024!A:L,12,FALSE),0)</f>
        <v>0</v>
      </c>
      <c r="I50" s="849"/>
      <c r="J50" s="674"/>
      <c r="K50" s="852"/>
    </row>
    <row r="51" spans="1:12" ht="12.75" customHeight="1">
      <c r="A51" s="845" t="s">
        <v>1088</v>
      </c>
      <c r="B51" s="845"/>
      <c r="C51" s="848" t="s">
        <v>1089</v>
      </c>
      <c r="D51" s="578">
        <f>IFERROR(VLOOKUP($A51,Race_2024!A:L,7,FALSE),0)</f>
        <v>112610.647</v>
      </c>
      <c r="E51" s="578">
        <f>IFERROR(VLOOKUP($A51,Race_2024!A:L,9,FALSE),0)</f>
        <v>0</v>
      </c>
      <c r="F51" s="578">
        <f>IFERROR(VLOOKUP($A51,Race_2024!A:L,8,FALSE),0)</f>
        <v>1954.5</v>
      </c>
      <c r="G51" s="578">
        <f>IFERROR(VLOOKUP($A51,Race_2024!A:L,11,FALSE),0)</f>
        <v>0</v>
      </c>
      <c r="H51" s="589">
        <f>IFERROR(VLOOKUP($A51,Race_2024!A:L,12,FALSE),0)</f>
        <v>0</v>
      </c>
      <c r="I51" s="849"/>
      <c r="J51" s="674"/>
      <c r="K51" s="852"/>
    </row>
    <row r="52" spans="1:12" ht="12.75" customHeight="1">
      <c r="A52" s="845" t="s">
        <v>1090</v>
      </c>
      <c r="B52" s="845"/>
      <c r="C52" s="848" t="s">
        <v>1091</v>
      </c>
      <c r="D52" s="578">
        <f>IFERROR(VLOOKUP($A52,Race_2024!A:L,7,FALSE),0)</f>
        <v>6015.1980000000003</v>
      </c>
      <c r="E52" s="578">
        <f>IFERROR(VLOOKUP($A52,Race_2024!A:L,9,FALSE),0)</f>
        <v>0</v>
      </c>
      <c r="F52" s="578">
        <f>IFERROR(VLOOKUP($A52,Race_2024!A:L,8,FALSE),0)</f>
        <v>2606</v>
      </c>
      <c r="G52" s="578">
        <f>IFERROR(VLOOKUP($A52,Race_2024!A:L,11,FALSE),0)</f>
        <v>0</v>
      </c>
      <c r="H52" s="589">
        <f>IFERROR(VLOOKUP($A52,Race_2024!A:L,12,FALSE),0)</f>
        <v>7916.9449999999997</v>
      </c>
      <c r="I52" s="850"/>
      <c r="J52" s="674"/>
      <c r="K52" s="852"/>
    </row>
    <row r="53" spans="1:12" ht="12.75" customHeight="1">
      <c r="A53" s="845" t="s">
        <v>1092</v>
      </c>
      <c r="B53" s="845"/>
      <c r="C53" s="848" t="s">
        <v>1093</v>
      </c>
      <c r="D53" s="578">
        <f>IFERROR(VLOOKUP($A53,Race_2024!A:L,7,FALSE),0)</f>
        <v>0</v>
      </c>
      <c r="E53" s="578">
        <f>IFERROR(VLOOKUP($A53,Race_2024!A:L,9,FALSE),0)</f>
        <v>0</v>
      </c>
      <c r="F53" s="578">
        <f>IFERROR(VLOOKUP($A53,Race_2024!A:L,8,FALSE),0)</f>
        <v>0</v>
      </c>
      <c r="G53" s="578">
        <f>IFERROR(VLOOKUP($A53,Race_2024!A:L,11,FALSE),0)</f>
        <v>0</v>
      </c>
      <c r="H53" s="589">
        <f>IFERROR(VLOOKUP($A53,Race_2024!A:L,12,FALSE),0)</f>
        <v>0</v>
      </c>
      <c r="I53" s="850"/>
      <c r="J53" s="674"/>
      <c r="K53" s="852"/>
    </row>
    <row r="54" spans="1:12" ht="12.75" customHeight="1">
      <c r="A54" s="845" t="s">
        <v>1094</v>
      </c>
      <c r="B54" s="845"/>
      <c r="C54" s="848" t="s">
        <v>1095</v>
      </c>
      <c r="D54" s="578">
        <f>IFERROR(VLOOKUP($A54,Race_2024!A:L,7,FALSE),0)</f>
        <v>47982.394999999997</v>
      </c>
      <c r="E54" s="578">
        <f>IFERROR(VLOOKUP($A54,Race_2024!A:L,9,FALSE),0)</f>
        <v>1362642.219</v>
      </c>
      <c r="F54" s="578">
        <f>IFERROR(VLOOKUP($A54,Race_2024!A:L,8,FALSE),0)</f>
        <v>103888.15399999999</v>
      </c>
      <c r="G54" s="578">
        <f>IFERROR(VLOOKUP($A54,Race_2024!A:L,11,FALSE),0)</f>
        <v>1879905.6340000001</v>
      </c>
      <c r="H54" s="589">
        <f>IFERROR(VLOOKUP($A54,Race_2024!A:L,12,FALSE),0)</f>
        <v>1331433.865</v>
      </c>
      <c r="I54" s="850"/>
      <c r="J54" s="674"/>
      <c r="K54" s="852"/>
    </row>
    <row r="55" spans="1:12" ht="12.75" customHeight="1">
      <c r="A55" s="845" t="s">
        <v>1096</v>
      </c>
      <c r="B55" s="845"/>
      <c r="C55" s="848" t="s">
        <v>1097</v>
      </c>
      <c r="D55" s="578">
        <f>IFERROR(VLOOKUP($A55,Race_2024!A:L,7,FALSE),0)</f>
        <v>270877.62599999999</v>
      </c>
      <c r="E55" s="578">
        <f>IFERROR(VLOOKUP($A55,Race_2024!A:L,9,FALSE),0)</f>
        <v>4757706.6830000002</v>
      </c>
      <c r="F55" s="578">
        <f>IFERROR(VLOOKUP($A55,Race_2024!A:L,8,FALSE),0)</f>
        <v>60240</v>
      </c>
      <c r="G55" s="578">
        <f>IFERROR(VLOOKUP($A55,Race_2024!A:L,11,FALSE),0)</f>
        <v>1187139.2609999999</v>
      </c>
      <c r="H55" s="589">
        <f>IFERROR(VLOOKUP($A55,Race_2024!A:L,12,FALSE),0)</f>
        <v>1782608.7109999999</v>
      </c>
      <c r="I55" s="851"/>
      <c r="J55" s="674"/>
      <c r="K55" s="852"/>
    </row>
    <row r="56" spans="1:12" ht="12.75" customHeight="1">
      <c r="A56" s="845" t="s">
        <v>1098</v>
      </c>
      <c r="B56" s="845"/>
      <c r="C56" s="848" t="s">
        <v>1099</v>
      </c>
      <c r="D56" s="578">
        <f>IFERROR(VLOOKUP($A56,Race_2024!A:L,7,FALSE),0)</f>
        <v>0</v>
      </c>
      <c r="E56" s="578">
        <f>IFERROR(VLOOKUP($A56,Race_2024!A:L,9,FALSE),0)</f>
        <v>0</v>
      </c>
      <c r="F56" s="578">
        <f>IFERROR(VLOOKUP($A56,Race_2024!A:L,8,FALSE),0)</f>
        <v>0</v>
      </c>
      <c r="G56" s="578">
        <f>IFERROR(VLOOKUP($A56,Race_2024!A:L,11,FALSE),0)</f>
        <v>0</v>
      </c>
      <c r="H56" s="589">
        <f>IFERROR(VLOOKUP($A56,Race_2024!A:L,12,FALSE),0)</f>
        <v>0</v>
      </c>
      <c r="I56" s="851"/>
      <c r="J56" s="674"/>
      <c r="K56" s="852"/>
    </row>
    <row r="57" spans="1:12" ht="12.75" customHeight="1">
      <c r="A57" s="451" t="s">
        <v>1100</v>
      </c>
      <c r="C57" s="848" t="s">
        <v>1101</v>
      </c>
      <c r="D57" s="578">
        <f>IFERROR(VLOOKUP($A57,Race_2024!A:L,7,FALSE),0)</f>
        <v>0</v>
      </c>
      <c r="E57" s="578">
        <f>IFERROR(VLOOKUP($A57,Race_2024!A:L,9,FALSE),0)</f>
        <v>0</v>
      </c>
      <c r="F57" s="578">
        <f>IFERROR(VLOOKUP($A57,Race_2024!A:L,8,FALSE),0)</f>
        <v>0</v>
      </c>
      <c r="G57" s="578">
        <f>IFERROR(VLOOKUP($A57,Race_2024!A:L,11,FALSE),0)</f>
        <v>0</v>
      </c>
      <c r="H57" s="589">
        <f>IFERROR(VLOOKUP($A57,Race_2024!A:L,12,FALSE),0)</f>
        <v>0</v>
      </c>
    </row>
    <row r="58" spans="1:12" ht="12.75" customHeight="1">
      <c r="A58" s="451" t="s">
        <v>1102</v>
      </c>
      <c r="C58" s="848" t="s">
        <v>1103</v>
      </c>
      <c r="D58" s="578">
        <f>IFERROR(VLOOKUP($A58,Race_2024!A:L,7,FALSE),0)</f>
        <v>172798.96900000001</v>
      </c>
      <c r="E58" s="578">
        <f>IFERROR(VLOOKUP($A58,Race_2024!A:L,9,FALSE),0)</f>
        <v>265276.076</v>
      </c>
      <c r="F58" s="578">
        <f>IFERROR(VLOOKUP($A58,Race_2024!A:L,8,FALSE),0)</f>
        <v>87260.607000000004</v>
      </c>
      <c r="G58" s="578">
        <f>IFERROR(VLOOKUP($A58,Race_2024!A:L,11,FALSE),0)</f>
        <v>29187.200000000001</v>
      </c>
      <c r="H58" s="589">
        <f>IFERROR(VLOOKUP($A58,Race_2024!A:L,12,FALSE),0)</f>
        <v>48382.597999999998</v>
      </c>
    </row>
    <row r="59" spans="1:12" ht="12.75" customHeight="1">
      <c r="A59" s="451" t="s">
        <v>1104</v>
      </c>
      <c r="C59" s="848" t="s">
        <v>1105</v>
      </c>
      <c r="D59" s="578">
        <f>IFERROR(VLOOKUP($A59,Race_2024!A:L,7,FALSE),0)</f>
        <v>0</v>
      </c>
      <c r="E59" s="578">
        <f>IFERROR(VLOOKUP($A59,Race_2024!A:L,9,FALSE),0)</f>
        <v>0</v>
      </c>
      <c r="F59" s="578">
        <f>IFERROR(VLOOKUP($A59,Race_2024!A:L,8,FALSE),0)</f>
        <v>0</v>
      </c>
      <c r="G59" s="578">
        <f>IFERROR(VLOOKUP($A59,Race_2024!A:L,11,FALSE),0)</f>
        <v>0</v>
      </c>
      <c r="H59" s="589">
        <f>IFERROR(VLOOKUP($A59,Race_2024!A:L,12,FALSE),0)</f>
        <v>0</v>
      </c>
    </row>
    <row r="60" spans="1:12" ht="12.75" customHeight="1">
      <c r="A60" s="451" t="s">
        <v>1106</v>
      </c>
      <c r="C60" s="848" t="s">
        <v>1107</v>
      </c>
      <c r="D60" s="578">
        <f>IFERROR(VLOOKUP($A60,Race_2024!A:L,7,FALSE),0)</f>
        <v>504141.77899999998</v>
      </c>
      <c r="E60" s="578">
        <f>IFERROR(VLOOKUP($A60,Race_2024!A:L,9,FALSE),0)</f>
        <v>0</v>
      </c>
      <c r="F60" s="578">
        <f>IFERROR(VLOOKUP($A60,Race_2024!A:L,8,FALSE),0)</f>
        <v>570555.24899999995</v>
      </c>
      <c r="G60" s="578">
        <f>IFERROR(VLOOKUP($A60,Race_2024!A:L,11,FALSE),0)</f>
        <v>0</v>
      </c>
      <c r="H60" s="589">
        <f>IFERROR(VLOOKUP($A60,Race_2024!A:L,12,FALSE),0)</f>
        <v>0</v>
      </c>
    </row>
    <row r="61" spans="1:12" ht="12.75" customHeight="1">
      <c r="A61" s="451" t="s">
        <v>1108</v>
      </c>
      <c r="C61" s="856" t="s">
        <v>1109</v>
      </c>
      <c r="D61" s="585">
        <f>IFERROR(VLOOKUP($A61,Race_2024!A:L,7,FALSE),0)</f>
        <v>115601.981</v>
      </c>
      <c r="E61" s="585">
        <f>IFERROR(VLOOKUP($A61,Race_2024!A:L,9,FALSE),0)</f>
        <v>147519</v>
      </c>
      <c r="F61" s="585">
        <f>IFERROR(VLOOKUP($A61,Race_2024!A:L,8,FALSE),0)</f>
        <v>0</v>
      </c>
      <c r="G61" s="585">
        <f>IFERROR(VLOOKUP($A61,Race_2024!A:L,11,FALSE),0)</f>
        <v>0</v>
      </c>
      <c r="H61" s="584">
        <f>IFERROR(VLOOKUP($A61,Race_2024!A:L,12,FALSE),0)</f>
        <v>163903</v>
      </c>
    </row>
  </sheetData>
  <phoneticPr fontId="65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12D3C-69C0-4E9F-BFD8-73FCA5B84E44}">
  <sheetPr>
    <tabColor rgb="FF0070C0"/>
  </sheetPr>
  <dimension ref="A1:S147"/>
  <sheetViews>
    <sheetView showGridLines="0" zoomScale="70" zoomScaleNormal="70" workbookViewId="0">
      <pane xSplit="3" ySplit="7" topLeftCell="D126" activePane="bottomRight" state="frozen"/>
      <selection pane="topRight" activeCell="D14" sqref="D14"/>
      <selection pane="bottomLeft" activeCell="D14" sqref="D14"/>
      <selection pane="bottomRight" activeCell="F153" sqref="F153"/>
    </sheetView>
  </sheetViews>
  <sheetFormatPr defaultColWidth="9.28515625" defaultRowHeight="12.75" customHeight="1" outlineLevelCol="1"/>
  <cols>
    <col min="1" max="1" width="18.28515625" style="451" customWidth="1" outlineLevel="1"/>
    <col min="2" max="2" width="24.7109375" style="451" customWidth="1" outlineLevel="1"/>
    <col min="3" max="3" width="60.7109375" style="451" bestFit="1" customWidth="1"/>
    <col min="4" max="15" width="20" style="451" customWidth="1"/>
    <col min="16" max="16" width="10.28515625" style="451" customWidth="1"/>
    <col min="17" max="17" width="21.7109375" style="451" customWidth="1"/>
    <col min="18" max="18" width="9.28515625" style="451" customWidth="1"/>
    <col min="19" max="19" width="12.7109375" style="451" bestFit="1" customWidth="1"/>
    <col min="20" max="16384" width="9.28515625" style="451"/>
  </cols>
  <sheetData>
    <row r="1" spans="1:19" ht="19.899999999999999" customHeight="1">
      <c r="C1" s="60" t="str">
        <f>+'0. Instructions'!$A$1</f>
        <v>Budget 2024</v>
      </c>
      <c r="D1" s="577"/>
      <c r="E1" s="577"/>
      <c r="F1" s="577"/>
      <c r="G1" s="577"/>
      <c r="H1" s="577"/>
      <c r="I1" s="577"/>
      <c r="J1" s="577"/>
      <c r="K1" s="577"/>
      <c r="L1" s="577"/>
      <c r="M1" s="577"/>
      <c r="N1" s="577"/>
      <c r="O1" s="577"/>
    </row>
    <row r="2" spans="1:19" ht="19.899999999999999" customHeight="1" thickBot="1">
      <c r="C2" s="55" t="s">
        <v>754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</row>
    <row r="3" spans="1:19" ht="39.6" customHeight="1">
      <c r="A3" s="546"/>
      <c r="B3" s="546"/>
      <c r="C3" s="544"/>
      <c r="D3" s="544"/>
      <c r="E3" s="544"/>
      <c r="F3" s="544"/>
      <c r="G3" s="544"/>
      <c r="H3" s="544"/>
      <c r="I3" s="544"/>
      <c r="J3" s="544"/>
      <c r="K3" s="544"/>
      <c r="L3" s="544"/>
      <c r="M3" s="544"/>
      <c r="N3" s="544"/>
      <c r="O3" s="544"/>
      <c r="P3" s="544"/>
      <c r="Q3" s="544"/>
      <c r="R3" s="544"/>
    </row>
    <row r="4" spans="1:19" ht="15">
      <c r="A4" s="546"/>
      <c r="B4" s="546"/>
      <c r="C4" s="544"/>
      <c r="D4" s="544"/>
      <c r="E4" s="544"/>
      <c r="F4" s="544"/>
      <c r="G4" s="544"/>
      <c r="H4" s="544"/>
      <c r="I4" s="544"/>
      <c r="J4" s="544"/>
      <c r="K4" s="544"/>
      <c r="L4" s="544"/>
      <c r="M4" s="544"/>
      <c r="N4" s="544"/>
      <c r="O4" s="544"/>
      <c r="P4" s="544"/>
      <c r="Q4" s="544"/>
      <c r="R4" s="544"/>
    </row>
    <row r="5" spans="1:19" ht="15">
      <c r="A5" s="546"/>
      <c r="B5" s="546"/>
      <c r="C5" s="544"/>
      <c r="D5" s="575"/>
      <c r="E5" s="575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45"/>
      <c r="Q5" s="575"/>
      <c r="R5" s="545"/>
    </row>
    <row r="6" spans="1:19" ht="30">
      <c r="A6" s="546"/>
      <c r="B6" s="546"/>
      <c r="C6" s="574"/>
      <c r="D6" s="544"/>
      <c r="E6" s="544"/>
      <c r="F6" s="544"/>
      <c r="G6" s="544"/>
      <c r="H6" s="544"/>
      <c r="I6" s="544"/>
      <c r="J6" s="544"/>
      <c r="K6" s="544"/>
      <c r="L6" s="544"/>
      <c r="M6" s="544"/>
      <c r="N6" s="544"/>
      <c r="O6" s="544"/>
      <c r="P6" s="574"/>
      <c r="Q6" s="573" t="s">
        <v>1110</v>
      </c>
      <c r="R6" s="554"/>
    </row>
    <row r="7" spans="1:19" ht="28.9" customHeight="1">
      <c r="A7" s="546"/>
      <c r="B7" s="546"/>
      <c r="C7" s="571" t="s">
        <v>762</v>
      </c>
      <c r="D7" s="571" t="s">
        <v>1111</v>
      </c>
      <c r="E7" s="571" t="s">
        <v>1112</v>
      </c>
      <c r="F7" s="571" t="s">
        <v>1113</v>
      </c>
      <c r="G7" s="571" t="s">
        <v>1114</v>
      </c>
      <c r="H7" s="571" t="s">
        <v>1115</v>
      </c>
      <c r="I7" s="571" t="s">
        <v>1116</v>
      </c>
      <c r="J7" s="571" t="s">
        <v>1117</v>
      </c>
      <c r="K7" s="571" t="s">
        <v>1118</v>
      </c>
      <c r="L7" s="571" t="s">
        <v>1119</v>
      </c>
      <c r="M7" s="571" t="s">
        <v>1120</v>
      </c>
      <c r="N7" s="571" t="s">
        <v>1121</v>
      </c>
      <c r="O7" s="571" t="s">
        <v>1122</v>
      </c>
      <c r="P7" s="572"/>
      <c r="Q7" s="571" t="s">
        <v>1123</v>
      </c>
      <c r="R7" s="554"/>
      <c r="S7" s="451" t="s">
        <v>1124</v>
      </c>
    </row>
    <row r="8" spans="1:19" ht="15">
      <c r="A8" s="546" t="s">
        <v>765</v>
      </c>
      <c r="B8" s="546" t="str">
        <f>IFERROR(VLOOKUP(A8,Race_2024_Seasonal!A:C,3,FALSE), VLOOKUP(A8,Race_2024_Seasonal!A:C,3,FALSE))</f>
        <v>Sales</v>
      </c>
      <c r="C8" s="570" t="s">
        <v>195</v>
      </c>
      <c r="D8" s="666">
        <f>IFERROR(VLOOKUP($A8,Race_2024_Seasonal!A:X,7,FALSE),0)</f>
        <v>11127901.289999999</v>
      </c>
      <c r="E8" s="666">
        <f>IFERROR(VLOOKUP($A8,Race_2024_Seasonal!A:X,8,FALSE),0)</f>
        <v>10434389.289999999</v>
      </c>
      <c r="F8" s="666">
        <f>IFERROR(VLOOKUP($A8,Race_2024_Seasonal!A:X,9,FALSE),0)</f>
        <v>11994791.289999999</v>
      </c>
      <c r="G8" s="666">
        <f>IFERROR(VLOOKUP($A8,Race_2024_Seasonal!A:X,10,FALSE),0)</f>
        <v>11697014.333000001</v>
      </c>
      <c r="H8" s="666">
        <f>IFERROR(VLOOKUP($A8,Race_2024_Seasonal!A:X,11,FALSE),0)</f>
        <v>10596707.132999999</v>
      </c>
      <c r="I8" s="666">
        <f>IFERROR(VLOOKUP($A8,Race_2024_Seasonal!A:X,12,FALSE),0)</f>
        <v>10596707.132999999</v>
      </c>
      <c r="J8" s="666">
        <f>IFERROR(VLOOKUP($A8,Race_2024_Seasonal!A:X,13,FALSE),0)</f>
        <v>10596707.132999999</v>
      </c>
      <c r="K8" s="666">
        <f>IFERROR(VLOOKUP($A8,Race_2024_Seasonal!A:X,14,FALSE),0)</f>
        <v>9729817.1339999996</v>
      </c>
      <c r="L8" s="666">
        <f>IFERROR(VLOOKUP($A8,Race_2024_Seasonal!A:X,15,FALSE),0)</f>
        <v>9764157.2880000006</v>
      </c>
      <c r="M8" s="666">
        <f>IFERROR(VLOOKUP($A8,Race_2024_Seasonal!A:X,16,FALSE),0)</f>
        <v>10061934.243000001</v>
      </c>
      <c r="N8" s="666">
        <f>IFERROR(VLOOKUP($A8,Race_2024_Seasonal!A:X,17,FALSE),0)</f>
        <v>10408690.243000001</v>
      </c>
      <c r="O8" s="666">
        <f>IFERROR(VLOOKUP($A8,Race_2024_Seasonal!A:X,18,FALSE),0)</f>
        <v>10408690.245999999</v>
      </c>
      <c r="P8" s="554"/>
      <c r="Q8" s="666">
        <f>SUM(D8:O8)</f>
        <v>127417506.75600001</v>
      </c>
      <c r="R8" s="554"/>
      <c r="S8" s="673">
        <f>Q8-'P&amp;L'!I8</f>
        <v>0</v>
      </c>
    </row>
    <row r="9" spans="1:19" ht="15">
      <c r="A9" s="546" t="s">
        <v>766</v>
      </c>
      <c r="B9" s="546" t="str">
        <f>IFERROR(VLOOKUP(A9,Race_2024_Seasonal!A:C,3,FALSE), VLOOKUP(A9,Race_2024_Seasonal!A:C,3,FALSE))</f>
        <v>Net sales</v>
      </c>
      <c r="C9" s="566" t="s">
        <v>767</v>
      </c>
      <c r="D9" s="667">
        <f>IFERROR(VLOOKUP($A9,Race_2024_Seasonal!A:X,7,FALSE),0)</f>
        <v>11127901.289999999</v>
      </c>
      <c r="E9" s="667">
        <f>IFERROR(VLOOKUP($A9,Race_2024_Seasonal!A:X,8,FALSE),0)</f>
        <v>10434389.289999999</v>
      </c>
      <c r="F9" s="667">
        <f>IFERROR(VLOOKUP($A9,Race_2024_Seasonal!A:X,9,FALSE),0)</f>
        <v>11994791.289999999</v>
      </c>
      <c r="G9" s="667">
        <f>IFERROR(VLOOKUP($A9,Race_2024_Seasonal!A:X,10,FALSE),0)</f>
        <v>11697014.333000001</v>
      </c>
      <c r="H9" s="667">
        <f>IFERROR(VLOOKUP($A9,Race_2024_Seasonal!A:X,11,FALSE),0)</f>
        <v>10596707.132999999</v>
      </c>
      <c r="I9" s="667">
        <f>IFERROR(VLOOKUP($A9,Race_2024_Seasonal!A:X,12,FALSE),0)</f>
        <v>10596707.132999999</v>
      </c>
      <c r="J9" s="667">
        <f>IFERROR(VLOOKUP($A9,Race_2024_Seasonal!A:X,13,FALSE),0)</f>
        <v>10596707.132999999</v>
      </c>
      <c r="K9" s="667">
        <f>IFERROR(VLOOKUP($A9,Race_2024_Seasonal!A:X,14,FALSE),0)</f>
        <v>9729817.1339999996</v>
      </c>
      <c r="L9" s="667">
        <f>IFERROR(VLOOKUP($A9,Race_2024_Seasonal!A:X,15,FALSE),0)</f>
        <v>9764157.2880000006</v>
      </c>
      <c r="M9" s="667">
        <f>IFERROR(VLOOKUP($A9,Race_2024_Seasonal!A:X,16,FALSE),0)</f>
        <v>10061934.243000001</v>
      </c>
      <c r="N9" s="667">
        <f>IFERROR(VLOOKUP($A9,Race_2024_Seasonal!A:X,17,FALSE),0)</f>
        <v>10408690.243000001</v>
      </c>
      <c r="O9" s="667">
        <f>IFERROR(VLOOKUP($A9,Race_2024_Seasonal!A:X,18,FALSE),0)</f>
        <v>10408690.245999999</v>
      </c>
      <c r="P9" s="554"/>
      <c r="Q9" s="667">
        <f t="shared" ref="Q9:Q71" si="0">SUM(D9:O9)</f>
        <v>127417506.75600001</v>
      </c>
      <c r="R9" s="554"/>
      <c r="S9" s="673">
        <f>Q9-'P&amp;L'!I9</f>
        <v>0</v>
      </c>
    </row>
    <row r="10" spans="1:19" ht="15">
      <c r="A10" s="546" t="s">
        <v>768</v>
      </c>
      <c r="B10" s="546" t="e">
        <f>IFERROR(VLOOKUP(A10,Race_2024_Seasonal!A:C,3,FALSE), VLOOKUP(A10,Race_2024_Seasonal!A:C,3,FALSE))</f>
        <v>#N/A</v>
      </c>
      <c r="C10" s="553" t="s">
        <v>769</v>
      </c>
      <c r="D10" s="624">
        <f>IFERROR(VLOOKUP($A10,Race_2024_Seasonal!A:X,7,FALSE),0)</f>
        <v>0</v>
      </c>
      <c r="E10" s="624">
        <f>IFERROR(VLOOKUP($A10,Race_2024_Seasonal!A:X,8,FALSE),0)</f>
        <v>0</v>
      </c>
      <c r="F10" s="624">
        <f>IFERROR(VLOOKUP($A10,Race_2024_Seasonal!A:X,9,FALSE),0)</f>
        <v>0</v>
      </c>
      <c r="G10" s="624">
        <f>IFERROR(VLOOKUP($A10,Race_2024_Seasonal!A:X,10,FALSE),0)</f>
        <v>0</v>
      </c>
      <c r="H10" s="624">
        <f>IFERROR(VLOOKUP($A10,Race_2024_Seasonal!A:X,11,FALSE),0)</f>
        <v>0</v>
      </c>
      <c r="I10" s="624">
        <f>IFERROR(VLOOKUP($A10,Race_2024_Seasonal!A:X,12,FALSE),0)</f>
        <v>0</v>
      </c>
      <c r="J10" s="624">
        <f>IFERROR(VLOOKUP($A10,Race_2024_Seasonal!A:X,13,FALSE),0)</f>
        <v>0</v>
      </c>
      <c r="K10" s="624">
        <f>IFERROR(VLOOKUP($A10,Race_2024_Seasonal!A:X,14,FALSE),0)</f>
        <v>0</v>
      </c>
      <c r="L10" s="624">
        <f>IFERROR(VLOOKUP($A10,Race_2024_Seasonal!A:X,15,FALSE),0)</f>
        <v>0</v>
      </c>
      <c r="M10" s="624">
        <f>IFERROR(VLOOKUP($A10,Race_2024_Seasonal!A:X,16,FALSE),0)</f>
        <v>0</v>
      </c>
      <c r="N10" s="624">
        <f>IFERROR(VLOOKUP($A10,Race_2024_Seasonal!A:X,17,FALSE),0)</f>
        <v>0</v>
      </c>
      <c r="O10" s="624">
        <f>IFERROR(VLOOKUP($A10,Race_2024_Seasonal!A:X,18,FALSE),0)</f>
        <v>0</v>
      </c>
      <c r="P10" s="554"/>
      <c r="Q10" s="624">
        <f t="shared" si="0"/>
        <v>0</v>
      </c>
      <c r="R10" s="554"/>
      <c r="S10" s="673">
        <f>Q10-'P&amp;L'!I10</f>
        <v>0</v>
      </c>
    </row>
    <row r="11" spans="1:19" ht="15">
      <c r="A11" s="546" t="s">
        <v>770</v>
      </c>
      <c r="B11" s="546" t="e">
        <f>IFERROR(VLOOKUP(A11,Race_2024_Seasonal!A:C,3,FALSE), VLOOKUP(A11,Race_2024_Seasonal!A:C,3,FALSE))</f>
        <v>#N/A</v>
      </c>
      <c r="C11" s="553" t="s">
        <v>771</v>
      </c>
      <c r="D11" s="624">
        <f>IFERROR(VLOOKUP($A11,Race_2024_Seasonal!A:X,7,FALSE),0)</f>
        <v>0</v>
      </c>
      <c r="E11" s="624">
        <f>IFERROR(VLOOKUP($A11,Race_2024_Seasonal!A:X,8,FALSE),0)</f>
        <v>0</v>
      </c>
      <c r="F11" s="624">
        <f>IFERROR(VLOOKUP($A11,Race_2024_Seasonal!A:X,9,FALSE),0)</f>
        <v>0</v>
      </c>
      <c r="G11" s="624">
        <f>IFERROR(VLOOKUP($A11,Race_2024_Seasonal!A:X,10,FALSE),0)</f>
        <v>0</v>
      </c>
      <c r="H11" s="624">
        <f>IFERROR(VLOOKUP($A11,Race_2024_Seasonal!A:X,11,FALSE),0)</f>
        <v>0</v>
      </c>
      <c r="I11" s="624">
        <f>IFERROR(VLOOKUP($A11,Race_2024_Seasonal!A:X,12,FALSE),0)</f>
        <v>0</v>
      </c>
      <c r="J11" s="624">
        <f>IFERROR(VLOOKUP($A11,Race_2024_Seasonal!A:X,13,FALSE),0)</f>
        <v>0</v>
      </c>
      <c r="K11" s="624">
        <f>IFERROR(VLOOKUP($A11,Race_2024_Seasonal!A:X,14,FALSE),0)</f>
        <v>0</v>
      </c>
      <c r="L11" s="624">
        <f>IFERROR(VLOOKUP($A11,Race_2024_Seasonal!A:X,15,FALSE),0)</f>
        <v>0</v>
      </c>
      <c r="M11" s="624">
        <f>IFERROR(VLOOKUP($A11,Race_2024_Seasonal!A:X,16,FALSE),0)</f>
        <v>0</v>
      </c>
      <c r="N11" s="624">
        <f>IFERROR(VLOOKUP($A11,Race_2024_Seasonal!A:X,17,FALSE),0)</f>
        <v>0</v>
      </c>
      <c r="O11" s="624">
        <f>IFERROR(VLOOKUP($A11,Race_2024_Seasonal!A:X,18,FALSE),0)</f>
        <v>0</v>
      </c>
      <c r="P11" s="554"/>
      <c r="Q11" s="624">
        <f t="shared" si="0"/>
        <v>0</v>
      </c>
      <c r="R11" s="554"/>
      <c r="S11" s="673">
        <f>Q11-'P&amp;L'!I11</f>
        <v>0</v>
      </c>
    </row>
    <row r="12" spans="1:19" ht="15">
      <c r="A12" s="546" t="s">
        <v>772</v>
      </c>
      <c r="B12" s="546" t="e">
        <f>IFERROR(VLOOKUP(A12,Race_2024_Seasonal!A:C,3,FALSE), VLOOKUP(A12,Race_2024_Seasonal!A:C,3,FALSE))</f>
        <v>#N/A</v>
      </c>
      <c r="C12" s="553" t="s">
        <v>773</v>
      </c>
      <c r="D12" s="624">
        <f>IFERROR(VLOOKUP($A12,Race_2024_Seasonal!A:X,7,FALSE),0)</f>
        <v>0</v>
      </c>
      <c r="E12" s="624">
        <f>IFERROR(VLOOKUP($A12,Race_2024_Seasonal!A:X,8,FALSE),0)</f>
        <v>0</v>
      </c>
      <c r="F12" s="624">
        <f>IFERROR(VLOOKUP($A12,Race_2024_Seasonal!A:X,9,FALSE),0)</f>
        <v>0</v>
      </c>
      <c r="G12" s="624">
        <f>IFERROR(VLOOKUP($A12,Race_2024_Seasonal!A:X,10,FALSE),0)</f>
        <v>0</v>
      </c>
      <c r="H12" s="624">
        <f>IFERROR(VLOOKUP($A12,Race_2024_Seasonal!A:X,11,FALSE),0)</f>
        <v>0</v>
      </c>
      <c r="I12" s="624">
        <f>IFERROR(VLOOKUP($A12,Race_2024_Seasonal!A:X,12,FALSE),0)</f>
        <v>0</v>
      </c>
      <c r="J12" s="624">
        <f>IFERROR(VLOOKUP($A12,Race_2024_Seasonal!A:X,13,FALSE),0)</f>
        <v>0</v>
      </c>
      <c r="K12" s="624">
        <f>IFERROR(VLOOKUP($A12,Race_2024_Seasonal!A:X,14,FALSE),0)</f>
        <v>0</v>
      </c>
      <c r="L12" s="624">
        <f>IFERROR(VLOOKUP($A12,Race_2024_Seasonal!A:X,15,FALSE),0)</f>
        <v>0</v>
      </c>
      <c r="M12" s="624">
        <f>IFERROR(VLOOKUP($A12,Race_2024_Seasonal!A:X,16,FALSE),0)</f>
        <v>0</v>
      </c>
      <c r="N12" s="624">
        <f>IFERROR(VLOOKUP($A12,Race_2024_Seasonal!A:X,17,FALSE),0)</f>
        <v>0</v>
      </c>
      <c r="O12" s="624">
        <f>IFERROR(VLOOKUP($A12,Race_2024_Seasonal!A:X,18,FALSE),0)</f>
        <v>0</v>
      </c>
      <c r="P12" s="554"/>
      <c r="Q12" s="624">
        <f t="shared" si="0"/>
        <v>0</v>
      </c>
      <c r="R12" s="554"/>
      <c r="S12" s="673">
        <f>Q12-'P&amp;L'!I12</f>
        <v>0</v>
      </c>
    </row>
    <row r="13" spans="1:19" ht="15">
      <c r="A13" s="546" t="s">
        <v>774</v>
      </c>
      <c r="B13" s="546" t="str">
        <f>IFERROR(VLOOKUP(A13,Race_2024_Seasonal!A:C,3,FALSE), VLOOKUP(A13,Race_2024_Seasonal!A:C,3,FALSE))</f>
        <v>Net sales external</v>
      </c>
      <c r="C13" s="553" t="s">
        <v>775</v>
      </c>
      <c r="D13" s="624">
        <f>IFERROR(VLOOKUP($A13,Race_2024_Seasonal!A:X,7,FALSE),0)</f>
        <v>11127901.289999999</v>
      </c>
      <c r="E13" s="624">
        <f>IFERROR(VLOOKUP($A13,Race_2024_Seasonal!A:X,8,FALSE),0)</f>
        <v>10434389.289999999</v>
      </c>
      <c r="F13" s="624">
        <f>IFERROR(VLOOKUP($A13,Race_2024_Seasonal!A:X,9,FALSE),0)</f>
        <v>11994791.289999999</v>
      </c>
      <c r="G13" s="624">
        <f>IFERROR(VLOOKUP($A13,Race_2024_Seasonal!A:X,10,FALSE),0)</f>
        <v>11697014.333000001</v>
      </c>
      <c r="H13" s="624">
        <f>IFERROR(VLOOKUP($A13,Race_2024_Seasonal!A:X,11,FALSE),0)</f>
        <v>10596707.132999999</v>
      </c>
      <c r="I13" s="624">
        <f>IFERROR(VLOOKUP($A13,Race_2024_Seasonal!A:X,12,FALSE),0)</f>
        <v>10596707.132999999</v>
      </c>
      <c r="J13" s="624">
        <f>IFERROR(VLOOKUP($A13,Race_2024_Seasonal!A:X,13,FALSE),0)</f>
        <v>10596707.132999999</v>
      </c>
      <c r="K13" s="624">
        <f>IFERROR(VLOOKUP($A13,Race_2024_Seasonal!A:X,14,FALSE),0)</f>
        <v>9729817.1339999996</v>
      </c>
      <c r="L13" s="624">
        <f>IFERROR(VLOOKUP($A13,Race_2024_Seasonal!A:X,15,FALSE),0)</f>
        <v>9764157.2880000006</v>
      </c>
      <c r="M13" s="624">
        <f>IFERROR(VLOOKUP($A13,Race_2024_Seasonal!A:X,16,FALSE),0)</f>
        <v>10061934.243000001</v>
      </c>
      <c r="N13" s="624">
        <f>IFERROR(VLOOKUP($A13,Race_2024_Seasonal!A:X,17,FALSE),0)</f>
        <v>10408690.243000001</v>
      </c>
      <c r="O13" s="624">
        <f>IFERROR(VLOOKUP($A13,Race_2024_Seasonal!A:X,18,FALSE),0)</f>
        <v>10408690.245999999</v>
      </c>
      <c r="P13" s="554"/>
      <c r="Q13" s="624">
        <f t="shared" si="0"/>
        <v>127417506.75600001</v>
      </c>
      <c r="R13" s="554"/>
      <c r="S13" s="673">
        <f>Q13-'P&amp;L'!I13</f>
        <v>0</v>
      </c>
    </row>
    <row r="14" spans="1:19" ht="15">
      <c r="A14" s="546" t="s">
        <v>776</v>
      </c>
      <c r="B14" s="546" t="e">
        <f>IFERROR(VLOOKUP(A14,Race_2024_Seasonal!A:C,3,FALSE), VLOOKUP(A14,Race_2024_Seasonal!A:C,3,FALSE))</f>
        <v>#N/A</v>
      </c>
      <c r="C14" s="566" t="s">
        <v>777</v>
      </c>
      <c r="D14" s="667">
        <f>IFERROR(VLOOKUP($A14,Race_2024_Seasonal!A:X,7,FALSE),0)</f>
        <v>0</v>
      </c>
      <c r="E14" s="667">
        <f>IFERROR(VLOOKUP($A14,Race_2024_Seasonal!A:X,8,FALSE),0)</f>
        <v>0</v>
      </c>
      <c r="F14" s="667">
        <f>IFERROR(VLOOKUP($A14,Race_2024_Seasonal!A:X,9,FALSE),0)</f>
        <v>0</v>
      </c>
      <c r="G14" s="667">
        <f>IFERROR(VLOOKUP($A14,Race_2024_Seasonal!A:X,10,FALSE),0)</f>
        <v>0</v>
      </c>
      <c r="H14" s="667">
        <f>IFERROR(VLOOKUP($A14,Race_2024_Seasonal!A:X,11,FALSE),0)</f>
        <v>0</v>
      </c>
      <c r="I14" s="667">
        <f>IFERROR(VLOOKUP($A14,Race_2024_Seasonal!A:X,12,FALSE),0)</f>
        <v>0</v>
      </c>
      <c r="J14" s="667">
        <f>IFERROR(VLOOKUP($A14,Race_2024_Seasonal!A:X,13,FALSE),0)</f>
        <v>0</v>
      </c>
      <c r="K14" s="667">
        <f>IFERROR(VLOOKUP($A14,Race_2024_Seasonal!A:X,14,FALSE),0)</f>
        <v>0</v>
      </c>
      <c r="L14" s="667">
        <f>IFERROR(VLOOKUP($A14,Race_2024_Seasonal!A:X,15,FALSE),0)</f>
        <v>0</v>
      </c>
      <c r="M14" s="667">
        <f>IFERROR(VLOOKUP($A14,Race_2024_Seasonal!A:X,16,FALSE),0)</f>
        <v>0</v>
      </c>
      <c r="N14" s="667">
        <f>IFERROR(VLOOKUP($A14,Race_2024_Seasonal!A:X,17,FALSE),0)</f>
        <v>0</v>
      </c>
      <c r="O14" s="667">
        <f>IFERROR(VLOOKUP($A14,Race_2024_Seasonal!A:X,18,FALSE),0)</f>
        <v>0</v>
      </c>
      <c r="P14" s="554"/>
      <c r="Q14" s="667">
        <f t="shared" si="0"/>
        <v>0</v>
      </c>
      <c r="R14" s="554"/>
      <c r="S14" s="673">
        <f>Q14-'P&amp;L'!I14</f>
        <v>0</v>
      </c>
    </row>
    <row r="15" spans="1:19" ht="15">
      <c r="A15" s="546" t="s">
        <v>778</v>
      </c>
      <c r="B15" s="546" t="e">
        <f>IFERROR(VLOOKUP(A15,Race_2024_Seasonal!A:C,3,FALSE), VLOOKUP(A15,Race_2024_Seasonal!A:C,3,FALSE))</f>
        <v>#N/A</v>
      </c>
      <c r="C15" s="553" t="s">
        <v>779</v>
      </c>
      <c r="D15" s="624">
        <f>IFERROR(VLOOKUP($A15,Race_2024_Seasonal!A:X,7,FALSE),0)</f>
        <v>0</v>
      </c>
      <c r="E15" s="624">
        <f>IFERROR(VLOOKUP($A15,Race_2024_Seasonal!A:X,8,FALSE),0)</f>
        <v>0</v>
      </c>
      <c r="F15" s="624">
        <f>IFERROR(VLOOKUP($A15,Race_2024_Seasonal!A:X,9,FALSE),0)</f>
        <v>0</v>
      </c>
      <c r="G15" s="624">
        <f>IFERROR(VLOOKUP($A15,Race_2024_Seasonal!A:X,10,FALSE),0)</f>
        <v>0</v>
      </c>
      <c r="H15" s="624">
        <f>IFERROR(VLOOKUP($A15,Race_2024_Seasonal!A:X,11,FALSE),0)</f>
        <v>0</v>
      </c>
      <c r="I15" s="624">
        <f>IFERROR(VLOOKUP($A15,Race_2024_Seasonal!A:X,12,FALSE),0)</f>
        <v>0</v>
      </c>
      <c r="J15" s="624">
        <f>IFERROR(VLOOKUP($A15,Race_2024_Seasonal!A:X,13,FALSE),0)</f>
        <v>0</v>
      </c>
      <c r="K15" s="624">
        <f>IFERROR(VLOOKUP($A15,Race_2024_Seasonal!A:X,14,FALSE),0)</f>
        <v>0</v>
      </c>
      <c r="L15" s="624">
        <f>IFERROR(VLOOKUP($A15,Race_2024_Seasonal!A:X,15,FALSE),0)</f>
        <v>0</v>
      </c>
      <c r="M15" s="624">
        <f>IFERROR(VLOOKUP($A15,Race_2024_Seasonal!A:X,16,FALSE),0)</f>
        <v>0</v>
      </c>
      <c r="N15" s="624">
        <f>IFERROR(VLOOKUP($A15,Race_2024_Seasonal!A:X,17,FALSE),0)</f>
        <v>0</v>
      </c>
      <c r="O15" s="624">
        <f>IFERROR(VLOOKUP($A15,Race_2024_Seasonal!A:X,18,FALSE),0)</f>
        <v>0</v>
      </c>
      <c r="P15" s="554"/>
      <c r="Q15" s="624">
        <f t="shared" si="0"/>
        <v>0</v>
      </c>
      <c r="R15" s="554"/>
      <c r="S15" s="673">
        <f>Q15-'P&amp;L'!I15</f>
        <v>0</v>
      </c>
    </row>
    <row r="16" spans="1:19" ht="15">
      <c r="A16" s="546" t="s">
        <v>780</v>
      </c>
      <c r="B16" s="546" t="e">
        <f>IFERROR(VLOOKUP(A16,Race_2024_Seasonal!A:C,3,FALSE), VLOOKUP(A16,Race_2024_Seasonal!A:C,3,FALSE))</f>
        <v>#N/A</v>
      </c>
      <c r="C16" s="555" t="s">
        <v>781</v>
      </c>
      <c r="D16" s="624">
        <f>IFERROR(VLOOKUP($A16,Race_2024_Seasonal!A:X,7,FALSE),0)</f>
        <v>0</v>
      </c>
      <c r="E16" s="624">
        <f>IFERROR(VLOOKUP($A16,Race_2024_Seasonal!A:X,8,FALSE),0)</f>
        <v>0</v>
      </c>
      <c r="F16" s="624">
        <f>IFERROR(VLOOKUP($A16,Race_2024_Seasonal!A:X,9,FALSE),0)</f>
        <v>0</v>
      </c>
      <c r="G16" s="624">
        <f>IFERROR(VLOOKUP($A16,Race_2024_Seasonal!A:X,10,FALSE),0)</f>
        <v>0</v>
      </c>
      <c r="H16" s="624">
        <f>IFERROR(VLOOKUP($A16,Race_2024_Seasonal!A:X,11,FALSE),0)</f>
        <v>0</v>
      </c>
      <c r="I16" s="624">
        <f>IFERROR(VLOOKUP($A16,Race_2024_Seasonal!A:X,12,FALSE),0)</f>
        <v>0</v>
      </c>
      <c r="J16" s="624">
        <f>IFERROR(VLOOKUP($A16,Race_2024_Seasonal!A:X,13,FALSE),0)</f>
        <v>0</v>
      </c>
      <c r="K16" s="624">
        <f>IFERROR(VLOOKUP($A16,Race_2024_Seasonal!A:X,14,FALSE),0)</f>
        <v>0</v>
      </c>
      <c r="L16" s="624">
        <f>IFERROR(VLOOKUP($A16,Race_2024_Seasonal!A:X,15,FALSE),0)</f>
        <v>0</v>
      </c>
      <c r="M16" s="624">
        <f>IFERROR(VLOOKUP($A16,Race_2024_Seasonal!A:X,16,FALSE),0)</f>
        <v>0</v>
      </c>
      <c r="N16" s="624">
        <f>IFERROR(VLOOKUP($A16,Race_2024_Seasonal!A:X,17,FALSE),0)</f>
        <v>0</v>
      </c>
      <c r="O16" s="624">
        <f>IFERROR(VLOOKUP($A16,Race_2024_Seasonal!A:X,18,FALSE),0)</f>
        <v>0</v>
      </c>
      <c r="P16" s="554"/>
      <c r="Q16" s="624">
        <f t="shared" si="0"/>
        <v>0</v>
      </c>
      <c r="R16" s="554"/>
      <c r="S16" s="673">
        <f>Q16-'P&amp;L'!I16</f>
        <v>0</v>
      </c>
    </row>
    <row r="17" spans="1:19" ht="15">
      <c r="A17" s="546" t="s">
        <v>782</v>
      </c>
      <c r="B17" s="546" t="str">
        <f>IFERROR(VLOOKUP(A17,Race_2024_Seasonal!A:C,3,FALSE), VLOOKUP(A17,Race_2024_Seasonal!A:C,3,FALSE))</f>
        <v>Variable costs</v>
      </c>
      <c r="C17" s="552" t="s">
        <v>783</v>
      </c>
      <c r="D17" s="668">
        <f>IFERROR(VLOOKUP($A17,Race_2024_Seasonal!A:X,7,FALSE),0)</f>
        <v>-7450358.9780000001</v>
      </c>
      <c r="E17" s="668">
        <f>IFERROR(VLOOKUP($A17,Race_2024_Seasonal!A:X,8,FALSE),0)</f>
        <v>-6983876.3499999996</v>
      </c>
      <c r="F17" s="668">
        <f>IFERROR(VLOOKUP($A17,Race_2024_Seasonal!A:X,9,FALSE),0)</f>
        <v>-8027299.5250000004</v>
      </c>
      <c r="G17" s="668">
        <f>IFERROR(VLOOKUP($A17,Race_2024_Seasonal!A:X,10,FALSE),0)</f>
        <v>-7844683.3880000003</v>
      </c>
      <c r="H17" s="668">
        <f>IFERROR(VLOOKUP($A17,Race_2024_Seasonal!A:X,11,FALSE),0)</f>
        <v>-7108359.9230000004</v>
      </c>
      <c r="I17" s="668">
        <f>IFERROR(VLOOKUP($A17,Race_2024_Seasonal!A:X,12,FALSE),0)</f>
        <v>-7104619.2690000003</v>
      </c>
      <c r="J17" s="668">
        <f>IFERROR(VLOOKUP($A17,Race_2024_Seasonal!A:X,13,FALSE),0)</f>
        <v>-7111368.7850000001</v>
      </c>
      <c r="K17" s="668">
        <f>IFERROR(VLOOKUP($A17,Race_2024_Seasonal!A:X,14,FALSE),0)</f>
        <v>-6527036.6579999998</v>
      </c>
      <c r="L17" s="668">
        <f>IFERROR(VLOOKUP($A17,Race_2024_Seasonal!A:X,15,FALSE),0)</f>
        <v>-6546577.5619999999</v>
      </c>
      <c r="M17" s="668">
        <f>IFERROR(VLOOKUP($A17,Race_2024_Seasonal!A:X,16,FALSE),0)</f>
        <v>-6751348.9160000002</v>
      </c>
      <c r="N17" s="668">
        <f>IFERROR(VLOOKUP($A17,Race_2024_Seasonal!A:X,17,FALSE),0)</f>
        <v>-6983876.0609999998</v>
      </c>
      <c r="O17" s="668">
        <f>IFERROR(VLOOKUP($A17,Race_2024_Seasonal!A:X,18,FALSE),0)</f>
        <v>-6983313.3540000003</v>
      </c>
      <c r="P17" s="554"/>
      <c r="Q17" s="668">
        <f t="shared" si="0"/>
        <v>-85422718.769000009</v>
      </c>
      <c r="R17" s="554"/>
      <c r="S17" s="673">
        <f>Q17-'P&amp;L'!I17</f>
        <v>0</v>
      </c>
    </row>
    <row r="18" spans="1:19" ht="15">
      <c r="A18" s="546" t="s">
        <v>784</v>
      </c>
      <c r="B18" s="546" t="str">
        <f>IFERROR(VLOOKUP(A18,Race_2024_Seasonal!A:C,3,FALSE), VLOOKUP(A18,Race_2024_Seasonal!A:C,3,FALSE))</f>
        <v>Var costs over stand</v>
      </c>
      <c r="C18" s="566" t="s">
        <v>785</v>
      </c>
      <c r="D18" s="667">
        <f>IFERROR(VLOOKUP($A18,Race_2024_Seasonal!A:X,7,FALSE),0)</f>
        <v>-7381909.8849999998</v>
      </c>
      <c r="E18" s="667">
        <f>IFERROR(VLOOKUP($A18,Race_2024_Seasonal!A:X,8,FALSE),0)</f>
        <v>-6919727.0319999997</v>
      </c>
      <c r="F18" s="667">
        <f>IFERROR(VLOOKUP($A18,Race_2024_Seasonal!A:X,9,FALSE),0)</f>
        <v>-7953475.7139999997</v>
      </c>
      <c r="G18" s="667">
        <f>IFERROR(VLOOKUP($A18,Race_2024_Seasonal!A:X,10,FALSE),0)</f>
        <v>-7772705.7939999998</v>
      </c>
      <c r="H18" s="667">
        <f>IFERROR(VLOOKUP($A18,Race_2024_Seasonal!A:X,11,FALSE),0)</f>
        <v>-7043204.233</v>
      </c>
      <c r="I18" s="667">
        <f>IFERROR(VLOOKUP($A18,Race_2024_Seasonal!A:X,12,FALSE),0)</f>
        <v>-7039463.5789999999</v>
      </c>
      <c r="J18" s="667">
        <f>IFERROR(VLOOKUP($A18,Race_2024_Seasonal!A:X,13,FALSE),0)</f>
        <v>-7046213.0949999997</v>
      </c>
      <c r="K18" s="667">
        <f>IFERROR(VLOOKUP($A18,Race_2024_Seasonal!A:X,14,FALSE),0)</f>
        <v>-6467255.6859999998</v>
      </c>
      <c r="L18" s="667">
        <f>IFERROR(VLOOKUP($A18,Race_2024_Seasonal!A:X,15,FALSE),0)</f>
        <v>-6486583.682</v>
      </c>
      <c r="M18" s="667">
        <f>IFERROR(VLOOKUP($A18,Race_2024_Seasonal!A:X,16,FALSE),0)</f>
        <v>-6689508.8190000001</v>
      </c>
      <c r="N18" s="667">
        <f>IFERROR(VLOOKUP($A18,Race_2024_Seasonal!A:X,17,FALSE),0)</f>
        <v>-6919886.0769999996</v>
      </c>
      <c r="O18" s="667">
        <f>IFERROR(VLOOKUP($A18,Race_2024_Seasonal!A:X,18,FALSE),0)</f>
        <v>-6919323.3710000003</v>
      </c>
      <c r="P18" s="554"/>
      <c r="Q18" s="667">
        <f t="shared" si="0"/>
        <v>-84639256.967000023</v>
      </c>
      <c r="R18" s="554"/>
      <c r="S18" s="673">
        <f>Q18-'P&amp;L'!I18</f>
        <v>0</v>
      </c>
    </row>
    <row r="19" spans="1:19" ht="15">
      <c r="A19" s="546" t="s">
        <v>786</v>
      </c>
      <c r="B19" s="546" t="e">
        <f>IFERROR(VLOOKUP(A19,Race_2024_Seasonal!A:C,3,FALSE), VLOOKUP(A19,Race_2024_Seasonal!A:C,3,FALSE))</f>
        <v>#N/A</v>
      </c>
      <c r="C19" s="553" t="s">
        <v>787</v>
      </c>
      <c r="D19" s="624">
        <f>IFERROR(VLOOKUP($A19,Race_2024_Seasonal!A:X,7,FALSE),0)</f>
        <v>0</v>
      </c>
      <c r="E19" s="624">
        <f>IFERROR(VLOOKUP($A19,Race_2024_Seasonal!A:X,8,FALSE),0)</f>
        <v>0</v>
      </c>
      <c r="F19" s="624">
        <f>IFERROR(VLOOKUP($A19,Race_2024_Seasonal!A:X,9,FALSE),0)</f>
        <v>0</v>
      </c>
      <c r="G19" s="624">
        <f>IFERROR(VLOOKUP($A19,Race_2024_Seasonal!A:X,10,FALSE),0)</f>
        <v>0</v>
      </c>
      <c r="H19" s="624">
        <f>IFERROR(VLOOKUP($A19,Race_2024_Seasonal!A:X,11,FALSE),0)</f>
        <v>0</v>
      </c>
      <c r="I19" s="624">
        <f>IFERROR(VLOOKUP($A19,Race_2024_Seasonal!A:X,12,FALSE),0)</f>
        <v>0</v>
      </c>
      <c r="J19" s="624">
        <f>IFERROR(VLOOKUP($A19,Race_2024_Seasonal!A:X,13,FALSE),0)</f>
        <v>0</v>
      </c>
      <c r="K19" s="624">
        <f>IFERROR(VLOOKUP($A19,Race_2024_Seasonal!A:X,14,FALSE),0)</f>
        <v>0</v>
      </c>
      <c r="L19" s="624">
        <f>IFERROR(VLOOKUP($A19,Race_2024_Seasonal!A:X,15,FALSE),0)</f>
        <v>0</v>
      </c>
      <c r="M19" s="624">
        <f>IFERROR(VLOOKUP($A19,Race_2024_Seasonal!A:X,16,FALSE),0)</f>
        <v>0</v>
      </c>
      <c r="N19" s="624">
        <f>IFERROR(VLOOKUP($A19,Race_2024_Seasonal!A:X,17,FALSE),0)</f>
        <v>0</v>
      </c>
      <c r="O19" s="624">
        <f>IFERROR(VLOOKUP($A19,Race_2024_Seasonal!A:X,18,FALSE),0)</f>
        <v>0</v>
      </c>
      <c r="P19" s="554"/>
      <c r="Q19" s="624">
        <f t="shared" si="0"/>
        <v>0</v>
      </c>
      <c r="R19" s="554"/>
      <c r="S19" s="673">
        <f>Q19-'P&amp;L'!I19</f>
        <v>0</v>
      </c>
    </row>
    <row r="20" spans="1:19" ht="15">
      <c r="A20" s="546" t="s">
        <v>788</v>
      </c>
      <c r="B20" s="546" t="str">
        <f>IFERROR(VLOOKUP(A20,Race_2024_Seasonal!A:C,3,FALSE), VLOOKUP(A20,Race_2024_Seasonal!A:C,3,FALSE))</f>
        <v>Var. manuf. costs</v>
      </c>
      <c r="C20" s="553" t="s">
        <v>789</v>
      </c>
      <c r="D20" s="624">
        <f>IFERROR(VLOOKUP($A20,Race_2024_Seasonal!A:X,7,FALSE),0)</f>
        <v>-7282728.7350000003</v>
      </c>
      <c r="E20" s="624">
        <f>IFERROR(VLOOKUP($A20,Race_2024_Seasonal!A:X,8,FALSE),0)</f>
        <v>-6826615.5829999996</v>
      </c>
      <c r="F20" s="624">
        <f>IFERROR(VLOOKUP($A20,Race_2024_Seasonal!A:X,9,FALSE),0)</f>
        <v>-7846707.443</v>
      </c>
      <c r="G20" s="624">
        <f>IFERROR(VLOOKUP($A20,Race_2024_Seasonal!A:X,10,FALSE),0)</f>
        <v>-7668583.7740000002</v>
      </c>
      <c r="H20" s="624">
        <f>IFERROR(VLOOKUP($A20,Race_2024_Seasonal!A:X,11,FALSE),0)</f>
        <v>-6948778.4589999998</v>
      </c>
      <c r="I20" s="624">
        <f>IFERROR(VLOOKUP($A20,Race_2024_Seasonal!A:X,12,FALSE),0)</f>
        <v>-6945037.8049999997</v>
      </c>
      <c r="J20" s="624">
        <f>IFERROR(VLOOKUP($A20,Race_2024_Seasonal!A:X,13,FALSE),0)</f>
        <v>-6951787.3210000005</v>
      </c>
      <c r="K20" s="624">
        <f>IFERROR(VLOOKUP($A20,Race_2024_Seasonal!A:X,14,FALSE),0)</f>
        <v>-6380417.0300000003</v>
      </c>
      <c r="L20" s="624">
        <f>IFERROR(VLOOKUP($A20,Race_2024_Seasonal!A:X,15,FALSE),0)</f>
        <v>-6399503.7470000004</v>
      </c>
      <c r="M20" s="624">
        <f>IFERROR(VLOOKUP($A20,Race_2024_Seasonal!A:X,16,FALSE),0)</f>
        <v>-6599782.6320000002</v>
      </c>
      <c r="N20" s="624">
        <f>IFERROR(VLOOKUP($A20,Race_2024_Seasonal!A:X,17,FALSE),0)</f>
        <v>-6827125.04</v>
      </c>
      <c r="O20" s="624">
        <f>IFERROR(VLOOKUP($A20,Race_2024_Seasonal!A:X,18,FALSE),0)</f>
        <v>-6826562.3339999998</v>
      </c>
      <c r="P20" s="554"/>
      <c r="Q20" s="624">
        <f t="shared" si="0"/>
        <v>-83503629.903000027</v>
      </c>
      <c r="R20" s="554"/>
      <c r="S20" s="673">
        <f>Q20-'P&amp;L'!I20</f>
        <v>0</v>
      </c>
    </row>
    <row r="21" spans="1:19" ht="15">
      <c r="A21" s="546" t="s">
        <v>790</v>
      </c>
      <c r="B21" s="546" t="str">
        <f>IFERROR(VLOOKUP(A21,Race_2024_Seasonal!A:C,3,FALSE), VLOOKUP(A21,Race_2024_Seasonal!A:C,3,FALSE))</f>
        <v>Other var. costs</v>
      </c>
      <c r="C21" s="564" t="s">
        <v>791</v>
      </c>
      <c r="D21" s="669">
        <f>IFERROR(VLOOKUP($A21,Race_2024_Seasonal!A:X,7,FALSE),0)</f>
        <v>-99181.15</v>
      </c>
      <c r="E21" s="669">
        <f>IFERROR(VLOOKUP($A21,Race_2024_Seasonal!A:X,8,FALSE),0)</f>
        <v>-93111.448999999993</v>
      </c>
      <c r="F21" s="669">
        <f>IFERROR(VLOOKUP($A21,Race_2024_Seasonal!A:X,9,FALSE),0)</f>
        <v>-106768.27099999999</v>
      </c>
      <c r="G21" s="669">
        <f>IFERROR(VLOOKUP($A21,Race_2024_Seasonal!A:X,10,FALSE),0)</f>
        <v>-104122.02</v>
      </c>
      <c r="H21" s="669">
        <f>IFERROR(VLOOKUP($A21,Race_2024_Seasonal!A:X,11,FALSE),0)</f>
        <v>-94425.774000000005</v>
      </c>
      <c r="I21" s="669">
        <f>IFERROR(VLOOKUP($A21,Race_2024_Seasonal!A:X,12,FALSE),0)</f>
        <v>-94425.774000000005</v>
      </c>
      <c r="J21" s="669">
        <f>IFERROR(VLOOKUP($A21,Race_2024_Seasonal!A:X,13,FALSE),0)</f>
        <v>-94425.774000000005</v>
      </c>
      <c r="K21" s="669">
        <f>IFERROR(VLOOKUP($A21,Race_2024_Seasonal!A:X,14,FALSE),0)</f>
        <v>-86838.656000000003</v>
      </c>
      <c r="L21" s="669">
        <f>IFERROR(VLOOKUP($A21,Race_2024_Seasonal!A:X,15,FALSE),0)</f>
        <v>-87079.934999999998</v>
      </c>
      <c r="M21" s="669">
        <f>IFERROR(VLOOKUP($A21,Race_2024_Seasonal!A:X,16,FALSE),0)</f>
        <v>-89726.187000000005</v>
      </c>
      <c r="N21" s="669">
        <f>IFERROR(VLOOKUP($A21,Race_2024_Seasonal!A:X,17,FALSE),0)</f>
        <v>-92761.036999999997</v>
      </c>
      <c r="O21" s="669">
        <f>IFERROR(VLOOKUP($A21,Race_2024_Seasonal!A:X,18,FALSE),0)</f>
        <v>-92761.036999999997</v>
      </c>
      <c r="P21" s="554"/>
      <c r="Q21" s="669">
        <f t="shared" si="0"/>
        <v>-1135627.0639999998</v>
      </c>
      <c r="R21" s="554"/>
      <c r="S21" s="673">
        <f>Q21-'P&amp;L'!I21</f>
        <v>0</v>
      </c>
    </row>
    <row r="22" spans="1:19" ht="15">
      <c r="A22" s="546" t="s">
        <v>792</v>
      </c>
      <c r="B22" s="546" t="str">
        <f>IFERROR(VLOOKUP(A22,Race_2024_Seasonal!A:C,3,FALSE), VLOOKUP(A22,Race_2024_Seasonal!A:C,3,FALSE))</f>
        <v>OVC handling</v>
      </c>
      <c r="C22" s="563" t="s">
        <v>793</v>
      </c>
      <c r="D22" s="663">
        <f>IFERROR(VLOOKUP($A22,Race_2024_Seasonal!A:X,7,FALSE),0)</f>
        <v>-35168.659</v>
      </c>
      <c r="E22" s="663">
        <f>IFERROR(VLOOKUP($A22,Race_2024_Seasonal!A:X,8,FALSE),0)</f>
        <v>-32993.254000000001</v>
      </c>
      <c r="F22" s="663">
        <f>IFERROR(VLOOKUP($A22,Race_2024_Seasonal!A:X,9,FALSE),0)</f>
        <v>-37887.910000000003</v>
      </c>
      <c r="G22" s="663">
        <f>IFERROR(VLOOKUP($A22,Race_2024_Seasonal!A:X,10,FALSE),0)</f>
        <v>-36945.413999999997</v>
      </c>
      <c r="H22" s="663">
        <f>IFERROR(VLOOKUP($A22,Race_2024_Seasonal!A:X,11,FALSE),0)</f>
        <v>-33480.042000000001</v>
      </c>
      <c r="I22" s="663">
        <f>IFERROR(VLOOKUP($A22,Race_2024_Seasonal!A:X,12,FALSE),0)</f>
        <v>-33480.042000000001</v>
      </c>
      <c r="J22" s="663">
        <f>IFERROR(VLOOKUP($A22,Race_2024_Seasonal!A:X,13,FALSE),0)</f>
        <v>-33480.042000000001</v>
      </c>
      <c r="K22" s="663">
        <f>IFERROR(VLOOKUP($A22,Race_2024_Seasonal!A:X,14,FALSE),0)</f>
        <v>-30760.794000000002</v>
      </c>
      <c r="L22" s="663">
        <f>IFERROR(VLOOKUP($A22,Race_2024_Seasonal!A:X,15,FALSE),0)</f>
        <v>-30856.036</v>
      </c>
      <c r="M22" s="663">
        <f>IFERROR(VLOOKUP($A22,Race_2024_Seasonal!A:X,16,FALSE),0)</f>
        <v>-31798.534</v>
      </c>
      <c r="N22" s="663">
        <f>IFERROR(VLOOKUP($A22,Race_2024_Seasonal!A:X,17,FALSE),0)</f>
        <v>-32886.235999999997</v>
      </c>
      <c r="O22" s="663">
        <f>IFERROR(VLOOKUP($A22,Race_2024_Seasonal!A:X,18,FALSE),0)</f>
        <v>-32886.235999999997</v>
      </c>
      <c r="P22" s="554"/>
      <c r="Q22" s="663">
        <f t="shared" si="0"/>
        <v>-402623.19899999996</v>
      </c>
      <c r="R22" s="554"/>
      <c r="S22" s="673">
        <f>Q22-'P&amp;L'!I22</f>
        <v>0</v>
      </c>
    </row>
    <row r="23" spans="1:19" ht="15">
      <c r="A23" s="546" t="s">
        <v>794</v>
      </c>
      <c r="B23" s="546" t="str">
        <f>IFERROR(VLOOKUP(A23,Race_2024_Seasonal!A:C,3,FALSE), VLOOKUP(A23,Race_2024_Seasonal!A:C,3,FALSE))</f>
        <v>OVC freight</v>
      </c>
      <c r="C23" s="563" t="s">
        <v>795</v>
      </c>
      <c r="D23" s="663">
        <f>IFERROR(VLOOKUP($A23,Race_2024_Seasonal!A:X,7,FALSE),0)</f>
        <v>-64012.491000000002</v>
      </c>
      <c r="E23" s="663">
        <f>IFERROR(VLOOKUP($A23,Race_2024_Seasonal!A:X,8,FALSE),0)</f>
        <v>-60118.195</v>
      </c>
      <c r="F23" s="663">
        <f>IFERROR(VLOOKUP($A23,Race_2024_Seasonal!A:X,9,FALSE),0)</f>
        <v>-68880.361000000004</v>
      </c>
      <c r="G23" s="663">
        <f>IFERROR(VLOOKUP($A23,Race_2024_Seasonal!A:X,10,FALSE),0)</f>
        <v>-67176.606</v>
      </c>
      <c r="H23" s="663">
        <f>IFERROR(VLOOKUP($A23,Race_2024_Seasonal!A:X,11,FALSE),0)</f>
        <v>-60945.732000000004</v>
      </c>
      <c r="I23" s="663">
        <f>IFERROR(VLOOKUP($A23,Race_2024_Seasonal!A:X,12,FALSE),0)</f>
        <v>-60945.732000000004</v>
      </c>
      <c r="J23" s="663">
        <f>IFERROR(VLOOKUP($A23,Race_2024_Seasonal!A:X,13,FALSE),0)</f>
        <v>-60945.732000000004</v>
      </c>
      <c r="K23" s="663">
        <f>IFERROR(VLOOKUP($A23,Race_2024_Seasonal!A:X,14,FALSE),0)</f>
        <v>-56077.862000000001</v>
      </c>
      <c r="L23" s="663">
        <f>IFERROR(VLOOKUP($A23,Race_2024_Seasonal!A:X,15,FALSE),0)</f>
        <v>-56223.898999999998</v>
      </c>
      <c r="M23" s="663">
        <f>IFERROR(VLOOKUP($A23,Race_2024_Seasonal!A:X,16,FALSE),0)</f>
        <v>-57927.652999999998</v>
      </c>
      <c r="N23" s="663">
        <f>IFERROR(VLOOKUP($A23,Race_2024_Seasonal!A:X,17,FALSE),0)</f>
        <v>-59874.800999999999</v>
      </c>
      <c r="O23" s="663">
        <f>IFERROR(VLOOKUP($A23,Race_2024_Seasonal!A:X,18,FALSE),0)</f>
        <v>-59874.800999999999</v>
      </c>
      <c r="P23" s="554"/>
      <c r="Q23" s="663">
        <f t="shared" si="0"/>
        <v>-733003.86500000011</v>
      </c>
      <c r="R23" s="554"/>
      <c r="S23" s="673">
        <f>Q23-'P&amp;L'!I23</f>
        <v>0</v>
      </c>
    </row>
    <row r="24" spans="1:19" ht="15">
      <c r="A24" s="546" t="s">
        <v>796</v>
      </c>
      <c r="B24" s="546" t="e">
        <f>IFERROR(VLOOKUP(A24,Race_2024_Seasonal!A:C,3,FALSE), VLOOKUP(A24,Race_2024_Seasonal!A:C,3,FALSE))</f>
        <v>#N/A</v>
      </c>
      <c r="C24" s="563" t="s">
        <v>797</v>
      </c>
      <c r="D24" s="663">
        <f>IFERROR(VLOOKUP($A24,Race_2024_Seasonal!A:X,7,FALSE),0)</f>
        <v>0</v>
      </c>
      <c r="E24" s="663">
        <f>IFERROR(VLOOKUP($A24,Race_2024_Seasonal!A:X,8,FALSE),0)</f>
        <v>0</v>
      </c>
      <c r="F24" s="663">
        <f>IFERROR(VLOOKUP($A24,Race_2024_Seasonal!A:X,9,FALSE),0)</f>
        <v>0</v>
      </c>
      <c r="G24" s="663">
        <f>IFERROR(VLOOKUP($A24,Race_2024_Seasonal!A:X,10,FALSE),0)</f>
        <v>0</v>
      </c>
      <c r="H24" s="663">
        <f>IFERROR(VLOOKUP($A24,Race_2024_Seasonal!A:X,11,FALSE),0)</f>
        <v>0</v>
      </c>
      <c r="I24" s="663">
        <f>IFERROR(VLOOKUP($A24,Race_2024_Seasonal!A:X,12,FALSE),0)</f>
        <v>0</v>
      </c>
      <c r="J24" s="663">
        <f>IFERROR(VLOOKUP($A24,Race_2024_Seasonal!A:X,13,FALSE),0)</f>
        <v>0</v>
      </c>
      <c r="K24" s="663">
        <f>IFERROR(VLOOKUP($A24,Race_2024_Seasonal!A:X,14,FALSE),0)</f>
        <v>0</v>
      </c>
      <c r="L24" s="663">
        <f>IFERROR(VLOOKUP($A24,Race_2024_Seasonal!A:X,15,FALSE),0)</f>
        <v>0</v>
      </c>
      <c r="M24" s="663">
        <f>IFERROR(VLOOKUP($A24,Race_2024_Seasonal!A:X,16,FALSE),0)</f>
        <v>0</v>
      </c>
      <c r="N24" s="663">
        <f>IFERROR(VLOOKUP($A24,Race_2024_Seasonal!A:X,17,FALSE),0)</f>
        <v>0</v>
      </c>
      <c r="O24" s="663">
        <f>IFERROR(VLOOKUP($A24,Race_2024_Seasonal!A:X,18,FALSE),0)</f>
        <v>0</v>
      </c>
      <c r="P24" s="554"/>
      <c r="Q24" s="663">
        <f t="shared" si="0"/>
        <v>0</v>
      </c>
      <c r="R24" s="554"/>
      <c r="S24" s="673">
        <f>Q24-'P&amp;L'!I24</f>
        <v>0</v>
      </c>
    </row>
    <row r="25" spans="1:19" ht="15">
      <c r="A25" s="546" t="s">
        <v>798</v>
      </c>
      <c r="B25" s="546" t="str">
        <f>IFERROR(VLOOKUP(A25,Race_2024_Seasonal!A:C,3,FALSE), VLOOKUP(A25,Race_2024_Seasonal!A:C,3,FALSE))</f>
        <v>Cost variations</v>
      </c>
      <c r="C25" s="566" t="s">
        <v>799</v>
      </c>
      <c r="D25" s="670">
        <f>IFERROR(VLOOKUP($A25,Race_2024_Seasonal!A:X,7,FALSE),0)</f>
        <v>-68449.092999999993</v>
      </c>
      <c r="E25" s="670">
        <f>IFERROR(VLOOKUP($A25,Race_2024_Seasonal!A:X,8,FALSE),0)</f>
        <v>-64149.317999999999</v>
      </c>
      <c r="F25" s="670">
        <f>IFERROR(VLOOKUP($A25,Race_2024_Seasonal!A:X,9,FALSE),0)</f>
        <v>-73823.811000000002</v>
      </c>
      <c r="G25" s="670">
        <f>IFERROR(VLOOKUP($A25,Race_2024_Seasonal!A:X,10,FALSE),0)</f>
        <v>-71977.593999999997</v>
      </c>
      <c r="H25" s="670">
        <f>IFERROR(VLOOKUP($A25,Race_2024_Seasonal!A:X,11,FALSE),0)</f>
        <v>-65155.69</v>
      </c>
      <c r="I25" s="670">
        <f>IFERROR(VLOOKUP($A25,Race_2024_Seasonal!A:X,12,FALSE),0)</f>
        <v>-65155.69</v>
      </c>
      <c r="J25" s="670">
        <f>IFERROR(VLOOKUP($A25,Race_2024_Seasonal!A:X,13,FALSE),0)</f>
        <v>-65155.69</v>
      </c>
      <c r="K25" s="670">
        <f>IFERROR(VLOOKUP($A25,Race_2024_Seasonal!A:X,14,FALSE),0)</f>
        <v>-59780.972000000002</v>
      </c>
      <c r="L25" s="670">
        <f>IFERROR(VLOOKUP($A25,Race_2024_Seasonal!A:X,15,FALSE),0)</f>
        <v>-59993.88</v>
      </c>
      <c r="M25" s="670">
        <f>IFERROR(VLOOKUP($A25,Race_2024_Seasonal!A:X,16,FALSE),0)</f>
        <v>-61840.097000000002</v>
      </c>
      <c r="N25" s="670">
        <f>IFERROR(VLOOKUP($A25,Race_2024_Seasonal!A:X,17,FALSE),0)</f>
        <v>-63989.983999999997</v>
      </c>
      <c r="O25" s="670">
        <f>IFERROR(VLOOKUP($A25,Race_2024_Seasonal!A:X,18,FALSE),0)</f>
        <v>-63989.983</v>
      </c>
      <c r="P25" s="554"/>
      <c r="Q25" s="670">
        <f t="shared" si="0"/>
        <v>-783461.80199999991</v>
      </c>
      <c r="R25" s="554"/>
      <c r="S25" s="673">
        <f>Q25-'P&amp;L'!I25</f>
        <v>0</v>
      </c>
    </row>
    <row r="26" spans="1:19" ht="15">
      <c r="A26" s="546" t="s">
        <v>800</v>
      </c>
      <c r="B26" s="546" t="e">
        <f>IFERROR(VLOOKUP(A26,Race_2024_Seasonal!A:C,3,FALSE), VLOOKUP(A26,Race_2024_Seasonal!A:C,3,FALSE))</f>
        <v>#N/A</v>
      </c>
      <c r="C26" s="564" t="s">
        <v>801</v>
      </c>
      <c r="D26" s="667">
        <f>IFERROR(VLOOKUP($A26,Race_2024_Seasonal!A:X,7,FALSE),0)</f>
        <v>0</v>
      </c>
      <c r="E26" s="667">
        <f>IFERROR(VLOOKUP($A26,Race_2024_Seasonal!A:X,8,FALSE),0)</f>
        <v>0</v>
      </c>
      <c r="F26" s="667">
        <f>IFERROR(VLOOKUP($A26,Race_2024_Seasonal!A:X,9,FALSE),0)</f>
        <v>0</v>
      </c>
      <c r="G26" s="667">
        <f>IFERROR(VLOOKUP($A26,Race_2024_Seasonal!A:X,10,FALSE),0)</f>
        <v>0</v>
      </c>
      <c r="H26" s="667">
        <f>IFERROR(VLOOKUP($A26,Race_2024_Seasonal!A:X,11,FALSE),0)</f>
        <v>0</v>
      </c>
      <c r="I26" s="667">
        <f>IFERROR(VLOOKUP($A26,Race_2024_Seasonal!A:X,12,FALSE),0)</f>
        <v>0</v>
      </c>
      <c r="J26" s="667">
        <f>IFERROR(VLOOKUP($A26,Race_2024_Seasonal!A:X,13,FALSE),0)</f>
        <v>0</v>
      </c>
      <c r="K26" s="667">
        <f>IFERROR(VLOOKUP($A26,Race_2024_Seasonal!A:X,14,FALSE),0)</f>
        <v>0</v>
      </c>
      <c r="L26" s="667">
        <f>IFERROR(VLOOKUP($A26,Race_2024_Seasonal!A:X,15,FALSE),0)</f>
        <v>0</v>
      </c>
      <c r="M26" s="667">
        <f>IFERROR(VLOOKUP($A26,Race_2024_Seasonal!A:X,16,FALSE),0)</f>
        <v>0</v>
      </c>
      <c r="N26" s="667">
        <f>IFERROR(VLOOKUP($A26,Race_2024_Seasonal!A:X,17,FALSE),0)</f>
        <v>0</v>
      </c>
      <c r="O26" s="667">
        <f>IFERROR(VLOOKUP($A26,Race_2024_Seasonal!A:X,18,FALSE),0)</f>
        <v>0</v>
      </c>
      <c r="P26" s="554"/>
      <c r="Q26" s="667">
        <f t="shared" si="0"/>
        <v>0</v>
      </c>
      <c r="R26" s="554"/>
      <c r="S26" s="673">
        <f>Q26-'P&amp;L'!I26</f>
        <v>0</v>
      </c>
    </row>
    <row r="27" spans="1:19" ht="15">
      <c r="A27" s="546" t="s">
        <v>802</v>
      </c>
      <c r="B27" s="546" t="e">
        <f>IFERROR(VLOOKUP(A27,Race_2024_Seasonal!A:C,3,FALSE), VLOOKUP(A27,Race_2024_Seasonal!A:C,3,FALSE))</f>
        <v>#N/A</v>
      </c>
      <c r="C27" s="563" t="s">
        <v>803</v>
      </c>
      <c r="D27" s="624">
        <f>IFERROR(VLOOKUP($A27,Race_2024_Seasonal!A:X,7,FALSE),0)</f>
        <v>0</v>
      </c>
      <c r="E27" s="624">
        <f>IFERROR(VLOOKUP($A27,Race_2024_Seasonal!A:X,8,FALSE),0)</f>
        <v>0</v>
      </c>
      <c r="F27" s="624">
        <f>IFERROR(VLOOKUP($A27,Race_2024_Seasonal!A:X,9,FALSE),0)</f>
        <v>0</v>
      </c>
      <c r="G27" s="624">
        <f>IFERROR(VLOOKUP($A27,Race_2024_Seasonal!A:X,10,FALSE),0)</f>
        <v>0</v>
      </c>
      <c r="H27" s="624">
        <f>IFERROR(VLOOKUP($A27,Race_2024_Seasonal!A:X,11,FALSE),0)</f>
        <v>0</v>
      </c>
      <c r="I27" s="624">
        <f>IFERROR(VLOOKUP($A27,Race_2024_Seasonal!A:X,12,FALSE),0)</f>
        <v>0</v>
      </c>
      <c r="J27" s="624">
        <f>IFERROR(VLOOKUP($A27,Race_2024_Seasonal!A:X,13,FALSE),0)</f>
        <v>0</v>
      </c>
      <c r="K27" s="624">
        <f>IFERROR(VLOOKUP($A27,Race_2024_Seasonal!A:X,14,FALSE),0)</f>
        <v>0</v>
      </c>
      <c r="L27" s="624">
        <f>IFERROR(VLOOKUP($A27,Race_2024_Seasonal!A:X,15,FALSE),0)</f>
        <v>0</v>
      </c>
      <c r="M27" s="624">
        <f>IFERROR(VLOOKUP($A27,Race_2024_Seasonal!A:X,16,FALSE),0)</f>
        <v>0</v>
      </c>
      <c r="N27" s="624">
        <f>IFERROR(VLOOKUP($A27,Race_2024_Seasonal!A:X,17,FALSE),0)</f>
        <v>0</v>
      </c>
      <c r="O27" s="624">
        <f>IFERROR(VLOOKUP($A27,Race_2024_Seasonal!A:X,18,FALSE),0)</f>
        <v>0</v>
      </c>
      <c r="P27" s="554"/>
      <c r="Q27" s="624">
        <f t="shared" si="0"/>
        <v>0</v>
      </c>
      <c r="R27" s="554"/>
      <c r="S27" s="673">
        <f>Q27-'P&amp;L'!I27</f>
        <v>0</v>
      </c>
    </row>
    <row r="28" spans="1:19" ht="15">
      <c r="A28" s="546" t="s">
        <v>804</v>
      </c>
      <c r="B28" s="546" t="e">
        <f>IFERROR(VLOOKUP(A28,Race_2024_Seasonal!A:C,3,FALSE), VLOOKUP(A28,Race_2024_Seasonal!A:C,3,FALSE))</f>
        <v>#N/A</v>
      </c>
      <c r="C28" s="563" t="s">
        <v>805</v>
      </c>
      <c r="D28" s="663">
        <f>IFERROR(VLOOKUP($A28,Race_2024_Seasonal!A:X,7,FALSE),0)</f>
        <v>0</v>
      </c>
      <c r="E28" s="663">
        <f>IFERROR(VLOOKUP($A28,Race_2024_Seasonal!A:X,8,FALSE),0)</f>
        <v>0</v>
      </c>
      <c r="F28" s="663">
        <f>IFERROR(VLOOKUP($A28,Race_2024_Seasonal!A:X,9,FALSE),0)</f>
        <v>0</v>
      </c>
      <c r="G28" s="663">
        <f>IFERROR(VLOOKUP($A28,Race_2024_Seasonal!A:X,10,FALSE),0)</f>
        <v>0</v>
      </c>
      <c r="H28" s="663">
        <f>IFERROR(VLOOKUP($A28,Race_2024_Seasonal!A:X,11,FALSE),0)</f>
        <v>0</v>
      </c>
      <c r="I28" s="663">
        <f>IFERROR(VLOOKUP($A28,Race_2024_Seasonal!A:X,12,FALSE),0)</f>
        <v>0</v>
      </c>
      <c r="J28" s="663">
        <f>IFERROR(VLOOKUP($A28,Race_2024_Seasonal!A:X,13,FALSE),0)</f>
        <v>0</v>
      </c>
      <c r="K28" s="663">
        <f>IFERROR(VLOOKUP($A28,Race_2024_Seasonal!A:X,14,FALSE),0)</f>
        <v>0</v>
      </c>
      <c r="L28" s="663">
        <f>IFERROR(VLOOKUP($A28,Race_2024_Seasonal!A:X,15,FALSE),0)</f>
        <v>0</v>
      </c>
      <c r="M28" s="663">
        <f>IFERROR(VLOOKUP($A28,Race_2024_Seasonal!A:X,16,FALSE),0)</f>
        <v>0</v>
      </c>
      <c r="N28" s="663">
        <f>IFERROR(VLOOKUP($A28,Race_2024_Seasonal!A:X,17,FALSE),0)</f>
        <v>0</v>
      </c>
      <c r="O28" s="663">
        <f>IFERROR(VLOOKUP($A28,Race_2024_Seasonal!A:X,18,FALSE),0)</f>
        <v>0</v>
      </c>
      <c r="P28" s="554"/>
      <c r="Q28" s="663">
        <f t="shared" si="0"/>
        <v>0</v>
      </c>
      <c r="R28" s="554"/>
      <c r="S28" s="673">
        <f>Q28-'P&amp;L'!I28</f>
        <v>0</v>
      </c>
    </row>
    <row r="29" spans="1:19" ht="15">
      <c r="A29" s="546" t="s">
        <v>806</v>
      </c>
      <c r="B29" s="546" t="e">
        <f>IFERROR(VLOOKUP(A29,Race_2024_Seasonal!A:C,3,FALSE), VLOOKUP(A29,Race_2024_Seasonal!A:C,3,FALSE))</f>
        <v>#N/A</v>
      </c>
      <c r="C29" s="563" t="s">
        <v>807</v>
      </c>
      <c r="D29" s="663">
        <f>IFERROR(VLOOKUP($A29,Race_2024_Seasonal!A:X,7,FALSE),0)</f>
        <v>0</v>
      </c>
      <c r="E29" s="663">
        <f>IFERROR(VLOOKUP($A29,Race_2024_Seasonal!A:X,8,FALSE),0)</f>
        <v>0</v>
      </c>
      <c r="F29" s="663">
        <f>IFERROR(VLOOKUP($A29,Race_2024_Seasonal!A:X,9,FALSE),0)</f>
        <v>0</v>
      </c>
      <c r="G29" s="663">
        <f>IFERROR(VLOOKUP($A29,Race_2024_Seasonal!A:X,10,FALSE),0)</f>
        <v>0</v>
      </c>
      <c r="H29" s="663">
        <f>IFERROR(VLOOKUP($A29,Race_2024_Seasonal!A:X,11,FALSE),0)</f>
        <v>0</v>
      </c>
      <c r="I29" s="663">
        <f>IFERROR(VLOOKUP($A29,Race_2024_Seasonal!A:X,12,FALSE),0)</f>
        <v>0</v>
      </c>
      <c r="J29" s="663">
        <f>IFERROR(VLOOKUP($A29,Race_2024_Seasonal!A:X,13,FALSE),0)</f>
        <v>0</v>
      </c>
      <c r="K29" s="663">
        <f>IFERROR(VLOOKUP($A29,Race_2024_Seasonal!A:X,14,FALSE),0)</f>
        <v>0</v>
      </c>
      <c r="L29" s="663">
        <f>IFERROR(VLOOKUP($A29,Race_2024_Seasonal!A:X,15,FALSE),0)</f>
        <v>0</v>
      </c>
      <c r="M29" s="663">
        <f>IFERROR(VLOOKUP($A29,Race_2024_Seasonal!A:X,16,FALSE),0)</f>
        <v>0</v>
      </c>
      <c r="N29" s="663">
        <f>IFERROR(VLOOKUP($A29,Race_2024_Seasonal!A:X,17,FALSE),0)</f>
        <v>0</v>
      </c>
      <c r="O29" s="663">
        <f>IFERROR(VLOOKUP($A29,Race_2024_Seasonal!A:X,18,FALSE),0)</f>
        <v>0</v>
      </c>
      <c r="P29" s="554"/>
      <c r="Q29" s="663">
        <f t="shared" si="0"/>
        <v>0</v>
      </c>
      <c r="R29" s="554"/>
      <c r="S29" s="673">
        <f>Q29-'P&amp;L'!I29</f>
        <v>0</v>
      </c>
    </row>
    <row r="30" spans="1:19" ht="15">
      <c r="A30" s="546" t="s">
        <v>808</v>
      </c>
      <c r="B30" s="546" t="e">
        <f>IFERROR(VLOOKUP(A30,Race_2024_Seasonal!A:C,3,FALSE), VLOOKUP(A30,Race_2024_Seasonal!A:C,3,FALSE))</f>
        <v>#N/A</v>
      </c>
      <c r="C30" s="563" t="s">
        <v>809</v>
      </c>
      <c r="D30" s="663">
        <f>IFERROR(VLOOKUP($A30,Race_2024_Seasonal!A:X,7,FALSE),0)</f>
        <v>0</v>
      </c>
      <c r="E30" s="663">
        <f>IFERROR(VLOOKUP($A30,Race_2024_Seasonal!A:X,8,FALSE),0)</f>
        <v>0</v>
      </c>
      <c r="F30" s="663">
        <f>IFERROR(VLOOKUP($A30,Race_2024_Seasonal!A:X,9,FALSE),0)</f>
        <v>0</v>
      </c>
      <c r="G30" s="663">
        <f>IFERROR(VLOOKUP($A30,Race_2024_Seasonal!A:X,10,FALSE),0)</f>
        <v>0</v>
      </c>
      <c r="H30" s="663">
        <f>IFERROR(VLOOKUP($A30,Race_2024_Seasonal!A:X,11,FALSE),0)</f>
        <v>0</v>
      </c>
      <c r="I30" s="663">
        <f>IFERROR(VLOOKUP($A30,Race_2024_Seasonal!A:X,12,FALSE),0)</f>
        <v>0</v>
      </c>
      <c r="J30" s="663">
        <f>IFERROR(VLOOKUP($A30,Race_2024_Seasonal!A:X,13,FALSE),0)</f>
        <v>0</v>
      </c>
      <c r="K30" s="663">
        <f>IFERROR(VLOOKUP($A30,Race_2024_Seasonal!A:X,14,FALSE),0)</f>
        <v>0</v>
      </c>
      <c r="L30" s="663">
        <f>IFERROR(VLOOKUP($A30,Race_2024_Seasonal!A:X,15,FALSE),0)</f>
        <v>0</v>
      </c>
      <c r="M30" s="663">
        <f>IFERROR(VLOOKUP($A30,Race_2024_Seasonal!A:X,16,FALSE),0)</f>
        <v>0</v>
      </c>
      <c r="N30" s="663">
        <f>IFERROR(VLOOKUP($A30,Race_2024_Seasonal!A:X,17,FALSE),0)</f>
        <v>0</v>
      </c>
      <c r="O30" s="663">
        <f>IFERROR(VLOOKUP($A30,Race_2024_Seasonal!A:X,18,FALSE),0)</f>
        <v>0</v>
      </c>
      <c r="P30" s="554"/>
      <c r="Q30" s="663">
        <f t="shared" si="0"/>
        <v>0</v>
      </c>
      <c r="R30" s="554"/>
      <c r="S30" s="673">
        <f>Q30-'P&amp;L'!I30</f>
        <v>0</v>
      </c>
    </row>
    <row r="31" spans="1:19" ht="15">
      <c r="A31" s="546" t="s">
        <v>810</v>
      </c>
      <c r="B31" s="546" t="e">
        <f>IFERROR(VLOOKUP(A31,Race_2024_Seasonal!A:C,3,FALSE), VLOOKUP(A31,Race_2024_Seasonal!A:C,3,FALSE))</f>
        <v>#N/A</v>
      </c>
      <c r="C31" s="563" t="s">
        <v>811</v>
      </c>
      <c r="D31" s="663">
        <f>IFERROR(VLOOKUP($A31,Race_2024_Seasonal!A:X,7,FALSE),0)</f>
        <v>0</v>
      </c>
      <c r="E31" s="663">
        <f>IFERROR(VLOOKUP($A31,Race_2024_Seasonal!A:X,8,FALSE),0)</f>
        <v>0</v>
      </c>
      <c r="F31" s="663">
        <f>IFERROR(VLOOKUP($A31,Race_2024_Seasonal!A:X,9,FALSE),0)</f>
        <v>0</v>
      </c>
      <c r="G31" s="663">
        <f>IFERROR(VLOOKUP($A31,Race_2024_Seasonal!A:X,10,FALSE),0)</f>
        <v>0</v>
      </c>
      <c r="H31" s="663">
        <f>IFERROR(VLOOKUP($A31,Race_2024_Seasonal!A:X,11,FALSE),0)</f>
        <v>0</v>
      </c>
      <c r="I31" s="663">
        <f>IFERROR(VLOOKUP($A31,Race_2024_Seasonal!A:X,12,FALSE),0)</f>
        <v>0</v>
      </c>
      <c r="J31" s="663">
        <f>IFERROR(VLOOKUP($A31,Race_2024_Seasonal!A:X,13,FALSE),0)</f>
        <v>0</v>
      </c>
      <c r="K31" s="663">
        <f>IFERROR(VLOOKUP($A31,Race_2024_Seasonal!A:X,14,FALSE),0)</f>
        <v>0</v>
      </c>
      <c r="L31" s="663">
        <f>IFERROR(VLOOKUP($A31,Race_2024_Seasonal!A:X,15,FALSE),0)</f>
        <v>0</v>
      </c>
      <c r="M31" s="663">
        <f>IFERROR(VLOOKUP($A31,Race_2024_Seasonal!A:X,16,FALSE),0)</f>
        <v>0</v>
      </c>
      <c r="N31" s="663">
        <f>IFERROR(VLOOKUP($A31,Race_2024_Seasonal!A:X,17,FALSE),0)</f>
        <v>0</v>
      </c>
      <c r="O31" s="663">
        <f>IFERROR(VLOOKUP($A31,Race_2024_Seasonal!A:X,18,FALSE),0)</f>
        <v>0</v>
      </c>
      <c r="P31" s="554"/>
      <c r="Q31" s="663">
        <f t="shared" si="0"/>
        <v>0</v>
      </c>
      <c r="R31" s="554"/>
      <c r="S31" s="673">
        <f>Q31-'P&amp;L'!I31</f>
        <v>0</v>
      </c>
    </row>
    <row r="32" spans="1:19" ht="15">
      <c r="A32" s="546" t="s">
        <v>812</v>
      </c>
      <c r="B32" s="546" t="e">
        <f>IFERROR(VLOOKUP(A32,Race_2024_Seasonal!A:C,3,FALSE), VLOOKUP(A32,Race_2024_Seasonal!A:C,3,FALSE))</f>
        <v>#N/A</v>
      </c>
      <c r="C32" s="563" t="s">
        <v>813</v>
      </c>
      <c r="D32" s="663">
        <f>IFERROR(VLOOKUP($A32,Race_2024_Seasonal!A:X,7,FALSE),0)</f>
        <v>0</v>
      </c>
      <c r="E32" s="663">
        <f>IFERROR(VLOOKUP($A32,Race_2024_Seasonal!A:X,8,FALSE),0)</f>
        <v>0</v>
      </c>
      <c r="F32" s="663">
        <f>IFERROR(VLOOKUP($A32,Race_2024_Seasonal!A:X,9,FALSE),0)</f>
        <v>0</v>
      </c>
      <c r="G32" s="663">
        <f>IFERROR(VLOOKUP($A32,Race_2024_Seasonal!A:X,10,FALSE),0)</f>
        <v>0</v>
      </c>
      <c r="H32" s="663">
        <f>IFERROR(VLOOKUP($A32,Race_2024_Seasonal!A:X,11,FALSE),0)</f>
        <v>0</v>
      </c>
      <c r="I32" s="663">
        <f>IFERROR(VLOOKUP($A32,Race_2024_Seasonal!A:X,12,FALSE),0)</f>
        <v>0</v>
      </c>
      <c r="J32" s="663">
        <f>IFERROR(VLOOKUP($A32,Race_2024_Seasonal!A:X,13,FALSE),0)</f>
        <v>0</v>
      </c>
      <c r="K32" s="663">
        <f>IFERROR(VLOOKUP($A32,Race_2024_Seasonal!A:X,14,FALSE),0)</f>
        <v>0</v>
      </c>
      <c r="L32" s="663">
        <f>IFERROR(VLOOKUP($A32,Race_2024_Seasonal!A:X,15,FALSE),0)</f>
        <v>0</v>
      </c>
      <c r="M32" s="663">
        <f>IFERROR(VLOOKUP($A32,Race_2024_Seasonal!A:X,16,FALSE),0)</f>
        <v>0</v>
      </c>
      <c r="N32" s="663">
        <f>IFERROR(VLOOKUP($A32,Race_2024_Seasonal!A:X,17,FALSE),0)</f>
        <v>0</v>
      </c>
      <c r="O32" s="663">
        <f>IFERROR(VLOOKUP($A32,Race_2024_Seasonal!A:X,18,FALSE),0)</f>
        <v>0</v>
      </c>
      <c r="P32" s="554"/>
      <c r="Q32" s="663">
        <f t="shared" si="0"/>
        <v>0</v>
      </c>
      <c r="R32" s="554"/>
      <c r="S32" s="673">
        <f>Q32-'P&amp;L'!I32</f>
        <v>0</v>
      </c>
    </row>
    <row r="33" spans="1:19" ht="15">
      <c r="A33" s="546" t="s">
        <v>814</v>
      </c>
      <c r="B33" s="546" t="str">
        <f>IFERROR(VLOOKUP(A33,Race_2024_Seasonal!A:C,3,FALSE), VLOOKUP(A33,Race_2024_Seasonal!A:C,3,FALSE))</f>
        <v>Var. in manuf. tot</v>
      </c>
      <c r="C33" s="564" t="s">
        <v>815</v>
      </c>
      <c r="D33" s="669">
        <f>IFERROR(VLOOKUP($A33,Race_2024_Seasonal!A:X,7,FALSE),0)</f>
        <v>-13248.212</v>
      </c>
      <c r="E33" s="669">
        <f>IFERROR(VLOOKUP($A33,Race_2024_Seasonal!A:X,8,FALSE),0)</f>
        <v>-12415.996999999999</v>
      </c>
      <c r="F33" s="669">
        <f>IFERROR(VLOOKUP($A33,Race_2024_Seasonal!A:X,9,FALSE),0)</f>
        <v>-14288.48</v>
      </c>
      <c r="G33" s="669">
        <f>IFERROR(VLOOKUP($A33,Race_2024_Seasonal!A:X,10,FALSE),0)</f>
        <v>-13931.147000000001</v>
      </c>
      <c r="H33" s="669">
        <f>IFERROR(VLOOKUP($A33,Race_2024_Seasonal!A:X,11,FALSE),0)</f>
        <v>-12610.779</v>
      </c>
      <c r="I33" s="669">
        <f>IFERROR(VLOOKUP($A33,Race_2024_Seasonal!A:X,12,FALSE),0)</f>
        <v>-12610.779</v>
      </c>
      <c r="J33" s="669">
        <f>IFERROR(VLOOKUP($A33,Race_2024_Seasonal!A:X,13,FALSE),0)</f>
        <v>-12610.779</v>
      </c>
      <c r="K33" s="669">
        <f>IFERROR(VLOOKUP($A33,Race_2024_Seasonal!A:X,14,FALSE),0)</f>
        <v>-11570.511</v>
      </c>
      <c r="L33" s="669">
        <f>IFERROR(VLOOKUP($A33,Race_2024_Seasonal!A:X,15,FALSE),0)</f>
        <v>-11611.718999999999</v>
      </c>
      <c r="M33" s="669">
        <f>IFERROR(VLOOKUP($A33,Race_2024_Seasonal!A:X,16,FALSE),0)</f>
        <v>-11969.050999999999</v>
      </c>
      <c r="N33" s="669">
        <f>IFERROR(VLOOKUP($A33,Race_2024_Seasonal!A:X,17,FALSE),0)</f>
        <v>-12385.157999999999</v>
      </c>
      <c r="O33" s="669">
        <f>IFERROR(VLOOKUP($A33,Race_2024_Seasonal!A:X,18,FALSE),0)</f>
        <v>-12385.156000000001</v>
      </c>
      <c r="P33" s="554"/>
      <c r="Q33" s="669">
        <f t="shared" si="0"/>
        <v>-151637.76799999995</v>
      </c>
      <c r="R33" s="554"/>
      <c r="S33" s="673">
        <f>Q33-'P&amp;L'!I33</f>
        <v>0</v>
      </c>
    </row>
    <row r="34" spans="1:19" ht="15">
      <c r="A34" s="546" t="s">
        <v>816</v>
      </c>
      <c r="B34" s="546" t="e">
        <f>IFERROR(VLOOKUP(A34,Race_2024_Seasonal!A:C,3,FALSE), VLOOKUP(A34,Race_2024_Seasonal!A:C,3,FALSE))</f>
        <v>#N/A</v>
      </c>
      <c r="C34" s="565" t="s">
        <v>817</v>
      </c>
      <c r="D34" s="663">
        <f>IFERROR(VLOOKUP($A34,Race_2024_Seasonal!A:X,7,FALSE),0)</f>
        <v>0</v>
      </c>
      <c r="E34" s="663">
        <f>IFERROR(VLOOKUP($A34,Race_2024_Seasonal!A:X,8,FALSE),0)</f>
        <v>0</v>
      </c>
      <c r="F34" s="663">
        <f>IFERROR(VLOOKUP($A34,Race_2024_Seasonal!A:X,9,FALSE),0)</f>
        <v>0</v>
      </c>
      <c r="G34" s="663">
        <f>IFERROR(VLOOKUP($A34,Race_2024_Seasonal!A:X,10,FALSE),0)</f>
        <v>0</v>
      </c>
      <c r="H34" s="663">
        <f>IFERROR(VLOOKUP($A34,Race_2024_Seasonal!A:X,11,FALSE),0)</f>
        <v>0</v>
      </c>
      <c r="I34" s="663">
        <f>IFERROR(VLOOKUP($A34,Race_2024_Seasonal!A:X,12,FALSE),0)</f>
        <v>0</v>
      </c>
      <c r="J34" s="663">
        <f>IFERROR(VLOOKUP($A34,Race_2024_Seasonal!A:X,13,FALSE),0)</f>
        <v>0</v>
      </c>
      <c r="K34" s="663">
        <f>IFERROR(VLOOKUP($A34,Race_2024_Seasonal!A:X,14,FALSE),0)</f>
        <v>0</v>
      </c>
      <c r="L34" s="663">
        <f>IFERROR(VLOOKUP($A34,Race_2024_Seasonal!A:X,15,FALSE),0)</f>
        <v>0</v>
      </c>
      <c r="M34" s="663">
        <f>IFERROR(VLOOKUP($A34,Race_2024_Seasonal!A:X,16,FALSE),0)</f>
        <v>0</v>
      </c>
      <c r="N34" s="663">
        <f>IFERROR(VLOOKUP($A34,Race_2024_Seasonal!A:X,17,FALSE),0)</f>
        <v>0</v>
      </c>
      <c r="O34" s="663">
        <f>IFERROR(VLOOKUP($A34,Race_2024_Seasonal!A:X,18,FALSE),0)</f>
        <v>0</v>
      </c>
      <c r="P34" s="554"/>
      <c r="Q34" s="663">
        <f t="shared" si="0"/>
        <v>0</v>
      </c>
      <c r="R34" s="554"/>
      <c r="S34" s="673">
        <f>Q34-'P&amp;L'!I34</f>
        <v>0</v>
      </c>
    </row>
    <row r="35" spans="1:19" ht="15">
      <c r="A35" s="546" t="s">
        <v>818</v>
      </c>
      <c r="B35" s="546" t="e">
        <f>IFERROR(VLOOKUP(A35,Race_2024_Seasonal!A:C,3,FALSE), VLOOKUP(A35,Race_2024_Seasonal!A:C,3,FALSE))</f>
        <v>#N/A</v>
      </c>
      <c r="C35" s="565" t="s">
        <v>819</v>
      </c>
      <c r="D35" s="663">
        <f>IFERROR(VLOOKUP($A35,Race_2024_Seasonal!A:X,7,FALSE),0)</f>
        <v>0</v>
      </c>
      <c r="E35" s="663">
        <f>IFERROR(VLOOKUP($A35,Race_2024_Seasonal!A:X,8,FALSE),0)</f>
        <v>0</v>
      </c>
      <c r="F35" s="663">
        <f>IFERROR(VLOOKUP($A35,Race_2024_Seasonal!A:X,9,FALSE),0)</f>
        <v>0</v>
      </c>
      <c r="G35" s="663">
        <f>IFERROR(VLOOKUP($A35,Race_2024_Seasonal!A:X,10,FALSE),0)</f>
        <v>0</v>
      </c>
      <c r="H35" s="663">
        <f>IFERROR(VLOOKUP($A35,Race_2024_Seasonal!A:X,11,FALSE),0)</f>
        <v>0</v>
      </c>
      <c r="I35" s="663">
        <f>IFERROR(VLOOKUP($A35,Race_2024_Seasonal!A:X,12,FALSE),0)</f>
        <v>0</v>
      </c>
      <c r="J35" s="663">
        <f>IFERROR(VLOOKUP($A35,Race_2024_Seasonal!A:X,13,FALSE),0)</f>
        <v>0</v>
      </c>
      <c r="K35" s="663">
        <f>IFERROR(VLOOKUP($A35,Race_2024_Seasonal!A:X,14,FALSE),0)</f>
        <v>0</v>
      </c>
      <c r="L35" s="663">
        <f>IFERROR(VLOOKUP($A35,Race_2024_Seasonal!A:X,15,FALSE),0)</f>
        <v>0</v>
      </c>
      <c r="M35" s="663">
        <f>IFERROR(VLOOKUP($A35,Race_2024_Seasonal!A:X,16,FALSE),0)</f>
        <v>0</v>
      </c>
      <c r="N35" s="663">
        <f>IFERROR(VLOOKUP($A35,Race_2024_Seasonal!A:X,17,FALSE),0)</f>
        <v>0</v>
      </c>
      <c r="O35" s="663">
        <f>IFERROR(VLOOKUP($A35,Race_2024_Seasonal!A:X,18,FALSE),0)</f>
        <v>0</v>
      </c>
      <c r="P35" s="554"/>
      <c r="Q35" s="663">
        <f t="shared" si="0"/>
        <v>0</v>
      </c>
      <c r="R35" s="554"/>
      <c r="S35" s="673">
        <f>Q35-'P&amp;L'!I35</f>
        <v>0</v>
      </c>
    </row>
    <row r="36" spans="1:19" ht="15">
      <c r="A36" s="546" t="s">
        <v>820</v>
      </c>
      <c r="B36" s="546" t="e">
        <f>IFERROR(VLOOKUP(A36,Race_2024_Seasonal!A:C,3,FALSE), VLOOKUP(A36,Race_2024_Seasonal!A:C,3,FALSE))</f>
        <v>#N/A</v>
      </c>
      <c r="C36" s="565" t="s">
        <v>821</v>
      </c>
      <c r="D36" s="663">
        <f>IFERROR(VLOOKUP($A36,Race_2024_Seasonal!A:X,7,FALSE),0)</f>
        <v>0</v>
      </c>
      <c r="E36" s="663">
        <f>IFERROR(VLOOKUP($A36,Race_2024_Seasonal!A:X,8,FALSE),0)</f>
        <v>0</v>
      </c>
      <c r="F36" s="663">
        <f>IFERROR(VLOOKUP($A36,Race_2024_Seasonal!A:X,9,FALSE),0)</f>
        <v>0</v>
      </c>
      <c r="G36" s="663">
        <f>IFERROR(VLOOKUP($A36,Race_2024_Seasonal!A:X,10,FALSE),0)</f>
        <v>0</v>
      </c>
      <c r="H36" s="663">
        <f>IFERROR(VLOOKUP($A36,Race_2024_Seasonal!A:X,11,FALSE),0)</f>
        <v>0</v>
      </c>
      <c r="I36" s="663">
        <f>IFERROR(VLOOKUP($A36,Race_2024_Seasonal!A:X,12,FALSE),0)</f>
        <v>0</v>
      </c>
      <c r="J36" s="663">
        <f>IFERROR(VLOOKUP($A36,Race_2024_Seasonal!A:X,13,FALSE),0)</f>
        <v>0</v>
      </c>
      <c r="K36" s="663">
        <f>IFERROR(VLOOKUP($A36,Race_2024_Seasonal!A:X,14,FALSE),0)</f>
        <v>0</v>
      </c>
      <c r="L36" s="663">
        <f>IFERROR(VLOOKUP($A36,Race_2024_Seasonal!A:X,15,FALSE),0)</f>
        <v>0</v>
      </c>
      <c r="M36" s="663">
        <f>IFERROR(VLOOKUP($A36,Race_2024_Seasonal!A:X,16,FALSE),0)</f>
        <v>0</v>
      </c>
      <c r="N36" s="663">
        <f>IFERROR(VLOOKUP($A36,Race_2024_Seasonal!A:X,17,FALSE),0)</f>
        <v>0</v>
      </c>
      <c r="O36" s="663">
        <f>IFERROR(VLOOKUP($A36,Race_2024_Seasonal!A:X,18,FALSE),0)</f>
        <v>0</v>
      </c>
      <c r="P36" s="554"/>
      <c r="Q36" s="663">
        <f t="shared" si="0"/>
        <v>0</v>
      </c>
      <c r="R36" s="554"/>
      <c r="S36" s="673">
        <f>Q36-'P&amp;L'!I36</f>
        <v>0</v>
      </c>
    </row>
    <row r="37" spans="1:19" ht="15">
      <c r="A37" s="546" t="s">
        <v>822</v>
      </c>
      <c r="B37" s="546" t="e">
        <f>IFERROR(VLOOKUP(A37,Race_2024_Seasonal!A:C,3,FALSE), VLOOKUP(A37,Race_2024_Seasonal!A:C,3,FALSE))</f>
        <v>#N/A</v>
      </c>
      <c r="C37" s="565" t="s">
        <v>823</v>
      </c>
      <c r="D37" s="663">
        <f>IFERROR(VLOOKUP($A37,Race_2024_Seasonal!A:X,7,FALSE),0)</f>
        <v>0</v>
      </c>
      <c r="E37" s="663">
        <f>IFERROR(VLOOKUP($A37,Race_2024_Seasonal!A:X,8,FALSE),0)</f>
        <v>0</v>
      </c>
      <c r="F37" s="663">
        <f>IFERROR(VLOOKUP($A37,Race_2024_Seasonal!A:X,9,FALSE),0)</f>
        <v>0</v>
      </c>
      <c r="G37" s="663">
        <f>IFERROR(VLOOKUP($A37,Race_2024_Seasonal!A:X,10,FALSE),0)</f>
        <v>0</v>
      </c>
      <c r="H37" s="663">
        <f>IFERROR(VLOOKUP($A37,Race_2024_Seasonal!A:X,11,FALSE),0)</f>
        <v>0</v>
      </c>
      <c r="I37" s="663">
        <f>IFERROR(VLOOKUP($A37,Race_2024_Seasonal!A:X,12,FALSE),0)</f>
        <v>0</v>
      </c>
      <c r="J37" s="663">
        <f>IFERROR(VLOOKUP($A37,Race_2024_Seasonal!A:X,13,FALSE),0)</f>
        <v>0</v>
      </c>
      <c r="K37" s="663">
        <f>IFERROR(VLOOKUP($A37,Race_2024_Seasonal!A:X,14,FALSE),0)</f>
        <v>0</v>
      </c>
      <c r="L37" s="663">
        <f>IFERROR(VLOOKUP($A37,Race_2024_Seasonal!A:X,15,FALSE),0)</f>
        <v>0</v>
      </c>
      <c r="M37" s="663">
        <f>IFERROR(VLOOKUP($A37,Race_2024_Seasonal!A:X,16,FALSE),0)</f>
        <v>0</v>
      </c>
      <c r="N37" s="663">
        <f>IFERROR(VLOOKUP($A37,Race_2024_Seasonal!A:X,17,FALSE),0)</f>
        <v>0</v>
      </c>
      <c r="O37" s="663">
        <f>IFERROR(VLOOKUP($A37,Race_2024_Seasonal!A:X,18,FALSE),0)</f>
        <v>0</v>
      </c>
      <c r="P37" s="554"/>
      <c r="Q37" s="663">
        <f t="shared" si="0"/>
        <v>0</v>
      </c>
      <c r="R37" s="554"/>
      <c r="S37" s="673">
        <f>Q37-'P&amp;L'!I37</f>
        <v>0</v>
      </c>
    </row>
    <row r="38" spans="1:19" ht="15">
      <c r="A38" s="546" t="s">
        <v>824</v>
      </c>
      <c r="B38" s="546" t="e">
        <f>IFERROR(VLOOKUP(A38,Race_2024_Seasonal!A:C,3,FALSE), VLOOKUP(A38,Race_2024_Seasonal!A:C,3,FALSE))</f>
        <v>#N/A</v>
      </c>
      <c r="C38" s="565" t="s">
        <v>825</v>
      </c>
      <c r="D38" s="663">
        <f>IFERROR(VLOOKUP($A38,Race_2024_Seasonal!A:X,7,FALSE),0)</f>
        <v>0</v>
      </c>
      <c r="E38" s="663">
        <f>IFERROR(VLOOKUP($A38,Race_2024_Seasonal!A:X,8,FALSE),0)</f>
        <v>0</v>
      </c>
      <c r="F38" s="663">
        <f>IFERROR(VLOOKUP($A38,Race_2024_Seasonal!A:X,9,FALSE),0)</f>
        <v>0</v>
      </c>
      <c r="G38" s="663">
        <f>IFERROR(VLOOKUP($A38,Race_2024_Seasonal!A:X,10,FALSE),0)</f>
        <v>0</v>
      </c>
      <c r="H38" s="663">
        <f>IFERROR(VLOOKUP($A38,Race_2024_Seasonal!A:X,11,FALSE),0)</f>
        <v>0</v>
      </c>
      <c r="I38" s="663">
        <f>IFERROR(VLOOKUP($A38,Race_2024_Seasonal!A:X,12,FALSE),0)</f>
        <v>0</v>
      </c>
      <c r="J38" s="663">
        <f>IFERROR(VLOOKUP($A38,Race_2024_Seasonal!A:X,13,FALSE),0)</f>
        <v>0</v>
      </c>
      <c r="K38" s="663">
        <f>IFERROR(VLOOKUP($A38,Race_2024_Seasonal!A:X,14,FALSE),0)</f>
        <v>0</v>
      </c>
      <c r="L38" s="663">
        <f>IFERROR(VLOOKUP($A38,Race_2024_Seasonal!A:X,15,FALSE),0)</f>
        <v>0</v>
      </c>
      <c r="M38" s="663">
        <f>IFERROR(VLOOKUP($A38,Race_2024_Seasonal!A:X,16,FALSE),0)</f>
        <v>0</v>
      </c>
      <c r="N38" s="663">
        <f>IFERROR(VLOOKUP($A38,Race_2024_Seasonal!A:X,17,FALSE),0)</f>
        <v>0</v>
      </c>
      <c r="O38" s="663">
        <f>IFERROR(VLOOKUP($A38,Race_2024_Seasonal!A:X,18,FALSE),0)</f>
        <v>0</v>
      </c>
      <c r="P38" s="554"/>
      <c r="Q38" s="663">
        <f t="shared" si="0"/>
        <v>0</v>
      </c>
      <c r="R38" s="554"/>
      <c r="S38" s="673">
        <f>Q38-'P&amp;L'!I38</f>
        <v>0</v>
      </c>
    </row>
    <row r="39" spans="1:19" ht="15">
      <c r="A39" s="546" t="s">
        <v>826</v>
      </c>
      <c r="B39" s="546" t="e">
        <f>IFERROR(VLOOKUP(A39,Race_2024_Seasonal!A:C,3,FALSE), VLOOKUP(A39,Race_2024_Seasonal!A:C,3,FALSE))</f>
        <v>#N/A</v>
      </c>
      <c r="C39" s="565" t="s">
        <v>827</v>
      </c>
      <c r="D39" s="663">
        <f>IFERROR(VLOOKUP($A39,Race_2024_Seasonal!A:X,7,FALSE),0)</f>
        <v>0</v>
      </c>
      <c r="E39" s="663">
        <f>IFERROR(VLOOKUP($A39,Race_2024_Seasonal!A:X,8,FALSE),0)</f>
        <v>0</v>
      </c>
      <c r="F39" s="663">
        <f>IFERROR(VLOOKUP($A39,Race_2024_Seasonal!A:X,9,FALSE),0)</f>
        <v>0</v>
      </c>
      <c r="G39" s="663">
        <f>IFERROR(VLOOKUP($A39,Race_2024_Seasonal!A:X,10,FALSE),0)</f>
        <v>0</v>
      </c>
      <c r="H39" s="663">
        <f>IFERROR(VLOOKUP($A39,Race_2024_Seasonal!A:X,11,FALSE),0)</f>
        <v>0</v>
      </c>
      <c r="I39" s="663">
        <f>IFERROR(VLOOKUP($A39,Race_2024_Seasonal!A:X,12,FALSE),0)</f>
        <v>0</v>
      </c>
      <c r="J39" s="663">
        <f>IFERROR(VLOOKUP($A39,Race_2024_Seasonal!A:X,13,FALSE),0)</f>
        <v>0</v>
      </c>
      <c r="K39" s="663">
        <f>IFERROR(VLOOKUP($A39,Race_2024_Seasonal!A:X,14,FALSE),0)</f>
        <v>0</v>
      </c>
      <c r="L39" s="663">
        <f>IFERROR(VLOOKUP($A39,Race_2024_Seasonal!A:X,15,FALSE),0)</f>
        <v>0</v>
      </c>
      <c r="M39" s="663">
        <f>IFERROR(VLOOKUP($A39,Race_2024_Seasonal!A:X,16,FALSE),0)</f>
        <v>0</v>
      </c>
      <c r="N39" s="663">
        <f>IFERROR(VLOOKUP($A39,Race_2024_Seasonal!A:X,17,FALSE),0)</f>
        <v>0</v>
      </c>
      <c r="O39" s="663">
        <f>IFERROR(VLOOKUP($A39,Race_2024_Seasonal!A:X,18,FALSE),0)</f>
        <v>0</v>
      </c>
      <c r="P39" s="554"/>
      <c r="Q39" s="663">
        <f t="shared" si="0"/>
        <v>0</v>
      </c>
      <c r="R39" s="554"/>
      <c r="S39" s="673">
        <f>Q39-'P&amp;L'!I39</f>
        <v>0</v>
      </c>
    </row>
    <row r="40" spans="1:19" ht="15">
      <c r="A40" s="546" t="s">
        <v>828</v>
      </c>
      <c r="B40" s="546" t="e">
        <f>IFERROR(VLOOKUP(A40,Race_2024_Seasonal!A:C,3,FALSE), VLOOKUP(A40,Race_2024_Seasonal!A:C,3,FALSE))</f>
        <v>#N/A</v>
      </c>
      <c r="C40" s="565" t="s">
        <v>829</v>
      </c>
      <c r="D40" s="663">
        <f>IFERROR(VLOOKUP($A40,Race_2024_Seasonal!A:X,7,FALSE),0)</f>
        <v>0</v>
      </c>
      <c r="E40" s="663">
        <f>IFERROR(VLOOKUP($A40,Race_2024_Seasonal!A:X,8,FALSE),0)</f>
        <v>0</v>
      </c>
      <c r="F40" s="663">
        <f>IFERROR(VLOOKUP($A40,Race_2024_Seasonal!A:X,9,FALSE),0)</f>
        <v>0</v>
      </c>
      <c r="G40" s="663">
        <f>IFERROR(VLOOKUP($A40,Race_2024_Seasonal!A:X,10,FALSE),0)</f>
        <v>0</v>
      </c>
      <c r="H40" s="663">
        <f>IFERROR(VLOOKUP($A40,Race_2024_Seasonal!A:X,11,FALSE),0)</f>
        <v>0</v>
      </c>
      <c r="I40" s="663">
        <f>IFERROR(VLOOKUP($A40,Race_2024_Seasonal!A:X,12,FALSE),0)</f>
        <v>0</v>
      </c>
      <c r="J40" s="663">
        <f>IFERROR(VLOOKUP($A40,Race_2024_Seasonal!A:X,13,FALSE),0)</f>
        <v>0</v>
      </c>
      <c r="K40" s="663">
        <f>IFERROR(VLOOKUP($A40,Race_2024_Seasonal!A:X,14,FALSE),0)</f>
        <v>0</v>
      </c>
      <c r="L40" s="663">
        <f>IFERROR(VLOOKUP($A40,Race_2024_Seasonal!A:X,15,FALSE),0)</f>
        <v>0</v>
      </c>
      <c r="M40" s="663">
        <f>IFERROR(VLOOKUP($A40,Race_2024_Seasonal!A:X,16,FALSE),0)</f>
        <v>0</v>
      </c>
      <c r="N40" s="663">
        <f>IFERROR(VLOOKUP($A40,Race_2024_Seasonal!A:X,17,FALSE),0)</f>
        <v>0</v>
      </c>
      <c r="O40" s="663">
        <f>IFERROR(VLOOKUP($A40,Race_2024_Seasonal!A:X,18,FALSE),0)</f>
        <v>0</v>
      </c>
      <c r="P40" s="554"/>
      <c r="Q40" s="663">
        <f t="shared" si="0"/>
        <v>0</v>
      </c>
      <c r="R40" s="554"/>
      <c r="S40" s="673">
        <f>Q40-'P&amp;L'!I40</f>
        <v>0</v>
      </c>
    </row>
    <row r="41" spans="1:19" ht="15">
      <c r="A41" s="546" t="s">
        <v>830</v>
      </c>
      <c r="B41" s="546" t="e">
        <f>IFERROR(VLOOKUP(A41,Race_2024_Seasonal!A:C,3,FALSE), VLOOKUP(A41,Race_2024_Seasonal!A:C,3,FALSE))</f>
        <v>#N/A</v>
      </c>
      <c r="C41" s="565" t="s">
        <v>831</v>
      </c>
      <c r="D41" s="624">
        <f>IFERROR(VLOOKUP($A41,Race_2024_Seasonal!A:X,7,FALSE),0)</f>
        <v>0</v>
      </c>
      <c r="E41" s="624">
        <f>IFERROR(VLOOKUP($A41,Race_2024_Seasonal!A:X,8,FALSE),0)</f>
        <v>0</v>
      </c>
      <c r="F41" s="624">
        <f>IFERROR(VLOOKUP($A41,Race_2024_Seasonal!A:X,9,FALSE),0)</f>
        <v>0</v>
      </c>
      <c r="G41" s="624">
        <f>IFERROR(VLOOKUP($A41,Race_2024_Seasonal!A:X,10,FALSE),0)</f>
        <v>0</v>
      </c>
      <c r="H41" s="624">
        <f>IFERROR(VLOOKUP($A41,Race_2024_Seasonal!A:X,11,FALSE),0)</f>
        <v>0</v>
      </c>
      <c r="I41" s="624">
        <f>IFERROR(VLOOKUP($A41,Race_2024_Seasonal!A:X,12,FALSE),0)</f>
        <v>0</v>
      </c>
      <c r="J41" s="624">
        <f>IFERROR(VLOOKUP($A41,Race_2024_Seasonal!A:X,13,FALSE),0)</f>
        <v>0</v>
      </c>
      <c r="K41" s="624">
        <f>IFERROR(VLOOKUP($A41,Race_2024_Seasonal!A:X,14,FALSE),0)</f>
        <v>0</v>
      </c>
      <c r="L41" s="624">
        <f>IFERROR(VLOOKUP($A41,Race_2024_Seasonal!A:X,15,FALSE),0)</f>
        <v>0</v>
      </c>
      <c r="M41" s="624">
        <f>IFERROR(VLOOKUP($A41,Race_2024_Seasonal!A:X,16,FALSE),0)</f>
        <v>0</v>
      </c>
      <c r="N41" s="624">
        <f>IFERROR(VLOOKUP($A41,Race_2024_Seasonal!A:X,17,FALSE),0)</f>
        <v>0</v>
      </c>
      <c r="O41" s="624">
        <f>IFERROR(VLOOKUP($A41,Race_2024_Seasonal!A:X,18,FALSE),0)</f>
        <v>0</v>
      </c>
      <c r="P41" s="554"/>
      <c r="Q41" s="624">
        <f t="shared" si="0"/>
        <v>0</v>
      </c>
      <c r="R41" s="554"/>
      <c r="S41" s="673">
        <f>Q41-'P&amp;L'!I41</f>
        <v>0</v>
      </c>
    </row>
    <row r="42" spans="1:19" ht="15">
      <c r="A42" s="546" t="s">
        <v>832</v>
      </c>
      <c r="B42" s="546" t="e">
        <f>IFERROR(VLOOKUP(A42,Race_2024_Seasonal!A:C,3,FALSE), VLOOKUP(A42,Race_2024_Seasonal!A:C,3,FALSE))</f>
        <v>#N/A</v>
      </c>
      <c r="C42" s="565" t="s">
        <v>833</v>
      </c>
      <c r="D42" s="663">
        <f>IFERROR(VLOOKUP($A42,Race_2024_Seasonal!A:X,7,FALSE),0)</f>
        <v>0</v>
      </c>
      <c r="E42" s="663">
        <f>IFERROR(VLOOKUP($A42,Race_2024_Seasonal!A:X,8,FALSE),0)</f>
        <v>0</v>
      </c>
      <c r="F42" s="663">
        <f>IFERROR(VLOOKUP($A42,Race_2024_Seasonal!A:X,9,FALSE),0)</f>
        <v>0</v>
      </c>
      <c r="G42" s="663">
        <f>IFERROR(VLOOKUP($A42,Race_2024_Seasonal!A:X,10,FALSE),0)</f>
        <v>0</v>
      </c>
      <c r="H42" s="663">
        <f>IFERROR(VLOOKUP($A42,Race_2024_Seasonal!A:X,11,FALSE),0)</f>
        <v>0</v>
      </c>
      <c r="I42" s="663">
        <f>IFERROR(VLOOKUP($A42,Race_2024_Seasonal!A:X,12,FALSE),0)</f>
        <v>0</v>
      </c>
      <c r="J42" s="663">
        <f>IFERROR(VLOOKUP($A42,Race_2024_Seasonal!A:X,13,FALSE),0)</f>
        <v>0</v>
      </c>
      <c r="K42" s="663">
        <f>IFERROR(VLOOKUP($A42,Race_2024_Seasonal!A:X,14,FALSE),0)</f>
        <v>0</v>
      </c>
      <c r="L42" s="663">
        <f>IFERROR(VLOOKUP($A42,Race_2024_Seasonal!A:X,15,FALSE),0)</f>
        <v>0</v>
      </c>
      <c r="M42" s="663">
        <f>IFERROR(VLOOKUP($A42,Race_2024_Seasonal!A:X,16,FALSE),0)</f>
        <v>0</v>
      </c>
      <c r="N42" s="663">
        <f>IFERROR(VLOOKUP($A42,Race_2024_Seasonal!A:X,17,FALSE),0)</f>
        <v>0</v>
      </c>
      <c r="O42" s="663">
        <f>IFERROR(VLOOKUP($A42,Race_2024_Seasonal!A:X,18,FALSE),0)</f>
        <v>0</v>
      </c>
      <c r="P42" s="554"/>
      <c r="Q42" s="663">
        <f t="shared" si="0"/>
        <v>0</v>
      </c>
      <c r="R42" s="554"/>
      <c r="S42" s="673">
        <f>Q42-'P&amp;L'!I42</f>
        <v>0</v>
      </c>
    </row>
    <row r="43" spans="1:19" ht="15">
      <c r="A43" s="546" t="s">
        <v>834</v>
      </c>
      <c r="B43" s="546" t="e">
        <f>IFERROR(VLOOKUP(A43,Race_2024_Seasonal!A:C,3,FALSE), VLOOKUP(A43,Race_2024_Seasonal!A:C,3,FALSE))</f>
        <v>#N/A</v>
      </c>
      <c r="C43" s="565" t="s">
        <v>835</v>
      </c>
      <c r="D43" s="663">
        <f>IFERROR(VLOOKUP($A43,Race_2024_Seasonal!A:X,7,FALSE),0)</f>
        <v>0</v>
      </c>
      <c r="E43" s="663">
        <f>IFERROR(VLOOKUP($A43,Race_2024_Seasonal!A:X,8,FALSE),0)</f>
        <v>0</v>
      </c>
      <c r="F43" s="663">
        <f>IFERROR(VLOOKUP($A43,Race_2024_Seasonal!A:X,9,FALSE),0)</f>
        <v>0</v>
      </c>
      <c r="G43" s="663">
        <f>IFERROR(VLOOKUP($A43,Race_2024_Seasonal!A:X,10,FALSE),0)</f>
        <v>0</v>
      </c>
      <c r="H43" s="663">
        <f>IFERROR(VLOOKUP($A43,Race_2024_Seasonal!A:X,11,FALSE),0)</f>
        <v>0</v>
      </c>
      <c r="I43" s="663">
        <f>IFERROR(VLOOKUP($A43,Race_2024_Seasonal!A:X,12,FALSE),0)</f>
        <v>0</v>
      </c>
      <c r="J43" s="663">
        <f>IFERROR(VLOOKUP($A43,Race_2024_Seasonal!A:X,13,FALSE),0)</f>
        <v>0</v>
      </c>
      <c r="K43" s="663">
        <f>IFERROR(VLOOKUP($A43,Race_2024_Seasonal!A:X,14,FALSE),0)</f>
        <v>0</v>
      </c>
      <c r="L43" s="663">
        <f>IFERROR(VLOOKUP($A43,Race_2024_Seasonal!A:X,15,FALSE),0)</f>
        <v>0</v>
      </c>
      <c r="M43" s="663">
        <f>IFERROR(VLOOKUP($A43,Race_2024_Seasonal!A:X,16,FALSE),0)</f>
        <v>0</v>
      </c>
      <c r="N43" s="663">
        <f>IFERROR(VLOOKUP($A43,Race_2024_Seasonal!A:X,17,FALSE),0)</f>
        <v>0</v>
      </c>
      <c r="O43" s="663">
        <f>IFERROR(VLOOKUP($A43,Race_2024_Seasonal!A:X,18,FALSE),0)</f>
        <v>0</v>
      </c>
      <c r="P43" s="554"/>
      <c r="Q43" s="663">
        <f t="shared" si="0"/>
        <v>0</v>
      </c>
      <c r="R43" s="554"/>
      <c r="S43" s="673">
        <f>Q43-'P&amp;L'!I43</f>
        <v>0</v>
      </c>
    </row>
    <row r="44" spans="1:19" ht="15">
      <c r="A44" s="546" t="s">
        <v>836</v>
      </c>
      <c r="B44" s="546" t="str">
        <f>IFERROR(VLOOKUP(A44,Race_2024_Seasonal!A:C,3,FALSE), VLOOKUP(A44,Race_2024_Seasonal!A:C,3,FALSE))</f>
        <v>Var.rew/spoil/scrap</v>
      </c>
      <c r="C44" s="565" t="s">
        <v>308</v>
      </c>
      <c r="D44" s="663">
        <f>IFERROR(VLOOKUP($A44,Race_2024_Seasonal!A:X,7,FALSE),0)</f>
        <v>-13248.212</v>
      </c>
      <c r="E44" s="663">
        <f>IFERROR(VLOOKUP($A44,Race_2024_Seasonal!A:X,8,FALSE),0)</f>
        <v>-12415.996999999999</v>
      </c>
      <c r="F44" s="663">
        <f>IFERROR(VLOOKUP($A44,Race_2024_Seasonal!A:X,9,FALSE),0)</f>
        <v>-14288.48</v>
      </c>
      <c r="G44" s="663">
        <f>IFERROR(VLOOKUP($A44,Race_2024_Seasonal!A:X,10,FALSE),0)</f>
        <v>-13931.147000000001</v>
      </c>
      <c r="H44" s="663">
        <f>IFERROR(VLOOKUP($A44,Race_2024_Seasonal!A:X,11,FALSE),0)</f>
        <v>-12610.779</v>
      </c>
      <c r="I44" s="663">
        <f>IFERROR(VLOOKUP($A44,Race_2024_Seasonal!A:X,12,FALSE),0)</f>
        <v>-12610.779</v>
      </c>
      <c r="J44" s="663">
        <f>IFERROR(VLOOKUP($A44,Race_2024_Seasonal!A:X,13,FALSE),0)</f>
        <v>-12610.779</v>
      </c>
      <c r="K44" s="663">
        <f>IFERROR(VLOOKUP($A44,Race_2024_Seasonal!A:X,14,FALSE),0)</f>
        <v>-11570.511</v>
      </c>
      <c r="L44" s="663">
        <f>IFERROR(VLOOKUP($A44,Race_2024_Seasonal!A:X,15,FALSE),0)</f>
        <v>-11611.718999999999</v>
      </c>
      <c r="M44" s="663">
        <f>IFERROR(VLOOKUP($A44,Race_2024_Seasonal!A:X,16,FALSE),0)</f>
        <v>-11969.050999999999</v>
      </c>
      <c r="N44" s="663">
        <f>IFERROR(VLOOKUP($A44,Race_2024_Seasonal!A:X,17,FALSE),0)</f>
        <v>-12385.157999999999</v>
      </c>
      <c r="O44" s="663">
        <f>IFERROR(VLOOKUP($A44,Race_2024_Seasonal!A:X,18,FALSE),0)</f>
        <v>-12385.156000000001</v>
      </c>
      <c r="P44" s="554"/>
      <c r="Q44" s="663">
        <f t="shared" si="0"/>
        <v>-151637.76799999995</v>
      </c>
      <c r="R44" s="554"/>
      <c r="S44" s="673">
        <f>Q44-'P&amp;L'!I44</f>
        <v>0</v>
      </c>
    </row>
    <row r="45" spans="1:19" ht="15">
      <c r="A45" s="546" t="s">
        <v>837</v>
      </c>
      <c r="B45" s="546" t="e">
        <f>IFERROR(VLOOKUP(A45,Race_2024_Seasonal!A:C,3,FALSE), VLOOKUP(A45,Race_2024_Seasonal!A:C,3,FALSE))</f>
        <v>#N/A</v>
      </c>
      <c r="C45" s="565" t="s">
        <v>838</v>
      </c>
      <c r="D45" s="663">
        <f>IFERROR(VLOOKUP($A45,Race_2024_Seasonal!A:X,7,FALSE),0)</f>
        <v>0</v>
      </c>
      <c r="E45" s="663">
        <f>IFERROR(VLOOKUP($A45,Race_2024_Seasonal!A:X,8,FALSE),0)</f>
        <v>0</v>
      </c>
      <c r="F45" s="663">
        <f>IFERROR(VLOOKUP($A45,Race_2024_Seasonal!A:X,9,FALSE),0)</f>
        <v>0</v>
      </c>
      <c r="G45" s="663">
        <f>IFERROR(VLOOKUP($A45,Race_2024_Seasonal!A:X,10,FALSE),0)</f>
        <v>0</v>
      </c>
      <c r="H45" s="663">
        <f>IFERROR(VLOOKUP($A45,Race_2024_Seasonal!A:X,11,FALSE),0)</f>
        <v>0</v>
      </c>
      <c r="I45" s="663">
        <f>IFERROR(VLOOKUP($A45,Race_2024_Seasonal!A:X,12,FALSE),0)</f>
        <v>0</v>
      </c>
      <c r="J45" s="663">
        <f>IFERROR(VLOOKUP($A45,Race_2024_Seasonal!A:X,13,FALSE),0)</f>
        <v>0</v>
      </c>
      <c r="K45" s="663">
        <f>IFERROR(VLOOKUP($A45,Race_2024_Seasonal!A:X,14,FALSE),0)</f>
        <v>0</v>
      </c>
      <c r="L45" s="663">
        <f>IFERROR(VLOOKUP($A45,Race_2024_Seasonal!A:X,15,FALSE),0)</f>
        <v>0</v>
      </c>
      <c r="M45" s="663">
        <f>IFERROR(VLOOKUP($A45,Race_2024_Seasonal!A:X,16,FALSE),0)</f>
        <v>0</v>
      </c>
      <c r="N45" s="663">
        <f>IFERROR(VLOOKUP($A45,Race_2024_Seasonal!A:X,17,FALSE),0)</f>
        <v>0</v>
      </c>
      <c r="O45" s="663">
        <f>IFERROR(VLOOKUP($A45,Race_2024_Seasonal!A:X,18,FALSE),0)</f>
        <v>0</v>
      </c>
      <c r="P45" s="554"/>
      <c r="Q45" s="663">
        <f t="shared" si="0"/>
        <v>0</v>
      </c>
      <c r="R45" s="554"/>
      <c r="S45" s="673">
        <f>Q45-'P&amp;L'!I45</f>
        <v>0</v>
      </c>
    </row>
    <row r="46" spans="1:19" ht="15">
      <c r="A46" s="546" t="s">
        <v>839</v>
      </c>
      <c r="B46" s="546" t="e">
        <f>IFERROR(VLOOKUP(A46,Race_2024_Seasonal!A:C,3,FALSE), VLOOKUP(A46,Race_2024_Seasonal!A:C,3,FALSE))</f>
        <v>#N/A</v>
      </c>
      <c r="C46" s="565" t="s">
        <v>840</v>
      </c>
      <c r="D46" s="662">
        <f>IFERROR(VLOOKUP($A46,Race_2024_Seasonal!A:X,7,FALSE),0)</f>
        <v>0</v>
      </c>
      <c r="E46" s="662">
        <f>IFERROR(VLOOKUP($A46,Race_2024_Seasonal!A:X,8,FALSE),0)</f>
        <v>0</v>
      </c>
      <c r="F46" s="662">
        <f>IFERROR(VLOOKUP($A46,Race_2024_Seasonal!A:X,9,FALSE),0)</f>
        <v>0</v>
      </c>
      <c r="G46" s="662">
        <f>IFERROR(VLOOKUP($A46,Race_2024_Seasonal!A:X,10,FALSE),0)</f>
        <v>0</v>
      </c>
      <c r="H46" s="662">
        <f>IFERROR(VLOOKUP($A46,Race_2024_Seasonal!A:X,11,FALSE),0)</f>
        <v>0</v>
      </c>
      <c r="I46" s="662">
        <f>IFERROR(VLOOKUP($A46,Race_2024_Seasonal!A:X,12,FALSE),0)</f>
        <v>0</v>
      </c>
      <c r="J46" s="662">
        <f>IFERROR(VLOOKUP($A46,Race_2024_Seasonal!A:X,13,FALSE),0)</f>
        <v>0</v>
      </c>
      <c r="K46" s="662">
        <f>IFERROR(VLOOKUP($A46,Race_2024_Seasonal!A:X,14,FALSE),0)</f>
        <v>0</v>
      </c>
      <c r="L46" s="662">
        <f>IFERROR(VLOOKUP($A46,Race_2024_Seasonal!A:X,15,FALSE),0)</f>
        <v>0</v>
      </c>
      <c r="M46" s="662">
        <f>IFERROR(VLOOKUP($A46,Race_2024_Seasonal!A:X,16,FALSE),0)</f>
        <v>0</v>
      </c>
      <c r="N46" s="662">
        <f>IFERROR(VLOOKUP($A46,Race_2024_Seasonal!A:X,17,FALSE),0)</f>
        <v>0</v>
      </c>
      <c r="O46" s="662">
        <f>IFERROR(VLOOKUP($A46,Race_2024_Seasonal!A:X,18,FALSE),0)</f>
        <v>0</v>
      </c>
      <c r="P46" s="554"/>
      <c r="Q46" s="662">
        <f t="shared" si="0"/>
        <v>0</v>
      </c>
      <c r="R46" s="554"/>
      <c r="S46" s="673">
        <f>Q46-'P&amp;L'!I46</f>
        <v>0</v>
      </c>
    </row>
    <row r="47" spans="1:19" ht="15">
      <c r="A47" s="546" t="s">
        <v>841</v>
      </c>
      <c r="B47" s="546" t="str">
        <f>IFERROR(VLOOKUP(A47,Race_2024_Seasonal!A:C,3,FALSE), VLOOKUP(A47,Race_2024_Seasonal!A:C,3,FALSE))</f>
        <v>Other cost var. tot</v>
      </c>
      <c r="C47" s="564" t="s">
        <v>842</v>
      </c>
      <c r="D47" s="668">
        <f>IFERROR(VLOOKUP($A47,Race_2024_Seasonal!A:X,7,FALSE),0)</f>
        <v>-55200.881000000001</v>
      </c>
      <c r="E47" s="668">
        <f>IFERROR(VLOOKUP($A47,Race_2024_Seasonal!A:X,8,FALSE),0)</f>
        <v>-51733.321000000004</v>
      </c>
      <c r="F47" s="668">
        <f>IFERROR(VLOOKUP($A47,Race_2024_Seasonal!A:X,9,FALSE),0)</f>
        <v>-59535.330999999998</v>
      </c>
      <c r="G47" s="668">
        <f>IFERROR(VLOOKUP($A47,Race_2024_Seasonal!A:X,10,FALSE),0)</f>
        <v>-58046.447</v>
      </c>
      <c r="H47" s="668">
        <f>IFERROR(VLOOKUP($A47,Race_2024_Seasonal!A:X,11,FALSE),0)</f>
        <v>-52544.911</v>
      </c>
      <c r="I47" s="668">
        <f>IFERROR(VLOOKUP($A47,Race_2024_Seasonal!A:X,12,FALSE),0)</f>
        <v>-52544.911</v>
      </c>
      <c r="J47" s="668">
        <f>IFERROR(VLOOKUP($A47,Race_2024_Seasonal!A:X,13,FALSE),0)</f>
        <v>-52544.911</v>
      </c>
      <c r="K47" s="668">
        <f>IFERROR(VLOOKUP($A47,Race_2024_Seasonal!A:X,14,FALSE),0)</f>
        <v>-48210.461000000003</v>
      </c>
      <c r="L47" s="668">
        <f>IFERROR(VLOOKUP($A47,Race_2024_Seasonal!A:X,15,FALSE),0)</f>
        <v>-48382.161</v>
      </c>
      <c r="M47" s="668">
        <f>IFERROR(VLOOKUP($A47,Race_2024_Seasonal!A:X,16,FALSE),0)</f>
        <v>-49871.046000000002</v>
      </c>
      <c r="N47" s="668">
        <f>IFERROR(VLOOKUP($A47,Race_2024_Seasonal!A:X,17,FALSE),0)</f>
        <v>-51604.826000000001</v>
      </c>
      <c r="O47" s="668">
        <f>IFERROR(VLOOKUP($A47,Race_2024_Seasonal!A:X,18,FALSE),0)</f>
        <v>-51604.826999999997</v>
      </c>
      <c r="P47" s="554"/>
      <c r="Q47" s="668">
        <f t="shared" si="0"/>
        <v>-631824.0340000001</v>
      </c>
      <c r="R47" s="554"/>
      <c r="S47" s="673">
        <f>Q47-'P&amp;L'!I47</f>
        <v>0</v>
      </c>
    </row>
    <row r="48" spans="1:19" ht="15">
      <c r="A48" s="546" t="s">
        <v>843</v>
      </c>
      <c r="B48" s="546" t="e">
        <f>IFERROR(VLOOKUP(A48,Race_2024_Seasonal!A:C,3,FALSE), VLOOKUP(A48,Race_2024_Seasonal!A:C,3,FALSE))</f>
        <v>#N/A</v>
      </c>
      <c r="C48" s="563" t="s">
        <v>844</v>
      </c>
      <c r="D48" s="627">
        <f>IFERROR(VLOOKUP($A48,Race_2024_Seasonal!A:X,7,FALSE),0)</f>
        <v>0</v>
      </c>
      <c r="E48" s="627">
        <f>IFERROR(VLOOKUP($A48,Race_2024_Seasonal!A:X,8,FALSE),0)</f>
        <v>0</v>
      </c>
      <c r="F48" s="627">
        <f>IFERROR(VLOOKUP($A48,Race_2024_Seasonal!A:X,9,FALSE),0)</f>
        <v>0</v>
      </c>
      <c r="G48" s="627">
        <f>IFERROR(VLOOKUP($A48,Race_2024_Seasonal!A:X,10,FALSE),0)</f>
        <v>0</v>
      </c>
      <c r="H48" s="627">
        <f>IFERROR(VLOOKUP($A48,Race_2024_Seasonal!A:X,11,FALSE),0)</f>
        <v>0</v>
      </c>
      <c r="I48" s="627">
        <f>IFERROR(VLOOKUP($A48,Race_2024_Seasonal!A:X,12,FALSE),0)</f>
        <v>0</v>
      </c>
      <c r="J48" s="627">
        <f>IFERROR(VLOOKUP($A48,Race_2024_Seasonal!A:X,13,FALSE),0)</f>
        <v>0</v>
      </c>
      <c r="K48" s="627">
        <f>IFERROR(VLOOKUP($A48,Race_2024_Seasonal!A:X,14,FALSE),0)</f>
        <v>0</v>
      </c>
      <c r="L48" s="627">
        <f>IFERROR(VLOOKUP($A48,Race_2024_Seasonal!A:X,15,FALSE),0)</f>
        <v>0</v>
      </c>
      <c r="M48" s="627">
        <f>IFERROR(VLOOKUP($A48,Race_2024_Seasonal!A:X,16,FALSE),0)</f>
        <v>0</v>
      </c>
      <c r="N48" s="627">
        <f>IFERROR(VLOOKUP($A48,Race_2024_Seasonal!A:X,17,FALSE),0)</f>
        <v>0</v>
      </c>
      <c r="O48" s="627">
        <f>IFERROR(VLOOKUP($A48,Race_2024_Seasonal!A:X,18,FALSE),0)</f>
        <v>0</v>
      </c>
      <c r="P48" s="554"/>
      <c r="Q48" s="627">
        <f t="shared" si="0"/>
        <v>0</v>
      </c>
      <c r="R48" s="554"/>
      <c r="S48" s="673">
        <f>Q48-'P&amp;L'!I48</f>
        <v>0</v>
      </c>
    </row>
    <row r="49" spans="1:19" ht="15">
      <c r="A49" s="546" t="s">
        <v>845</v>
      </c>
      <c r="B49" s="546" t="str">
        <f>IFERROR(VLOOKUP(A49,Race_2024_Seasonal!A:C,3,FALSE), VLOOKUP(A49,Race_2024_Seasonal!A:C,3,FALSE))</f>
        <v>R&amp;A and gen.warr.</v>
      </c>
      <c r="C49" s="563" t="s">
        <v>846</v>
      </c>
      <c r="D49" s="627">
        <f>IFERROR(VLOOKUP($A49,Race_2024_Seasonal!A:X,7,FALSE),0)</f>
        <v>-55200.881000000001</v>
      </c>
      <c r="E49" s="627">
        <f>IFERROR(VLOOKUP($A49,Race_2024_Seasonal!A:X,8,FALSE),0)</f>
        <v>-51733.321000000004</v>
      </c>
      <c r="F49" s="627">
        <f>IFERROR(VLOOKUP($A49,Race_2024_Seasonal!A:X,9,FALSE),0)</f>
        <v>-59535.330999999998</v>
      </c>
      <c r="G49" s="627">
        <f>IFERROR(VLOOKUP($A49,Race_2024_Seasonal!A:X,10,FALSE),0)</f>
        <v>-58046.447</v>
      </c>
      <c r="H49" s="627">
        <f>IFERROR(VLOOKUP($A49,Race_2024_Seasonal!A:X,11,FALSE),0)</f>
        <v>-52544.911</v>
      </c>
      <c r="I49" s="627">
        <f>IFERROR(VLOOKUP($A49,Race_2024_Seasonal!A:X,12,FALSE),0)</f>
        <v>-52544.911</v>
      </c>
      <c r="J49" s="627">
        <f>IFERROR(VLOOKUP($A49,Race_2024_Seasonal!A:X,13,FALSE),0)</f>
        <v>-52544.911</v>
      </c>
      <c r="K49" s="627">
        <f>IFERROR(VLOOKUP($A49,Race_2024_Seasonal!A:X,14,FALSE),0)</f>
        <v>-48210.461000000003</v>
      </c>
      <c r="L49" s="627">
        <f>IFERROR(VLOOKUP($A49,Race_2024_Seasonal!A:X,15,FALSE),0)</f>
        <v>-48382.161</v>
      </c>
      <c r="M49" s="627">
        <f>IFERROR(VLOOKUP($A49,Race_2024_Seasonal!A:X,16,FALSE),0)</f>
        <v>-49871.046000000002</v>
      </c>
      <c r="N49" s="627">
        <f>IFERROR(VLOOKUP($A49,Race_2024_Seasonal!A:X,17,FALSE),0)</f>
        <v>-51604.826000000001</v>
      </c>
      <c r="O49" s="627">
        <f>IFERROR(VLOOKUP($A49,Race_2024_Seasonal!A:X,18,FALSE),0)</f>
        <v>-51604.826999999997</v>
      </c>
      <c r="P49" s="554"/>
      <c r="Q49" s="627">
        <f t="shared" si="0"/>
        <v>-631824.0340000001</v>
      </c>
      <c r="R49" s="554"/>
      <c r="S49" s="673">
        <f>Q49-'P&amp;L'!I49</f>
        <v>0</v>
      </c>
    </row>
    <row r="50" spans="1:19" ht="15">
      <c r="A50" s="546" t="s">
        <v>847</v>
      </c>
      <c r="B50" s="546" t="e">
        <f>IFERROR(VLOOKUP(A50,Race_2024_Seasonal!A:C,3,FALSE), VLOOKUP(A50,Race_2024_Seasonal!A:C,3,FALSE))</f>
        <v>#N/A</v>
      </c>
      <c r="C50" s="563" t="s">
        <v>848</v>
      </c>
      <c r="D50" s="627">
        <f>IFERROR(VLOOKUP($A50,Race_2024_Seasonal!A:X,7,FALSE),0)</f>
        <v>0</v>
      </c>
      <c r="E50" s="627">
        <f>IFERROR(VLOOKUP($A50,Race_2024_Seasonal!A:X,8,FALSE),0)</f>
        <v>0</v>
      </c>
      <c r="F50" s="627">
        <f>IFERROR(VLOOKUP($A50,Race_2024_Seasonal!A:X,9,FALSE),0)</f>
        <v>0</v>
      </c>
      <c r="G50" s="627">
        <f>IFERROR(VLOOKUP($A50,Race_2024_Seasonal!A:X,10,FALSE),0)</f>
        <v>0</v>
      </c>
      <c r="H50" s="627">
        <f>IFERROR(VLOOKUP($A50,Race_2024_Seasonal!A:X,11,FALSE),0)</f>
        <v>0</v>
      </c>
      <c r="I50" s="627">
        <f>IFERROR(VLOOKUP($A50,Race_2024_Seasonal!A:X,12,FALSE),0)</f>
        <v>0</v>
      </c>
      <c r="J50" s="627">
        <f>IFERROR(VLOOKUP($A50,Race_2024_Seasonal!A:X,13,FALSE),0)</f>
        <v>0</v>
      </c>
      <c r="K50" s="627">
        <f>IFERROR(VLOOKUP($A50,Race_2024_Seasonal!A:X,14,FALSE),0)</f>
        <v>0</v>
      </c>
      <c r="L50" s="627">
        <f>IFERROR(VLOOKUP($A50,Race_2024_Seasonal!A:X,15,FALSE),0)</f>
        <v>0</v>
      </c>
      <c r="M50" s="627">
        <f>IFERROR(VLOOKUP($A50,Race_2024_Seasonal!A:X,16,FALSE),0)</f>
        <v>0</v>
      </c>
      <c r="N50" s="627">
        <f>IFERROR(VLOOKUP($A50,Race_2024_Seasonal!A:X,17,FALSE),0)</f>
        <v>0</v>
      </c>
      <c r="O50" s="627">
        <f>IFERROR(VLOOKUP($A50,Race_2024_Seasonal!A:X,18,FALSE),0)</f>
        <v>0</v>
      </c>
      <c r="P50" s="554"/>
      <c r="Q50" s="627">
        <f t="shared" si="0"/>
        <v>0</v>
      </c>
      <c r="R50" s="554"/>
      <c r="S50" s="673">
        <f>Q50-'P&amp;L'!I50</f>
        <v>0</v>
      </c>
    </row>
    <row r="51" spans="1:19" ht="15">
      <c r="A51" s="546" t="s">
        <v>849</v>
      </c>
      <c r="B51" s="546" t="e">
        <f>IFERROR(VLOOKUP(A51,Race_2024_Seasonal!A:C,3,FALSE), VLOOKUP(A51,Race_2024_Seasonal!A:C,3,FALSE))</f>
        <v>#N/A</v>
      </c>
      <c r="C51" s="563" t="s">
        <v>850</v>
      </c>
      <c r="D51" s="627">
        <f>IFERROR(VLOOKUP($A51,Race_2024_Seasonal!A:X,7,FALSE),0)</f>
        <v>0</v>
      </c>
      <c r="E51" s="627">
        <f>IFERROR(VLOOKUP($A51,Race_2024_Seasonal!A:X,8,FALSE),0)</f>
        <v>0</v>
      </c>
      <c r="F51" s="627">
        <f>IFERROR(VLOOKUP($A51,Race_2024_Seasonal!A:X,9,FALSE),0)</f>
        <v>0</v>
      </c>
      <c r="G51" s="627">
        <f>IFERROR(VLOOKUP($A51,Race_2024_Seasonal!A:X,10,FALSE),0)</f>
        <v>0</v>
      </c>
      <c r="H51" s="627">
        <f>IFERROR(VLOOKUP($A51,Race_2024_Seasonal!A:X,11,FALSE),0)</f>
        <v>0</v>
      </c>
      <c r="I51" s="627">
        <f>IFERROR(VLOOKUP($A51,Race_2024_Seasonal!A:X,12,FALSE),0)</f>
        <v>0</v>
      </c>
      <c r="J51" s="627">
        <f>IFERROR(VLOOKUP($A51,Race_2024_Seasonal!A:X,13,FALSE),0)</f>
        <v>0</v>
      </c>
      <c r="K51" s="627">
        <f>IFERROR(VLOOKUP($A51,Race_2024_Seasonal!A:X,14,FALSE),0)</f>
        <v>0</v>
      </c>
      <c r="L51" s="627">
        <f>IFERROR(VLOOKUP($A51,Race_2024_Seasonal!A:X,15,FALSE),0)</f>
        <v>0</v>
      </c>
      <c r="M51" s="627">
        <f>IFERROR(VLOOKUP($A51,Race_2024_Seasonal!A:X,16,FALSE),0)</f>
        <v>0</v>
      </c>
      <c r="N51" s="627">
        <f>IFERROR(VLOOKUP($A51,Race_2024_Seasonal!A:X,17,FALSE),0)</f>
        <v>0</v>
      </c>
      <c r="O51" s="627">
        <f>IFERROR(VLOOKUP($A51,Race_2024_Seasonal!A:X,18,FALSE),0)</f>
        <v>0</v>
      </c>
      <c r="P51" s="554"/>
      <c r="Q51" s="627">
        <f t="shared" si="0"/>
        <v>0</v>
      </c>
      <c r="R51" s="554"/>
      <c r="S51" s="673">
        <f>Q51-'P&amp;L'!I51</f>
        <v>0</v>
      </c>
    </row>
    <row r="52" spans="1:19" ht="15">
      <c r="A52" s="546" t="s">
        <v>851</v>
      </c>
      <c r="B52" s="546" t="e">
        <f>IFERROR(VLOOKUP(A52,Race_2024_Seasonal!A:C,3,FALSE), VLOOKUP(A52,Race_2024_Seasonal!A:C,3,FALSE))</f>
        <v>#N/A</v>
      </c>
      <c r="C52" s="563" t="s">
        <v>852</v>
      </c>
      <c r="D52" s="627">
        <f>IFERROR(VLOOKUP($A52,Race_2024_Seasonal!A:X,7,FALSE),0)</f>
        <v>0</v>
      </c>
      <c r="E52" s="627">
        <f>IFERROR(VLOOKUP($A52,Race_2024_Seasonal!A:X,8,FALSE),0)</f>
        <v>0</v>
      </c>
      <c r="F52" s="627">
        <f>IFERROR(VLOOKUP($A52,Race_2024_Seasonal!A:X,9,FALSE),0)</f>
        <v>0</v>
      </c>
      <c r="G52" s="627">
        <f>IFERROR(VLOOKUP($A52,Race_2024_Seasonal!A:X,10,FALSE),0)</f>
        <v>0</v>
      </c>
      <c r="H52" s="627">
        <f>IFERROR(VLOOKUP($A52,Race_2024_Seasonal!A:X,11,FALSE),0)</f>
        <v>0</v>
      </c>
      <c r="I52" s="627">
        <f>IFERROR(VLOOKUP($A52,Race_2024_Seasonal!A:X,12,FALSE),0)</f>
        <v>0</v>
      </c>
      <c r="J52" s="627">
        <f>IFERROR(VLOOKUP($A52,Race_2024_Seasonal!A:X,13,FALSE),0)</f>
        <v>0</v>
      </c>
      <c r="K52" s="627">
        <f>IFERROR(VLOOKUP($A52,Race_2024_Seasonal!A:X,14,FALSE),0)</f>
        <v>0</v>
      </c>
      <c r="L52" s="627">
        <f>IFERROR(VLOOKUP($A52,Race_2024_Seasonal!A:X,15,FALSE),0)</f>
        <v>0</v>
      </c>
      <c r="M52" s="627">
        <f>IFERROR(VLOOKUP($A52,Race_2024_Seasonal!A:X,16,FALSE),0)</f>
        <v>0</v>
      </c>
      <c r="N52" s="627">
        <f>IFERROR(VLOOKUP($A52,Race_2024_Seasonal!A:X,17,FALSE),0)</f>
        <v>0</v>
      </c>
      <c r="O52" s="627">
        <f>IFERROR(VLOOKUP($A52,Race_2024_Seasonal!A:X,18,FALSE),0)</f>
        <v>0</v>
      </c>
      <c r="P52" s="554"/>
      <c r="Q52" s="627">
        <f t="shared" si="0"/>
        <v>0</v>
      </c>
      <c r="R52" s="554"/>
      <c r="S52" s="673">
        <f>Q52-'P&amp;L'!I52</f>
        <v>0</v>
      </c>
    </row>
    <row r="53" spans="1:19" ht="15">
      <c r="A53" s="617" t="s">
        <v>853</v>
      </c>
      <c r="B53" s="546" t="str">
        <f>IFERROR(VLOOKUP(A53,Race_2024_Seasonal!A:C,3,FALSE), VLOOKUP(A53,Race_2024_Seasonal!A:C,3,FALSE))</f>
        <v>MC after variations</v>
      </c>
      <c r="C53" s="618" t="s">
        <v>854</v>
      </c>
      <c r="D53" s="625">
        <f>IFERROR(VLOOKUP($A53,Race_2024_Seasonal!A:X,7,FALSE),0)</f>
        <v>3677542.3119999999</v>
      </c>
      <c r="E53" s="625">
        <f>IFERROR(VLOOKUP($A53,Race_2024_Seasonal!A:X,8,FALSE),0)</f>
        <v>3450512.94</v>
      </c>
      <c r="F53" s="625">
        <f>IFERROR(VLOOKUP($A53,Race_2024_Seasonal!A:X,9,FALSE),0)</f>
        <v>3967491.7650000001</v>
      </c>
      <c r="G53" s="625">
        <f>IFERROR(VLOOKUP($A53,Race_2024_Seasonal!A:X,10,FALSE),0)</f>
        <v>3852330.9449999998</v>
      </c>
      <c r="H53" s="625">
        <f>IFERROR(VLOOKUP($A53,Race_2024_Seasonal!A:X,11,FALSE),0)</f>
        <v>3488347.21</v>
      </c>
      <c r="I53" s="625">
        <f>IFERROR(VLOOKUP($A53,Race_2024_Seasonal!A:X,12,FALSE),0)</f>
        <v>3492087.8640000001</v>
      </c>
      <c r="J53" s="625">
        <f>IFERROR(VLOOKUP($A53,Race_2024_Seasonal!A:X,13,FALSE),0)</f>
        <v>3485338.3480000002</v>
      </c>
      <c r="K53" s="625">
        <f>IFERROR(VLOOKUP($A53,Race_2024_Seasonal!A:X,14,FALSE),0)</f>
        <v>3202780.4759999998</v>
      </c>
      <c r="L53" s="625">
        <f>IFERROR(VLOOKUP($A53,Race_2024_Seasonal!A:X,15,FALSE),0)</f>
        <v>3217579.7259999998</v>
      </c>
      <c r="M53" s="625">
        <f>IFERROR(VLOOKUP($A53,Race_2024_Seasonal!A:X,16,FALSE),0)</f>
        <v>3310585.327</v>
      </c>
      <c r="N53" s="625">
        <f>IFERROR(VLOOKUP($A53,Race_2024_Seasonal!A:X,17,FALSE),0)</f>
        <v>3424814.182</v>
      </c>
      <c r="O53" s="625">
        <f>IFERROR(VLOOKUP($A53,Race_2024_Seasonal!A:X,18,FALSE),0)</f>
        <v>3425376.892</v>
      </c>
      <c r="P53" s="554"/>
      <c r="Q53" s="625">
        <f t="shared" si="0"/>
        <v>41994787.986999996</v>
      </c>
      <c r="R53" s="554"/>
      <c r="S53" s="673">
        <f>Q53-'P&amp;L'!I53</f>
        <v>0</v>
      </c>
    </row>
    <row r="54" spans="1:19" ht="15">
      <c r="A54" s="546" t="s">
        <v>855</v>
      </c>
      <c r="B54" s="546" t="str">
        <f>IFERROR(VLOOKUP(A54,Race_2024_Seasonal!A:C,3,FALSE), VLOOKUP(A54,Race_2024_Seasonal!A:C,3,FALSE))</f>
        <v>Prod.&amp;mat.mgmt.exp.</v>
      </c>
      <c r="C54" s="552" t="s">
        <v>856</v>
      </c>
      <c r="D54" s="667">
        <f>IFERROR(VLOOKUP($A54,Race_2024_Seasonal!A:X,7,FALSE),0)</f>
        <v>-1727166.665</v>
      </c>
      <c r="E54" s="667">
        <f>IFERROR(VLOOKUP($A54,Race_2024_Seasonal!A:X,8,FALSE),0)</f>
        <v>-1695299.575</v>
      </c>
      <c r="F54" s="667">
        <f>IFERROR(VLOOKUP($A54,Race_2024_Seasonal!A:X,9,FALSE),0)</f>
        <v>-1783247.64</v>
      </c>
      <c r="G54" s="667">
        <f>IFERROR(VLOOKUP($A54,Race_2024_Seasonal!A:X,10,FALSE),0)</f>
        <v>-1717949.618</v>
      </c>
      <c r="H54" s="667">
        <f>IFERROR(VLOOKUP($A54,Race_2024_Seasonal!A:X,11,FALSE),0)</f>
        <v>-1666971.213</v>
      </c>
      <c r="I54" s="667">
        <f>IFERROR(VLOOKUP($A54,Race_2024_Seasonal!A:X,12,FALSE),0)</f>
        <v>-1671945.9080000001</v>
      </c>
      <c r="J54" s="667">
        <f>IFERROR(VLOOKUP($A54,Race_2024_Seasonal!A:X,13,FALSE),0)</f>
        <v>-1752167.2860000001</v>
      </c>
      <c r="K54" s="667">
        <f>IFERROR(VLOOKUP($A54,Race_2024_Seasonal!A:X,14,FALSE),0)</f>
        <v>-1725644.4890000001</v>
      </c>
      <c r="L54" s="667">
        <f>IFERROR(VLOOKUP($A54,Race_2024_Seasonal!A:X,15,FALSE),0)</f>
        <v>-1677036.7169999999</v>
      </c>
      <c r="M54" s="667">
        <f>IFERROR(VLOOKUP($A54,Race_2024_Seasonal!A:X,16,FALSE),0)</f>
        <v>-1675267.257</v>
      </c>
      <c r="N54" s="667">
        <f>IFERROR(VLOOKUP($A54,Race_2024_Seasonal!A:X,17,FALSE),0)</f>
        <v>-1707729.79</v>
      </c>
      <c r="O54" s="667">
        <f>IFERROR(VLOOKUP($A54,Race_2024_Seasonal!A:X,18,FALSE),0)</f>
        <v>-1704046.9469999999</v>
      </c>
      <c r="P54" s="554"/>
      <c r="Q54" s="667">
        <f t="shared" si="0"/>
        <v>-20504473.105</v>
      </c>
      <c r="R54" s="554"/>
      <c r="S54" s="673">
        <f>Q54-'P&amp;L'!I54</f>
        <v>0</v>
      </c>
    </row>
    <row r="55" spans="1:19" ht="15">
      <c r="A55" s="546" t="s">
        <v>857</v>
      </c>
      <c r="B55" s="546" t="str">
        <f>IFERROR(VLOOKUP(A55,Race_2024_Seasonal!A:C,3,FALSE), VLOOKUP(A55,Race_2024_Seasonal!A:C,3,FALSE))</f>
        <v>PE production</v>
      </c>
      <c r="C55" s="549" t="s">
        <v>858</v>
      </c>
      <c r="D55" s="627">
        <f>IFERROR(VLOOKUP($A55,Race_2024_Seasonal!A:X,7,FALSE),0)</f>
        <v>-970403.93799999997</v>
      </c>
      <c r="E55" s="627">
        <f>IFERROR(VLOOKUP($A55,Race_2024_Seasonal!A:X,8,FALSE),0)</f>
        <v>-989967.57499999995</v>
      </c>
      <c r="F55" s="627">
        <f>IFERROR(VLOOKUP($A55,Race_2024_Seasonal!A:X,9,FALSE),0)</f>
        <v>-975053.38600000006</v>
      </c>
      <c r="G55" s="627">
        <f>IFERROR(VLOOKUP($A55,Race_2024_Seasonal!A:X,10,FALSE),0)</f>
        <v>-942492.60100000002</v>
      </c>
      <c r="H55" s="627">
        <f>IFERROR(VLOOKUP($A55,Race_2024_Seasonal!A:X,11,FALSE),0)</f>
        <v>-957147.35400000005</v>
      </c>
      <c r="I55" s="627">
        <f>IFERROR(VLOOKUP($A55,Race_2024_Seasonal!A:X,12,FALSE),0)</f>
        <v>-959040.54399999999</v>
      </c>
      <c r="J55" s="627">
        <f>IFERROR(VLOOKUP($A55,Race_2024_Seasonal!A:X,13,FALSE),0)</f>
        <v>-1009347.089</v>
      </c>
      <c r="K55" s="627">
        <f>IFERROR(VLOOKUP($A55,Race_2024_Seasonal!A:X,14,FALSE),0)</f>
        <v>-1063193.8030000001</v>
      </c>
      <c r="L55" s="627">
        <f>IFERROR(VLOOKUP($A55,Race_2024_Seasonal!A:X,15,FALSE),0)</f>
        <v>-1000285.872</v>
      </c>
      <c r="M55" s="627">
        <f>IFERROR(VLOOKUP($A55,Race_2024_Seasonal!A:X,16,FALSE),0)</f>
        <v>-966681.89099999995</v>
      </c>
      <c r="N55" s="627">
        <f>IFERROR(VLOOKUP($A55,Race_2024_Seasonal!A:X,17,FALSE),0)</f>
        <v>-979603.005</v>
      </c>
      <c r="O55" s="627">
        <f>IFERROR(VLOOKUP($A55,Race_2024_Seasonal!A:X,18,FALSE),0)</f>
        <v>-968073.18900000001</v>
      </c>
      <c r="P55" s="554"/>
      <c r="Q55" s="627">
        <f t="shared" si="0"/>
        <v>-11781290.247000001</v>
      </c>
      <c r="R55" s="554"/>
      <c r="S55" s="673">
        <f>Q55-'P&amp;L'!I55</f>
        <v>0</v>
      </c>
    </row>
    <row r="56" spans="1:19" ht="15">
      <c r="A56" s="546" t="s">
        <v>859</v>
      </c>
      <c r="B56" s="546" t="str">
        <f>IFERROR(VLOOKUP(A56,Race_2024_Seasonal!A:C,3,FALSE), VLOOKUP(A56,Race_2024_Seasonal!A:C,3,FALSE))</f>
        <v>PE mat. management</v>
      </c>
      <c r="C56" s="549" t="s">
        <v>860</v>
      </c>
      <c r="D56" s="627">
        <f>IFERROR(VLOOKUP($A56,Race_2024_Seasonal!A:X,7,FALSE),0)</f>
        <v>-189844.736</v>
      </c>
      <c r="E56" s="627">
        <f>IFERROR(VLOOKUP($A56,Race_2024_Seasonal!A:X,8,FALSE),0)</f>
        <v>-185351.997</v>
      </c>
      <c r="F56" s="627">
        <f>IFERROR(VLOOKUP($A56,Race_2024_Seasonal!A:X,9,FALSE),0)</f>
        <v>-178109.48199999999</v>
      </c>
      <c r="G56" s="627">
        <f>IFERROR(VLOOKUP($A56,Race_2024_Seasonal!A:X,10,FALSE),0)</f>
        <v>-173215.978</v>
      </c>
      <c r="H56" s="627">
        <f>IFERROR(VLOOKUP($A56,Race_2024_Seasonal!A:X,11,FALSE),0)</f>
        <v>-176738.49900000001</v>
      </c>
      <c r="I56" s="627">
        <f>IFERROR(VLOOKUP($A56,Race_2024_Seasonal!A:X,12,FALSE),0)</f>
        <v>-177309.408</v>
      </c>
      <c r="J56" s="627">
        <f>IFERROR(VLOOKUP($A56,Race_2024_Seasonal!A:X,13,FALSE),0)</f>
        <v>-199680.00399999999</v>
      </c>
      <c r="K56" s="627">
        <f>IFERROR(VLOOKUP($A56,Race_2024_Seasonal!A:X,14,FALSE),0)</f>
        <v>-188899.698</v>
      </c>
      <c r="L56" s="627">
        <f>IFERROR(VLOOKUP($A56,Race_2024_Seasonal!A:X,15,FALSE),0)</f>
        <v>-189867.53599999999</v>
      </c>
      <c r="M56" s="627">
        <f>IFERROR(VLOOKUP($A56,Race_2024_Seasonal!A:X,16,FALSE),0)</f>
        <v>-198092.66699999999</v>
      </c>
      <c r="N56" s="627">
        <f>IFERROR(VLOOKUP($A56,Race_2024_Seasonal!A:X,17,FALSE),0)</f>
        <v>-196219.91800000001</v>
      </c>
      <c r="O56" s="627">
        <f>IFERROR(VLOOKUP($A56,Race_2024_Seasonal!A:X,18,FALSE),0)</f>
        <v>-197882.03700000001</v>
      </c>
      <c r="P56" s="554"/>
      <c r="Q56" s="627">
        <f t="shared" si="0"/>
        <v>-2251211.96</v>
      </c>
      <c r="R56" s="554"/>
      <c r="S56" s="673">
        <f>Q56-'P&amp;L'!I56</f>
        <v>0</v>
      </c>
    </row>
    <row r="57" spans="1:19" ht="15">
      <c r="A57" s="546" t="s">
        <v>861</v>
      </c>
      <c r="B57" s="546" t="str">
        <f>IFERROR(VLOOKUP(A57,Race_2024_Seasonal!A:C,3,FALSE), VLOOKUP(A57,Race_2024_Seasonal!A:C,3,FALSE))</f>
        <v>PE plant admin.</v>
      </c>
      <c r="C57" s="549" t="s">
        <v>862</v>
      </c>
      <c r="D57" s="662">
        <f>IFERROR(VLOOKUP($A57,Race_2024_Seasonal!A:X,7,FALSE),0)</f>
        <v>-46012.082000000002</v>
      </c>
      <c r="E57" s="662">
        <f>IFERROR(VLOOKUP($A57,Race_2024_Seasonal!A:X,8,FALSE),0)</f>
        <v>-47530.457999999999</v>
      </c>
      <c r="F57" s="662">
        <f>IFERROR(VLOOKUP($A57,Race_2024_Seasonal!A:X,9,FALSE),0)</f>
        <v>-48608.408000000003</v>
      </c>
      <c r="G57" s="662">
        <f>IFERROR(VLOOKUP($A57,Race_2024_Seasonal!A:X,10,FALSE),0)</f>
        <v>-44992.857000000004</v>
      </c>
      <c r="H57" s="662">
        <f>IFERROR(VLOOKUP($A57,Race_2024_Seasonal!A:X,11,FALSE),0)</f>
        <v>-48521.724000000002</v>
      </c>
      <c r="I57" s="662">
        <f>IFERROR(VLOOKUP($A57,Race_2024_Seasonal!A:X,12,FALSE),0)</f>
        <v>-51032.32</v>
      </c>
      <c r="J57" s="662">
        <f>IFERROR(VLOOKUP($A57,Race_2024_Seasonal!A:X,13,FALSE),0)</f>
        <v>-58576.557000000001</v>
      </c>
      <c r="K57" s="662">
        <f>IFERROR(VLOOKUP($A57,Race_2024_Seasonal!A:X,14,FALSE),0)</f>
        <v>-49557.805999999997</v>
      </c>
      <c r="L57" s="662">
        <f>IFERROR(VLOOKUP($A57,Race_2024_Seasonal!A:X,15,FALSE),0)</f>
        <v>-50776.036</v>
      </c>
      <c r="M57" s="662">
        <f>IFERROR(VLOOKUP($A57,Race_2024_Seasonal!A:X,16,FALSE),0)</f>
        <v>-50157.243999999999</v>
      </c>
      <c r="N57" s="662">
        <f>IFERROR(VLOOKUP($A57,Race_2024_Seasonal!A:X,17,FALSE),0)</f>
        <v>-47343.231</v>
      </c>
      <c r="O57" s="662">
        <f>IFERROR(VLOOKUP($A57,Race_2024_Seasonal!A:X,18,FALSE),0)</f>
        <v>-53528.084000000003</v>
      </c>
      <c r="P57" s="554"/>
      <c r="Q57" s="662">
        <f t="shared" si="0"/>
        <v>-596636.80700000003</v>
      </c>
      <c r="R57" s="554"/>
      <c r="S57" s="673">
        <f>Q57-'P&amp;L'!I57</f>
        <v>0</v>
      </c>
    </row>
    <row r="58" spans="1:19" ht="15">
      <c r="A58" s="546" t="s">
        <v>863</v>
      </c>
      <c r="B58" s="546" t="str">
        <f>IFERROR(VLOOKUP(A58,Race_2024_Seasonal!A:C,3,FALSE), VLOOKUP(A58,Race_2024_Seasonal!A:C,3,FALSE))</f>
        <v>Period expenses ICO</v>
      </c>
      <c r="C58" s="549" t="s">
        <v>473</v>
      </c>
      <c r="D58" s="662">
        <f>IFERROR(VLOOKUP($A58,Race_2024_Seasonal!A:X,7,FALSE),0)</f>
        <v>-520905.90899999999</v>
      </c>
      <c r="E58" s="662">
        <f>IFERROR(VLOOKUP($A58,Race_2024_Seasonal!A:X,8,FALSE),0)</f>
        <v>-472449.54499999998</v>
      </c>
      <c r="F58" s="662">
        <f>IFERROR(VLOOKUP($A58,Race_2024_Seasonal!A:X,9,FALSE),0)</f>
        <v>-581476.36399999994</v>
      </c>
      <c r="G58" s="662">
        <f>IFERROR(VLOOKUP($A58,Race_2024_Seasonal!A:X,10,FALSE),0)</f>
        <v>-557248.18200000003</v>
      </c>
      <c r="H58" s="662">
        <f>IFERROR(VLOOKUP($A58,Race_2024_Seasonal!A:X,11,FALSE),0)</f>
        <v>-484563.636</v>
      </c>
      <c r="I58" s="662">
        <f>IFERROR(VLOOKUP($A58,Race_2024_Seasonal!A:X,12,FALSE),0)</f>
        <v>-484563.636</v>
      </c>
      <c r="J58" s="662">
        <f>IFERROR(VLOOKUP($A58,Race_2024_Seasonal!A:X,13,FALSE),0)</f>
        <v>-484563.636</v>
      </c>
      <c r="K58" s="662">
        <f>IFERROR(VLOOKUP($A58,Race_2024_Seasonal!A:X,14,FALSE),0)</f>
        <v>-423993.18199999997</v>
      </c>
      <c r="L58" s="662">
        <f>IFERROR(VLOOKUP($A58,Race_2024_Seasonal!A:X,15,FALSE),0)</f>
        <v>-436107.27299999999</v>
      </c>
      <c r="M58" s="662">
        <f>IFERROR(VLOOKUP($A58,Race_2024_Seasonal!A:X,16,FALSE),0)</f>
        <v>-460335.45500000002</v>
      </c>
      <c r="N58" s="662">
        <f>IFERROR(VLOOKUP($A58,Race_2024_Seasonal!A:X,17,FALSE),0)</f>
        <v>-484563.636</v>
      </c>
      <c r="O58" s="662">
        <f>IFERROR(VLOOKUP($A58,Race_2024_Seasonal!A:X,18,FALSE),0)</f>
        <v>-484563.63699999999</v>
      </c>
      <c r="P58" s="554"/>
      <c r="Q58" s="662">
        <f t="shared" si="0"/>
        <v>-5875334.091</v>
      </c>
      <c r="R58" s="554"/>
      <c r="S58" s="673">
        <f>Q58-'P&amp;L'!I58</f>
        <v>0</v>
      </c>
    </row>
    <row r="59" spans="1:19" ht="15">
      <c r="A59" s="546" t="s">
        <v>864</v>
      </c>
      <c r="B59" s="546" t="e">
        <f>IFERROR(VLOOKUP(A59,Race_2024_Seasonal!A:C,3,FALSE), VLOOKUP(A59,Race_2024_Seasonal!A:C,3,FALSE))</f>
        <v>#N/A</v>
      </c>
      <c r="C59" s="556" t="s">
        <v>865</v>
      </c>
      <c r="D59" s="664">
        <f>IFERROR(VLOOKUP($A59,Race_2024_Seasonal!A:X,7,FALSE),0)</f>
        <v>0</v>
      </c>
      <c r="E59" s="664">
        <f>IFERROR(VLOOKUP($A59,Race_2024_Seasonal!A:X,8,FALSE),0)</f>
        <v>0</v>
      </c>
      <c r="F59" s="664">
        <f>IFERROR(VLOOKUP($A59,Race_2024_Seasonal!A:X,9,FALSE),0)</f>
        <v>0</v>
      </c>
      <c r="G59" s="664">
        <f>IFERROR(VLOOKUP($A59,Race_2024_Seasonal!A:X,10,FALSE),0)</f>
        <v>0</v>
      </c>
      <c r="H59" s="664">
        <f>IFERROR(VLOOKUP($A59,Race_2024_Seasonal!A:X,11,FALSE),0)</f>
        <v>0</v>
      </c>
      <c r="I59" s="664">
        <f>IFERROR(VLOOKUP($A59,Race_2024_Seasonal!A:X,12,FALSE),0)</f>
        <v>0</v>
      </c>
      <c r="J59" s="664">
        <f>IFERROR(VLOOKUP($A59,Race_2024_Seasonal!A:X,13,FALSE),0)</f>
        <v>0</v>
      </c>
      <c r="K59" s="664">
        <f>IFERROR(VLOOKUP($A59,Race_2024_Seasonal!A:X,14,FALSE),0)</f>
        <v>0</v>
      </c>
      <c r="L59" s="664">
        <f>IFERROR(VLOOKUP($A59,Race_2024_Seasonal!A:X,15,FALSE),0)</f>
        <v>0</v>
      </c>
      <c r="M59" s="664">
        <f>IFERROR(VLOOKUP($A59,Race_2024_Seasonal!A:X,16,FALSE),0)</f>
        <v>0</v>
      </c>
      <c r="N59" s="664">
        <f>IFERROR(VLOOKUP($A59,Race_2024_Seasonal!A:X,17,FALSE),0)</f>
        <v>0</v>
      </c>
      <c r="O59" s="664">
        <f>IFERROR(VLOOKUP($A59,Race_2024_Seasonal!A:X,18,FALSE),0)</f>
        <v>0</v>
      </c>
      <c r="P59" s="554"/>
      <c r="Q59" s="664">
        <f t="shared" si="0"/>
        <v>0</v>
      </c>
      <c r="R59" s="554"/>
      <c r="S59" s="673">
        <f>Q59-'P&amp;L'!I59</f>
        <v>0</v>
      </c>
    </row>
    <row r="60" spans="1:19" ht="15">
      <c r="A60" s="546" t="s">
        <v>866</v>
      </c>
      <c r="B60" s="546" t="e">
        <f>IFERROR(VLOOKUP(A60,Race_2024_Seasonal!A:C,3,FALSE), VLOOKUP(A60,Race_2024_Seasonal!A:C,3,FALSE))</f>
        <v>#N/A</v>
      </c>
      <c r="C60" s="552" t="s">
        <v>867</v>
      </c>
      <c r="D60" s="669">
        <f>IFERROR(VLOOKUP($A60,Race_2024_Seasonal!A:X,7,FALSE),0)</f>
        <v>0</v>
      </c>
      <c r="E60" s="669">
        <f>IFERROR(VLOOKUP($A60,Race_2024_Seasonal!A:X,8,FALSE),0)</f>
        <v>0</v>
      </c>
      <c r="F60" s="669">
        <f>IFERROR(VLOOKUP($A60,Race_2024_Seasonal!A:X,9,FALSE),0)</f>
        <v>0</v>
      </c>
      <c r="G60" s="669">
        <f>IFERROR(VLOOKUP($A60,Race_2024_Seasonal!A:X,10,FALSE),0)</f>
        <v>0</v>
      </c>
      <c r="H60" s="669">
        <f>IFERROR(VLOOKUP($A60,Race_2024_Seasonal!A:X,11,FALSE),0)</f>
        <v>0</v>
      </c>
      <c r="I60" s="669">
        <f>IFERROR(VLOOKUP($A60,Race_2024_Seasonal!A:X,12,FALSE),0)</f>
        <v>0</v>
      </c>
      <c r="J60" s="669">
        <f>IFERROR(VLOOKUP($A60,Race_2024_Seasonal!A:X,13,FALSE),0)</f>
        <v>0</v>
      </c>
      <c r="K60" s="669">
        <f>IFERROR(VLOOKUP($A60,Race_2024_Seasonal!A:X,14,FALSE),0)</f>
        <v>0</v>
      </c>
      <c r="L60" s="669">
        <f>IFERROR(VLOOKUP($A60,Race_2024_Seasonal!A:X,15,FALSE),0)</f>
        <v>0</v>
      </c>
      <c r="M60" s="669">
        <f>IFERROR(VLOOKUP($A60,Race_2024_Seasonal!A:X,16,FALSE),0)</f>
        <v>0</v>
      </c>
      <c r="N60" s="669">
        <f>IFERROR(VLOOKUP($A60,Race_2024_Seasonal!A:X,17,FALSE),0)</f>
        <v>0</v>
      </c>
      <c r="O60" s="669">
        <f>IFERROR(VLOOKUP($A60,Race_2024_Seasonal!A:X,18,FALSE),0)</f>
        <v>0</v>
      </c>
      <c r="P60" s="554"/>
      <c r="Q60" s="669">
        <f t="shared" si="0"/>
        <v>0</v>
      </c>
      <c r="R60" s="554"/>
      <c r="S60" s="673">
        <f>Q60-'P&amp;L'!I60</f>
        <v>0</v>
      </c>
    </row>
    <row r="61" spans="1:19" ht="15">
      <c r="A61" s="546" t="s">
        <v>868</v>
      </c>
      <c r="B61" s="546" t="e">
        <f>IFERROR(VLOOKUP(A61,Race_2024_Seasonal!A:C,3,FALSE), VLOOKUP(A61,Race_2024_Seasonal!A:C,3,FALSE))</f>
        <v>#N/A</v>
      </c>
      <c r="C61" s="549" t="s">
        <v>869</v>
      </c>
      <c r="D61" s="624">
        <f>IFERROR(VLOOKUP($A61,Race_2024_Seasonal!A:X,7,FALSE),0)</f>
        <v>0</v>
      </c>
      <c r="E61" s="624">
        <f>IFERROR(VLOOKUP($A61,Race_2024_Seasonal!A:X,8,FALSE),0)</f>
        <v>0</v>
      </c>
      <c r="F61" s="624">
        <f>IFERROR(VLOOKUP($A61,Race_2024_Seasonal!A:X,9,FALSE),0)</f>
        <v>0</v>
      </c>
      <c r="G61" s="624">
        <f>IFERROR(VLOOKUP($A61,Race_2024_Seasonal!A:X,10,FALSE),0)</f>
        <v>0</v>
      </c>
      <c r="H61" s="624">
        <f>IFERROR(VLOOKUP($A61,Race_2024_Seasonal!A:X,11,FALSE),0)</f>
        <v>0</v>
      </c>
      <c r="I61" s="624">
        <f>IFERROR(VLOOKUP($A61,Race_2024_Seasonal!A:X,12,FALSE),0)</f>
        <v>0</v>
      </c>
      <c r="J61" s="624">
        <f>IFERROR(VLOOKUP($A61,Race_2024_Seasonal!A:X,13,FALSE),0)</f>
        <v>0</v>
      </c>
      <c r="K61" s="624">
        <f>IFERROR(VLOOKUP($A61,Race_2024_Seasonal!A:X,14,FALSE),0)</f>
        <v>0</v>
      </c>
      <c r="L61" s="624">
        <f>IFERROR(VLOOKUP($A61,Race_2024_Seasonal!A:X,15,FALSE),0)</f>
        <v>0</v>
      </c>
      <c r="M61" s="624">
        <f>IFERROR(VLOOKUP($A61,Race_2024_Seasonal!A:X,16,FALSE),0)</f>
        <v>0</v>
      </c>
      <c r="N61" s="624">
        <f>IFERROR(VLOOKUP($A61,Race_2024_Seasonal!A:X,17,FALSE),0)</f>
        <v>0</v>
      </c>
      <c r="O61" s="624">
        <f>IFERROR(VLOOKUP($A61,Race_2024_Seasonal!A:X,18,FALSE),0)</f>
        <v>0</v>
      </c>
      <c r="P61" s="554"/>
      <c r="Q61" s="624">
        <f t="shared" si="0"/>
        <v>0</v>
      </c>
      <c r="R61" s="554"/>
      <c r="S61" s="673">
        <f>Q61-'P&amp;L'!I61</f>
        <v>0</v>
      </c>
    </row>
    <row r="62" spans="1:19" ht="15">
      <c r="A62" s="546" t="s">
        <v>870</v>
      </c>
      <c r="B62" s="546" t="e">
        <f>IFERROR(VLOOKUP(A62,Race_2024_Seasonal!A:C,3,FALSE), VLOOKUP(A62,Race_2024_Seasonal!A:C,3,FALSE))</f>
        <v>#N/A</v>
      </c>
      <c r="C62" s="549" t="s">
        <v>871</v>
      </c>
      <c r="D62" s="664">
        <f>IFERROR(VLOOKUP($A62,Race_2024_Seasonal!A:X,7,FALSE),0)</f>
        <v>0</v>
      </c>
      <c r="E62" s="664">
        <f>IFERROR(VLOOKUP($A62,Race_2024_Seasonal!A:X,8,FALSE),0)</f>
        <v>0</v>
      </c>
      <c r="F62" s="664">
        <f>IFERROR(VLOOKUP($A62,Race_2024_Seasonal!A:X,9,FALSE),0)</f>
        <v>0</v>
      </c>
      <c r="G62" s="664">
        <f>IFERROR(VLOOKUP($A62,Race_2024_Seasonal!A:X,10,FALSE),0)</f>
        <v>0</v>
      </c>
      <c r="H62" s="664">
        <f>IFERROR(VLOOKUP($A62,Race_2024_Seasonal!A:X,11,FALSE),0)</f>
        <v>0</v>
      </c>
      <c r="I62" s="664">
        <f>IFERROR(VLOOKUP($A62,Race_2024_Seasonal!A:X,12,FALSE),0)</f>
        <v>0</v>
      </c>
      <c r="J62" s="664">
        <f>IFERROR(VLOOKUP($A62,Race_2024_Seasonal!A:X,13,FALSE),0)</f>
        <v>0</v>
      </c>
      <c r="K62" s="664">
        <f>IFERROR(VLOOKUP($A62,Race_2024_Seasonal!A:X,14,FALSE),0)</f>
        <v>0</v>
      </c>
      <c r="L62" s="664">
        <f>IFERROR(VLOOKUP($A62,Race_2024_Seasonal!A:X,15,FALSE),0)</f>
        <v>0</v>
      </c>
      <c r="M62" s="664">
        <f>IFERROR(VLOOKUP($A62,Race_2024_Seasonal!A:X,16,FALSE),0)</f>
        <v>0</v>
      </c>
      <c r="N62" s="664">
        <f>IFERROR(VLOOKUP($A62,Race_2024_Seasonal!A:X,17,FALSE),0)</f>
        <v>0</v>
      </c>
      <c r="O62" s="664">
        <f>IFERROR(VLOOKUP($A62,Race_2024_Seasonal!A:X,18,FALSE),0)</f>
        <v>0</v>
      </c>
      <c r="P62" s="554"/>
      <c r="Q62" s="664">
        <f t="shared" si="0"/>
        <v>0</v>
      </c>
      <c r="R62" s="554"/>
      <c r="S62" s="673">
        <f>Q62-'P&amp;L'!I62</f>
        <v>0</v>
      </c>
    </row>
    <row r="63" spans="1:19" ht="15">
      <c r="A63" s="546" t="s">
        <v>872</v>
      </c>
      <c r="B63" s="546" t="e">
        <f>IFERROR(VLOOKUP(A63,Race_2024_Seasonal!A:C,3,FALSE), VLOOKUP(A63,Race_2024_Seasonal!A:C,3,FALSE))</f>
        <v>#N/A</v>
      </c>
      <c r="C63" s="556" t="s">
        <v>871</v>
      </c>
      <c r="D63" s="624">
        <f>IFERROR(VLOOKUP($A63,Race_2024_Seasonal!A:X,7,FALSE),0)</f>
        <v>0</v>
      </c>
      <c r="E63" s="624">
        <f>IFERROR(VLOOKUP($A63,Race_2024_Seasonal!A:X,8,FALSE),0)</f>
        <v>0</v>
      </c>
      <c r="F63" s="624">
        <f>IFERROR(VLOOKUP($A63,Race_2024_Seasonal!A:X,9,FALSE),0)</f>
        <v>0</v>
      </c>
      <c r="G63" s="624">
        <f>IFERROR(VLOOKUP($A63,Race_2024_Seasonal!A:X,10,FALSE),0)</f>
        <v>0</v>
      </c>
      <c r="H63" s="624">
        <f>IFERROR(VLOOKUP($A63,Race_2024_Seasonal!A:X,11,FALSE),0)</f>
        <v>0</v>
      </c>
      <c r="I63" s="624">
        <f>IFERROR(VLOOKUP($A63,Race_2024_Seasonal!A:X,12,FALSE),0)</f>
        <v>0</v>
      </c>
      <c r="J63" s="624">
        <f>IFERROR(VLOOKUP($A63,Race_2024_Seasonal!A:X,13,FALSE),0)</f>
        <v>0</v>
      </c>
      <c r="K63" s="624">
        <f>IFERROR(VLOOKUP($A63,Race_2024_Seasonal!A:X,14,FALSE),0)</f>
        <v>0</v>
      </c>
      <c r="L63" s="624">
        <f>IFERROR(VLOOKUP($A63,Race_2024_Seasonal!A:X,15,FALSE),0)</f>
        <v>0</v>
      </c>
      <c r="M63" s="624">
        <f>IFERROR(VLOOKUP($A63,Race_2024_Seasonal!A:X,16,FALSE),0)</f>
        <v>0</v>
      </c>
      <c r="N63" s="624">
        <f>IFERROR(VLOOKUP($A63,Race_2024_Seasonal!A:X,17,FALSE),0)</f>
        <v>0</v>
      </c>
      <c r="O63" s="624">
        <f>IFERROR(VLOOKUP($A63,Race_2024_Seasonal!A:X,18,FALSE),0)</f>
        <v>0</v>
      </c>
      <c r="P63" s="554"/>
      <c r="Q63" s="624">
        <f t="shared" si="0"/>
        <v>0</v>
      </c>
      <c r="R63" s="554"/>
      <c r="S63" s="673">
        <f>Q63-'P&amp;L'!I63</f>
        <v>0</v>
      </c>
    </row>
    <row r="64" spans="1:19" ht="15">
      <c r="A64" s="617" t="s">
        <v>873</v>
      </c>
      <c r="B64" s="546" t="str">
        <f>IFERROR(VLOOKUP(A64,Race_2024_Seasonal!A:C,3,FALSE), VLOOKUP(A64,Race_2024_Seasonal!A:C,3,FALSE))</f>
        <v>Gross margin</v>
      </c>
      <c r="C64" s="618" t="s">
        <v>874</v>
      </c>
      <c r="D64" s="672">
        <f>IFERROR(VLOOKUP($A64,Race_2024_Seasonal!A:X,7,FALSE),0)</f>
        <v>1950375.6470000001</v>
      </c>
      <c r="E64" s="672">
        <f>IFERROR(VLOOKUP($A64,Race_2024_Seasonal!A:X,8,FALSE),0)</f>
        <v>1755213.365</v>
      </c>
      <c r="F64" s="672">
        <f>IFERROR(VLOOKUP($A64,Race_2024_Seasonal!A:X,9,FALSE),0)</f>
        <v>2184244.125</v>
      </c>
      <c r="G64" s="672">
        <f>IFERROR(VLOOKUP($A64,Race_2024_Seasonal!A:X,10,FALSE),0)</f>
        <v>2134381.327</v>
      </c>
      <c r="H64" s="672">
        <f>IFERROR(VLOOKUP($A64,Race_2024_Seasonal!A:X,11,FALSE),0)</f>
        <v>1821375.997</v>
      </c>
      <c r="I64" s="672">
        <f>IFERROR(VLOOKUP($A64,Race_2024_Seasonal!A:X,12,FALSE),0)</f>
        <v>1820141.956</v>
      </c>
      <c r="J64" s="672">
        <f>IFERROR(VLOOKUP($A64,Race_2024_Seasonal!A:X,13,FALSE),0)</f>
        <v>1733171.0619999999</v>
      </c>
      <c r="K64" s="672">
        <f>IFERROR(VLOOKUP($A64,Race_2024_Seasonal!A:X,14,FALSE),0)</f>
        <v>1477135.987</v>
      </c>
      <c r="L64" s="672">
        <f>IFERROR(VLOOKUP($A64,Race_2024_Seasonal!A:X,15,FALSE),0)</f>
        <v>1540543.0090000001</v>
      </c>
      <c r="M64" s="672">
        <f>IFERROR(VLOOKUP($A64,Race_2024_Seasonal!A:X,16,FALSE),0)</f>
        <v>1635318.07</v>
      </c>
      <c r="N64" s="672">
        <f>IFERROR(VLOOKUP($A64,Race_2024_Seasonal!A:X,17,FALSE),0)</f>
        <v>1717084.392</v>
      </c>
      <c r="O64" s="672">
        <f>IFERROR(VLOOKUP($A64,Race_2024_Seasonal!A:X,18,FALSE),0)</f>
        <v>1721329.9450000001</v>
      </c>
      <c r="P64" s="554"/>
      <c r="Q64" s="672">
        <f t="shared" si="0"/>
        <v>21490314.881999999</v>
      </c>
      <c r="R64" s="554"/>
      <c r="S64" s="673">
        <f>Q64-'P&amp;L'!I64</f>
        <v>0</v>
      </c>
    </row>
    <row r="65" spans="1:19" ht="15">
      <c r="A65" s="546" t="s">
        <v>875</v>
      </c>
      <c r="B65" s="546" t="str">
        <f>IFERROR(VLOOKUP(A65,Race_2024_Seasonal!A:C,3,FALSE), VLOOKUP(A65,Race_2024_Seasonal!A:C,3,FALSE))</f>
        <v>R, D &amp; E expenses</v>
      </c>
      <c r="C65" s="552" t="s">
        <v>876</v>
      </c>
      <c r="D65" s="671">
        <f>IFERROR(VLOOKUP($A65,Race_2024_Seasonal!A:X,7,FALSE),0)</f>
        <v>-905337.12199999997</v>
      </c>
      <c r="E65" s="671">
        <f>IFERROR(VLOOKUP($A65,Race_2024_Seasonal!A:X,8,FALSE),0)</f>
        <v>-905337.12199999997</v>
      </c>
      <c r="F65" s="671">
        <f>IFERROR(VLOOKUP($A65,Race_2024_Seasonal!A:X,9,FALSE),0)</f>
        <v>-905337.12199999997</v>
      </c>
      <c r="G65" s="671">
        <f>IFERROR(VLOOKUP($A65,Race_2024_Seasonal!A:X,10,FALSE),0)</f>
        <v>-905337.12199999997</v>
      </c>
      <c r="H65" s="671">
        <f>IFERROR(VLOOKUP($A65,Race_2024_Seasonal!A:X,11,FALSE),0)</f>
        <v>-905337.12199999997</v>
      </c>
      <c r="I65" s="671">
        <f>IFERROR(VLOOKUP($A65,Race_2024_Seasonal!A:X,12,FALSE),0)</f>
        <v>-905337.12199999997</v>
      </c>
      <c r="J65" s="671">
        <f>IFERROR(VLOOKUP($A65,Race_2024_Seasonal!A:X,13,FALSE),0)</f>
        <v>-905337.12199999997</v>
      </c>
      <c r="K65" s="671">
        <f>IFERROR(VLOOKUP($A65,Race_2024_Seasonal!A:X,14,FALSE),0)</f>
        <v>-905337.12199999997</v>
      </c>
      <c r="L65" s="671">
        <f>IFERROR(VLOOKUP($A65,Race_2024_Seasonal!A:X,15,FALSE),0)</f>
        <v>-905337.12199999997</v>
      </c>
      <c r="M65" s="671">
        <f>IFERROR(VLOOKUP($A65,Race_2024_Seasonal!A:X,16,FALSE),0)</f>
        <v>-905337.12199999997</v>
      </c>
      <c r="N65" s="671">
        <f>IFERROR(VLOOKUP($A65,Race_2024_Seasonal!A:X,17,FALSE),0)</f>
        <v>-905337.12199999997</v>
      </c>
      <c r="O65" s="671">
        <f>IFERROR(VLOOKUP($A65,Race_2024_Seasonal!A:X,18,FALSE),0)</f>
        <v>-905337.12199999997</v>
      </c>
      <c r="P65" s="554"/>
      <c r="Q65" s="671">
        <f t="shared" si="0"/>
        <v>-10864045.463999996</v>
      </c>
      <c r="R65" s="554"/>
      <c r="S65" s="673">
        <f>Q65-'P&amp;L'!I65</f>
        <v>0</v>
      </c>
    </row>
    <row r="66" spans="1:19" ht="15">
      <c r="A66" s="546" t="s">
        <v>877</v>
      </c>
      <c r="B66" s="546" t="e">
        <f>IFERROR(VLOOKUP(A66,Race_2024_Seasonal!A:C,3,FALSE), VLOOKUP(A66,Race_2024_Seasonal!A:C,3,FALSE))</f>
        <v>#N/A</v>
      </c>
      <c r="C66" s="560" t="s">
        <v>878</v>
      </c>
      <c r="D66" s="669">
        <f>IFERROR(VLOOKUP($A66,Race_2024_Seasonal!A:X,7,FALSE),0)</f>
        <v>0</v>
      </c>
      <c r="E66" s="669">
        <f>IFERROR(VLOOKUP($A66,Race_2024_Seasonal!A:X,8,FALSE),0)</f>
        <v>0</v>
      </c>
      <c r="F66" s="669">
        <f>IFERROR(VLOOKUP($A66,Race_2024_Seasonal!A:X,9,FALSE),0)</f>
        <v>0</v>
      </c>
      <c r="G66" s="669">
        <f>IFERROR(VLOOKUP($A66,Race_2024_Seasonal!A:X,10,FALSE),0)</f>
        <v>0</v>
      </c>
      <c r="H66" s="669">
        <f>IFERROR(VLOOKUP($A66,Race_2024_Seasonal!A:X,11,FALSE),0)</f>
        <v>0</v>
      </c>
      <c r="I66" s="669">
        <f>IFERROR(VLOOKUP($A66,Race_2024_Seasonal!A:X,12,FALSE),0)</f>
        <v>0</v>
      </c>
      <c r="J66" s="669">
        <f>IFERROR(VLOOKUP($A66,Race_2024_Seasonal!A:X,13,FALSE),0)</f>
        <v>0</v>
      </c>
      <c r="K66" s="669">
        <f>IFERROR(VLOOKUP($A66,Race_2024_Seasonal!A:X,14,FALSE),0)</f>
        <v>0</v>
      </c>
      <c r="L66" s="669">
        <f>IFERROR(VLOOKUP($A66,Race_2024_Seasonal!A:X,15,FALSE),0)</f>
        <v>0</v>
      </c>
      <c r="M66" s="669">
        <f>IFERROR(VLOOKUP($A66,Race_2024_Seasonal!A:X,16,FALSE),0)</f>
        <v>0</v>
      </c>
      <c r="N66" s="669">
        <f>IFERROR(VLOOKUP($A66,Race_2024_Seasonal!A:X,17,FALSE),0)</f>
        <v>0</v>
      </c>
      <c r="O66" s="669">
        <f>IFERROR(VLOOKUP($A66,Race_2024_Seasonal!A:X,18,FALSE),0)</f>
        <v>0</v>
      </c>
      <c r="P66" s="554"/>
      <c r="Q66" s="669">
        <f t="shared" si="0"/>
        <v>0</v>
      </c>
      <c r="R66" s="554"/>
      <c r="S66" s="673">
        <f>Q66-'P&amp;L'!I66</f>
        <v>0</v>
      </c>
    </row>
    <row r="67" spans="1:19" ht="15">
      <c r="A67" s="546" t="s">
        <v>879</v>
      </c>
      <c r="B67" s="546" t="e">
        <f>IFERROR(VLOOKUP(A67,Race_2024_Seasonal!A:C,3,FALSE), VLOOKUP(A67,Race_2024_Seasonal!A:C,3,FALSE))</f>
        <v>#N/A</v>
      </c>
      <c r="C67" s="553" t="s">
        <v>880</v>
      </c>
      <c r="D67" s="624">
        <f>IFERROR(VLOOKUP($A67,Race_2024_Seasonal!A:X,7,FALSE),0)</f>
        <v>0</v>
      </c>
      <c r="E67" s="624">
        <f>IFERROR(VLOOKUP($A67,Race_2024_Seasonal!A:X,8,FALSE),0)</f>
        <v>0</v>
      </c>
      <c r="F67" s="624">
        <f>IFERROR(VLOOKUP($A67,Race_2024_Seasonal!A:X,9,FALSE),0)</f>
        <v>0</v>
      </c>
      <c r="G67" s="624">
        <f>IFERROR(VLOOKUP($A67,Race_2024_Seasonal!A:X,10,FALSE),0)</f>
        <v>0</v>
      </c>
      <c r="H67" s="624">
        <f>IFERROR(VLOOKUP($A67,Race_2024_Seasonal!A:X,11,FALSE),0)</f>
        <v>0</v>
      </c>
      <c r="I67" s="624">
        <f>IFERROR(VLOOKUP($A67,Race_2024_Seasonal!A:X,12,FALSE),0)</f>
        <v>0</v>
      </c>
      <c r="J67" s="624">
        <f>IFERROR(VLOOKUP($A67,Race_2024_Seasonal!A:X,13,FALSE),0)</f>
        <v>0</v>
      </c>
      <c r="K67" s="624">
        <f>IFERROR(VLOOKUP($A67,Race_2024_Seasonal!A:X,14,FALSE),0)</f>
        <v>0</v>
      </c>
      <c r="L67" s="624">
        <f>IFERROR(VLOOKUP($A67,Race_2024_Seasonal!A:X,15,FALSE),0)</f>
        <v>0</v>
      </c>
      <c r="M67" s="624">
        <f>IFERROR(VLOOKUP($A67,Race_2024_Seasonal!A:X,16,FALSE),0)</f>
        <v>0</v>
      </c>
      <c r="N67" s="624">
        <f>IFERROR(VLOOKUP($A67,Race_2024_Seasonal!A:X,17,FALSE),0)</f>
        <v>0</v>
      </c>
      <c r="O67" s="624">
        <f>IFERROR(VLOOKUP($A67,Race_2024_Seasonal!A:X,18,FALSE),0)</f>
        <v>0</v>
      </c>
      <c r="P67" s="554"/>
      <c r="Q67" s="624">
        <f t="shared" si="0"/>
        <v>0</v>
      </c>
      <c r="R67" s="554"/>
      <c r="S67" s="673">
        <f>Q67-'P&amp;L'!I67</f>
        <v>0</v>
      </c>
    </row>
    <row r="68" spans="1:19" ht="15">
      <c r="A68" s="546" t="s">
        <v>881</v>
      </c>
      <c r="B68" s="546" t="e">
        <f>IFERROR(VLOOKUP(A68,Race_2024_Seasonal!A:C,3,FALSE), VLOOKUP(A68,Race_2024_Seasonal!A:C,3,FALSE))</f>
        <v>#N/A</v>
      </c>
      <c r="C68" s="553" t="s">
        <v>882</v>
      </c>
      <c r="D68" s="664">
        <f>IFERROR(VLOOKUP($A68,Race_2024_Seasonal!A:X,7,FALSE),0)</f>
        <v>0</v>
      </c>
      <c r="E68" s="664">
        <f>IFERROR(VLOOKUP($A68,Race_2024_Seasonal!A:X,8,FALSE),0)</f>
        <v>0</v>
      </c>
      <c r="F68" s="664">
        <f>IFERROR(VLOOKUP($A68,Race_2024_Seasonal!A:X,9,FALSE),0)</f>
        <v>0</v>
      </c>
      <c r="G68" s="664">
        <f>IFERROR(VLOOKUP($A68,Race_2024_Seasonal!A:X,10,FALSE),0)</f>
        <v>0</v>
      </c>
      <c r="H68" s="664">
        <f>IFERROR(VLOOKUP($A68,Race_2024_Seasonal!A:X,11,FALSE),0)</f>
        <v>0</v>
      </c>
      <c r="I68" s="664">
        <f>IFERROR(VLOOKUP($A68,Race_2024_Seasonal!A:X,12,FALSE),0)</f>
        <v>0</v>
      </c>
      <c r="J68" s="664">
        <f>IFERROR(VLOOKUP($A68,Race_2024_Seasonal!A:X,13,FALSE),0)</f>
        <v>0</v>
      </c>
      <c r="K68" s="664">
        <f>IFERROR(VLOOKUP($A68,Race_2024_Seasonal!A:X,14,FALSE),0)</f>
        <v>0</v>
      </c>
      <c r="L68" s="664">
        <f>IFERROR(VLOOKUP($A68,Race_2024_Seasonal!A:X,15,FALSE),0)</f>
        <v>0</v>
      </c>
      <c r="M68" s="664">
        <f>IFERROR(VLOOKUP($A68,Race_2024_Seasonal!A:X,16,FALSE),0)</f>
        <v>0</v>
      </c>
      <c r="N68" s="664">
        <f>IFERROR(VLOOKUP($A68,Race_2024_Seasonal!A:X,17,FALSE),0)</f>
        <v>0</v>
      </c>
      <c r="O68" s="664">
        <f>IFERROR(VLOOKUP($A68,Race_2024_Seasonal!A:X,18,FALSE),0)</f>
        <v>0</v>
      </c>
      <c r="P68" s="554"/>
      <c r="Q68" s="664">
        <f t="shared" si="0"/>
        <v>0</v>
      </c>
      <c r="R68" s="554"/>
      <c r="S68" s="673">
        <f>Q68-'P&amp;L'!I68</f>
        <v>0</v>
      </c>
    </row>
    <row r="69" spans="1:19" ht="15">
      <c r="A69" s="546" t="s">
        <v>883</v>
      </c>
      <c r="B69" s="546" t="e">
        <f>IFERROR(VLOOKUP(A69,Race_2024_Seasonal!A:C,3,FALSE), VLOOKUP(A69,Race_2024_Seasonal!A:C,3,FALSE))</f>
        <v>#N/A</v>
      </c>
      <c r="C69" s="560" t="s">
        <v>884</v>
      </c>
      <c r="D69" s="624">
        <f>IFERROR(VLOOKUP($A69,Race_2024_Seasonal!A:X,7,FALSE),0)</f>
        <v>0</v>
      </c>
      <c r="E69" s="624">
        <f>IFERROR(VLOOKUP($A69,Race_2024_Seasonal!A:X,8,FALSE),0)</f>
        <v>0</v>
      </c>
      <c r="F69" s="624">
        <f>IFERROR(VLOOKUP($A69,Race_2024_Seasonal!A:X,9,FALSE),0)</f>
        <v>0</v>
      </c>
      <c r="G69" s="624">
        <f>IFERROR(VLOOKUP($A69,Race_2024_Seasonal!A:X,10,FALSE),0)</f>
        <v>0</v>
      </c>
      <c r="H69" s="624">
        <f>IFERROR(VLOOKUP($A69,Race_2024_Seasonal!A:X,11,FALSE),0)</f>
        <v>0</v>
      </c>
      <c r="I69" s="624">
        <f>IFERROR(VLOOKUP($A69,Race_2024_Seasonal!A:X,12,FALSE),0)</f>
        <v>0</v>
      </c>
      <c r="J69" s="624">
        <f>IFERROR(VLOOKUP($A69,Race_2024_Seasonal!A:X,13,FALSE),0)</f>
        <v>0</v>
      </c>
      <c r="K69" s="624">
        <f>IFERROR(VLOOKUP($A69,Race_2024_Seasonal!A:X,14,FALSE),0)</f>
        <v>0</v>
      </c>
      <c r="L69" s="624">
        <f>IFERROR(VLOOKUP($A69,Race_2024_Seasonal!A:X,15,FALSE),0)</f>
        <v>0</v>
      </c>
      <c r="M69" s="624">
        <f>IFERROR(VLOOKUP($A69,Race_2024_Seasonal!A:X,16,FALSE),0)</f>
        <v>0</v>
      </c>
      <c r="N69" s="624">
        <f>IFERROR(VLOOKUP($A69,Race_2024_Seasonal!A:X,17,FALSE),0)</f>
        <v>0</v>
      </c>
      <c r="O69" s="624">
        <f>IFERROR(VLOOKUP($A69,Race_2024_Seasonal!A:X,18,FALSE),0)</f>
        <v>0</v>
      </c>
      <c r="P69" s="554"/>
      <c r="Q69" s="624">
        <f t="shared" si="0"/>
        <v>0</v>
      </c>
      <c r="R69" s="554"/>
      <c r="S69" s="673">
        <f>Q69-'P&amp;L'!I69</f>
        <v>0</v>
      </c>
    </row>
    <row r="70" spans="1:19" ht="15">
      <c r="A70" s="546" t="s">
        <v>885</v>
      </c>
      <c r="B70" s="546" t="e">
        <f>IFERROR(VLOOKUP(A70,Race_2024_Seasonal!A:C,3,FALSE), VLOOKUP(A70,Race_2024_Seasonal!A:C,3,FALSE))</f>
        <v>#N/A</v>
      </c>
      <c r="C70" s="553" t="s">
        <v>886</v>
      </c>
      <c r="D70" s="627">
        <f>IFERROR(VLOOKUP($A70,Race_2024_Seasonal!A:X,7,FALSE),0)</f>
        <v>0</v>
      </c>
      <c r="E70" s="627">
        <f>IFERROR(VLOOKUP($A70,Race_2024_Seasonal!A:X,8,FALSE),0)</f>
        <v>0</v>
      </c>
      <c r="F70" s="627">
        <f>IFERROR(VLOOKUP($A70,Race_2024_Seasonal!A:X,9,FALSE),0)</f>
        <v>0</v>
      </c>
      <c r="G70" s="627">
        <f>IFERROR(VLOOKUP($A70,Race_2024_Seasonal!A:X,10,FALSE),0)</f>
        <v>0</v>
      </c>
      <c r="H70" s="627">
        <f>IFERROR(VLOOKUP($A70,Race_2024_Seasonal!A:X,11,FALSE),0)</f>
        <v>0</v>
      </c>
      <c r="I70" s="627">
        <f>IFERROR(VLOOKUP($A70,Race_2024_Seasonal!A:X,12,FALSE),0)</f>
        <v>0</v>
      </c>
      <c r="J70" s="627">
        <f>IFERROR(VLOOKUP($A70,Race_2024_Seasonal!A:X,13,FALSE),0)</f>
        <v>0</v>
      </c>
      <c r="K70" s="627">
        <f>IFERROR(VLOOKUP($A70,Race_2024_Seasonal!A:X,14,FALSE),0)</f>
        <v>0</v>
      </c>
      <c r="L70" s="627">
        <f>IFERROR(VLOOKUP($A70,Race_2024_Seasonal!A:X,15,FALSE),0)</f>
        <v>0</v>
      </c>
      <c r="M70" s="627">
        <f>IFERROR(VLOOKUP($A70,Race_2024_Seasonal!A:X,16,FALSE),0)</f>
        <v>0</v>
      </c>
      <c r="N70" s="627">
        <f>IFERROR(VLOOKUP($A70,Race_2024_Seasonal!A:X,17,FALSE),0)</f>
        <v>0</v>
      </c>
      <c r="O70" s="627">
        <f>IFERROR(VLOOKUP($A70,Race_2024_Seasonal!A:X,18,FALSE),0)</f>
        <v>0</v>
      </c>
      <c r="P70" s="554"/>
      <c r="Q70" s="627">
        <f t="shared" si="0"/>
        <v>0</v>
      </c>
      <c r="R70" s="554"/>
      <c r="S70" s="673">
        <f>Q70-'P&amp;L'!I70</f>
        <v>0</v>
      </c>
    </row>
    <row r="71" spans="1:19" ht="15">
      <c r="A71" s="546" t="s">
        <v>887</v>
      </c>
      <c r="B71" s="546" t="e">
        <f>IFERROR(VLOOKUP(A71,Race_2024_Seasonal!A:C,3,FALSE), VLOOKUP(A71,Race_2024_Seasonal!A:C,3,FALSE))</f>
        <v>#N/A</v>
      </c>
      <c r="C71" s="553" t="s">
        <v>888</v>
      </c>
      <c r="D71" s="627">
        <f>IFERROR(VLOOKUP($A71,Race_2024_Seasonal!A:X,7,FALSE),0)</f>
        <v>0</v>
      </c>
      <c r="E71" s="627">
        <f>IFERROR(VLOOKUP($A71,Race_2024_Seasonal!A:X,8,FALSE),0)</f>
        <v>0</v>
      </c>
      <c r="F71" s="627">
        <f>IFERROR(VLOOKUP($A71,Race_2024_Seasonal!A:X,9,FALSE),0)</f>
        <v>0</v>
      </c>
      <c r="G71" s="627">
        <f>IFERROR(VLOOKUP($A71,Race_2024_Seasonal!A:X,10,FALSE),0)</f>
        <v>0</v>
      </c>
      <c r="H71" s="627">
        <f>IFERROR(VLOOKUP($A71,Race_2024_Seasonal!A:X,11,FALSE),0)</f>
        <v>0</v>
      </c>
      <c r="I71" s="627">
        <f>IFERROR(VLOOKUP($A71,Race_2024_Seasonal!A:X,12,FALSE),0)</f>
        <v>0</v>
      </c>
      <c r="J71" s="627">
        <f>IFERROR(VLOOKUP($A71,Race_2024_Seasonal!A:X,13,FALSE),0)</f>
        <v>0</v>
      </c>
      <c r="K71" s="627">
        <f>IFERROR(VLOOKUP($A71,Race_2024_Seasonal!A:X,14,FALSE),0)</f>
        <v>0</v>
      </c>
      <c r="L71" s="627">
        <f>IFERROR(VLOOKUP($A71,Race_2024_Seasonal!A:X,15,FALSE),0)</f>
        <v>0</v>
      </c>
      <c r="M71" s="627">
        <f>IFERROR(VLOOKUP($A71,Race_2024_Seasonal!A:X,16,FALSE),0)</f>
        <v>0</v>
      </c>
      <c r="N71" s="627">
        <f>IFERROR(VLOOKUP($A71,Race_2024_Seasonal!A:X,17,FALSE),0)</f>
        <v>0</v>
      </c>
      <c r="O71" s="627">
        <f>IFERROR(VLOOKUP($A71,Race_2024_Seasonal!A:X,18,FALSE),0)</f>
        <v>0</v>
      </c>
      <c r="P71" s="554"/>
      <c r="Q71" s="627">
        <f t="shared" si="0"/>
        <v>0</v>
      </c>
      <c r="R71" s="554"/>
      <c r="S71" s="673">
        <f>Q71-'P&amp;L'!I71</f>
        <v>0</v>
      </c>
    </row>
    <row r="72" spans="1:19" ht="15">
      <c r="A72" s="546" t="s">
        <v>889</v>
      </c>
      <c r="B72" s="546" t="e">
        <f>IFERROR(VLOOKUP(A72,Race_2024_Seasonal!A:C,3,FALSE), VLOOKUP(A72,Race_2024_Seasonal!A:C,3,FALSE))</f>
        <v>#N/A</v>
      </c>
      <c r="C72" s="560" t="s">
        <v>890</v>
      </c>
      <c r="D72" s="667">
        <f>IFERROR(VLOOKUP($A72,Race_2024_Seasonal!A:X,7,FALSE),0)</f>
        <v>0</v>
      </c>
      <c r="E72" s="667">
        <f>IFERROR(VLOOKUP($A72,Race_2024_Seasonal!A:X,8,FALSE),0)</f>
        <v>0</v>
      </c>
      <c r="F72" s="667">
        <f>IFERROR(VLOOKUP($A72,Race_2024_Seasonal!A:X,9,FALSE),0)</f>
        <v>0</v>
      </c>
      <c r="G72" s="667">
        <f>IFERROR(VLOOKUP($A72,Race_2024_Seasonal!A:X,10,FALSE),0)</f>
        <v>0</v>
      </c>
      <c r="H72" s="667">
        <f>IFERROR(VLOOKUP($A72,Race_2024_Seasonal!A:X,11,FALSE),0)</f>
        <v>0</v>
      </c>
      <c r="I72" s="667">
        <f>IFERROR(VLOOKUP($A72,Race_2024_Seasonal!A:X,12,FALSE),0)</f>
        <v>0</v>
      </c>
      <c r="J72" s="667">
        <f>IFERROR(VLOOKUP($A72,Race_2024_Seasonal!A:X,13,FALSE),0)</f>
        <v>0</v>
      </c>
      <c r="K72" s="667">
        <f>IFERROR(VLOOKUP($A72,Race_2024_Seasonal!A:X,14,FALSE),0)</f>
        <v>0</v>
      </c>
      <c r="L72" s="667">
        <f>IFERROR(VLOOKUP($A72,Race_2024_Seasonal!A:X,15,FALSE),0)</f>
        <v>0</v>
      </c>
      <c r="M72" s="667">
        <f>IFERROR(VLOOKUP($A72,Race_2024_Seasonal!A:X,16,FALSE),0)</f>
        <v>0</v>
      </c>
      <c r="N72" s="667">
        <f>IFERROR(VLOOKUP($A72,Race_2024_Seasonal!A:X,17,FALSE),0)</f>
        <v>0</v>
      </c>
      <c r="O72" s="667">
        <f>IFERROR(VLOOKUP($A72,Race_2024_Seasonal!A:X,18,FALSE),0)</f>
        <v>0</v>
      </c>
      <c r="P72" s="576"/>
      <c r="Q72" s="667">
        <f t="shared" ref="Q72:Q135" si="1">SUM(D72:O72)</f>
        <v>0</v>
      </c>
      <c r="R72" s="554"/>
      <c r="S72" s="673">
        <f>Q72-'P&amp;L'!I72</f>
        <v>0</v>
      </c>
    </row>
    <row r="73" spans="1:19" ht="15">
      <c r="A73" s="546" t="s">
        <v>891</v>
      </c>
      <c r="B73" s="546" t="e">
        <f>IFERROR(VLOOKUP(A73,Race_2024_Seasonal!A:C,3,FALSE), VLOOKUP(A73,Race_2024_Seasonal!A:C,3,FALSE))</f>
        <v>#N/A</v>
      </c>
      <c r="C73" s="553" t="s">
        <v>892</v>
      </c>
      <c r="D73" s="662">
        <f>IFERROR(VLOOKUP($A73,Race_2024_Seasonal!A:X,7,FALSE),0)</f>
        <v>0</v>
      </c>
      <c r="E73" s="662">
        <f>IFERROR(VLOOKUP($A73,Race_2024_Seasonal!A:X,8,FALSE),0)</f>
        <v>0</v>
      </c>
      <c r="F73" s="662">
        <f>IFERROR(VLOOKUP($A73,Race_2024_Seasonal!A:X,9,FALSE),0)</f>
        <v>0</v>
      </c>
      <c r="G73" s="662">
        <f>IFERROR(VLOOKUP($A73,Race_2024_Seasonal!A:X,10,FALSE),0)</f>
        <v>0</v>
      </c>
      <c r="H73" s="662">
        <f>IFERROR(VLOOKUP($A73,Race_2024_Seasonal!A:X,11,FALSE),0)</f>
        <v>0</v>
      </c>
      <c r="I73" s="662">
        <f>IFERROR(VLOOKUP($A73,Race_2024_Seasonal!A:X,12,FALSE),0)</f>
        <v>0</v>
      </c>
      <c r="J73" s="662">
        <f>IFERROR(VLOOKUP($A73,Race_2024_Seasonal!A:X,13,FALSE),0)</f>
        <v>0</v>
      </c>
      <c r="K73" s="662">
        <f>IFERROR(VLOOKUP($A73,Race_2024_Seasonal!A:X,14,FALSE),0)</f>
        <v>0</v>
      </c>
      <c r="L73" s="662">
        <f>IFERROR(VLOOKUP($A73,Race_2024_Seasonal!A:X,15,FALSE),0)</f>
        <v>0</v>
      </c>
      <c r="M73" s="662">
        <f>IFERROR(VLOOKUP($A73,Race_2024_Seasonal!A:X,16,FALSE),0)</f>
        <v>0</v>
      </c>
      <c r="N73" s="662">
        <f>IFERROR(VLOOKUP($A73,Race_2024_Seasonal!A:X,17,FALSE),0)</f>
        <v>0</v>
      </c>
      <c r="O73" s="662">
        <f>IFERROR(VLOOKUP($A73,Race_2024_Seasonal!A:X,18,FALSE),0)</f>
        <v>0</v>
      </c>
      <c r="P73" s="576"/>
      <c r="Q73" s="662">
        <f t="shared" si="1"/>
        <v>0</v>
      </c>
      <c r="R73" s="554"/>
      <c r="S73" s="673">
        <f>Q73-'P&amp;L'!I73</f>
        <v>0</v>
      </c>
    </row>
    <row r="74" spans="1:19" ht="15">
      <c r="A74" s="546" t="s">
        <v>893</v>
      </c>
      <c r="B74" s="546" t="e">
        <f>IFERROR(VLOOKUP(A74,Race_2024_Seasonal!A:C,3,FALSE), VLOOKUP(A74,Race_2024_Seasonal!A:C,3,FALSE))</f>
        <v>#N/A</v>
      </c>
      <c r="C74" s="553" t="s">
        <v>894</v>
      </c>
      <c r="D74" s="627">
        <f>IFERROR(VLOOKUP($A74,Race_2024_Seasonal!A:X,7,FALSE),0)</f>
        <v>0</v>
      </c>
      <c r="E74" s="627">
        <f>IFERROR(VLOOKUP($A74,Race_2024_Seasonal!A:X,8,FALSE),0)</f>
        <v>0</v>
      </c>
      <c r="F74" s="627">
        <f>IFERROR(VLOOKUP($A74,Race_2024_Seasonal!A:X,9,FALSE),0)</f>
        <v>0</v>
      </c>
      <c r="G74" s="627">
        <f>IFERROR(VLOOKUP($A74,Race_2024_Seasonal!A:X,10,FALSE),0)</f>
        <v>0</v>
      </c>
      <c r="H74" s="627">
        <f>IFERROR(VLOOKUP($A74,Race_2024_Seasonal!A:X,11,FALSE),0)</f>
        <v>0</v>
      </c>
      <c r="I74" s="627">
        <f>IFERROR(VLOOKUP($A74,Race_2024_Seasonal!A:X,12,FALSE),0)</f>
        <v>0</v>
      </c>
      <c r="J74" s="627">
        <f>IFERROR(VLOOKUP($A74,Race_2024_Seasonal!A:X,13,FALSE),0)</f>
        <v>0</v>
      </c>
      <c r="K74" s="627">
        <f>IFERROR(VLOOKUP($A74,Race_2024_Seasonal!A:X,14,FALSE),0)</f>
        <v>0</v>
      </c>
      <c r="L74" s="627">
        <f>IFERROR(VLOOKUP($A74,Race_2024_Seasonal!A:X,15,FALSE),0)</f>
        <v>0</v>
      </c>
      <c r="M74" s="627">
        <f>IFERROR(VLOOKUP($A74,Race_2024_Seasonal!A:X,16,FALSE),0)</f>
        <v>0</v>
      </c>
      <c r="N74" s="627">
        <f>IFERROR(VLOOKUP($A74,Race_2024_Seasonal!A:X,17,FALSE),0)</f>
        <v>0</v>
      </c>
      <c r="O74" s="627">
        <f>IFERROR(VLOOKUP($A74,Race_2024_Seasonal!A:X,18,FALSE),0)</f>
        <v>0</v>
      </c>
      <c r="P74" s="554"/>
      <c r="Q74" s="627">
        <f t="shared" si="1"/>
        <v>0</v>
      </c>
      <c r="R74" s="554"/>
      <c r="S74" s="673">
        <f>Q74-'P&amp;L'!I74</f>
        <v>0</v>
      </c>
    </row>
    <row r="75" spans="1:19" ht="15">
      <c r="A75" s="546" t="s">
        <v>895</v>
      </c>
      <c r="B75" s="546" t="e">
        <f>IFERROR(VLOOKUP(A75,Race_2024_Seasonal!A:C,3,FALSE), VLOOKUP(A75,Race_2024_Seasonal!A:C,3,FALSE))</f>
        <v>#N/A</v>
      </c>
      <c r="C75" s="560" t="s">
        <v>896</v>
      </c>
      <c r="D75" s="627">
        <f>IFERROR(VLOOKUP($A75,Race_2024_Seasonal!A:X,7,FALSE),0)</f>
        <v>0</v>
      </c>
      <c r="E75" s="627">
        <f>IFERROR(VLOOKUP($A75,Race_2024_Seasonal!A:X,8,FALSE),0)</f>
        <v>0</v>
      </c>
      <c r="F75" s="627">
        <f>IFERROR(VLOOKUP($A75,Race_2024_Seasonal!A:X,9,FALSE),0)</f>
        <v>0</v>
      </c>
      <c r="G75" s="627">
        <f>IFERROR(VLOOKUP($A75,Race_2024_Seasonal!A:X,10,FALSE),0)</f>
        <v>0</v>
      </c>
      <c r="H75" s="627">
        <f>IFERROR(VLOOKUP($A75,Race_2024_Seasonal!A:X,11,FALSE),0)</f>
        <v>0</v>
      </c>
      <c r="I75" s="627">
        <f>IFERROR(VLOOKUP($A75,Race_2024_Seasonal!A:X,12,FALSE),0)</f>
        <v>0</v>
      </c>
      <c r="J75" s="627">
        <f>IFERROR(VLOOKUP($A75,Race_2024_Seasonal!A:X,13,FALSE),0)</f>
        <v>0</v>
      </c>
      <c r="K75" s="627">
        <f>IFERROR(VLOOKUP($A75,Race_2024_Seasonal!A:X,14,FALSE),0)</f>
        <v>0</v>
      </c>
      <c r="L75" s="627">
        <f>IFERROR(VLOOKUP($A75,Race_2024_Seasonal!A:X,15,FALSE),0)</f>
        <v>0</v>
      </c>
      <c r="M75" s="627">
        <f>IFERROR(VLOOKUP($A75,Race_2024_Seasonal!A:X,16,FALSE),0)</f>
        <v>0</v>
      </c>
      <c r="N75" s="627">
        <f>IFERROR(VLOOKUP($A75,Race_2024_Seasonal!A:X,17,FALSE),0)</f>
        <v>0</v>
      </c>
      <c r="O75" s="627">
        <f>IFERROR(VLOOKUP($A75,Race_2024_Seasonal!A:X,18,FALSE),0)</f>
        <v>0</v>
      </c>
      <c r="P75" s="554"/>
      <c r="Q75" s="627">
        <f t="shared" si="1"/>
        <v>0</v>
      </c>
      <c r="R75" s="554"/>
      <c r="S75" s="673">
        <f>Q75-'P&amp;L'!I75</f>
        <v>0</v>
      </c>
    </row>
    <row r="76" spans="1:19" ht="15">
      <c r="A76" s="546" t="s">
        <v>897</v>
      </c>
      <c r="B76" s="546" t="e">
        <f>IFERROR(VLOOKUP(A76,Race_2024_Seasonal!A:C,3,FALSE), VLOOKUP(A76,Race_2024_Seasonal!A:C,3,FALSE))</f>
        <v>#N/A</v>
      </c>
      <c r="C76" s="553" t="s">
        <v>898</v>
      </c>
      <c r="D76" s="627">
        <f>IFERROR(VLOOKUP($A76,Race_2024_Seasonal!A:X,7,FALSE),0)</f>
        <v>0</v>
      </c>
      <c r="E76" s="627">
        <f>IFERROR(VLOOKUP($A76,Race_2024_Seasonal!A:X,8,FALSE),0)</f>
        <v>0</v>
      </c>
      <c r="F76" s="627">
        <f>IFERROR(VLOOKUP($A76,Race_2024_Seasonal!A:X,9,FALSE),0)</f>
        <v>0</v>
      </c>
      <c r="G76" s="627">
        <f>IFERROR(VLOOKUP($A76,Race_2024_Seasonal!A:X,10,FALSE),0)</f>
        <v>0</v>
      </c>
      <c r="H76" s="627">
        <f>IFERROR(VLOOKUP($A76,Race_2024_Seasonal!A:X,11,FALSE),0)</f>
        <v>0</v>
      </c>
      <c r="I76" s="627">
        <f>IFERROR(VLOOKUP($A76,Race_2024_Seasonal!A:X,12,FALSE),0)</f>
        <v>0</v>
      </c>
      <c r="J76" s="627">
        <f>IFERROR(VLOOKUP($A76,Race_2024_Seasonal!A:X,13,FALSE),0)</f>
        <v>0</v>
      </c>
      <c r="K76" s="627">
        <f>IFERROR(VLOOKUP($A76,Race_2024_Seasonal!A:X,14,FALSE),0)</f>
        <v>0</v>
      </c>
      <c r="L76" s="627">
        <f>IFERROR(VLOOKUP($A76,Race_2024_Seasonal!A:X,15,FALSE),0)</f>
        <v>0</v>
      </c>
      <c r="M76" s="627">
        <f>IFERROR(VLOOKUP($A76,Race_2024_Seasonal!A:X,16,FALSE),0)</f>
        <v>0</v>
      </c>
      <c r="N76" s="627">
        <f>IFERROR(VLOOKUP($A76,Race_2024_Seasonal!A:X,17,FALSE),0)</f>
        <v>0</v>
      </c>
      <c r="O76" s="627">
        <f>IFERROR(VLOOKUP($A76,Race_2024_Seasonal!A:X,18,FALSE),0)</f>
        <v>0</v>
      </c>
      <c r="P76" s="554"/>
      <c r="Q76" s="627">
        <f t="shared" si="1"/>
        <v>0</v>
      </c>
      <c r="R76" s="554"/>
      <c r="S76" s="673">
        <f>Q76-'P&amp;L'!I76</f>
        <v>0</v>
      </c>
    </row>
    <row r="77" spans="1:19" ht="15">
      <c r="A77" s="546" t="s">
        <v>899</v>
      </c>
      <c r="B77" s="546" t="str">
        <f>IFERROR(VLOOKUP(A77,Race_2024_Seasonal!A:C,3,FALSE), VLOOKUP(A77,Race_2024_Seasonal!A:C,3,FALSE))</f>
        <v>R,D&amp;E alloc. in</v>
      </c>
      <c r="C77" s="549" t="s">
        <v>900</v>
      </c>
      <c r="D77" s="627">
        <f>IFERROR(VLOOKUP($A77,Race_2024_Seasonal!A:X,7,FALSE),0)</f>
        <v>-905337.12199999997</v>
      </c>
      <c r="E77" s="627">
        <f>IFERROR(VLOOKUP($A77,Race_2024_Seasonal!A:X,8,FALSE),0)</f>
        <v>-905337.12199999997</v>
      </c>
      <c r="F77" s="627">
        <f>IFERROR(VLOOKUP($A77,Race_2024_Seasonal!A:X,9,FALSE),0)</f>
        <v>-905337.12199999997</v>
      </c>
      <c r="G77" s="627">
        <f>IFERROR(VLOOKUP($A77,Race_2024_Seasonal!A:X,10,FALSE),0)</f>
        <v>-905337.12199999997</v>
      </c>
      <c r="H77" s="627">
        <f>IFERROR(VLOOKUP($A77,Race_2024_Seasonal!A:X,11,FALSE),0)</f>
        <v>-905337.12199999997</v>
      </c>
      <c r="I77" s="627">
        <f>IFERROR(VLOOKUP($A77,Race_2024_Seasonal!A:X,12,FALSE),0)</f>
        <v>-905337.12199999997</v>
      </c>
      <c r="J77" s="627">
        <f>IFERROR(VLOOKUP($A77,Race_2024_Seasonal!A:X,13,FALSE),0)</f>
        <v>-905337.12199999997</v>
      </c>
      <c r="K77" s="627">
        <f>IFERROR(VLOOKUP($A77,Race_2024_Seasonal!A:X,14,FALSE),0)</f>
        <v>-905337.12199999997</v>
      </c>
      <c r="L77" s="627">
        <f>IFERROR(VLOOKUP($A77,Race_2024_Seasonal!A:X,15,FALSE),0)</f>
        <v>-905337.12199999997</v>
      </c>
      <c r="M77" s="627">
        <f>IFERROR(VLOOKUP($A77,Race_2024_Seasonal!A:X,16,FALSE),0)</f>
        <v>-905337.12199999997</v>
      </c>
      <c r="N77" s="627">
        <f>IFERROR(VLOOKUP($A77,Race_2024_Seasonal!A:X,17,FALSE),0)</f>
        <v>-905337.12199999997</v>
      </c>
      <c r="O77" s="627">
        <f>IFERROR(VLOOKUP($A77,Race_2024_Seasonal!A:X,18,FALSE),0)</f>
        <v>-905337.12199999997</v>
      </c>
      <c r="P77" s="554"/>
      <c r="Q77" s="627">
        <f t="shared" si="1"/>
        <v>-10864045.463999996</v>
      </c>
      <c r="R77" s="554"/>
      <c r="S77" s="673">
        <f>Q77-'P&amp;L'!I77</f>
        <v>0</v>
      </c>
    </row>
    <row r="78" spans="1:19" ht="15">
      <c r="A78" s="546" t="s">
        <v>901</v>
      </c>
      <c r="B78" s="546" t="e">
        <f>IFERROR(VLOOKUP(A78,Race_2024_Seasonal!A:C,3,FALSE), VLOOKUP(A78,Race_2024_Seasonal!A:C,3,FALSE))</f>
        <v>#N/A</v>
      </c>
      <c r="C78" s="549" t="s">
        <v>902</v>
      </c>
      <c r="D78" s="662">
        <f>IFERROR(VLOOKUP($A78,Race_2024_Seasonal!A:X,7,FALSE),0)</f>
        <v>0</v>
      </c>
      <c r="E78" s="662">
        <f>IFERROR(VLOOKUP($A78,Race_2024_Seasonal!A:X,8,FALSE),0)</f>
        <v>0</v>
      </c>
      <c r="F78" s="662">
        <f>IFERROR(VLOOKUP($A78,Race_2024_Seasonal!A:X,9,FALSE),0)</f>
        <v>0</v>
      </c>
      <c r="G78" s="662">
        <f>IFERROR(VLOOKUP($A78,Race_2024_Seasonal!A:X,10,FALSE),0)</f>
        <v>0</v>
      </c>
      <c r="H78" s="662">
        <f>IFERROR(VLOOKUP($A78,Race_2024_Seasonal!A:X,11,FALSE),0)</f>
        <v>0</v>
      </c>
      <c r="I78" s="662">
        <f>IFERROR(VLOOKUP($A78,Race_2024_Seasonal!A:X,12,FALSE),0)</f>
        <v>0</v>
      </c>
      <c r="J78" s="662">
        <f>IFERROR(VLOOKUP($A78,Race_2024_Seasonal!A:X,13,FALSE),0)</f>
        <v>0</v>
      </c>
      <c r="K78" s="662">
        <f>IFERROR(VLOOKUP($A78,Race_2024_Seasonal!A:X,14,FALSE),0)</f>
        <v>0</v>
      </c>
      <c r="L78" s="662">
        <f>IFERROR(VLOOKUP($A78,Race_2024_Seasonal!A:X,15,FALSE),0)</f>
        <v>0</v>
      </c>
      <c r="M78" s="662">
        <f>IFERROR(VLOOKUP($A78,Race_2024_Seasonal!A:X,16,FALSE),0)</f>
        <v>0</v>
      </c>
      <c r="N78" s="662">
        <f>IFERROR(VLOOKUP($A78,Race_2024_Seasonal!A:X,17,FALSE),0)</f>
        <v>0</v>
      </c>
      <c r="O78" s="662">
        <f>IFERROR(VLOOKUP($A78,Race_2024_Seasonal!A:X,18,FALSE),0)</f>
        <v>0</v>
      </c>
      <c r="P78" s="554"/>
      <c r="Q78" s="662">
        <f t="shared" si="1"/>
        <v>0</v>
      </c>
      <c r="R78" s="554"/>
      <c r="S78" s="673">
        <f>Q78-'P&amp;L'!I78</f>
        <v>0</v>
      </c>
    </row>
    <row r="79" spans="1:19" ht="15">
      <c r="A79" s="546" t="s">
        <v>903</v>
      </c>
      <c r="B79" s="546" t="e">
        <f>IFERROR(VLOOKUP(A79,Race_2024_Seasonal!A:C,3,FALSE), VLOOKUP(A79,Race_2024_Seasonal!A:C,3,FALSE))</f>
        <v>#N/A</v>
      </c>
      <c r="C79" s="549" t="s">
        <v>904</v>
      </c>
      <c r="D79" s="627">
        <f>IFERROR(VLOOKUP($A79,Race_2024_Seasonal!A:X,7,FALSE),0)</f>
        <v>0</v>
      </c>
      <c r="E79" s="627">
        <f>IFERROR(VLOOKUP($A79,Race_2024_Seasonal!A:X,8,FALSE),0)</f>
        <v>0</v>
      </c>
      <c r="F79" s="627">
        <f>IFERROR(VLOOKUP($A79,Race_2024_Seasonal!A:X,9,FALSE),0)</f>
        <v>0</v>
      </c>
      <c r="G79" s="627">
        <f>IFERROR(VLOOKUP($A79,Race_2024_Seasonal!A:X,10,FALSE),0)</f>
        <v>0</v>
      </c>
      <c r="H79" s="627">
        <f>IFERROR(VLOOKUP($A79,Race_2024_Seasonal!A:X,11,FALSE),0)</f>
        <v>0</v>
      </c>
      <c r="I79" s="627">
        <f>IFERROR(VLOOKUP($A79,Race_2024_Seasonal!A:X,12,FALSE),0)</f>
        <v>0</v>
      </c>
      <c r="J79" s="627">
        <f>IFERROR(VLOOKUP($A79,Race_2024_Seasonal!A:X,13,FALSE),0)</f>
        <v>0</v>
      </c>
      <c r="K79" s="627">
        <f>IFERROR(VLOOKUP($A79,Race_2024_Seasonal!A:X,14,FALSE),0)</f>
        <v>0</v>
      </c>
      <c r="L79" s="627">
        <f>IFERROR(VLOOKUP($A79,Race_2024_Seasonal!A:X,15,FALSE),0)</f>
        <v>0</v>
      </c>
      <c r="M79" s="627">
        <f>IFERROR(VLOOKUP($A79,Race_2024_Seasonal!A:X,16,FALSE),0)</f>
        <v>0</v>
      </c>
      <c r="N79" s="627">
        <f>IFERROR(VLOOKUP($A79,Race_2024_Seasonal!A:X,17,FALSE),0)</f>
        <v>0</v>
      </c>
      <c r="O79" s="627">
        <f>IFERROR(VLOOKUP($A79,Race_2024_Seasonal!A:X,18,FALSE),0)</f>
        <v>0</v>
      </c>
      <c r="P79" s="554"/>
      <c r="Q79" s="627">
        <f t="shared" si="1"/>
        <v>0</v>
      </c>
      <c r="R79" s="554"/>
      <c r="S79" s="673">
        <f>Q79-'P&amp;L'!I79</f>
        <v>0</v>
      </c>
    </row>
    <row r="80" spans="1:19" ht="15">
      <c r="A80" s="546" t="s">
        <v>905</v>
      </c>
      <c r="B80" s="546" t="str">
        <f>IFERROR(VLOOKUP(A80,Race_2024_Seasonal!A:C,3,FALSE), VLOOKUP(A80,Race_2024_Seasonal!A:C,3,FALSE))</f>
        <v>Sales&amp;distrib.exp.</v>
      </c>
      <c r="C80" s="552" t="s">
        <v>906</v>
      </c>
      <c r="D80" s="667">
        <f>IFERROR(VLOOKUP($A80,Race_2024_Seasonal!A:X,7,FALSE),0)</f>
        <v>-183279.122</v>
      </c>
      <c r="E80" s="667">
        <f>IFERROR(VLOOKUP($A80,Race_2024_Seasonal!A:X,8,FALSE),0)</f>
        <v>-174810.88399999999</v>
      </c>
      <c r="F80" s="667">
        <f>IFERROR(VLOOKUP($A80,Race_2024_Seasonal!A:X,9,FALSE),0)</f>
        <v>-174459.223</v>
      </c>
      <c r="G80" s="667">
        <f>IFERROR(VLOOKUP($A80,Race_2024_Seasonal!A:X,10,FALSE),0)</f>
        <v>-170680.01699999999</v>
      </c>
      <c r="H80" s="667">
        <f>IFERROR(VLOOKUP($A80,Race_2024_Seasonal!A:X,11,FALSE),0)</f>
        <v>-173696.3</v>
      </c>
      <c r="I80" s="667">
        <f>IFERROR(VLOOKUP($A80,Race_2024_Seasonal!A:X,12,FALSE),0)</f>
        <v>-172287.356</v>
      </c>
      <c r="J80" s="667">
        <f>IFERROR(VLOOKUP($A80,Race_2024_Seasonal!A:X,13,FALSE),0)</f>
        <v>-185429.372</v>
      </c>
      <c r="K80" s="667">
        <f>IFERROR(VLOOKUP($A80,Race_2024_Seasonal!A:X,14,FALSE),0)</f>
        <v>-175048.18400000001</v>
      </c>
      <c r="L80" s="667">
        <f>IFERROR(VLOOKUP($A80,Race_2024_Seasonal!A:X,15,FALSE),0)</f>
        <v>-175391.33</v>
      </c>
      <c r="M80" s="667">
        <f>IFERROR(VLOOKUP($A80,Race_2024_Seasonal!A:X,16,FALSE),0)</f>
        <v>-172395.622</v>
      </c>
      <c r="N80" s="667">
        <f>IFERROR(VLOOKUP($A80,Race_2024_Seasonal!A:X,17,FALSE),0)</f>
        <v>-173361.59099999999</v>
      </c>
      <c r="O80" s="667">
        <f>IFERROR(VLOOKUP($A80,Race_2024_Seasonal!A:X,18,FALSE),0)</f>
        <v>-173814.864</v>
      </c>
      <c r="P80" s="554"/>
      <c r="Q80" s="667">
        <f t="shared" si="1"/>
        <v>-2104653.8650000002</v>
      </c>
      <c r="R80" s="554"/>
      <c r="S80" s="673">
        <f>Q80-'P&amp;L'!I80</f>
        <v>0</v>
      </c>
    </row>
    <row r="81" spans="1:19" ht="15">
      <c r="A81" s="546" t="s">
        <v>907</v>
      </c>
      <c r="B81" s="546" t="str">
        <f>IFERROR(VLOOKUP(A81,Race_2024_Seasonal!A:C,3,FALSE), VLOOKUP(A81,Race_2024_Seasonal!A:C,3,FALSE))</f>
        <v>PE selling</v>
      </c>
      <c r="C81" s="556" t="s">
        <v>908</v>
      </c>
      <c r="D81" s="662">
        <f>IFERROR(VLOOKUP($A81,Race_2024_Seasonal!A:X,7,FALSE),0)</f>
        <v>-116328.686</v>
      </c>
      <c r="E81" s="662">
        <f>IFERROR(VLOOKUP($A81,Race_2024_Seasonal!A:X,8,FALSE),0)</f>
        <v>-116328.686</v>
      </c>
      <c r="F81" s="662">
        <f>IFERROR(VLOOKUP($A81,Race_2024_Seasonal!A:X,9,FALSE),0)</f>
        <v>-116328.686</v>
      </c>
      <c r="G81" s="662">
        <f>IFERROR(VLOOKUP($A81,Race_2024_Seasonal!A:X,10,FALSE),0)</f>
        <v>-116328.686</v>
      </c>
      <c r="H81" s="662">
        <f>IFERROR(VLOOKUP($A81,Race_2024_Seasonal!A:X,11,FALSE),0)</f>
        <v>-116328.686</v>
      </c>
      <c r="I81" s="662">
        <f>IFERROR(VLOOKUP($A81,Race_2024_Seasonal!A:X,12,FALSE),0)</f>
        <v>-116328.686</v>
      </c>
      <c r="J81" s="662">
        <f>IFERROR(VLOOKUP($A81,Race_2024_Seasonal!A:X,13,FALSE),0)</f>
        <v>-116328.686</v>
      </c>
      <c r="K81" s="662">
        <f>IFERROR(VLOOKUP($A81,Race_2024_Seasonal!A:X,14,FALSE),0)</f>
        <v>-116328.686</v>
      </c>
      <c r="L81" s="662">
        <f>IFERROR(VLOOKUP($A81,Race_2024_Seasonal!A:X,15,FALSE),0)</f>
        <v>-116328.686</v>
      </c>
      <c r="M81" s="662">
        <f>IFERROR(VLOOKUP($A81,Race_2024_Seasonal!A:X,16,FALSE),0)</f>
        <v>-116328.686</v>
      </c>
      <c r="N81" s="662">
        <f>IFERROR(VLOOKUP($A81,Race_2024_Seasonal!A:X,17,FALSE),0)</f>
        <v>-116328.686</v>
      </c>
      <c r="O81" s="662">
        <f>IFERROR(VLOOKUP($A81,Race_2024_Seasonal!A:X,18,FALSE),0)</f>
        <v>-116328.686</v>
      </c>
      <c r="P81" s="554"/>
      <c r="Q81" s="662">
        <f t="shared" si="1"/>
        <v>-1395944.2320000001</v>
      </c>
      <c r="R81" s="554"/>
      <c r="S81" s="673">
        <f>Q81-'P&amp;L'!I81</f>
        <v>0</v>
      </c>
    </row>
    <row r="82" spans="1:19" ht="15">
      <c r="A82" s="546" t="s">
        <v>909</v>
      </c>
      <c r="B82" s="546" t="str">
        <f>IFERROR(VLOOKUP(A82,Race_2024_Seasonal!A:C,3,FALSE), VLOOKUP(A82,Race_2024_Seasonal!A:C,3,FALSE))</f>
        <v>PE communication</v>
      </c>
      <c r="C82" s="556" t="s">
        <v>910</v>
      </c>
      <c r="D82" s="627">
        <f>IFERROR(VLOOKUP($A82,Race_2024_Seasonal!A:X,7,FALSE),0)</f>
        <v>-4898.4719999999998</v>
      </c>
      <c r="E82" s="627">
        <f>IFERROR(VLOOKUP($A82,Race_2024_Seasonal!A:X,8,FALSE),0)</f>
        <v>-4898.4719999999998</v>
      </c>
      <c r="F82" s="627">
        <f>IFERROR(VLOOKUP($A82,Race_2024_Seasonal!A:X,9,FALSE),0)</f>
        <v>-4898.4719999999998</v>
      </c>
      <c r="G82" s="627">
        <f>IFERROR(VLOOKUP($A82,Race_2024_Seasonal!A:X,10,FALSE),0)</f>
        <v>-4898.4719999999998</v>
      </c>
      <c r="H82" s="627">
        <f>IFERROR(VLOOKUP($A82,Race_2024_Seasonal!A:X,11,FALSE),0)</f>
        <v>-4898.4719999999998</v>
      </c>
      <c r="I82" s="627">
        <f>IFERROR(VLOOKUP($A82,Race_2024_Seasonal!A:X,12,FALSE),0)</f>
        <v>-4898.4719999999998</v>
      </c>
      <c r="J82" s="627">
        <f>IFERROR(VLOOKUP($A82,Race_2024_Seasonal!A:X,13,FALSE),0)</f>
        <v>-4898.4719999999998</v>
      </c>
      <c r="K82" s="627">
        <f>IFERROR(VLOOKUP($A82,Race_2024_Seasonal!A:X,14,FALSE),0)</f>
        <v>-4898.4719999999998</v>
      </c>
      <c r="L82" s="627">
        <f>IFERROR(VLOOKUP($A82,Race_2024_Seasonal!A:X,15,FALSE),0)</f>
        <v>-4898.4719999999998</v>
      </c>
      <c r="M82" s="627">
        <f>IFERROR(VLOOKUP($A82,Race_2024_Seasonal!A:X,16,FALSE),0)</f>
        <v>-4898.4719999999998</v>
      </c>
      <c r="N82" s="627">
        <f>IFERROR(VLOOKUP($A82,Race_2024_Seasonal!A:X,17,FALSE),0)</f>
        <v>-4898.4719999999998</v>
      </c>
      <c r="O82" s="627">
        <f>IFERROR(VLOOKUP($A82,Race_2024_Seasonal!A:X,18,FALSE),0)</f>
        <v>-4898.4719999999998</v>
      </c>
      <c r="P82" s="554"/>
      <c r="Q82" s="627">
        <f t="shared" si="1"/>
        <v>-58781.664000000012</v>
      </c>
      <c r="R82" s="554"/>
      <c r="S82" s="673">
        <f>Q82-'P&amp;L'!I82</f>
        <v>0</v>
      </c>
    </row>
    <row r="83" spans="1:19" ht="15">
      <c r="A83" s="546" t="s">
        <v>911</v>
      </c>
      <c r="B83" s="546" t="str">
        <f>IFERROR(VLOOKUP(A83,Race_2024_Seasonal!A:C,3,FALSE), VLOOKUP(A83,Race_2024_Seasonal!A:C,3,FALSE))</f>
        <v>PE distribution</v>
      </c>
      <c r="C83" s="556" t="s">
        <v>484</v>
      </c>
      <c r="D83" s="627">
        <f>IFERROR(VLOOKUP($A83,Race_2024_Seasonal!A:X,7,FALSE),0)</f>
        <v>-62051.964</v>
      </c>
      <c r="E83" s="627">
        <f>IFERROR(VLOOKUP($A83,Race_2024_Seasonal!A:X,8,FALSE),0)</f>
        <v>-53583.726000000002</v>
      </c>
      <c r="F83" s="627">
        <f>IFERROR(VLOOKUP($A83,Race_2024_Seasonal!A:X,9,FALSE),0)</f>
        <v>-53232.065000000002</v>
      </c>
      <c r="G83" s="627">
        <f>IFERROR(VLOOKUP($A83,Race_2024_Seasonal!A:X,10,FALSE),0)</f>
        <v>-49452.858999999997</v>
      </c>
      <c r="H83" s="627">
        <f>IFERROR(VLOOKUP($A83,Race_2024_Seasonal!A:X,11,FALSE),0)</f>
        <v>-52469.142</v>
      </c>
      <c r="I83" s="627">
        <f>IFERROR(VLOOKUP($A83,Race_2024_Seasonal!A:X,12,FALSE),0)</f>
        <v>-51060.197999999997</v>
      </c>
      <c r="J83" s="627">
        <f>IFERROR(VLOOKUP($A83,Race_2024_Seasonal!A:X,13,FALSE),0)</f>
        <v>-64202.214</v>
      </c>
      <c r="K83" s="627">
        <f>IFERROR(VLOOKUP($A83,Race_2024_Seasonal!A:X,14,FALSE),0)</f>
        <v>-53821.025999999998</v>
      </c>
      <c r="L83" s="627">
        <f>IFERROR(VLOOKUP($A83,Race_2024_Seasonal!A:X,15,FALSE),0)</f>
        <v>-54164.171999999999</v>
      </c>
      <c r="M83" s="627">
        <f>IFERROR(VLOOKUP($A83,Race_2024_Seasonal!A:X,16,FALSE),0)</f>
        <v>-51168.464</v>
      </c>
      <c r="N83" s="627">
        <f>IFERROR(VLOOKUP($A83,Race_2024_Seasonal!A:X,17,FALSE),0)</f>
        <v>-52134.432999999997</v>
      </c>
      <c r="O83" s="627">
        <f>IFERROR(VLOOKUP($A83,Race_2024_Seasonal!A:X,18,FALSE),0)</f>
        <v>-52587.705999999998</v>
      </c>
      <c r="P83" s="554"/>
      <c r="Q83" s="627">
        <f t="shared" si="1"/>
        <v>-649927.96899999992</v>
      </c>
      <c r="R83" s="554"/>
      <c r="S83" s="673">
        <f>Q83-'P&amp;L'!I83</f>
        <v>0</v>
      </c>
    </row>
    <row r="84" spans="1:19" ht="15">
      <c r="A84" s="546" t="s">
        <v>912</v>
      </c>
      <c r="B84" s="546" t="e">
        <f>IFERROR(VLOOKUP(A84,Race_2024_Seasonal!A:C,3,FALSE), VLOOKUP(A84,Race_2024_Seasonal!A:C,3,FALSE))</f>
        <v>#N/A</v>
      </c>
      <c r="C84" s="556" t="s">
        <v>913</v>
      </c>
      <c r="D84" s="627">
        <f>IFERROR(VLOOKUP($A84,Race_2024_Seasonal!A:X,7,FALSE),0)</f>
        <v>0</v>
      </c>
      <c r="E84" s="627">
        <f>IFERROR(VLOOKUP($A84,Race_2024_Seasonal!A:X,8,FALSE),0)</f>
        <v>0</v>
      </c>
      <c r="F84" s="627">
        <f>IFERROR(VLOOKUP($A84,Race_2024_Seasonal!A:X,9,FALSE),0)</f>
        <v>0</v>
      </c>
      <c r="G84" s="627">
        <f>IFERROR(VLOOKUP($A84,Race_2024_Seasonal!A:X,10,FALSE),0)</f>
        <v>0</v>
      </c>
      <c r="H84" s="627">
        <f>IFERROR(VLOOKUP($A84,Race_2024_Seasonal!A:X,11,FALSE),0)</f>
        <v>0</v>
      </c>
      <c r="I84" s="627">
        <f>IFERROR(VLOOKUP($A84,Race_2024_Seasonal!A:X,12,FALSE),0)</f>
        <v>0</v>
      </c>
      <c r="J84" s="627">
        <f>IFERROR(VLOOKUP($A84,Race_2024_Seasonal!A:X,13,FALSE),0)</f>
        <v>0</v>
      </c>
      <c r="K84" s="627">
        <f>IFERROR(VLOOKUP($A84,Race_2024_Seasonal!A:X,14,FALSE),0)</f>
        <v>0</v>
      </c>
      <c r="L84" s="627">
        <f>IFERROR(VLOOKUP($A84,Race_2024_Seasonal!A:X,15,FALSE),0)</f>
        <v>0</v>
      </c>
      <c r="M84" s="627">
        <f>IFERROR(VLOOKUP($A84,Race_2024_Seasonal!A:X,16,FALSE),0)</f>
        <v>0</v>
      </c>
      <c r="N84" s="627">
        <f>IFERROR(VLOOKUP($A84,Race_2024_Seasonal!A:X,17,FALSE),0)</f>
        <v>0</v>
      </c>
      <c r="O84" s="627">
        <f>IFERROR(VLOOKUP($A84,Race_2024_Seasonal!A:X,18,FALSE),0)</f>
        <v>0</v>
      </c>
      <c r="P84" s="554"/>
      <c r="Q84" s="627">
        <f t="shared" si="1"/>
        <v>0</v>
      </c>
      <c r="R84" s="554"/>
      <c r="S84" s="673">
        <f>Q84-'P&amp;L'!I84</f>
        <v>0</v>
      </c>
    </row>
    <row r="85" spans="1:19" ht="15">
      <c r="A85" s="546" t="s">
        <v>914</v>
      </c>
      <c r="B85" s="546" t="str">
        <f>IFERROR(VLOOKUP(A85,Race_2024_Seasonal!A:C,3,FALSE), VLOOKUP(A85,Race_2024_Seasonal!A:C,3,FALSE))</f>
        <v>F,G and A expenses</v>
      </c>
      <c r="C85" s="552" t="s">
        <v>490</v>
      </c>
      <c r="D85" s="667">
        <f>IFERROR(VLOOKUP($A85,Race_2024_Seasonal!A:X,7,FALSE),0)</f>
        <v>-264111.83899999998</v>
      </c>
      <c r="E85" s="667">
        <f>IFERROR(VLOOKUP($A85,Race_2024_Seasonal!A:X,8,FALSE),0)</f>
        <v>-210883.66399999999</v>
      </c>
      <c r="F85" s="667">
        <f>IFERROR(VLOOKUP($A85,Race_2024_Seasonal!A:X,9,FALSE),0)</f>
        <v>-211864.96100000001</v>
      </c>
      <c r="G85" s="667">
        <f>IFERROR(VLOOKUP($A85,Race_2024_Seasonal!A:X,10,FALSE),0)</f>
        <v>-209732.62599999999</v>
      </c>
      <c r="H85" s="667">
        <f>IFERROR(VLOOKUP($A85,Race_2024_Seasonal!A:X,11,FALSE),0)</f>
        <v>-209984.97099999999</v>
      </c>
      <c r="I85" s="667">
        <f>IFERROR(VLOOKUP($A85,Race_2024_Seasonal!A:X,12,FALSE),0)</f>
        <v>-210367.288</v>
      </c>
      <c r="J85" s="667">
        <f>IFERROR(VLOOKUP($A85,Race_2024_Seasonal!A:X,13,FALSE),0)</f>
        <v>-212672.56400000001</v>
      </c>
      <c r="K85" s="667">
        <f>IFERROR(VLOOKUP($A85,Race_2024_Seasonal!A:X,14,FALSE),0)</f>
        <v>-210969.17600000001</v>
      </c>
      <c r="L85" s="667">
        <f>IFERROR(VLOOKUP($A85,Race_2024_Seasonal!A:X,15,FALSE),0)</f>
        <v>-211205.467</v>
      </c>
      <c r="M85" s="667">
        <f>IFERROR(VLOOKUP($A85,Race_2024_Seasonal!A:X,16,FALSE),0)</f>
        <v>-210146.408</v>
      </c>
      <c r="N85" s="667">
        <f>IFERROR(VLOOKUP($A85,Race_2024_Seasonal!A:X,17,FALSE),0)</f>
        <v>-210288.886</v>
      </c>
      <c r="O85" s="667">
        <f>IFERROR(VLOOKUP($A85,Race_2024_Seasonal!A:X,18,FALSE),0)</f>
        <v>-211027.07500000001</v>
      </c>
      <c r="P85" s="554"/>
      <c r="Q85" s="667">
        <f t="shared" si="1"/>
        <v>-2583254.9249999998</v>
      </c>
      <c r="R85" s="554"/>
      <c r="S85" s="673">
        <f>Q85-'P&amp;L'!I85</f>
        <v>0</v>
      </c>
    </row>
    <row r="86" spans="1:19" ht="15">
      <c r="A86" s="546" t="s">
        <v>915</v>
      </c>
      <c r="B86" s="546" t="str">
        <f>IFERROR(VLOOKUP(A86,Race_2024_Seasonal!A:C,3,FALSE), VLOOKUP(A86,Race_2024_Seasonal!A:C,3,FALSE))</f>
        <v>F,G&amp;A expenses</v>
      </c>
      <c r="C86" s="556" t="s">
        <v>490</v>
      </c>
      <c r="D86" s="627">
        <f>IFERROR(VLOOKUP($A86,Race_2024_Seasonal!A:X,7,FALSE),0)</f>
        <v>-264111.83899999998</v>
      </c>
      <c r="E86" s="627">
        <f>IFERROR(VLOOKUP($A86,Race_2024_Seasonal!A:X,8,FALSE),0)</f>
        <v>-210883.66399999999</v>
      </c>
      <c r="F86" s="627">
        <f>IFERROR(VLOOKUP($A86,Race_2024_Seasonal!A:X,9,FALSE),0)</f>
        <v>-211864.96100000001</v>
      </c>
      <c r="G86" s="627">
        <f>IFERROR(VLOOKUP($A86,Race_2024_Seasonal!A:X,10,FALSE),0)</f>
        <v>-209732.62599999999</v>
      </c>
      <c r="H86" s="627">
        <f>IFERROR(VLOOKUP($A86,Race_2024_Seasonal!A:X,11,FALSE),0)</f>
        <v>-209984.97099999999</v>
      </c>
      <c r="I86" s="627">
        <f>IFERROR(VLOOKUP($A86,Race_2024_Seasonal!A:X,12,FALSE),0)</f>
        <v>-210367.288</v>
      </c>
      <c r="J86" s="627">
        <f>IFERROR(VLOOKUP($A86,Race_2024_Seasonal!A:X,13,FALSE),0)</f>
        <v>-212672.56400000001</v>
      </c>
      <c r="K86" s="627">
        <f>IFERROR(VLOOKUP($A86,Race_2024_Seasonal!A:X,14,FALSE),0)</f>
        <v>-210969.17600000001</v>
      </c>
      <c r="L86" s="627">
        <f>IFERROR(VLOOKUP($A86,Race_2024_Seasonal!A:X,15,FALSE),0)</f>
        <v>-211205.467</v>
      </c>
      <c r="M86" s="627">
        <f>IFERROR(VLOOKUP($A86,Race_2024_Seasonal!A:X,16,FALSE),0)</f>
        <v>-210146.408</v>
      </c>
      <c r="N86" s="627">
        <f>IFERROR(VLOOKUP($A86,Race_2024_Seasonal!A:X,17,FALSE),0)</f>
        <v>-210288.886</v>
      </c>
      <c r="O86" s="627">
        <f>IFERROR(VLOOKUP($A86,Race_2024_Seasonal!A:X,18,FALSE),0)</f>
        <v>-211027.07500000001</v>
      </c>
      <c r="P86" s="554"/>
      <c r="Q86" s="627">
        <f t="shared" si="1"/>
        <v>-2583254.9249999998</v>
      </c>
      <c r="R86" s="554"/>
      <c r="S86" s="673">
        <f>Q86-'P&amp;L'!I86</f>
        <v>0</v>
      </c>
    </row>
    <row r="87" spans="1:19" ht="15">
      <c r="A87" s="546" t="s">
        <v>916</v>
      </c>
      <c r="B87" s="546" t="e">
        <f>IFERROR(VLOOKUP(A87,Race_2024_Seasonal!A:C,3,FALSE), VLOOKUP(A87,Race_2024_Seasonal!A:C,3,FALSE))</f>
        <v>#N/A</v>
      </c>
      <c r="C87" s="556" t="s">
        <v>917</v>
      </c>
      <c r="D87" s="627">
        <f>IFERROR(VLOOKUP($A87,Race_2024_Seasonal!A:X,7,FALSE),0)</f>
        <v>0</v>
      </c>
      <c r="E87" s="627">
        <f>IFERROR(VLOOKUP($A87,Race_2024_Seasonal!A:X,8,FALSE),0)</f>
        <v>0</v>
      </c>
      <c r="F87" s="627">
        <f>IFERROR(VLOOKUP($A87,Race_2024_Seasonal!A:X,9,FALSE),0)</f>
        <v>0</v>
      </c>
      <c r="G87" s="627">
        <f>IFERROR(VLOOKUP($A87,Race_2024_Seasonal!A:X,10,FALSE),0)</f>
        <v>0</v>
      </c>
      <c r="H87" s="627">
        <f>IFERROR(VLOOKUP($A87,Race_2024_Seasonal!A:X,11,FALSE),0)</f>
        <v>0</v>
      </c>
      <c r="I87" s="627">
        <f>IFERROR(VLOOKUP($A87,Race_2024_Seasonal!A:X,12,FALSE),0)</f>
        <v>0</v>
      </c>
      <c r="J87" s="627">
        <f>IFERROR(VLOOKUP($A87,Race_2024_Seasonal!A:X,13,FALSE),0)</f>
        <v>0</v>
      </c>
      <c r="K87" s="627">
        <f>IFERROR(VLOOKUP($A87,Race_2024_Seasonal!A:X,14,FALSE),0)</f>
        <v>0</v>
      </c>
      <c r="L87" s="627">
        <f>IFERROR(VLOOKUP($A87,Race_2024_Seasonal!A:X,15,FALSE),0)</f>
        <v>0</v>
      </c>
      <c r="M87" s="627">
        <f>IFERROR(VLOOKUP($A87,Race_2024_Seasonal!A:X,16,FALSE),0)</f>
        <v>0</v>
      </c>
      <c r="N87" s="627">
        <f>IFERROR(VLOOKUP($A87,Race_2024_Seasonal!A:X,17,FALSE),0)</f>
        <v>0</v>
      </c>
      <c r="O87" s="627">
        <f>IFERROR(VLOOKUP($A87,Race_2024_Seasonal!A:X,18,FALSE),0)</f>
        <v>0</v>
      </c>
      <c r="P87" s="554"/>
      <c r="Q87" s="627">
        <f t="shared" si="1"/>
        <v>0</v>
      </c>
      <c r="R87" s="554"/>
      <c r="S87" s="673">
        <f>Q87-'P&amp;L'!I87</f>
        <v>0</v>
      </c>
    </row>
    <row r="88" spans="1:19" ht="15">
      <c r="A88" s="546" t="s">
        <v>918</v>
      </c>
      <c r="B88" s="546" t="e">
        <f>IFERROR(VLOOKUP(A88,Race_2024_Seasonal!A:C,3,FALSE), VLOOKUP(A88,Race_2024_Seasonal!A:C,3,FALSE))</f>
        <v>#N/A</v>
      </c>
      <c r="C88" s="552" t="s">
        <v>919</v>
      </c>
      <c r="D88" s="669">
        <f>IFERROR(VLOOKUP($A88,Race_2024_Seasonal!A:X,7,FALSE),0)</f>
        <v>0</v>
      </c>
      <c r="E88" s="669">
        <f>IFERROR(VLOOKUP($A88,Race_2024_Seasonal!A:X,8,FALSE),0)</f>
        <v>0</v>
      </c>
      <c r="F88" s="669">
        <f>IFERROR(VLOOKUP($A88,Race_2024_Seasonal!A:X,9,FALSE),0)</f>
        <v>0</v>
      </c>
      <c r="G88" s="669">
        <f>IFERROR(VLOOKUP($A88,Race_2024_Seasonal!A:X,10,FALSE),0)</f>
        <v>0</v>
      </c>
      <c r="H88" s="669">
        <f>IFERROR(VLOOKUP($A88,Race_2024_Seasonal!A:X,11,FALSE),0)</f>
        <v>0</v>
      </c>
      <c r="I88" s="669">
        <f>IFERROR(VLOOKUP($A88,Race_2024_Seasonal!A:X,12,FALSE),0)</f>
        <v>0</v>
      </c>
      <c r="J88" s="669">
        <f>IFERROR(VLOOKUP($A88,Race_2024_Seasonal!A:X,13,FALSE),0)</f>
        <v>0</v>
      </c>
      <c r="K88" s="669">
        <f>IFERROR(VLOOKUP($A88,Race_2024_Seasonal!A:X,14,FALSE),0)</f>
        <v>0</v>
      </c>
      <c r="L88" s="669">
        <f>IFERROR(VLOOKUP($A88,Race_2024_Seasonal!A:X,15,FALSE),0)</f>
        <v>0</v>
      </c>
      <c r="M88" s="669">
        <f>IFERROR(VLOOKUP($A88,Race_2024_Seasonal!A:X,16,FALSE),0)</f>
        <v>0</v>
      </c>
      <c r="N88" s="669">
        <f>IFERROR(VLOOKUP($A88,Race_2024_Seasonal!A:X,17,FALSE),0)</f>
        <v>0</v>
      </c>
      <c r="O88" s="669">
        <f>IFERROR(VLOOKUP($A88,Race_2024_Seasonal!A:X,18,FALSE),0)</f>
        <v>0</v>
      </c>
      <c r="P88" s="554"/>
      <c r="Q88" s="669">
        <f t="shared" si="1"/>
        <v>0</v>
      </c>
      <c r="R88" s="554"/>
      <c r="S88" s="673">
        <f>Q88-'P&amp;L'!I88</f>
        <v>0</v>
      </c>
    </row>
    <row r="89" spans="1:19" ht="15">
      <c r="A89" s="546" t="s">
        <v>920</v>
      </c>
      <c r="B89" s="546" t="e">
        <f>IFERROR(VLOOKUP(A89,Race_2024_Seasonal!A:C,3,FALSE), VLOOKUP(A89,Race_2024_Seasonal!A:C,3,FALSE))</f>
        <v>#N/A</v>
      </c>
      <c r="C89" s="549" t="s">
        <v>921</v>
      </c>
      <c r="D89" s="624">
        <f>IFERROR(VLOOKUP($A89,Race_2024_Seasonal!A:X,7,FALSE),0)</f>
        <v>0</v>
      </c>
      <c r="E89" s="624">
        <f>IFERROR(VLOOKUP($A89,Race_2024_Seasonal!A:X,8,FALSE),0)</f>
        <v>0</v>
      </c>
      <c r="F89" s="624">
        <f>IFERROR(VLOOKUP($A89,Race_2024_Seasonal!A:X,9,FALSE),0)</f>
        <v>0</v>
      </c>
      <c r="G89" s="624">
        <f>IFERROR(VLOOKUP($A89,Race_2024_Seasonal!A:X,10,FALSE),0)</f>
        <v>0</v>
      </c>
      <c r="H89" s="624">
        <f>IFERROR(VLOOKUP($A89,Race_2024_Seasonal!A:X,11,FALSE),0)</f>
        <v>0</v>
      </c>
      <c r="I89" s="624">
        <f>IFERROR(VLOOKUP($A89,Race_2024_Seasonal!A:X,12,FALSE),0)</f>
        <v>0</v>
      </c>
      <c r="J89" s="624">
        <f>IFERROR(VLOOKUP($A89,Race_2024_Seasonal!A:X,13,FALSE),0)</f>
        <v>0</v>
      </c>
      <c r="K89" s="624">
        <f>IFERROR(VLOOKUP($A89,Race_2024_Seasonal!A:X,14,FALSE),0)</f>
        <v>0</v>
      </c>
      <c r="L89" s="624">
        <f>IFERROR(VLOOKUP($A89,Race_2024_Seasonal!A:X,15,FALSE),0)</f>
        <v>0</v>
      </c>
      <c r="M89" s="624">
        <f>IFERROR(VLOOKUP($A89,Race_2024_Seasonal!A:X,16,FALSE),0)</f>
        <v>0</v>
      </c>
      <c r="N89" s="624">
        <f>IFERROR(VLOOKUP($A89,Race_2024_Seasonal!A:X,17,FALSE),0)</f>
        <v>0</v>
      </c>
      <c r="O89" s="624">
        <f>IFERROR(VLOOKUP($A89,Race_2024_Seasonal!A:X,18,FALSE),0)</f>
        <v>0</v>
      </c>
      <c r="P89" s="554"/>
      <c r="Q89" s="624">
        <f t="shared" si="1"/>
        <v>0</v>
      </c>
      <c r="R89" s="554"/>
      <c r="S89" s="673">
        <f>Q89-'P&amp;L'!I89</f>
        <v>0</v>
      </c>
    </row>
    <row r="90" spans="1:19" ht="15">
      <c r="A90" s="546" t="s">
        <v>922</v>
      </c>
      <c r="B90" s="546" t="e">
        <f>IFERROR(VLOOKUP(A90,Race_2024_Seasonal!A:C,3,FALSE), VLOOKUP(A90,Race_2024_Seasonal!A:C,3,FALSE))</f>
        <v>#N/A</v>
      </c>
      <c r="C90" s="549" t="s">
        <v>923</v>
      </c>
      <c r="D90" s="624">
        <f>IFERROR(VLOOKUP($A90,Race_2024_Seasonal!A:X,7,FALSE),0)</f>
        <v>0</v>
      </c>
      <c r="E90" s="624">
        <f>IFERROR(VLOOKUP($A90,Race_2024_Seasonal!A:X,8,FALSE),0)</f>
        <v>0</v>
      </c>
      <c r="F90" s="624">
        <f>IFERROR(VLOOKUP($A90,Race_2024_Seasonal!A:X,9,FALSE),0)</f>
        <v>0</v>
      </c>
      <c r="G90" s="624">
        <f>IFERROR(VLOOKUP($A90,Race_2024_Seasonal!A:X,10,FALSE),0)</f>
        <v>0</v>
      </c>
      <c r="H90" s="624">
        <f>IFERROR(VLOOKUP($A90,Race_2024_Seasonal!A:X,11,FALSE),0)</f>
        <v>0</v>
      </c>
      <c r="I90" s="624">
        <f>IFERROR(VLOOKUP($A90,Race_2024_Seasonal!A:X,12,FALSE),0)</f>
        <v>0</v>
      </c>
      <c r="J90" s="624">
        <f>IFERROR(VLOOKUP($A90,Race_2024_Seasonal!A:X,13,FALSE),0)</f>
        <v>0</v>
      </c>
      <c r="K90" s="624">
        <f>IFERROR(VLOOKUP($A90,Race_2024_Seasonal!A:X,14,FALSE),0)</f>
        <v>0</v>
      </c>
      <c r="L90" s="624">
        <f>IFERROR(VLOOKUP($A90,Race_2024_Seasonal!A:X,15,FALSE),0)</f>
        <v>0</v>
      </c>
      <c r="M90" s="624">
        <f>IFERROR(VLOOKUP($A90,Race_2024_Seasonal!A:X,16,FALSE),0)</f>
        <v>0</v>
      </c>
      <c r="N90" s="624">
        <f>IFERROR(VLOOKUP($A90,Race_2024_Seasonal!A:X,17,FALSE),0)</f>
        <v>0</v>
      </c>
      <c r="O90" s="624">
        <f>IFERROR(VLOOKUP($A90,Race_2024_Seasonal!A:X,18,FALSE),0)</f>
        <v>0</v>
      </c>
      <c r="P90" s="554"/>
      <c r="Q90" s="624">
        <f t="shared" si="1"/>
        <v>0</v>
      </c>
      <c r="R90" s="554"/>
      <c r="S90" s="673">
        <f>Q90-'P&amp;L'!I90</f>
        <v>0</v>
      </c>
    </row>
    <row r="91" spans="1:19" ht="15">
      <c r="A91" s="546" t="s">
        <v>924</v>
      </c>
      <c r="B91" s="546" t="e">
        <f>IFERROR(VLOOKUP(A91,Race_2024_Seasonal!A:C,3,FALSE), VLOOKUP(A91,Race_2024_Seasonal!A:C,3,FALSE))</f>
        <v>#N/A</v>
      </c>
      <c r="C91" s="549" t="s">
        <v>925</v>
      </c>
      <c r="D91" s="624">
        <f>IFERROR(VLOOKUP($A91,Race_2024_Seasonal!A:X,7,FALSE),0)</f>
        <v>0</v>
      </c>
      <c r="E91" s="624">
        <f>IFERROR(VLOOKUP($A91,Race_2024_Seasonal!A:X,8,FALSE),0)</f>
        <v>0</v>
      </c>
      <c r="F91" s="624">
        <f>IFERROR(VLOOKUP($A91,Race_2024_Seasonal!A:X,9,FALSE),0)</f>
        <v>0</v>
      </c>
      <c r="G91" s="624">
        <f>IFERROR(VLOOKUP($A91,Race_2024_Seasonal!A:X,10,FALSE),0)</f>
        <v>0</v>
      </c>
      <c r="H91" s="624">
        <f>IFERROR(VLOOKUP($A91,Race_2024_Seasonal!A:X,11,FALSE),0)</f>
        <v>0</v>
      </c>
      <c r="I91" s="624">
        <f>IFERROR(VLOOKUP($A91,Race_2024_Seasonal!A:X,12,FALSE),0)</f>
        <v>0</v>
      </c>
      <c r="J91" s="624">
        <f>IFERROR(VLOOKUP($A91,Race_2024_Seasonal!A:X,13,FALSE),0)</f>
        <v>0</v>
      </c>
      <c r="K91" s="624">
        <f>IFERROR(VLOOKUP($A91,Race_2024_Seasonal!A:X,14,FALSE),0)</f>
        <v>0</v>
      </c>
      <c r="L91" s="624">
        <f>IFERROR(VLOOKUP($A91,Race_2024_Seasonal!A:X,15,FALSE),0)</f>
        <v>0</v>
      </c>
      <c r="M91" s="624">
        <f>IFERROR(VLOOKUP($A91,Race_2024_Seasonal!A:X,16,FALSE),0)</f>
        <v>0</v>
      </c>
      <c r="N91" s="624">
        <f>IFERROR(VLOOKUP($A91,Race_2024_Seasonal!A:X,17,FALSE),0)</f>
        <v>0</v>
      </c>
      <c r="O91" s="624">
        <f>IFERROR(VLOOKUP($A91,Race_2024_Seasonal!A:X,18,FALSE),0)</f>
        <v>0</v>
      </c>
      <c r="P91" s="554"/>
      <c r="Q91" s="624">
        <f t="shared" si="1"/>
        <v>0</v>
      </c>
      <c r="R91" s="554"/>
      <c r="S91" s="673">
        <f>Q91-'P&amp;L'!I91</f>
        <v>0</v>
      </c>
    </row>
    <row r="92" spans="1:19" ht="15">
      <c r="A92" s="546" t="s">
        <v>926</v>
      </c>
      <c r="B92" s="546" t="e">
        <f>IFERROR(VLOOKUP(A92,Race_2024_Seasonal!A:C,3,FALSE), VLOOKUP(A92,Race_2024_Seasonal!A:C,3,FALSE))</f>
        <v>#N/A</v>
      </c>
      <c r="C92" s="549" t="s">
        <v>927</v>
      </c>
      <c r="D92" s="624">
        <f>IFERROR(VLOOKUP($A92,Race_2024_Seasonal!A:X,7,FALSE),0)</f>
        <v>0</v>
      </c>
      <c r="E92" s="624">
        <f>IFERROR(VLOOKUP($A92,Race_2024_Seasonal!A:X,8,FALSE),0)</f>
        <v>0</v>
      </c>
      <c r="F92" s="624">
        <f>IFERROR(VLOOKUP($A92,Race_2024_Seasonal!A:X,9,FALSE),0)</f>
        <v>0</v>
      </c>
      <c r="G92" s="624">
        <f>IFERROR(VLOOKUP($A92,Race_2024_Seasonal!A:X,10,FALSE),0)</f>
        <v>0</v>
      </c>
      <c r="H92" s="624">
        <f>IFERROR(VLOOKUP($A92,Race_2024_Seasonal!A:X,11,FALSE),0)</f>
        <v>0</v>
      </c>
      <c r="I92" s="624">
        <f>IFERROR(VLOOKUP($A92,Race_2024_Seasonal!A:X,12,FALSE),0)</f>
        <v>0</v>
      </c>
      <c r="J92" s="624">
        <f>IFERROR(VLOOKUP($A92,Race_2024_Seasonal!A:X,13,FALSE),0)</f>
        <v>0</v>
      </c>
      <c r="K92" s="624">
        <f>IFERROR(VLOOKUP($A92,Race_2024_Seasonal!A:X,14,FALSE),0)</f>
        <v>0</v>
      </c>
      <c r="L92" s="624">
        <f>IFERROR(VLOOKUP($A92,Race_2024_Seasonal!A:X,15,FALSE),0)</f>
        <v>0</v>
      </c>
      <c r="M92" s="624">
        <f>IFERROR(VLOOKUP($A92,Race_2024_Seasonal!A:X,16,FALSE),0)</f>
        <v>0</v>
      </c>
      <c r="N92" s="624">
        <f>IFERROR(VLOOKUP($A92,Race_2024_Seasonal!A:X,17,FALSE),0)</f>
        <v>0</v>
      </c>
      <c r="O92" s="624">
        <f>IFERROR(VLOOKUP($A92,Race_2024_Seasonal!A:X,18,FALSE),0)</f>
        <v>0</v>
      </c>
      <c r="P92" s="554"/>
      <c r="Q92" s="624">
        <f t="shared" si="1"/>
        <v>0</v>
      </c>
      <c r="R92" s="554"/>
      <c r="S92" s="673">
        <f>Q92-'P&amp;L'!I92</f>
        <v>0</v>
      </c>
    </row>
    <row r="93" spans="1:19" ht="15">
      <c r="A93" s="546" t="s">
        <v>928</v>
      </c>
      <c r="B93" s="546" t="e">
        <f>IFERROR(VLOOKUP(A93,Race_2024_Seasonal!A:C,3,FALSE), VLOOKUP(A93,Race_2024_Seasonal!A:C,3,FALSE))</f>
        <v>#N/A</v>
      </c>
      <c r="C93" s="549" t="s">
        <v>929</v>
      </c>
      <c r="D93" s="624">
        <f>IFERROR(VLOOKUP($A93,Race_2024_Seasonal!A:X,7,FALSE),0)</f>
        <v>0</v>
      </c>
      <c r="E93" s="624">
        <f>IFERROR(VLOOKUP($A93,Race_2024_Seasonal!A:X,8,FALSE),0)</f>
        <v>0</v>
      </c>
      <c r="F93" s="624">
        <f>IFERROR(VLOOKUP($A93,Race_2024_Seasonal!A:X,9,FALSE),0)</f>
        <v>0</v>
      </c>
      <c r="G93" s="624">
        <f>IFERROR(VLOOKUP($A93,Race_2024_Seasonal!A:X,10,FALSE),0)</f>
        <v>0</v>
      </c>
      <c r="H93" s="624">
        <f>IFERROR(VLOOKUP($A93,Race_2024_Seasonal!A:X,11,FALSE),0)</f>
        <v>0</v>
      </c>
      <c r="I93" s="624">
        <f>IFERROR(VLOOKUP($A93,Race_2024_Seasonal!A:X,12,FALSE),0)</f>
        <v>0</v>
      </c>
      <c r="J93" s="624">
        <f>IFERROR(VLOOKUP($A93,Race_2024_Seasonal!A:X,13,FALSE),0)</f>
        <v>0</v>
      </c>
      <c r="K93" s="624">
        <f>IFERROR(VLOOKUP($A93,Race_2024_Seasonal!A:X,14,FALSE),0)</f>
        <v>0</v>
      </c>
      <c r="L93" s="624">
        <f>IFERROR(VLOOKUP($A93,Race_2024_Seasonal!A:X,15,FALSE),0)</f>
        <v>0</v>
      </c>
      <c r="M93" s="624">
        <f>IFERROR(VLOOKUP($A93,Race_2024_Seasonal!A:X,16,FALSE),0)</f>
        <v>0</v>
      </c>
      <c r="N93" s="624">
        <f>IFERROR(VLOOKUP($A93,Race_2024_Seasonal!A:X,17,FALSE),0)</f>
        <v>0</v>
      </c>
      <c r="O93" s="624">
        <f>IFERROR(VLOOKUP($A93,Race_2024_Seasonal!A:X,18,FALSE),0)</f>
        <v>0</v>
      </c>
      <c r="P93" s="554"/>
      <c r="Q93" s="624">
        <f t="shared" si="1"/>
        <v>0</v>
      </c>
      <c r="R93" s="554"/>
      <c r="S93" s="673">
        <f>Q93-'P&amp;L'!I93</f>
        <v>0</v>
      </c>
    </row>
    <row r="94" spans="1:19" ht="15">
      <c r="A94" s="546" t="s">
        <v>930</v>
      </c>
      <c r="B94" s="546" t="e">
        <f>IFERROR(VLOOKUP(A94,Race_2024_Seasonal!A:C,3,FALSE), VLOOKUP(A94,Race_2024_Seasonal!A:C,3,FALSE))</f>
        <v>#N/A</v>
      </c>
      <c r="C94" s="549" t="s">
        <v>931</v>
      </c>
      <c r="D94" s="627">
        <f>IFERROR(VLOOKUP($A94,Race_2024_Seasonal!A:X,7,FALSE),0)</f>
        <v>0</v>
      </c>
      <c r="E94" s="627">
        <f>IFERROR(VLOOKUP($A94,Race_2024_Seasonal!A:X,8,FALSE),0)</f>
        <v>0</v>
      </c>
      <c r="F94" s="627">
        <f>IFERROR(VLOOKUP($A94,Race_2024_Seasonal!A:X,9,FALSE),0)</f>
        <v>0</v>
      </c>
      <c r="G94" s="627">
        <f>IFERROR(VLOOKUP($A94,Race_2024_Seasonal!A:X,10,FALSE),0)</f>
        <v>0</v>
      </c>
      <c r="H94" s="627">
        <f>IFERROR(VLOOKUP($A94,Race_2024_Seasonal!A:X,11,FALSE),0)</f>
        <v>0</v>
      </c>
      <c r="I94" s="627">
        <f>IFERROR(VLOOKUP($A94,Race_2024_Seasonal!A:X,12,FALSE),0)</f>
        <v>0</v>
      </c>
      <c r="J94" s="627">
        <f>IFERROR(VLOOKUP($A94,Race_2024_Seasonal!A:X,13,FALSE),0)</f>
        <v>0</v>
      </c>
      <c r="K94" s="627">
        <f>IFERROR(VLOOKUP($A94,Race_2024_Seasonal!A:X,14,FALSE),0)</f>
        <v>0</v>
      </c>
      <c r="L94" s="627">
        <f>IFERROR(VLOOKUP($A94,Race_2024_Seasonal!A:X,15,FALSE),0)</f>
        <v>0</v>
      </c>
      <c r="M94" s="627">
        <f>IFERROR(VLOOKUP($A94,Race_2024_Seasonal!A:X,16,FALSE),0)</f>
        <v>0</v>
      </c>
      <c r="N94" s="627">
        <f>IFERROR(VLOOKUP($A94,Race_2024_Seasonal!A:X,17,FALSE),0)</f>
        <v>0</v>
      </c>
      <c r="O94" s="627">
        <f>IFERROR(VLOOKUP($A94,Race_2024_Seasonal!A:X,18,FALSE),0)</f>
        <v>0</v>
      </c>
      <c r="P94" s="554"/>
      <c r="Q94" s="627">
        <f t="shared" si="1"/>
        <v>0</v>
      </c>
      <c r="R94" s="554"/>
      <c r="S94" s="673">
        <f>Q94-'P&amp;L'!I94</f>
        <v>0</v>
      </c>
    </row>
    <row r="95" spans="1:19" ht="15">
      <c r="A95" s="546" t="s">
        <v>932</v>
      </c>
      <c r="B95" s="546" t="e">
        <f>IFERROR(VLOOKUP(A95,Race_2024_Seasonal!A:C,3,FALSE), VLOOKUP(A95,Race_2024_Seasonal!A:C,3,FALSE))</f>
        <v>#N/A</v>
      </c>
      <c r="C95" s="553" t="s">
        <v>933</v>
      </c>
      <c r="D95" s="624">
        <f>IFERROR(VLOOKUP($A95,Race_2024_Seasonal!A:X,7,FALSE),0)</f>
        <v>0</v>
      </c>
      <c r="E95" s="624">
        <f>IFERROR(VLOOKUP($A95,Race_2024_Seasonal!A:X,8,FALSE),0)</f>
        <v>0</v>
      </c>
      <c r="F95" s="624">
        <f>IFERROR(VLOOKUP($A95,Race_2024_Seasonal!A:X,9,FALSE),0)</f>
        <v>0</v>
      </c>
      <c r="G95" s="624">
        <f>IFERROR(VLOOKUP($A95,Race_2024_Seasonal!A:X,10,FALSE),0)</f>
        <v>0</v>
      </c>
      <c r="H95" s="624">
        <f>IFERROR(VLOOKUP($A95,Race_2024_Seasonal!A:X,11,FALSE),0)</f>
        <v>0</v>
      </c>
      <c r="I95" s="624">
        <f>IFERROR(VLOOKUP($A95,Race_2024_Seasonal!A:X,12,FALSE),0)</f>
        <v>0</v>
      </c>
      <c r="J95" s="624">
        <f>IFERROR(VLOOKUP($A95,Race_2024_Seasonal!A:X,13,FALSE),0)</f>
        <v>0</v>
      </c>
      <c r="K95" s="624">
        <f>IFERROR(VLOOKUP($A95,Race_2024_Seasonal!A:X,14,FALSE),0)</f>
        <v>0</v>
      </c>
      <c r="L95" s="624">
        <f>IFERROR(VLOOKUP($A95,Race_2024_Seasonal!A:X,15,FALSE),0)</f>
        <v>0</v>
      </c>
      <c r="M95" s="624">
        <f>IFERROR(VLOOKUP($A95,Race_2024_Seasonal!A:X,16,FALSE),0)</f>
        <v>0</v>
      </c>
      <c r="N95" s="624">
        <f>IFERROR(VLOOKUP($A95,Race_2024_Seasonal!A:X,17,FALSE),0)</f>
        <v>0</v>
      </c>
      <c r="O95" s="624">
        <f>IFERROR(VLOOKUP($A95,Race_2024_Seasonal!A:X,18,FALSE),0)</f>
        <v>0</v>
      </c>
      <c r="P95" s="554"/>
      <c r="Q95" s="624">
        <f t="shared" si="1"/>
        <v>0</v>
      </c>
      <c r="R95" s="554"/>
      <c r="S95" s="673">
        <f>Q95-'P&amp;L'!I95</f>
        <v>0</v>
      </c>
    </row>
    <row r="96" spans="1:19" ht="15">
      <c r="A96" s="546" t="s">
        <v>934</v>
      </c>
      <c r="B96" s="546" t="e">
        <f>IFERROR(VLOOKUP(A96,Race_2024_Seasonal!A:C,3,FALSE), VLOOKUP(A96,Race_2024_Seasonal!A:C,3,FALSE))</f>
        <v>#N/A</v>
      </c>
      <c r="C96" s="553" t="s">
        <v>935</v>
      </c>
      <c r="D96" s="624">
        <f>IFERROR(VLOOKUP($A96,Race_2024_Seasonal!A:X,7,FALSE),0)</f>
        <v>0</v>
      </c>
      <c r="E96" s="624">
        <f>IFERROR(VLOOKUP($A96,Race_2024_Seasonal!A:X,8,FALSE),0)</f>
        <v>0</v>
      </c>
      <c r="F96" s="624">
        <f>IFERROR(VLOOKUP($A96,Race_2024_Seasonal!A:X,9,FALSE),0)</f>
        <v>0</v>
      </c>
      <c r="G96" s="624">
        <f>IFERROR(VLOOKUP($A96,Race_2024_Seasonal!A:X,10,FALSE),0)</f>
        <v>0</v>
      </c>
      <c r="H96" s="624">
        <f>IFERROR(VLOOKUP($A96,Race_2024_Seasonal!A:X,11,FALSE),0)</f>
        <v>0</v>
      </c>
      <c r="I96" s="624">
        <f>IFERROR(VLOOKUP($A96,Race_2024_Seasonal!A:X,12,FALSE),0)</f>
        <v>0</v>
      </c>
      <c r="J96" s="624">
        <f>IFERROR(VLOOKUP($A96,Race_2024_Seasonal!A:X,13,FALSE),0)</f>
        <v>0</v>
      </c>
      <c r="K96" s="624">
        <f>IFERROR(VLOOKUP($A96,Race_2024_Seasonal!A:X,14,FALSE),0)</f>
        <v>0</v>
      </c>
      <c r="L96" s="624">
        <f>IFERROR(VLOOKUP($A96,Race_2024_Seasonal!A:X,15,FALSE),0)</f>
        <v>0</v>
      </c>
      <c r="M96" s="624">
        <f>IFERROR(VLOOKUP($A96,Race_2024_Seasonal!A:X,16,FALSE),0)</f>
        <v>0</v>
      </c>
      <c r="N96" s="624">
        <f>IFERROR(VLOOKUP($A96,Race_2024_Seasonal!A:X,17,FALSE),0)</f>
        <v>0</v>
      </c>
      <c r="O96" s="624">
        <f>IFERROR(VLOOKUP($A96,Race_2024_Seasonal!A:X,18,FALSE),0)</f>
        <v>0</v>
      </c>
      <c r="P96" s="554"/>
      <c r="Q96" s="624">
        <f t="shared" si="1"/>
        <v>0</v>
      </c>
      <c r="R96" s="554"/>
      <c r="S96" s="673">
        <f>Q96-'P&amp;L'!I96</f>
        <v>0</v>
      </c>
    </row>
    <row r="97" spans="1:19" ht="15">
      <c r="A97" s="546" t="s">
        <v>936</v>
      </c>
      <c r="B97" s="546" t="e">
        <f>IFERROR(VLOOKUP(A97,Race_2024_Seasonal!A:C,3,FALSE), VLOOKUP(A97,Race_2024_Seasonal!A:C,3,FALSE))</f>
        <v>#N/A</v>
      </c>
      <c r="C97" s="553" t="s">
        <v>937</v>
      </c>
      <c r="D97" s="624">
        <f>IFERROR(VLOOKUP($A97,Race_2024_Seasonal!A:X,7,FALSE),0)</f>
        <v>0</v>
      </c>
      <c r="E97" s="624">
        <f>IFERROR(VLOOKUP($A97,Race_2024_Seasonal!A:X,8,FALSE),0)</f>
        <v>0</v>
      </c>
      <c r="F97" s="624">
        <f>IFERROR(VLOOKUP($A97,Race_2024_Seasonal!A:X,9,FALSE),0)</f>
        <v>0</v>
      </c>
      <c r="G97" s="624">
        <f>IFERROR(VLOOKUP($A97,Race_2024_Seasonal!A:X,10,FALSE),0)</f>
        <v>0</v>
      </c>
      <c r="H97" s="624">
        <f>IFERROR(VLOOKUP($A97,Race_2024_Seasonal!A:X,11,FALSE),0)</f>
        <v>0</v>
      </c>
      <c r="I97" s="624">
        <f>IFERROR(VLOOKUP($A97,Race_2024_Seasonal!A:X,12,FALSE),0)</f>
        <v>0</v>
      </c>
      <c r="J97" s="624">
        <f>IFERROR(VLOOKUP($A97,Race_2024_Seasonal!A:X,13,FALSE),0)</f>
        <v>0</v>
      </c>
      <c r="K97" s="624">
        <f>IFERROR(VLOOKUP($A97,Race_2024_Seasonal!A:X,14,FALSE),0)</f>
        <v>0</v>
      </c>
      <c r="L97" s="624">
        <f>IFERROR(VLOOKUP($A97,Race_2024_Seasonal!A:X,15,FALSE),0)</f>
        <v>0</v>
      </c>
      <c r="M97" s="624">
        <f>IFERROR(VLOOKUP($A97,Race_2024_Seasonal!A:X,16,FALSE),0)</f>
        <v>0</v>
      </c>
      <c r="N97" s="624">
        <f>IFERROR(VLOOKUP($A97,Race_2024_Seasonal!A:X,17,FALSE),0)</f>
        <v>0</v>
      </c>
      <c r="O97" s="624">
        <f>IFERROR(VLOOKUP($A97,Race_2024_Seasonal!A:X,18,FALSE),0)</f>
        <v>0</v>
      </c>
      <c r="P97" s="554"/>
      <c r="Q97" s="624">
        <f t="shared" si="1"/>
        <v>0</v>
      </c>
      <c r="R97" s="554"/>
      <c r="S97" s="673">
        <f>Q97-'P&amp;L'!I97</f>
        <v>0</v>
      </c>
    </row>
    <row r="98" spans="1:19" ht="15">
      <c r="A98" s="546" t="s">
        <v>938</v>
      </c>
      <c r="B98" s="546" t="e">
        <f>IFERROR(VLOOKUP(A98,Race_2024_Seasonal!A:C,3,FALSE), VLOOKUP(A98,Race_2024_Seasonal!A:C,3,FALSE))</f>
        <v>#N/A</v>
      </c>
      <c r="C98" s="553" t="s">
        <v>939</v>
      </c>
      <c r="D98" s="627">
        <f>IFERROR(VLOOKUP($A98,Race_2024_Seasonal!A:X,7,FALSE),0)</f>
        <v>0</v>
      </c>
      <c r="E98" s="627">
        <f>IFERROR(VLOOKUP($A98,Race_2024_Seasonal!A:X,8,FALSE),0)</f>
        <v>0</v>
      </c>
      <c r="F98" s="627">
        <f>IFERROR(VLOOKUP($A98,Race_2024_Seasonal!A:X,9,FALSE),0)</f>
        <v>0</v>
      </c>
      <c r="G98" s="627">
        <f>IFERROR(VLOOKUP($A98,Race_2024_Seasonal!A:X,10,FALSE),0)</f>
        <v>0</v>
      </c>
      <c r="H98" s="627">
        <f>IFERROR(VLOOKUP($A98,Race_2024_Seasonal!A:X,11,FALSE),0)</f>
        <v>0</v>
      </c>
      <c r="I98" s="627">
        <f>IFERROR(VLOOKUP($A98,Race_2024_Seasonal!A:X,12,FALSE),0)</f>
        <v>0</v>
      </c>
      <c r="J98" s="627">
        <f>IFERROR(VLOOKUP($A98,Race_2024_Seasonal!A:X,13,FALSE),0)</f>
        <v>0</v>
      </c>
      <c r="K98" s="627">
        <f>IFERROR(VLOOKUP($A98,Race_2024_Seasonal!A:X,14,FALSE),0)</f>
        <v>0</v>
      </c>
      <c r="L98" s="627">
        <f>IFERROR(VLOOKUP($A98,Race_2024_Seasonal!A:X,15,FALSE),0)</f>
        <v>0</v>
      </c>
      <c r="M98" s="627">
        <f>IFERROR(VLOOKUP($A98,Race_2024_Seasonal!A:X,16,FALSE),0)</f>
        <v>0</v>
      </c>
      <c r="N98" s="627">
        <f>IFERROR(VLOOKUP($A98,Race_2024_Seasonal!A:X,17,FALSE),0)</f>
        <v>0</v>
      </c>
      <c r="O98" s="627">
        <f>IFERROR(VLOOKUP($A98,Race_2024_Seasonal!A:X,18,FALSE),0)</f>
        <v>0</v>
      </c>
      <c r="P98" s="554"/>
      <c r="Q98" s="627">
        <f t="shared" si="1"/>
        <v>0</v>
      </c>
      <c r="R98" s="554"/>
      <c r="S98" s="673">
        <f>Q98-'P&amp;L'!I98</f>
        <v>0</v>
      </c>
    </row>
    <row r="99" spans="1:19" ht="15">
      <c r="A99" s="546" t="s">
        <v>940</v>
      </c>
      <c r="B99" s="546" t="e">
        <f>IFERROR(VLOOKUP(A99,Race_2024_Seasonal!A:C,3,FALSE), VLOOKUP(A99,Race_2024_Seasonal!A:C,3,FALSE))</f>
        <v>#N/A</v>
      </c>
      <c r="C99" s="553" t="s">
        <v>941</v>
      </c>
      <c r="D99" s="624">
        <f>IFERROR(VLOOKUP($A99,Race_2024_Seasonal!A:X,7,FALSE),0)</f>
        <v>0</v>
      </c>
      <c r="E99" s="624">
        <f>IFERROR(VLOOKUP($A99,Race_2024_Seasonal!A:X,8,FALSE),0)</f>
        <v>0</v>
      </c>
      <c r="F99" s="624">
        <f>IFERROR(VLOOKUP($A99,Race_2024_Seasonal!A:X,9,FALSE),0)</f>
        <v>0</v>
      </c>
      <c r="G99" s="624">
        <f>IFERROR(VLOOKUP($A99,Race_2024_Seasonal!A:X,10,FALSE),0)</f>
        <v>0</v>
      </c>
      <c r="H99" s="624">
        <f>IFERROR(VLOOKUP($A99,Race_2024_Seasonal!A:X,11,FALSE),0)</f>
        <v>0</v>
      </c>
      <c r="I99" s="624">
        <f>IFERROR(VLOOKUP($A99,Race_2024_Seasonal!A:X,12,FALSE),0)</f>
        <v>0</v>
      </c>
      <c r="J99" s="624">
        <f>IFERROR(VLOOKUP($A99,Race_2024_Seasonal!A:X,13,FALSE),0)</f>
        <v>0</v>
      </c>
      <c r="K99" s="624">
        <f>IFERROR(VLOOKUP($A99,Race_2024_Seasonal!A:X,14,FALSE),0)</f>
        <v>0</v>
      </c>
      <c r="L99" s="624">
        <f>IFERROR(VLOOKUP($A99,Race_2024_Seasonal!A:X,15,FALSE),0)</f>
        <v>0</v>
      </c>
      <c r="M99" s="624">
        <f>IFERROR(VLOOKUP($A99,Race_2024_Seasonal!A:X,16,FALSE),0)</f>
        <v>0</v>
      </c>
      <c r="N99" s="624">
        <f>IFERROR(VLOOKUP($A99,Race_2024_Seasonal!A:X,17,FALSE),0)</f>
        <v>0</v>
      </c>
      <c r="O99" s="624">
        <f>IFERROR(VLOOKUP($A99,Race_2024_Seasonal!A:X,18,FALSE),0)</f>
        <v>0</v>
      </c>
      <c r="P99" s="554"/>
      <c r="Q99" s="624">
        <f t="shared" si="1"/>
        <v>0</v>
      </c>
      <c r="R99" s="554"/>
      <c r="S99" s="673">
        <f>Q99-'P&amp;L'!I99</f>
        <v>0</v>
      </c>
    </row>
    <row r="100" spans="1:19" ht="15">
      <c r="A100" s="546" t="s">
        <v>942</v>
      </c>
      <c r="B100" s="546" t="e">
        <f>IFERROR(VLOOKUP(A100,Race_2024_Seasonal!A:C,3,FALSE), VLOOKUP(A100,Race_2024_Seasonal!A:C,3,FALSE))</f>
        <v>#N/A</v>
      </c>
      <c r="C100" s="661" t="s">
        <v>943</v>
      </c>
      <c r="D100" s="624">
        <f>IFERROR(VLOOKUP($A100,Race_2024_Seasonal!A:X,7,FALSE),0)</f>
        <v>0</v>
      </c>
      <c r="E100" s="624">
        <f>IFERROR(VLOOKUP($A100,Race_2024_Seasonal!A:X,8,FALSE),0)</f>
        <v>0</v>
      </c>
      <c r="F100" s="624">
        <f>IFERROR(VLOOKUP($A100,Race_2024_Seasonal!A:X,9,FALSE),0)</f>
        <v>0</v>
      </c>
      <c r="G100" s="624">
        <f>IFERROR(VLOOKUP($A100,Race_2024_Seasonal!A:X,10,FALSE),0)</f>
        <v>0</v>
      </c>
      <c r="H100" s="624">
        <f>IFERROR(VLOOKUP($A100,Race_2024_Seasonal!A:X,11,FALSE),0)</f>
        <v>0</v>
      </c>
      <c r="I100" s="624">
        <f>IFERROR(VLOOKUP($A100,Race_2024_Seasonal!A:X,12,FALSE),0)</f>
        <v>0</v>
      </c>
      <c r="J100" s="624">
        <f>IFERROR(VLOOKUP($A100,Race_2024_Seasonal!A:X,13,FALSE),0)</f>
        <v>0</v>
      </c>
      <c r="K100" s="624">
        <f>IFERROR(VLOOKUP($A100,Race_2024_Seasonal!A:X,14,FALSE),0)</f>
        <v>0</v>
      </c>
      <c r="L100" s="624">
        <f>IFERROR(VLOOKUP($A100,Race_2024_Seasonal!A:X,15,FALSE),0)</f>
        <v>0</v>
      </c>
      <c r="M100" s="624">
        <f>IFERROR(VLOOKUP($A100,Race_2024_Seasonal!A:X,16,FALSE),0)</f>
        <v>0</v>
      </c>
      <c r="N100" s="624">
        <f>IFERROR(VLOOKUP($A100,Race_2024_Seasonal!A:X,17,FALSE),0)</f>
        <v>0</v>
      </c>
      <c r="O100" s="624">
        <f>IFERROR(VLOOKUP($A100,Race_2024_Seasonal!A:X,18,FALSE),0)</f>
        <v>0</v>
      </c>
      <c r="P100" s="554"/>
      <c r="Q100" s="624">
        <f t="shared" si="1"/>
        <v>0</v>
      </c>
      <c r="R100" s="554"/>
      <c r="S100" s="673">
        <f>Q100-'P&amp;L'!I100</f>
        <v>0</v>
      </c>
    </row>
    <row r="101" spans="1:19" ht="15">
      <c r="A101" s="546" t="s">
        <v>944</v>
      </c>
      <c r="B101" s="546" t="e">
        <f>IFERROR(VLOOKUP(A101,Race_2024_Seasonal!A:C,3,FALSE), VLOOKUP(A101,Race_2024_Seasonal!A:C,3,FALSE))</f>
        <v>#N/A</v>
      </c>
      <c r="C101" s="549" t="s">
        <v>945</v>
      </c>
      <c r="D101" s="624">
        <f>IFERROR(VLOOKUP($A101,Race_2024_Seasonal!A:X,7,FALSE),0)</f>
        <v>0</v>
      </c>
      <c r="E101" s="624">
        <f>IFERROR(VLOOKUP($A101,Race_2024_Seasonal!A:X,8,FALSE),0)</f>
        <v>0</v>
      </c>
      <c r="F101" s="624">
        <f>IFERROR(VLOOKUP($A101,Race_2024_Seasonal!A:X,9,FALSE),0)</f>
        <v>0</v>
      </c>
      <c r="G101" s="624">
        <f>IFERROR(VLOOKUP($A101,Race_2024_Seasonal!A:X,10,FALSE),0)</f>
        <v>0</v>
      </c>
      <c r="H101" s="624">
        <f>IFERROR(VLOOKUP($A101,Race_2024_Seasonal!A:X,11,FALSE),0)</f>
        <v>0</v>
      </c>
      <c r="I101" s="624">
        <f>IFERROR(VLOOKUP($A101,Race_2024_Seasonal!A:X,12,FALSE),0)</f>
        <v>0</v>
      </c>
      <c r="J101" s="624">
        <f>IFERROR(VLOOKUP($A101,Race_2024_Seasonal!A:X,13,FALSE),0)</f>
        <v>0</v>
      </c>
      <c r="K101" s="624">
        <f>IFERROR(VLOOKUP($A101,Race_2024_Seasonal!A:X,14,FALSE),0)</f>
        <v>0</v>
      </c>
      <c r="L101" s="624">
        <f>IFERROR(VLOOKUP($A101,Race_2024_Seasonal!A:X,15,FALSE),0)</f>
        <v>0</v>
      </c>
      <c r="M101" s="624">
        <f>IFERROR(VLOOKUP($A101,Race_2024_Seasonal!A:X,16,FALSE),0)</f>
        <v>0</v>
      </c>
      <c r="N101" s="624">
        <f>IFERROR(VLOOKUP($A101,Race_2024_Seasonal!A:X,17,FALSE),0)</f>
        <v>0</v>
      </c>
      <c r="O101" s="624">
        <f>IFERROR(VLOOKUP($A101,Race_2024_Seasonal!A:X,18,FALSE),0)</f>
        <v>0</v>
      </c>
      <c r="P101" s="554"/>
      <c r="Q101" s="624">
        <f t="shared" si="1"/>
        <v>0</v>
      </c>
      <c r="R101" s="554"/>
      <c r="S101" s="673">
        <f>Q101-'P&amp;L'!I101</f>
        <v>0</v>
      </c>
    </row>
    <row r="102" spans="1:19" ht="15">
      <c r="A102" s="546" t="s">
        <v>946</v>
      </c>
      <c r="B102" s="546" t="e">
        <f>IFERROR(VLOOKUP(A102,Race_2024_Seasonal!A:C,3,FALSE), VLOOKUP(A102,Race_2024_Seasonal!A:C,3,FALSE))</f>
        <v>#N/A</v>
      </c>
      <c r="C102" s="553" t="s">
        <v>947</v>
      </c>
      <c r="D102" s="624">
        <f>IFERROR(VLOOKUP($A102,Race_2024_Seasonal!A:X,7,FALSE),0)</f>
        <v>0</v>
      </c>
      <c r="E102" s="624">
        <f>IFERROR(VLOOKUP($A102,Race_2024_Seasonal!A:X,8,FALSE),0)</f>
        <v>0</v>
      </c>
      <c r="F102" s="624">
        <f>IFERROR(VLOOKUP($A102,Race_2024_Seasonal!A:X,9,FALSE),0)</f>
        <v>0</v>
      </c>
      <c r="G102" s="624">
        <f>IFERROR(VLOOKUP($A102,Race_2024_Seasonal!A:X,10,FALSE),0)</f>
        <v>0</v>
      </c>
      <c r="H102" s="624">
        <f>IFERROR(VLOOKUP($A102,Race_2024_Seasonal!A:X,11,FALSE),0)</f>
        <v>0</v>
      </c>
      <c r="I102" s="624">
        <f>IFERROR(VLOOKUP($A102,Race_2024_Seasonal!A:X,12,FALSE),0)</f>
        <v>0</v>
      </c>
      <c r="J102" s="624">
        <f>IFERROR(VLOOKUP($A102,Race_2024_Seasonal!A:X,13,FALSE),0)</f>
        <v>0</v>
      </c>
      <c r="K102" s="624">
        <f>IFERROR(VLOOKUP($A102,Race_2024_Seasonal!A:X,14,FALSE),0)</f>
        <v>0</v>
      </c>
      <c r="L102" s="624">
        <f>IFERROR(VLOOKUP($A102,Race_2024_Seasonal!A:X,15,FALSE),0)</f>
        <v>0</v>
      </c>
      <c r="M102" s="624">
        <f>IFERROR(VLOOKUP($A102,Race_2024_Seasonal!A:X,16,FALSE),0)</f>
        <v>0</v>
      </c>
      <c r="N102" s="624">
        <f>IFERROR(VLOOKUP($A102,Race_2024_Seasonal!A:X,17,FALSE),0)</f>
        <v>0</v>
      </c>
      <c r="O102" s="624">
        <f>IFERROR(VLOOKUP($A102,Race_2024_Seasonal!A:X,18,FALSE),0)</f>
        <v>0</v>
      </c>
      <c r="P102" s="554"/>
      <c r="Q102" s="624">
        <f t="shared" si="1"/>
        <v>0</v>
      </c>
      <c r="R102" s="554"/>
      <c r="S102" s="673">
        <f>Q102-'P&amp;L'!I102</f>
        <v>0</v>
      </c>
    </row>
    <row r="103" spans="1:19" ht="15">
      <c r="A103" s="546" t="s">
        <v>948</v>
      </c>
      <c r="B103" s="546" t="e">
        <f>IFERROR(VLOOKUP(A103,Race_2024_Seasonal!A:C,3,FALSE), VLOOKUP(A103,Race_2024_Seasonal!A:C,3,FALSE))</f>
        <v>#N/A</v>
      </c>
      <c r="C103" s="553" t="s">
        <v>949</v>
      </c>
      <c r="D103" s="624">
        <f>IFERROR(VLOOKUP($A103,Race_2024_Seasonal!A:X,7,FALSE),0)</f>
        <v>0</v>
      </c>
      <c r="E103" s="624">
        <f>IFERROR(VLOOKUP($A103,Race_2024_Seasonal!A:X,8,FALSE),0)</f>
        <v>0</v>
      </c>
      <c r="F103" s="624">
        <f>IFERROR(VLOOKUP($A103,Race_2024_Seasonal!A:X,9,FALSE),0)</f>
        <v>0</v>
      </c>
      <c r="G103" s="624">
        <f>IFERROR(VLOOKUP($A103,Race_2024_Seasonal!A:X,10,FALSE),0)</f>
        <v>0</v>
      </c>
      <c r="H103" s="624">
        <f>IFERROR(VLOOKUP($A103,Race_2024_Seasonal!A:X,11,FALSE),0)</f>
        <v>0</v>
      </c>
      <c r="I103" s="624">
        <f>IFERROR(VLOOKUP($A103,Race_2024_Seasonal!A:X,12,FALSE),0)</f>
        <v>0</v>
      </c>
      <c r="J103" s="624">
        <f>IFERROR(VLOOKUP($A103,Race_2024_Seasonal!A:X,13,FALSE),0)</f>
        <v>0</v>
      </c>
      <c r="K103" s="624">
        <f>IFERROR(VLOOKUP($A103,Race_2024_Seasonal!A:X,14,FALSE),0)</f>
        <v>0</v>
      </c>
      <c r="L103" s="624">
        <f>IFERROR(VLOOKUP($A103,Race_2024_Seasonal!A:X,15,FALSE),0)</f>
        <v>0</v>
      </c>
      <c r="M103" s="624">
        <f>IFERROR(VLOOKUP($A103,Race_2024_Seasonal!A:X,16,FALSE),0)</f>
        <v>0</v>
      </c>
      <c r="N103" s="624">
        <f>IFERROR(VLOOKUP($A103,Race_2024_Seasonal!A:X,17,FALSE),0)</f>
        <v>0</v>
      </c>
      <c r="O103" s="624">
        <f>IFERROR(VLOOKUP($A103,Race_2024_Seasonal!A:X,18,FALSE),0)</f>
        <v>0</v>
      </c>
      <c r="P103" s="554"/>
      <c r="Q103" s="624">
        <f t="shared" si="1"/>
        <v>0</v>
      </c>
      <c r="R103" s="554"/>
      <c r="S103" s="673">
        <f>Q103-'P&amp;L'!I103</f>
        <v>0</v>
      </c>
    </row>
    <row r="104" spans="1:19" ht="15">
      <c r="A104" s="546" t="s">
        <v>950</v>
      </c>
      <c r="B104" s="546" t="e">
        <f>IFERROR(VLOOKUP(A104,Race_2024_Seasonal!A:C,3,FALSE), VLOOKUP(A104,Race_2024_Seasonal!A:C,3,FALSE))</f>
        <v>#N/A</v>
      </c>
      <c r="C104" s="553" t="s">
        <v>951</v>
      </c>
      <c r="D104" s="624">
        <f>IFERROR(VLOOKUP($A104,Race_2024_Seasonal!A:X,7,FALSE),0)</f>
        <v>0</v>
      </c>
      <c r="E104" s="624">
        <f>IFERROR(VLOOKUP($A104,Race_2024_Seasonal!A:X,8,FALSE),0)</f>
        <v>0</v>
      </c>
      <c r="F104" s="624">
        <f>IFERROR(VLOOKUP($A104,Race_2024_Seasonal!A:X,9,FALSE),0)</f>
        <v>0</v>
      </c>
      <c r="G104" s="624">
        <f>IFERROR(VLOOKUP($A104,Race_2024_Seasonal!A:X,10,FALSE),0)</f>
        <v>0</v>
      </c>
      <c r="H104" s="624">
        <f>IFERROR(VLOOKUP($A104,Race_2024_Seasonal!A:X,11,FALSE),0)</f>
        <v>0</v>
      </c>
      <c r="I104" s="624">
        <f>IFERROR(VLOOKUP($A104,Race_2024_Seasonal!A:X,12,FALSE),0)</f>
        <v>0</v>
      </c>
      <c r="J104" s="624">
        <f>IFERROR(VLOOKUP($A104,Race_2024_Seasonal!A:X,13,FALSE),0)</f>
        <v>0</v>
      </c>
      <c r="K104" s="624">
        <f>IFERROR(VLOOKUP($A104,Race_2024_Seasonal!A:X,14,FALSE),0)</f>
        <v>0</v>
      </c>
      <c r="L104" s="624">
        <f>IFERROR(VLOOKUP($A104,Race_2024_Seasonal!A:X,15,FALSE),0)</f>
        <v>0</v>
      </c>
      <c r="M104" s="624">
        <f>IFERROR(VLOOKUP($A104,Race_2024_Seasonal!A:X,16,FALSE),0)</f>
        <v>0</v>
      </c>
      <c r="N104" s="624">
        <f>IFERROR(VLOOKUP($A104,Race_2024_Seasonal!A:X,17,FALSE),0)</f>
        <v>0</v>
      </c>
      <c r="O104" s="624">
        <f>IFERROR(VLOOKUP($A104,Race_2024_Seasonal!A:X,18,FALSE),0)</f>
        <v>0</v>
      </c>
      <c r="P104" s="554"/>
      <c r="Q104" s="624">
        <f t="shared" si="1"/>
        <v>0</v>
      </c>
      <c r="R104" s="554"/>
      <c r="S104" s="673">
        <f>Q104-'P&amp;L'!I104</f>
        <v>0</v>
      </c>
    </row>
    <row r="105" spans="1:19" ht="15">
      <c r="A105" s="546" t="s">
        <v>952</v>
      </c>
      <c r="B105" s="546" t="e">
        <f>IFERROR(VLOOKUP(A105,Race_2024_Seasonal!A:C,3,FALSE), VLOOKUP(A105,Race_2024_Seasonal!A:C,3,FALSE))</f>
        <v>#N/A</v>
      </c>
      <c r="C105" s="549" t="s">
        <v>953</v>
      </c>
      <c r="D105" s="624">
        <f>IFERROR(VLOOKUP($A105,Race_2024_Seasonal!A:X,7,FALSE),0)</f>
        <v>0</v>
      </c>
      <c r="E105" s="624">
        <f>IFERROR(VLOOKUP($A105,Race_2024_Seasonal!A:X,8,FALSE),0)</f>
        <v>0</v>
      </c>
      <c r="F105" s="624">
        <f>IFERROR(VLOOKUP($A105,Race_2024_Seasonal!A:X,9,FALSE),0)</f>
        <v>0</v>
      </c>
      <c r="G105" s="624">
        <f>IFERROR(VLOOKUP($A105,Race_2024_Seasonal!A:X,10,FALSE),0)</f>
        <v>0</v>
      </c>
      <c r="H105" s="624">
        <f>IFERROR(VLOOKUP($A105,Race_2024_Seasonal!A:X,11,FALSE),0)</f>
        <v>0</v>
      </c>
      <c r="I105" s="624">
        <f>IFERROR(VLOOKUP($A105,Race_2024_Seasonal!A:X,12,FALSE),0)</f>
        <v>0</v>
      </c>
      <c r="J105" s="624">
        <f>IFERROR(VLOOKUP($A105,Race_2024_Seasonal!A:X,13,FALSE),0)</f>
        <v>0</v>
      </c>
      <c r="K105" s="624">
        <f>IFERROR(VLOOKUP($A105,Race_2024_Seasonal!A:X,14,FALSE),0)</f>
        <v>0</v>
      </c>
      <c r="L105" s="624">
        <f>IFERROR(VLOOKUP($A105,Race_2024_Seasonal!A:X,15,FALSE),0)</f>
        <v>0</v>
      </c>
      <c r="M105" s="624">
        <f>IFERROR(VLOOKUP($A105,Race_2024_Seasonal!A:X,16,FALSE),0)</f>
        <v>0</v>
      </c>
      <c r="N105" s="624">
        <f>IFERROR(VLOOKUP($A105,Race_2024_Seasonal!A:X,17,FALSE),0)</f>
        <v>0</v>
      </c>
      <c r="O105" s="624">
        <f>IFERROR(VLOOKUP($A105,Race_2024_Seasonal!A:X,18,FALSE),0)</f>
        <v>0</v>
      </c>
      <c r="P105" s="554"/>
      <c r="Q105" s="624">
        <f t="shared" si="1"/>
        <v>0</v>
      </c>
      <c r="R105" s="554"/>
      <c r="S105" s="673">
        <f>Q105-'P&amp;L'!I105</f>
        <v>0</v>
      </c>
    </row>
    <row r="106" spans="1:19" ht="15">
      <c r="A106" s="546" t="s">
        <v>954</v>
      </c>
      <c r="B106" s="546" t="e">
        <f>IFERROR(VLOOKUP(A106,Race_2024_Seasonal!A:C,3,FALSE), VLOOKUP(A106,Race_2024_Seasonal!A:C,3,FALSE))</f>
        <v>#N/A</v>
      </c>
      <c r="C106" s="553" t="s">
        <v>955</v>
      </c>
      <c r="D106" s="624">
        <f>IFERROR(VLOOKUP($A106,Race_2024_Seasonal!A:X,7,FALSE),0)</f>
        <v>0</v>
      </c>
      <c r="E106" s="624">
        <f>IFERROR(VLOOKUP($A106,Race_2024_Seasonal!A:X,8,FALSE),0)</f>
        <v>0</v>
      </c>
      <c r="F106" s="624">
        <f>IFERROR(VLOOKUP($A106,Race_2024_Seasonal!A:X,9,FALSE),0)</f>
        <v>0</v>
      </c>
      <c r="G106" s="624">
        <f>IFERROR(VLOOKUP($A106,Race_2024_Seasonal!A:X,10,FALSE),0)</f>
        <v>0</v>
      </c>
      <c r="H106" s="624">
        <f>IFERROR(VLOOKUP($A106,Race_2024_Seasonal!A:X,11,FALSE),0)</f>
        <v>0</v>
      </c>
      <c r="I106" s="624">
        <f>IFERROR(VLOOKUP($A106,Race_2024_Seasonal!A:X,12,FALSE),0)</f>
        <v>0</v>
      </c>
      <c r="J106" s="624">
        <f>IFERROR(VLOOKUP($A106,Race_2024_Seasonal!A:X,13,FALSE),0)</f>
        <v>0</v>
      </c>
      <c r="K106" s="624">
        <f>IFERROR(VLOOKUP($A106,Race_2024_Seasonal!A:X,14,FALSE),0)</f>
        <v>0</v>
      </c>
      <c r="L106" s="624">
        <f>IFERROR(VLOOKUP($A106,Race_2024_Seasonal!A:X,15,FALSE),0)</f>
        <v>0</v>
      </c>
      <c r="M106" s="624">
        <f>IFERROR(VLOOKUP($A106,Race_2024_Seasonal!A:X,16,FALSE),0)</f>
        <v>0</v>
      </c>
      <c r="N106" s="624">
        <f>IFERROR(VLOOKUP($A106,Race_2024_Seasonal!A:X,17,FALSE),0)</f>
        <v>0</v>
      </c>
      <c r="O106" s="624">
        <f>IFERROR(VLOOKUP($A106,Race_2024_Seasonal!A:X,18,FALSE),0)</f>
        <v>0</v>
      </c>
      <c r="P106" s="554"/>
      <c r="Q106" s="624">
        <f t="shared" si="1"/>
        <v>0</v>
      </c>
      <c r="R106" s="554"/>
      <c r="S106" s="673">
        <f>Q106-'P&amp;L'!I106</f>
        <v>0</v>
      </c>
    </row>
    <row r="107" spans="1:19" ht="15">
      <c r="A107" s="546" t="s">
        <v>956</v>
      </c>
      <c r="B107" s="546" t="e">
        <f>IFERROR(VLOOKUP(A107,Race_2024_Seasonal!A:C,3,FALSE), VLOOKUP(A107,Race_2024_Seasonal!A:C,3,FALSE))</f>
        <v>#N/A</v>
      </c>
      <c r="C107" s="553" t="s">
        <v>957</v>
      </c>
      <c r="D107" s="624">
        <f>IFERROR(VLOOKUP($A107,Race_2024_Seasonal!A:X,7,FALSE),0)</f>
        <v>0</v>
      </c>
      <c r="E107" s="624">
        <f>IFERROR(VLOOKUP($A107,Race_2024_Seasonal!A:X,8,FALSE),0)</f>
        <v>0</v>
      </c>
      <c r="F107" s="624">
        <f>IFERROR(VLOOKUP($A107,Race_2024_Seasonal!A:X,9,FALSE),0)</f>
        <v>0</v>
      </c>
      <c r="G107" s="624">
        <f>IFERROR(VLOOKUP($A107,Race_2024_Seasonal!A:X,10,FALSE),0)</f>
        <v>0</v>
      </c>
      <c r="H107" s="624">
        <f>IFERROR(VLOOKUP($A107,Race_2024_Seasonal!A:X,11,FALSE),0)</f>
        <v>0</v>
      </c>
      <c r="I107" s="624">
        <f>IFERROR(VLOOKUP($A107,Race_2024_Seasonal!A:X,12,FALSE),0)</f>
        <v>0</v>
      </c>
      <c r="J107" s="624">
        <f>IFERROR(VLOOKUP($A107,Race_2024_Seasonal!A:X,13,FALSE),0)</f>
        <v>0</v>
      </c>
      <c r="K107" s="624">
        <f>IFERROR(VLOOKUP($A107,Race_2024_Seasonal!A:X,14,FALSE),0)</f>
        <v>0</v>
      </c>
      <c r="L107" s="624">
        <f>IFERROR(VLOOKUP($A107,Race_2024_Seasonal!A:X,15,FALSE),0)</f>
        <v>0</v>
      </c>
      <c r="M107" s="624">
        <f>IFERROR(VLOOKUP($A107,Race_2024_Seasonal!A:X,16,FALSE),0)</f>
        <v>0</v>
      </c>
      <c r="N107" s="624">
        <f>IFERROR(VLOOKUP($A107,Race_2024_Seasonal!A:X,17,FALSE),0)</f>
        <v>0</v>
      </c>
      <c r="O107" s="624">
        <f>IFERROR(VLOOKUP($A107,Race_2024_Seasonal!A:X,18,FALSE),0)</f>
        <v>0</v>
      </c>
      <c r="P107" s="554"/>
      <c r="Q107" s="624">
        <f t="shared" si="1"/>
        <v>0</v>
      </c>
      <c r="R107" s="554"/>
      <c r="S107" s="673">
        <f>Q107-'P&amp;L'!I107</f>
        <v>0</v>
      </c>
    </row>
    <row r="108" spans="1:19" ht="15">
      <c r="A108" s="546" t="s">
        <v>958</v>
      </c>
      <c r="B108" s="546" t="e">
        <f>IFERROR(VLOOKUP(A108,Race_2024_Seasonal!A:C,3,FALSE), VLOOKUP(A108,Race_2024_Seasonal!A:C,3,FALSE))</f>
        <v>#N/A</v>
      </c>
      <c r="C108" s="555" t="s">
        <v>959</v>
      </c>
      <c r="D108" s="624">
        <f>IFERROR(VLOOKUP($A108,Race_2024_Seasonal!A:X,7,FALSE),0)</f>
        <v>0</v>
      </c>
      <c r="E108" s="624">
        <f>IFERROR(VLOOKUP($A108,Race_2024_Seasonal!A:X,8,FALSE),0)</f>
        <v>0</v>
      </c>
      <c r="F108" s="624">
        <f>IFERROR(VLOOKUP($A108,Race_2024_Seasonal!A:X,9,FALSE),0)</f>
        <v>0</v>
      </c>
      <c r="G108" s="624">
        <f>IFERROR(VLOOKUP($A108,Race_2024_Seasonal!A:X,10,FALSE),0)</f>
        <v>0</v>
      </c>
      <c r="H108" s="624">
        <f>IFERROR(VLOOKUP($A108,Race_2024_Seasonal!A:X,11,FALSE),0)</f>
        <v>0</v>
      </c>
      <c r="I108" s="624">
        <f>IFERROR(VLOOKUP($A108,Race_2024_Seasonal!A:X,12,FALSE),0)</f>
        <v>0</v>
      </c>
      <c r="J108" s="624">
        <f>IFERROR(VLOOKUP($A108,Race_2024_Seasonal!A:X,13,FALSE),0)</f>
        <v>0</v>
      </c>
      <c r="K108" s="624">
        <f>IFERROR(VLOOKUP($A108,Race_2024_Seasonal!A:X,14,FALSE),0)</f>
        <v>0</v>
      </c>
      <c r="L108" s="624">
        <f>IFERROR(VLOOKUP($A108,Race_2024_Seasonal!A:X,15,FALSE),0)</f>
        <v>0</v>
      </c>
      <c r="M108" s="624">
        <f>IFERROR(VLOOKUP($A108,Race_2024_Seasonal!A:X,16,FALSE),0)</f>
        <v>0</v>
      </c>
      <c r="N108" s="624">
        <f>IFERROR(VLOOKUP($A108,Race_2024_Seasonal!A:X,17,FALSE),0)</f>
        <v>0</v>
      </c>
      <c r="O108" s="624">
        <f>IFERROR(VLOOKUP($A108,Race_2024_Seasonal!A:X,18,FALSE),0)</f>
        <v>0</v>
      </c>
      <c r="P108" s="554"/>
      <c r="Q108" s="624">
        <f t="shared" si="1"/>
        <v>0</v>
      </c>
      <c r="R108" s="554"/>
      <c r="S108" s="673">
        <f>Q108-'P&amp;L'!I108</f>
        <v>0</v>
      </c>
    </row>
    <row r="109" spans="1:19" ht="15">
      <c r="A109" s="546" t="s">
        <v>960</v>
      </c>
      <c r="B109" s="546" t="e">
        <f>IFERROR(VLOOKUP(A109,Race_2024_Seasonal!A:C,3,FALSE), VLOOKUP(A109,Race_2024_Seasonal!A:C,3,FALSE))</f>
        <v>#N/A</v>
      </c>
      <c r="C109" s="555" t="s">
        <v>961</v>
      </c>
      <c r="D109" s="624">
        <f>IFERROR(VLOOKUP($A109,Race_2024_Seasonal!A:X,7,FALSE),0)</f>
        <v>0</v>
      </c>
      <c r="E109" s="624">
        <f>IFERROR(VLOOKUP($A109,Race_2024_Seasonal!A:X,8,FALSE),0)</f>
        <v>0</v>
      </c>
      <c r="F109" s="624">
        <f>IFERROR(VLOOKUP($A109,Race_2024_Seasonal!A:X,9,FALSE),0)</f>
        <v>0</v>
      </c>
      <c r="G109" s="624">
        <f>IFERROR(VLOOKUP($A109,Race_2024_Seasonal!A:X,10,FALSE),0)</f>
        <v>0</v>
      </c>
      <c r="H109" s="624">
        <f>IFERROR(VLOOKUP($A109,Race_2024_Seasonal!A:X,11,FALSE),0)</f>
        <v>0</v>
      </c>
      <c r="I109" s="624">
        <f>IFERROR(VLOOKUP($A109,Race_2024_Seasonal!A:X,12,FALSE),0)</f>
        <v>0</v>
      </c>
      <c r="J109" s="624">
        <f>IFERROR(VLOOKUP($A109,Race_2024_Seasonal!A:X,13,FALSE),0)</f>
        <v>0</v>
      </c>
      <c r="K109" s="624">
        <f>IFERROR(VLOOKUP($A109,Race_2024_Seasonal!A:X,14,FALSE),0)</f>
        <v>0</v>
      </c>
      <c r="L109" s="624">
        <f>IFERROR(VLOOKUP($A109,Race_2024_Seasonal!A:X,15,FALSE),0)</f>
        <v>0</v>
      </c>
      <c r="M109" s="624">
        <f>IFERROR(VLOOKUP($A109,Race_2024_Seasonal!A:X,16,FALSE),0)</f>
        <v>0</v>
      </c>
      <c r="N109" s="624">
        <f>IFERROR(VLOOKUP($A109,Race_2024_Seasonal!A:X,17,FALSE),0)</f>
        <v>0</v>
      </c>
      <c r="O109" s="624">
        <f>IFERROR(VLOOKUP($A109,Race_2024_Seasonal!A:X,18,FALSE),0)</f>
        <v>0</v>
      </c>
      <c r="P109" s="554"/>
      <c r="Q109" s="624">
        <f t="shared" si="1"/>
        <v>0</v>
      </c>
      <c r="R109" s="554"/>
      <c r="S109" s="673">
        <f>Q109-'P&amp;L'!I109</f>
        <v>0</v>
      </c>
    </row>
    <row r="110" spans="1:19" ht="15">
      <c r="A110" s="546" t="s">
        <v>962</v>
      </c>
      <c r="B110" s="546" t="e">
        <f>IFERROR(VLOOKUP(A110,Race_2024_Seasonal!A:C,3,FALSE), VLOOKUP(A110,Race_2024_Seasonal!A:C,3,FALSE))</f>
        <v>#N/A</v>
      </c>
      <c r="C110" s="555" t="s">
        <v>963</v>
      </c>
      <c r="D110" s="624">
        <f>IFERROR(VLOOKUP($A110,Race_2024_Seasonal!A:X,7,FALSE),0)</f>
        <v>0</v>
      </c>
      <c r="E110" s="624">
        <f>IFERROR(VLOOKUP($A110,Race_2024_Seasonal!A:X,8,FALSE),0)</f>
        <v>0</v>
      </c>
      <c r="F110" s="624">
        <f>IFERROR(VLOOKUP($A110,Race_2024_Seasonal!A:X,9,FALSE),0)</f>
        <v>0</v>
      </c>
      <c r="G110" s="624">
        <f>IFERROR(VLOOKUP($A110,Race_2024_Seasonal!A:X,10,FALSE),0)</f>
        <v>0</v>
      </c>
      <c r="H110" s="624">
        <f>IFERROR(VLOOKUP($A110,Race_2024_Seasonal!A:X,11,FALSE),0)</f>
        <v>0</v>
      </c>
      <c r="I110" s="624">
        <f>IFERROR(VLOOKUP($A110,Race_2024_Seasonal!A:X,12,FALSE),0)</f>
        <v>0</v>
      </c>
      <c r="J110" s="624">
        <f>IFERROR(VLOOKUP($A110,Race_2024_Seasonal!A:X,13,FALSE),0)</f>
        <v>0</v>
      </c>
      <c r="K110" s="624">
        <f>IFERROR(VLOOKUP($A110,Race_2024_Seasonal!A:X,14,FALSE),0)</f>
        <v>0</v>
      </c>
      <c r="L110" s="624">
        <f>IFERROR(VLOOKUP($A110,Race_2024_Seasonal!A:X,15,FALSE),0)</f>
        <v>0</v>
      </c>
      <c r="M110" s="624">
        <f>IFERROR(VLOOKUP($A110,Race_2024_Seasonal!A:X,16,FALSE),0)</f>
        <v>0</v>
      </c>
      <c r="N110" s="624">
        <f>IFERROR(VLOOKUP($A110,Race_2024_Seasonal!A:X,17,FALSE),0)</f>
        <v>0</v>
      </c>
      <c r="O110" s="624">
        <f>IFERROR(VLOOKUP($A110,Race_2024_Seasonal!A:X,18,FALSE),0)</f>
        <v>0</v>
      </c>
      <c r="P110" s="554"/>
      <c r="Q110" s="624">
        <f t="shared" si="1"/>
        <v>0</v>
      </c>
      <c r="R110" s="554"/>
      <c r="S110" s="673">
        <f>Q110-'P&amp;L'!I110</f>
        <v>0</v>
      </c>
    </row>
    <row r="111" spans="1:19" ht="15">
      <c r="A111" s="546" t="s">
        <v>964</v>
      </c>
      <c r="B111" s="546" t="e">
        <f>IFERROR(VLOOKUP(A111,Race_2024_Seasonal!A:C,3,FALSE), VLOOKUP(A111,Race_2024_Seasonal!A:C,3,FALSE))</f>
        <v>#N/A</v>
      </c>
      <c r="C111" s="555" t="s">
        <v>965</v>
      </c>
      <c r="D111" s="624">
        <f>IFERROR(VLOOKUP($A111,Race_2024_Seasonal!A:X,7,FALSE),0)</f>
        <v>0</v>
      </c>
      <c r="E111" s="624">
        <f>IFERROR(VLOOKUP($A111,Race_2024_Seasonal!A:X,8,FALSE),0)</f>
        <v>0</v>
      </c>
      <c r="F111" s="624">
        <f>IFERROR(VLOOKUP($A111,Race_2024_Seasonal!A:X,9,FALSE),0)</f>
        <v>0</v>
      </c>
      <c r="G111" s="624">
        <f>IFERROR(VLOOKUP($A111,Race_2024_Seasonal!A:X,10,FALSE),0)</f>
        <v>0</v>
      </c>
      <c r="H111" s="624">
        <f>IFERROR(VLOOKUP($A111,Race_2024_Seasonal!A:X,11,FALSE),0)</f>
        <v>0</v>
      </c>
      <c r="I111" s="624">
        <f>IFERROR(VLOOKUP($A111,Race_2024_Seasonal!A:X,12,FALSE),0)</f>
        <v>0</v>
      </c>
      <c r="J111" s="624">
        <f>IFERROR(VLOOKUP($A111,Race_2024_Seasonal!A:X,13,FALSE),0)</f>
        <v>0</v>
      </c>
      <c r="K111" s="624">
        <f>IFERROR(VLOOKUP($A111,Race_2024_Seasonal!A:X,14,FALSE),0)</f>
        <v>0</v>
      </c>
      <c r="L111" s="624">
        <f>IFERROR(VLOOKUP($A111,Race_2024_Seasonal!A:X,15,FALSE),0)</f>
        <v>0</v>
      </c>
      <c r="M111" s="624">
        <f>IFERROR(VLOOKUP($A111,Race_2024_Seasonal!A:X,16,FALSE),0)</f>
        <v>0</v>
      </c>
      <c r="N111" s="624">
        <f>IFERROR(VLOOKUP($A111,Race_2024_Seasonal!A:X,17,FALSE),0)</f>
        <v>0</v>
      </c>
      <c r="O111" s="624">
        <f>IFERROR(VLOOKUP($A111,Race_2024_Seasonal!A:X,18,FALSE),0)</f>
        <v>0</v>
      </c>
      <c r="P111" s="554"/>
      <c r="Q111" s="624">
        <f t="shared" si="1"/>
        <v>0</v>
      </c>
      <c r="R111" s="545"/>
      <c r="S111" s="673">
        <f>Q111-'P&amp;L'!I111</f>
        <v>0</v>
      </c>
    </row>
    <row r="112" spans="1:19" ht="15">
      <c r="A112" s="546" t="s">
        <v>966</v>
      </c>
      <c r="B112" s="546" t="e">
        <f>IFERROR(VLOOKUP(A112,Race_2024_Seasonal!A:C,3,FALSE), VLOOKUP(A112,Race_2024_Seasonal!A:C,3,FALSE))</f>
        <v>#N/A</v>
      </c>
      <c r="C112" s="555" t="s">
        <v>967</v>
      </c>
      <c r="D112" s="624">
        <f>IFERROR(VLOOKUP($A112,Race_2024_Seasonal!A:X,7,FALSE),0)</f>
        <v>0</v>
      </c>
      <c r="E112" s="624">
        <f>IFERROR(VLOOKUP($A112,Race_2024_Seasonal!A:X,8,FALSE),0)</f>
        <v>0</v>
      </c>
      <c r="F112" s="624">
        <f>IFERROR(VLOOKUP($A112,Race_2024_Seasonal!A:X,9,FALSE),0)</f>
        <v>0</v>
      </c>
      <c r="G112" s="624">
        <f>IFERROR(VLOOKUP($A112,Race_2024_Seasonal!A:X,10,FALSE),0)</f>
        <v>0</v>
      </c>
      <c r="H112" s="624">
        <f>IFERROR(VLOOKUP($A112,Race_2024_Seasonal!A:X,11,FALSE),0)</f>
        <v>0</v>
      </c>
      <c r="I112" s="624">
        <f>IFERROR(VLOOKUP($A112,Race_2024_Seasonal!A:X,12,FALSE),0)</f>
        <v>0</v>
      </c>
      <c r="J112" s="624">
        <f>IFERROR(VLOOKUP($A112,Race_2024_Seasonal!A:X,13,FALSE),0)</f>
        <v>0</v>
      </c>
      <c r="K112" s="624">
        <f>IFERROR(VLOOKUP($A112,Race_2024_Seasonal!A:X,14,FALSE),0)</f>
        <v>0</v>
      </c>
      <c r="L112" s="624">
        <f>IFERROR(VLOOKUP($A112,Race_2024_Seasonal!A:X,15,FALSE),0)</f>
        <v>0</v>
      </c>
      <c r="M112" s="624">
        <f>IFERROR(VLOOKUP($A112,Race_2024_Seasonal!A:X,16,FALSE),0)</f>
        <v>0</v>
      </c>
      <c r="N112" s="624">
        <f>IFERROR(VLOOKUP($A112,Race_2024_Seasonal!A:X,17,FALSE),0)</f>
        <v>0</v>
      </c>
      <c r="O112" s="624">
        <f>IFERROR(VLOOKUP($A112,Race_2024_Seasonal!A:X,18,FALSE),0)</f>
        <v>0</v>
      </c>
      <c r="P112" s="554"/>
      <c r="Q112" s="624">
        <f t="shared" si="1"/>
        <v>0</v>
      </c>
      <c r="R112" s="545"/>
      <c r="S112" s="673">
        <f>Q112-'P&amp;L'!I112</f>
        <v>0</v>
      </c>
    </row>
    <row r="113" spans="1:19" ht="15">
      <c r="A113" s="546" t="s">
        <v>968</v>
      </c>
      <c r="B113" s="546" t="e">
        <f>IFERROR(VLOOKUP(A113,Race_2024_Seasonal!A:C,3,FALSE), VLOOKUP(A113,Race_2024_Seasonal!A:C,3,FALSE))</f>
        <v>#N/A</v>
      </c>
      <c r="C113" s="555" t="s">
        <v>969</v>
      </c>
      <c r="D113" s="624">
        <f>IFERROR(VLOOKUP($A113,Race_2024_Seasonal!A:X,7,FALSE),0)</f>
        <v>0</v>
      </c>
      <c r="E113" s="624">
        <f>IFERROR(VLOOKUP($A113,Race_2024_Seasonal!A:X,8,FALSE),0)</f>
        <v>0</v>
      </c>
      <c r="F113" s="624">
        <f>IFERROR(VLOOKUP($A113,Race_2024_Seasonal!A:X,9,FALSE),0)</f>
        <v>0</v>
      </c>
      <c r="G113" s="624">
        <f>IFERROR(VLOOKUP($A113,Race_2024_Seasonal!A:X,10,FALSE),0)</f>
        <v>0</v>
      </c>
      <c r="H113" s="624">
        <f>IFERROR(VLOOKUP($A113,Race_2024_Seasonal!A:X,11,FALSE),0)</f>
        <v>0</v>
      </c>
      <c r="I113" s="624">
        <f>IFERROR(VLOOKUP($A113,Race_2024_Seasonal!A:X,12,FALSE),0)</f>
        <v>0</v>
      </c>
      <c r="J113" s="624">
        <f>IFERROR(VLOOKUP($A113,Race_2024_Seasonal!A:X,13,FALSE),0)</f>
        <v>0</v>
      </c>
      <c r="K113" s="624">
        <f>IFERROR(VLOOKUP($A113,Race_2024_Seasonal!A:X,14,FALSE),0)</f>
        <v>0</v>
      </c>
      <c r="L113" s="624">
        <f>IFERROR(VLOOKUP($A113,Race_2024_Seasonal!A:X,15,FALSE),0)</f>
        <v>0</v>
      </c>
      <c r="M113" s="624">
        <f>IFERROR(VLOOKUP($A113,Race_2024_Seasonal!A:X,16,FALSE),0)</f>
        <v>0</v>
      </c>
      <c r="N113" s="624">
        <f>IFERROR(VLOOKUP($A113,Race_2024_Seasonal!A:X,17,FALSE),0)</f>
        <v>0</v>
      </c>
      <c r="O113" s="624">
        <f>IFERROR(VLOOKUP($A113,Race_2024_Seasonal!A:X,18,FALSE),0)</f>
        <v>0</v>
      </c>
      <c r="P113" s="554"/>
      <c r="Q113" s="624">
        <f t="shared" si="1"/>
        <v>0</v>
      </c>
      <c r="R113" s="545"/>
      <c r="S113" s="673">
        <f>Q113-'P&amp;L'!I113</f>
        <v>0</v>
      </c>
    </row>
    <row r="114" spans="1:19" ht="15">
      <c r="A114" s="546" t="s">
        <v>970</v>
      </c>
      <c r="B114" s="546" t="e">
        <f>IFERROR(VLOOKUP(A114,Race_2024_Seasonal!A:C,3,FALSE), VLOOKUP(A114,Race_2024_Seasonal!A:C,3,FALSE))</f>
        <v>#N/A</v>
      </c>
      <c r="C114" s="555" t="s">
        <v>971</v>
      </c>
      <c r="D114" s="624">
        <f>IFERROR(VLOOKUP($A114,Race_2024_Seasonal!A:X,7,FALSE),0)</f>
        <v>0</v>
      </c>
      <c r="E114" s="624">
        <f>IFERROR(VLOOKUP($A114,Race_2024_Seasonal!A:X,8,FALSE),0)</f>
        <v>0</v>
      </c>
      <c r="F114" s="624">
        <f>IFERROR(VLOOKUP($A114,Race_2024_Seasonal!A:X,9,FALSE),0)</f>
        <v>0</v>
      </c>
      <c r="G114" s="624">
        <f>IFERROR(VLOOKUP($A114,Race_2024_Seasonal!A:X,10,FALSE),0)</f>
        <v>0</v>
      </c>
      <c r="H114" s="624">
        <f>IFERROR(VLOOKUP($A114,Race_2024_Seasonal!A:X,11,FALSE),0)</f>
        <v>0</v>
      </c>
      <c r="I114" s="624">
        <f>IFERROR(VLOOKUP($A114,Race_2024_Seasonal!A:X,12,FALSE),0)</f>
        <v>0</v>
      </c>
      <c r="J114" s="624">
        <f>IFERROR(VLOOKUP($A114,Race_2024_Seasonal!A:X,13,FALSE),0)</f>
        <v>0</v>
      </c>
      <c r="K114" s="624">
        <f>IFERROR(VLOOKUP($A114,Race_2024_Seasonal!A:X,14,FALSE),0)</f>
        <v>0</v>
      </c>
      <c r="L114" s="624">
        <f>IFERROR(VLOOKUP($A114,Race_2024_Seasonal!A:X,15,FALSE),0)</f>
        <v>0</v>
      </c>
      <c r="M114" s="624">
        <f>IFERROR(VLOOKUP($A114,Race_2024_Seasonal!A:X,16,FALSE),0)</f>
        <v>0</v>
      </c>
      <c r="N114" s="624">
        <f>IFERROR(VLOOKUP($A114,Race_2024_Seasonal!A:X,17,FALSE),0)</f>
        <v>0</v>
      </c>
      <c r="O114" s="624">
        <f>IFERROR(VLOOKUP($A114,Race_2024_Seasonal!A:X,18,FALSE),0)</f>
        <v>0</v>
      </c>
      <c r="P114" s="554"/>
      <c r="Q114" s="624">
        <f t="shared" si="1"/>
        <v>0</v>
      </c>
      <c r="R114" s="545"/>
      <c r="S114" s="673">
        <f>Q114-'P&amp;L'!I114</f>
        <v>0</v>
      </c>
    </row>
    <row r="115" spans="1:19" ht="15">
      <c r="A115" s="546" t="s">
        <v>972</v>
      </c>
      <c r="B115" s="546" t="e">
        <f>IFERROR(VLOOKUP(A115,Race_2024_Seasonal!A:C,3,FALSE), VLOOKUP(A115,Race_2024_Seasonal!A:C,3,FALSE))</f>
        <v>#N/A</v>
      </c>
      <c r="C115" s="555" t="s">
        <v>973</v>
      </c>
      <c r="D115" s="627">
        <f>IFERROR(VLOOKUP($A115,Race_2024_Seasonal!A:X,7,FALSE),0)</f>
        <v>0</v>
      </c>
      <c r="E115" s="627">
        <f>IFERROR(VLOOKUP($A115,Race_2024_Seasonal!A:X,8,FALSE),0)</f>
        <v>0</v>
      </c>
      <c r="F115" s="627">
        <f>IFERROR(VLOOKUP($A115,Race_2024_Seasonal!A:X,9,FALSE),0)</f>
        <v>0</v>
      </c>
      <c r="G115" s="627">
        <f>IFERROR(VLOOKUP($A115,Race_2024_Seasonal!A:X,10,FALSE),0)</f>
        <v>0</v>
      </c>
      <c r="H115" s="627">
        <f>IFERROR(VLOOKUP($A115,Race_2024_Seasonal!A:X,11,FALSE),0)</f>
        <v>0</v>
      </c>
      <c r="I115" s="627">
        <f>IFERROR(VLOOKUP($A115,Race_2024_Seasonal!A:X,12,FALSE),0)</f>
        <v>0</v>
      </c>
      <c r="J115" s="627">
        <f>IFERROR(VLOOKUP($A115,Race_2024_Seasonal!A:X,13,FALSE),0)</f>
        <v>0</v>
      </c>
      <c r="K115" s="627">
        <f>IFERROR(VLOOKUP($A115,Race_2024_Seasonal!A:X,14,FALSE),0)</f>
        <v>0</v>
      </c>
      <c r="L115" s="627">
        <f>IFERROR(VLOOKUP($A115,Race_2024_Seasonal!A:X,15,FALSE),0)</f>
        <v>0</v>
      </c>
      <c r="M115" s="627">
        <f>IFERROR(VLOOKUP($A115,Race_2024_Seasonal!A:X,16,FALSE),0)</f>
        <v>0</v>
      </c>
      <c r="N115" s="627">
        <f>IFERROR(VLOOKUP($A115,Race_2024_Seasonal!A:X,17,FALSE),0)</f>
        <v>0</v>
      </c>
      <c r="O115" s="627">
        <f>IFERROR(VLOOKUP($A115,Race_2024_Seasonal!A:X,18,FALSE),0)</f>
        <v>0</v>
      </c>
      <c r="P115" s="554"/>
      <c r="Q115" s="627">
        <f t="shared" si="1"/>
        <v>0</v>
      </c>
      <c r="R115" s="545"/>
      <c r="S115" s="673">
        <f>Q115-'P&amp;L'!I115</f>
        <v>0</v>
      </c>
    </row>
    <row r="116" spans="1:19" ht="15">
      <c r="A116" s="546" t="s">
        <v>974</v>
      </c>
      <c r="B116" s="546" t="e">
        <f>IFERROR(VLOOKUP(A116,Race_2024_Seasonal!A:C,3,FALSE), VLOOKUP(A116,Race_2024_Seasonal!A:C,3,FALSE))</f>
        <v>#N/A</v>
      </c>
      <c r="C116" s="556" t="s">
        <v>975</v>
      </c>
      <c r="D116" s="627">
        <f>IFERROR(VLOOKUP($A116,Race_2024_Seasonal!A:X,7,FALSE),0)</f>
        <v>0</v>
      </c>
      <c r="E116" s="627">
        <f>IFERROR(VLOOKUP($A116,Race_2024_Seasonal!A:X,8,FALSE),0)</f>
        <v>0</v>
      </c>
      <c r="F116" s="627">
        <f>IFERROR(VLOOKUP($A116,Race_2024_Seasonal!A:X,9,FALSE),0)</f>
        <v>0</v>
      </c>
      <c r="G116" s="627">
        <f>IFERROR(VLOOKUP($A116,Race_2024_Seasonal!A:X,10,FALSE),0)</f>
        <v>0</v>
      </c>
      <c r="H116" s="627">
        <f>IFERROR(VLOOKUP($A116,Race_2024_Seasonal!A:X,11,FALSE),0)</f>
        <v>0</v>
      </c>
      <c r="I116" s="627">
        <f>IFERROR(VLOOKUP($A116,Race_2024_Seasonal!A:X,12,FALSE),0)</f>
        <v>0</v>
      </c>
      <c r="J116" s="627">
        <f>IFERROR(VLOOKUP($A116,Race_2024_Seasonal!A:X,13,FALSE),0)</f>
        <v>0</v>
      </c>
      <c r="K116" s="627">
        <f>IFERROR(VLOOKUP($A116,Race_2024_Seasonal!A:X,14,FALSE),0)</f>
        <v>0</v>
      </c>
      <c r="L116" s="627">
        <f>IFERROR(VLOOKUP($A116,Race_2024_Seasonal!A:X,15,FALSE),0)</f>
        <v>0</v>
      </c>
      <c r="M116" s="627">
        <f>IFERROR(VLOOKUP($A116,Race_2024_Seasonal!A:X,16,FALSE),0)</f>
        <v>0</v>
      </c>
      <c r="N116" s="627">
        <f>IFERROR(VLOOKUP($A116,Race_2024_Seasonal!A:X,17,FALSE),0)</f>
        <v>0</v>
      </c>
      <c r="O116" s="627">
        <f>IFERROR(VLOOKUP($A116,Race_2024_Seasonal!A:X,18,FALSE),0)</f>
        <v>0</v>
      </c>
      <c r="P116" s="554"/>
      <c r="Q116" s="627">
        <f t="shared" si="1"/>
        <v>0</v>
      </c>
      <c r="R116" s="545"/>
      <c r="S116" s="673">
        <f>Q116-'P&amp;L'!I116</f>
        <v>0</v>
      </c>
    </row>
    <row r="117" spans="1:19" ht="15">
      <c r="A117" s="546" t="s">
        <v>976</v>
      </c>
      <c r="B117" s="546" t="e">
        <f>IFERROR(VLOOKUP(A117,Race_2024_Seasonal!A:C,3,FALSE), VLOOKUP(A117,Race_2024_Seasonal!A:C,3,FALSE))</f>
        <v>#N/A</v>
      </c>
      <c r="C117" s="555" t="s">
        <v>977</v>
      </c>
      <c r="D117" s="624">
        <f>IFERROR(VLOOKUP($A117,Race_2024_Seasonal!A:X,7,FALSE),0)</f>
        <v>0</v>
      </c>
      <c r="E117" s="624">
        <f>IFERROR(VLOOKUP($A117,Race_2024_Seasonal!A:X,8,FALSE),0)</f>
        <v>0</v>
      </c>
      <c r="F117" s="624">
        <f>IFERROR(VLOOKUP($A117,Race_2024_Seasonal!A:X,9,FALSE),0)</f>
        <v>0</v>
      </c>
      <c r="G117" s="624">
        <f>IFERROR(VLOOKUP($A117,Race_2024_Seasonal!A:X,10,FALSE),0)</f>
        <v>0</v>
      </c>
      <c r="H117" s="624">
        <f>IFERROR(VLOOKUP($A117,Race_2024_Seasonal!A:X,11,FALSE),0)</f>
        <v>0</v>
      </c>
      <c r="I117" s="624">
        <f>IFERROR(VLOOKUP($A117,Race_2024_Seasonal!A:X,12,FALSE),0)</f>
        <v>0</v>
      </c>
      <c r="J117" s="624">
        <f>IFERROR(VLOOKUP($A117,Race_2024_Seasonal!A:X,13,FALSE),0)</f>
        <v>0</v>
      </c>
      <c r="K117" s="624">
        <f>IFERROR(VLOOKUP($A117,Race_2024_Seasonal!A:X,14,FALSE),0)</f>
        <v>0</v>
      </c>
      <c r="L117" s="624">
        <f>IFERROR(VLOOKUP($A117,Race_2024_Seasonal!A:X,15,FALSE),0)</f>
        <v>0</v>
      </c>
      <c r="M117" s="624">
        <f>IFERROR(VLOOKUP($A117,Race_2024_Seasonal!A:X,16,FALSE),0)</f>
        <v>0</v>
      </c>
      <c r="N117" s="624">
        <f>IFERROR(VLOOKUP($A117,Race_2024_Seasonal!A:X,17,FALSE),0)</f>
        <v>0</v>
      </c>
      <c r="O117" s="624">
        <f>IFERROR(VLOOKUP($A117,Race_2024_Seasonal!A:X,18,FALSE),0)</f>
        <v>0</v>
      </c>
      <c r="P117" s="554"/>
      <c r="Q117" s="624">
        <f t="shared" si="1"/>
        <v>0</v>
      </c>
      <c r="R117" s="545"/>
      <c r="S117" s="673">
        <f>Q117-'P&amp;L'!I117</f>
        <v>0</v>
      </c>
    </row>
    <row r="118" spans="1:19" ht="15">
      <c r="A118" s="546" t="s">
        <v>978</v>
      </c>
      <c r="B118" s="546" t="e">
        <f>IFERROR(VLOOKUP(A118,Race_2024_Seasonal!A:C,3,FALSE), VLOOKUP(A118,Race_2024_Seasonal!A:C,3,FALSE))</f>
        <v>#N/A</v>
      </c>
      <c r="C118" s="555" t="s">
        <v>979</v>
      </c>
      <c r="D118" s="624">
        <f>IFERROR(VLOOKUP($A118,Race_2024_Seasonal!A:X,7,FALSE),0)</f>
        <v>0</v>
      </c>
      <c r="E118" s="624">
        <f>IFERROR(VLOOKUP($A118,Race_2024_Seasonal!A:X,8,FALSE),0)</f>
        <v>0</v>
      </c>
      <c r="F118" s="624">
        <f>IFERROR(VLOOKUP($A118,Race_2024_Seasonal!A:X,9,FALSE),0)</f>
        <v>0</v>
      </c>
      <c r="G118" s="624">
        <f>IFERROR(VLOOKUP($A118,Race_2024_Seasonal!A:X,10,FALSE),0)</f>
        <v>0</v>
      </c>
      <c r="H118" s="624">
        <f>IFERROR(VLOOKUP($A118,Race_2024_Seasonal!A:X,11,FALSE),0)</f>
        <v>0</v>
      </c>
      <c r="I118" s="624">
        <f>IFERROR(VLOOKUP($A118,Race_2024_Seasonal!A:X,12,FALSE),0)</f>
        <v>0</v>
      </c>
      <c r="J118" s="624">
        <f>IFERROR(VLOOKUP($A118,Race_2024_Seasonal!A:X,13,FALSE),0)</f>
        <v>0</v>
      </c>
      <c r="K118" s="624">
        <f>IFERROR(VLOOKUP($A118,Race_2024_Seasonal!A:X,14,FALSE),0)</f>
        <v>0</v>
      </c>
      <c r="L118" s="624">
        <f>IFERROR(VLOOKUP($A118,Race_2024_Seasonal!A:X,15,FALSE),0)</f>
        <v>0</v>
      </c>
      <c r="M118" s="624">
        <f>IFERROR(VLOOKUP($A118,Race_2024_Seasonal!A:X,16,FALSE),0)</f>
        <v>0</v>
      </c>
      <c r="N118" s="624">
        <f>IFERROR(VLOOKUP($A118,Race_2024_Seasonal!A:X,17,FALSE),0)</f>
        <v>0</v>
      </c>
      <c r="O118" s="624">
        <f>IFERROR(VLOOKUP($A118,Race_2024_Seasonal!A:X,18,FALSE),0)</f>
        <v>0</v>
      </c>
      <c r="P118" s="554"/>
      <c r="Q118" s="624">
        <f t="shared" si="1"/>
        <v>0</v>
      </c>
      <c r="R118" s="545"/>
      <c r="S118" s="673">
        <f>Q118-'P&amp;L'!I118</f>
        <v>0</v>
      </c>
    </row>
    <row r="119" spans="1:19" ht="15">
      <c r="A119" s="546" t="s">
        <v>980</v>
      </c>
      <c r="B119" s="546" t="e">
        <f>IFERROR(VLOOKUP(A119,Race_2024_Seasonal!A:C,3,FALSE), VLOOKUP(A119,Race_2024_Seasonal!A:C,3,FALSE))</f>
        <v>#N/A</v>
      </c>
      <c r="C119" s="553" t="s">
        <v>981</v>
      </c>
      <c r="D119" s="624">
        <f>IFERROR(VLOOKUP($A119,Race_2024_Seasonal!A:X,7,FALSE),0)</f>
        <v>0</v>
      </c>
      <c r="E119" s="624">
        <f>IFERROR(VLOOKUP($A119,Race_2024_Seasonal!A:X,8,FALSE),0)</f>
        <v>0</v>
      </c>
      <c r="F119" s="624">
        <f>IFERROR(VLOOKUP($A119,Race_2024_Seasonal!A:X,9,FALSE),0)</f>
        <v>0</v>
      </c>
      <c r="G119" s="624">
        <f>IFERROR(VLOOKUP($A119,Race_2024_Seasonal!A:X,10,FALSE),0)</f>
        <v>0</v>
      </c>
      <c r="H119" s="624">
        <f>IFERROR(VLOOKUP($A119,Race_2024_Seasonal!A:X,11,FALSE),0)</f>
        <v>0</v>
      </c>
      <c r="I119" s="624">
        <f>IFERROR(VLOOKUP($A119,Race_2024_Seasonal!A:X,12,FALSE),0)</f>
        <v>0</v>
      </c>
      <c r="J119" s="624">
        <f>IFERROR(VLOOKUP($A119,Race_2024_Seasonal!A:X,13,FALSE),0)</f>
        <v>0</v>
      </c>
      <c r="K119" s="624">
        <f>IFERROR(VLOOKUP($A119,Race_2024_Seasonal!A:X,14,FALSE),0)</f>
        <v>0</v>
      </c>
      <c r="L119" s="624">
        <f>IFERROR(VLOOKUP($A119,Race_2024_Seasonal!A:X,15,FALSE),0)</f>
        <v>0</v>
      </c>
      <c r="M119" s="624">
        <f>IFERROR(VLOOKUP($A119,Race_2024_Seasonal!A:X,16,FALSE),0)</f>
        <v>0</v>
      </c>
      <c r="N119" s="624">
        <f>IFERROR(VLOOKUP($A119,Race_2024_Seasonal!A:X,17,FALSE),0)</f>
        <v>0</v>
      </c>
      <c r="O119" s="624">
        <f>IFERROR(VLOOKUP($A119,Race_2024_Seasonal!A:X,18,FALSE),0)</f>
        <v>0</v>
      </c>
      <c r="P119" s="554"/>
      <c r="Q119" s="624">
        <f t="shared" si="1"/>
        <v>0</v>
      </c>
      <c r="R119" s="545"/>
      <c r="S119" s="673">
        <f>Q119-'P&amp;L'!I119</f>
        <v>0</v>
      </c>
    </row>
    <row r="120" spans="1:19" ht="15">
      <c r="A120" s="546" t="s">
        <v>982</v>
      </c>
      <c r="B120" s="546" t="e">
        <f>IFERROR(VLOOKUP(A120,Race_2024_Seasonal!A:C,3,FALSE), VLOOKUP(A120,Race_2024_Seasonal!A:C,3,FALSE))</f>
        <v>#N/A</v>
      </c>
      <c r="C120" s="549" t="s">
        <v>983</v>
      </c>
      <c r="D120" s="624">
        <f>IFERROR(VLOOKUP($A120,Race_2024_Seasonal!A:X,7,FALSE),0)</f>
        <v>0</v>
      </c>
      <c r="E120" s="624">
        <f>IFERROR(VLOOKUP($A120,Race_2024_Seasonal!A:X,8,FALSE),0)</f>
        <v>0</v>
      </c>
      <c r="F120" s="624">
        <f>IFERROR(VLOOKUP($A120,Race_2024_Seasonal!A:X,9,FALSE),0)</f>
        <v>0</v>
      </c>
      <c r="G120" s="624">
        <f>IFERROR(VLOOKUP($A120,Race_2024_Seasonal!A:X,10,FALSE),0)</f>
        <v>0</v>
      </c>
      <c r="H120" s="624">
        <f>IFERROR(VLOOKUP($A120,Race_2024_Seasonal!A:X,11,FALSE),0)</f>
        <v>0</v>
      </c>
      <c r="I120" s="624">
        <f>IFERROR(VLOOKUP($A120,Race_2024_Seasonal!A:X,12,FALSE),0)</f>
        <v>0</v>
      </c>
      <c r="J120" s="624">
        <f>IFERROR(VLOOKUP($A120,Race_2024_Seasonal!A:X,13,FALSE),0)</f>
        <v>0</v>
      </c>
      <c r="K120" s="624">
        <f>IFERROR(VLOOKUP($A120,Race_2024_Seasonal!A:X,14,FALSE),0)</f>
        <v>0</v>
      </c>
      <c r="L120" s="624">
        <f>IFERROR(VLOOKUP($A120,Race_2024_Seasonal!A:X,15,FALSE),0)</f>
        <v>0</v>
      </c>
      <c r="M120" s="624">
        <f>IFERROR(VLOOKUP($A120,Race_2024_Seasonal!A:X,16,FALSE),0)</f>
        <v>0</v>
      </c>
      <c r="N120" s="624">
        <f>IFERROR(VLOOKUP($A120,Race_2024_Seasonal!A:X,17,FALSE),0)</f>
        <v>0</v>
      </c>
      <c r="O120" s="624">
        <f>IFERROR(VLOOKUP($A120,Race_2024_Seasonal!A:X,18,FALSE),0)</f>
        <v>0</v>
      </c>
      <c r="P120" s="545"/>
      <c r="Q120" s="624">
        <f t="shared" si="1"/>
        <v>0</v>
      </c>
      <c r="R120" s="545"/>
      <c r="S120" s="673">
        <f>Q120-'P&amp;L'!I120</f>
        <v>0</v>
      </c>
    </row>
    <row r="121" spans="1:19" ht="15">
      <c r="A121" s="546" t="s">
        <v>984</v>
      </c>
      <c r="B121" s="546" t="e">
        <f>IFERROR(VLOOKUP(A121,Race_2024_Seasonal!A:C,3,FALSE), VLOOKUP(A121,Race_2024_Seasonal!A:C,3,FALSE))</f>
        <v>#N/A</v>
      </c>
      <c r="C121" s="549" t="s">
        <v>985</v>
      </c>
      <c r="D121" s="627">
        <f>IFERROR(VLOOKUP($A121,Race_2024_Seasonal!A:X,7,FALSE),0)</f>
        <v>0</v>
      </c>
      <c r="E121" s="627">
        <f>IFERROR(VLOOKUP($A121,Race_2024_Seasonal!A:X,8,FALSE),0)</f>
        <v>0</v>
      </c>
      <c r="F121" s="627">
        <f>IFERROR(VLOOKUP($A121,Race_2024_Seasonal!A:X,9,FALSE),0)</f>
        <v>0</v>
      </c>
      <c r="G121" s="627">
        <f>IFERROR(VLOOKUP($A121,Race_2024_Seasonal!A:X,10,FALSE),0)</f>
        <v>0</v>
      </c>
      <c r="H121" s="627">
        <f>IFERROR(VLOOKUP($A121,Race_2024_Seasonal!A:X,11,FALSE),0)</f>
        <v>0</v>
      </c>
      <c r="I121" s="627">
        <f>IFERROR(VLOOKUP($A121,Race_2024_Seasonal!A:X,12,FALSE),0)</f>
        <v>0</v>
      </c>
      <c r="J121" s="627">
        <f>IFERROR(VLOOKUP($A121,Race_2024_Seasonal!A:X,13,FALSE),0)</f>
        <v>0</v>
      </c>
      <c r="K121" s="627">
        <f>IFERROR(VLOOKUP($A121,Race_2024_Seasonal!A:X,14,FALSE),0)</f>
        <v>0</v>
      </c>
      <c r="L121" s="627">
        <f>IFERROR(VLOOKUP($A121,Race_2024_Seasonal!A:X,15,FALSE),0)</f>
        <v>0</v>
      </c>
      <c r="M121" s="627">
        <f>IFERROR(VLOOKUP($A121,Race_2024_Seasonal!A:X,16,FALSE),0)</f>
        <v>0</v>
      </c>
      <c r="N121" s="627">
        <f>IFERROR(VLOOKUP($A121,Race_2024_Seasonal!A:X,17,FALSE),0)</f>
        <v>0</v>
      </c>
      <c r="O121" s="627">
        <f>IFERROR(VLOOKUP($A121,Race_2024_Seasonal!A:X,18,FALSE),0)</f>
        <v>0</v>
      </c>
      <c r="P121" s="554"/>
      <c r="Q121" s="627">
        <f t="shared" si="1"/>
        <v>0</v>
      </c>
      <c r="R121" s="545"/>
      <c r="S121" s="673">
        <f>Q121-'P&amp;L'!I121</f>
        <v>0</v>
      </c>
    </row>
    <row r="122" spans="1:19" ht="15">
      <c r="A122" s="546" t="s">
        <v>986</v>
      </c>
      <c r="B122" s="546" t="e">
        <f>IFERROR(VLOOKUP(A122,Race_2024_Seasonal!A:C,3,FALSE), VLOOKUP(A122,Race_2024_Seasonal!A:C,3,FALSE))</f>
        <v>#N/A</v>
      </c>
      <c r="C122" s="549" t="s">
        <v>987</v>
      </c>
      <c r="D122" s="627">
        <f>IFERROR(VLOOKUP($A122,Race_2024_Seasonal!A:X,7,FALSE),0)</f>
        <v>0</v>
      </c>
      <c r="E122" s="627">
        <f>IFERROR(VLOOKUP($A122,Race_2024_Seasonal!A:X,8,FALSE),0)</f>
        <v>0</v>
      </c>
      <c r="F122" s="627">
        <f>IFERROR(VLOOKUP($A122,Race_2024_Seasonal!A:X,9,FALSE),0)</f>
        <v>0</v>
      </c>
      <c r="G122" s="627">
        <f>IFERROR(VLOOKUP($A122,Race_2024_Seasonal!A:X,10,FALSE),0)</f>
        <v>0</v>
      </c>
      <c r="H122" s="627">
        <f>IFERROR(VLOOKUP($A122,Race_2024_Seasonal!A:X,11,FALSE),0)</f>
        <v>0</v>
      </c>
      <c r="I122" s="627">
        <f>IFERROR(VLOOKUP($A122,Race_2024_Seasonal!A:X,12,FALSE),0)</f>
        <v>0</v>
      </c>
      <c r="J122" s="627">
        <f>IFERROR(VLOOKUP($A122,Race_2024_Seasonal!A:X,13,FALSE),0)</f>
        <v>0</v>
      </c>
      <c r="K122" s="627">
        <f>IFERROR(VLOOKUP($A122,Race_2024_Seasonal!A:X,14,FALSE),0)</f>
        <v>0</v>
      </c>
      <c r="L122" s="627">
        <f>IFERROR(VLOOKUP($A122,Race_2024_Seasonal!A:X,15,FALSE),0)</f>
        <v>0</v>
      </c>
      <c r="M122" s="627">
        <f>IFERROR(VLOOKUP($A122,Race_2024_Seasonal!A:X,16,FALSE),0)</f>
        <v>0</v>
      </c>
      <c r="N122" s="627">
        <f>IFERROR(VLOOKUP($A122,Race_2024_Seasonal!A:X,17,FALSE),0)</f>
        <v>0</v>
      </c>
      <c r="O122" s="627">
        <f>IFERROR(VLOOKUP($A122,Race_2024_Seasonal!A:X,18,FALSE),0)</f>
        <v>0</v>
      </c>
      <c r="P122" s="554"/>
      <c r="Q122" s="627">
        <f t="shared" si="1"/>
        <v>0</v>
      </c>
      <c r="R122" s="545"/>
      <c r="S122" s="673">
        <f>Q122-'P&amp;L'!I122</f>
        <v>0</v>
      </c>
    </row>
    <row r="123" spans="1:19" ht="15">
      <c r="A123" s="546" t="s">
        <v>988</v>
      </c>
      <c r="B123" s="546" t="e">
        <f>IFERROR(VLOOKUP(A123,Race_2024_Seasonal!A:C,3,FALSE), VLOOKUP(A123,Race_2024_Seasonal!A:C,3,FALSE))</f>
        <v>#N/A</v>
      </c>
      <c r="C123" s="549" t="s">
        <v>989</v>
      </c>
      <c r="D123" s="627">
        <f>IFERROR(VLOOKUP($A123,Race_2024_Seasonal!A:X,7,FALSE),0)</f>
        <v>0</v>
      </c>
      <c r="E123" s="627">
        <f>IFERROR(VLOOKUP($A123,Race_2024_Seasonal!A:X,8,FALSE),0)</f>
        <v>0</v>
      </c>
      <c r="F123" s="627">
        <f>IFERROR(VLOOKUP($A123,Race_2024_Seasonal!A:X,9,FALSE),0)</f>
        <v>0</v>
      </c>
      <c r="G123" s="627">
        <f>IFERROR(VLOOKUP($A123,Race_2024_Seasonal!A:X,10,FALSE),0)</f>
        <v>0</v>
      </c>
      <c r="H123" s="627">
        <f>IFERROR(VLOOKUP($A123,Race_2024_Seasonal!A:X,11,FALSE),0)</f>
        <v>0</v>
      </c>
      <c r="I123" s="627">
        <f>IFERROR(VLOOKUP($A123,Race_2024_Seasonal!A:X,12,FALSE),0)</f>
        <v>0</v>
      </c>
      <c r="J123" s="627">
        <f>IFERROR(VLOOKUP($A123,Race_2024_Seasonal!A:X,13,FALSE),0)</f>
        <v>0</v>
      </c>
      <c r="K123" s="627">
        <f>IFERROR(VLOOKUP($A123,Race_2024_Seasonal!A:X,14,FALSE),0)</f>
        <v>0</v>
      </c>
      <c r="L123" s="627">
        <f>IFERROR(VLOOKUP($A123,Race_2024_Seasonal!A:X,15,FALSE),0)</f>
        <v>0</v>
      </c>
      <c r="M123" s="627">
        <f>IFERROR(VLOOKUP($A123,Race_2024_Seasonal!A:X,16,FALSE),0)</f>
        <v>0</v>
      </c>
      <c r="N123" s="627">
        <f>IFERROR(VLOOKUP($A123,Race_2024_Seasonal!A:X,17,FALSE),0)</f>
        <v>0</v>
      </c>
      <c r="O123" s="627">
        <f>IFERROR(VLOOKUP($A123,Race_2024_Seasonal!A:X,18,FALSE),0)</f>
        <v>0</v>
      </c>
      <c r="P123" s="554"/>
      <c r="Q123" s="627">
        <f t="shared" si="1"/>
        <v>0</v>
      </c>
      <c r="R123" s="545"/>
      <c r="S123" s="673">
        <f>Q123-'P&amp;L'!I123</f>
        <v>0</v>
      </c>
    </row>
    <row r="124" spans="1:19" ht="15">
      <c r="A124" s="546" t="s">
        <v>990</v>
      </c>
      <c r="B124" s="546" t="e">
        <f>IFERROR(VLOOKUP(A124,Race_2024_Seasonal!A:C,3,FALSE), VLOOKUP(A124,Race_2024_Seasonal!A:C,3,FALSE))</f>
        <v>#N/A</v>
      </c>
      <c r="C124" s="549" t="s">
        <v>991</v>
      </c>
      <c r="D124" s="627">
        <f>IFERROR(VLOOKUP($A124,Race_2024_Seasonal!A:X,7,FALSE),0)</f>
        <v>0</v>
      </c>
      <c r="E124" s="627">
        <f>IFERROR(VLOOKUP($A124,Race_2024_Seasonal!A:X,8,FALSE),0)</f>
        <v>0</v>
      </c>
      <c r="F124" s="627">
        <f>IFERROR(VLOOKUP($A124,Race_2024_Seasonal!A:X,9,FALSE),0)</f>
        <v>0</v>
      </c>
      <c r="G124" s="627">
        <f>IFERROR(VLOOKUP($A124,Race_2024_Seasonal!A:X,10,FALSE),0)</f>
        <v>0</v>
      </c>
      <c r="H124" s="627">
        <f>IFERROR(VLOOKUP($A124,Race_2024_Seasonal!A:X,11,FALSE),0)</f>
        <v>0</v>
      </c>
      <c r="I124" s="627">
        <f>IFERROR(VLOOKUP($A124,Race_2024_Seasonal!A:X,12,FALSE),0)</f>
        <v>0</v>
      </c>
      <c r="J124" s="627">
        <f>IFERROR(VLOOKUP($A124,Race_2024_Seasonal!A:X,13,FALSE),0)</f>
        <v>0</v>
      </c>
      <c r="K124" s="627">
        <f>IFERROR(VLOOKUP($A124,Race_2024_Seasonal!A:X,14,FALSE),0)</f>
        <v>0</v>
      </c>
      <c r="L124" s="627">
        <f>IFERROR(VLOOKUP($A124,Race_2024_Seasonal!A:X,15,FALSE),0)</f>
        <v>0</v>
      </c>
      <c r="M124" s="627">
        <f>IFERROR(VLOOKUP($A124,Race_2024_Seasonal!A:X,16,FALSE),0)</f>
        <v>0</v>
      </c>
      <c r="N124" s="627">
        <f>IFERROR(VLOOKUP($A124,Race_2024_Seasonal!A:X,17,FALSE),0)</f>
        <v>0</v>
      </c>
      <c r="O124" s="627">
        <f>IFERROR(VLOOKUP($A124,Race_2024_Seasonal!A:X,18,FALSE),0)</f>
        <v>0</v>
      </c>
      <c r="P124" s="554"/>
      <c r="Q124" s="627">
        <f t="shared" si="1"/>
        <v>0</v>
      </c>
      <c r="R124" s="545"/>
      <c r="S124" s="673">
        <f>Q124-'P&amp;L'!I124</f>
        <v>0</v>
      </c>
    </row>
    <row r="125" spans="1:19" ht="15">
      <c r="A125" s="546" t="s">
        <v>992</v>
      </c>
      <c r="B125" s="546" t="e">
        <f>IFERROR(VLOOKUP(A125,Race_2024_Seasonal!A:C,3,FALSE), VLOOKUP(A125,Race_2024_Seasonal!A:C,3,FALSE))</f>
        <v>#N/A</v>
      </c>
      <c r="C125" s="549" t="s">
        <v>993</v>
      </c>
      <c r="D125" s="627">
        <f>IFERROR(VLOOKUP($A125,Race_2024_Seasonal!A:X,7,FALSE),0)</f>
        <v>0</v>
      </c>
      <c r="E125" s="627">
        <f>IFERROR(VLOOKUP($A125,Race_2024_Seasonal!A:X,8,FALSE),0)</f>
        <v>0</v>
      </c>
      <c r="F125" s="627">
        <f>IFERROR(VLOOKUP($A125,Race_2024_Seasonal!A:X,9,FALSE),0)</f>
        <v>0</v>
      </c>
      <c r="G125" s="627">
        <f>IFERROR(VLOOKUP($A125,Race_2024_Seasonal!A:X,10,FALSE),0)</f>
        <v>0</v>
      </c>
      <c r="H125" s="627">
        <f>IFERROR(VLOOKUP($A125,Race_2024_Seasonal!A:X,11,FALSE),0)</f>
        <v>0</v>
      </c>
      <c r="I125" s="627">
        <f>IFERROR(VLOOKUP($A125,Race_2024_Seasonal!A:X,12,FALSE),0)</f>
        <v>0</v>
      </c>
      <c r="J125" s="627">
        <f>IFERROR(VLOOKUP($A125,Race_2024_Seasonal!A:X,13,FALSE),0)</f>
        <v>0</v>
      </c>
      <c r="K125" s="627">
        <f>IFERROR(VLOOKUP($A125,Race_2024_Seasonal!A:X,14,FALSE),0)</f>
        <v>0</v>
      </c>
      <c r="L125" s="627">
        <f>IFERROR(VLOOKUP($A125,Race_2024_Seasonal!A:X,15,FALSE),0)</f>
        <v>0</v>
      </c>
      <c r="M125" s="627">
        <f>IFERROR(VLOOKUP($A125,Race_2024_Seasonal!A:X,16,FALSE),0)</f>
        <v>0</v>
      </c>
      <c r="N125" s="627">
        <f>IFERROR(VLOOKUP($A125,Race_2024_Seasonal!A:X,17,FALSE),0)</f>
        <v>0</v>
      </c>
      <c r="O125" s="627">
        <f>IFERROR(VLOOKUP($A125,Race_2024_Seasonal!A:X,18,FALSE),0)</f>
        <v>0</v>
      </c>
      <c r="P125" s="554"/>
      <c r="Q125" s="627">
        <f t="shared" si="1"/>
        <v>0</v>
      </c>
      <c r="R125" s="545"/>
      <c r="S125" s="673">
        <f>Q125-'P&amp;L'!I125</f>
        <v>0</v>
      </c>
    </row>
    <row r="126" spans="1:19" ht="15">
      <c r="A126" s="546" t="s">
        <v>994</v>
      </c>
      <c r="B126" s="546" t="e">
        <f>IFERROR(VLOOKUP(A126,Race_2024_Seasonal!A:C,3,FALSE), VLOOKUP(A126,Race_2024_Seasonal!A:C,3,FALSE))</f>
        <v>#N/A</v>
      </c>
      <c r="C126" s="553" t="s">
        <v>995</v>
      </c>
      <c r="D126" s="627">
        <f>IFERROR(VLOOKUP($A126,Race_2024_Seasonal!A:X,7,FALSE),0)</f>
        <v>0</v>
      </c>
      <c r="E126" s="627">
        <f>IFERROR(VLOOKUP($A126,Race_2024_Seasonal!A:X,8,FALSE),0)</f>
        <v>0</v>
      </c>
      <c r="F126" s="627">
        <f>IFERROR(VLOOKUP($A126,Race_2024_Seasonal!A:X,9,FALSE),0)</f>
        <v>0</v>
      </c>
      <c r="G126" s="627">
        <f>IFERROR(VLOOKUP($A126,Race_2024_Seasonal!A:X,10,FALSE),0)</f>
        <v>0</v>
      </c>
      <c r="H126" s="627">
        <f>IFERROR(VLOOKUP($A126,Race_2024_Seasonal!A:X,11,FALSE),0)</f>
        <v>0</v>
      </c>
      <c r="I126" s="627">
        <f>IFERROR(VLOOKUP($A126,Race_2024_Seasonal!A:X,12,FALSE),0)</f>
        <v>0</v>
      </c>
      <c r="J126" s="627">
        <f>IFERROR(VLOOKUP($A126,Race_2024_Seasonal!A:X,13,FALSE),0)</f>
        <v>0</v>
      </c>
      <c r="K126" s="627">
        <f>IFERROR(VLOOKUP($A126,Race_2024_Seasonal!A:X,14,FALSE),0)</f>
        <v>0</v>
      </c>
      <c r="L126" s="627">
        <f>IFERROR(VLOOKUP($A126,Race_2024_Seasonal!A:X,15,FALSE),0)</f>
        <v>0</v>
      </c>
      <c r="M126" s="627">
        <f>IFERROR(VLOOKUP($A126,Race_2024_Seasonal!A:X,16,FALSE),0)</f>
        <v>0</v>
      </c>
      <c r="N126" s="627">
        <f>IFERROR(VLOOKUP($A126,Race_2024_Seasonal!A:X,17,FALSE),0)</f>
        <v>0</v>
      </c>
      <c r="O126" s="627">
        <f>IFERROR(VLOOKUP($A126,Race_2024_Seasonal!A:X,18,FALSE),0)</f>
        <v>0</v>
      </c>
      <c r="P126" s="554"/>
      <c r="Q126" s="627">
        <f t="shared" si="1"/>
        <v>0</v>
      </c>
      <c r="R126" s="545"/>
      <c r="S126" s="673">
        <f>Q126-'P&amp;L'!I126</f>
        <v>0</v>
      </c>
    </row>
    <row r="127" spans="1:19" ht="15">
      <c r="A127" s="546" t="s">
        <v>996</v>
      </c>
      <c r="B127" s="546" t="e">
        <f>IFERROR(VLOOKUP(A127,Race_2024_Seasonal!A:C,3,FALSE), VLOOKUP(A127,Race_2024_Seasonal!A:C,3,FALSE))</f>
        <v>#N/A</v>
      </c>
      <c r="C127" s="553" t="s">
        <v>997</v>
      </c>
      <c r="D127" s="627">
        <f>IFERROR(VLOOKUP($A127,Race_2024_Seasonal!A:X,7,FALSE),0)</f>
        <v>0</v>
      </c>
      <c r="E127" s="627">
        <f>IFERROR(VLOOKUP($A127,Race_2024_Seasonal!A:X,8,FALSE),0)</f>
        <v>0</v>
      </c>
      <c r="F127" s="627">
        <f>IFERROR(VLOOKUP($A127,Race_2024_Seasonal!A:X,9,FALSE),0)</f>
        <v>0</v>
      </c>
      <c r="G127" s="627">
        <f>IFERROR(VLOOKUP($A127,Race_2024_Seasonal!A:X,10,FALSE),0)</f>
        <v>0</v>
      </c>
      <c r="H127" s="627">
        <f>IFERROR(VLOOKUP($A127,Race_2024_Seasonal!A:X,11,FALSE),0)</f>
        <v>0</v>
      </c>
      <c r="I127" s="627">
        <f>IFERROR(VLOOKUP($A127,Race_2024_Seasonal!A:X,12,FALSE),0)</f>
        <v>0</v>
      </c>
      <c r="J127" s="627">
        <f>IFERROR(VLOOKUP($A127,Race_2024_Seasonal!A:X,13,FALSE),0)</f>
        <v>0</v>
      </c>
      <c r="K127" s="627">
        <f>IFERROR(VLOOKUP($A127,Race_2024_Seasonal!A:X,14,FALSE),0)</f>
        <v>0</v>
      </c>
      <c r="L127" s="627">
        <f>IFERROR(VLOOKUP($A127,Race_2024_Seasonal!A:X,15,FALSE),0)</f>
        <v>0</v>
      </c>
      <c r="M127" s="627">
        <f>IFERROR(VLOOKUP($A127,Race_2024_Seasonal!A:X,16,FALSE),0)</f>
        <v>0</v>
      </c>
      <c r="N127" s="627">
        <f>IFERROR(VLOOKUP($A127,Race_2024_Seasonal!A:X,17,FALSE),0)</f>
        <v>0</v>
      </c>
      <c r="O127" s="627">
        <f>IFERROR(VLOOKUP($A127,Race_2024_Seasonal!A:X,18,FALSE),0)</f>
        <v>0</v>
      </c>
      <c r="P127" s="554"/>
      <c r="Q127" s="627">
        <f t="shared" si="1"/>
        <v>0</v>
      </c>
      <c r="R127" s="545"/>
      <c r="S127" s="673">
        <f>Q127-'P&amp;L'!I127</f>
        <v>0</v>
      </c>
    </row>
    <row r="128" spans="1:19" ht="15">
      <c r="A128" s="546" t="s">
        <v>998</v>
      </c>
      <c r="B128" s="546" t="e">
        <f>IFERROR(VLOOKUP(A128,Race_2024_Seasonal!A:C,3,FALSE), VLOOKUP(A128,Race_2024_Seasonal!A:C,3,FALSE))</f>
        <v>#N/A</v>
      </c>
      <c r="C128" s="553" t="s">
        <v>999</v>
      </c>
      <c r="D128" s="624">
        <f>IFERROR(VLOOKUP($A128,Race_2024_Seasonal!A:X,7,FALSE),0)</f>
        <v>0</v>
      </c>
      <c r="E128" s="624">
        <f>IFERROR(VLOOKUP($A128,Race_2024_Seasonal!A:X,8,FALSE),0)</f>
        <v>0</v>
      </c>
      <c r="F128" s="624">
        <f>IFERROR(VLOOKUP($A128,Race_2024_Seasonal!A:X,9,FALSE),0)</f>
        <v>0</v>
      </c>
      <c r="G128" s="624">
        <f>IFERROR(VLOOKUP($A128,Race_2024_Seasonal!A:X,10,FALSE),0)</f>
        <v>0</v>
      </c>
      <c r="H128" s="624">
        <f>IFERROR(VLOOKUP($A128,Race_2024_Seasonal!A:X,11,FALSE),0)</f>
        <v>0</v>
      </c>
      <c r="I128" s="624">
        <f>IFERROR(VLOOKUP($A128,Race_2024_Seasonal!A:X,12,FALSE),0)</f>
        <v>0</v>
      </c>
      <c r="J128" s="624">
        <f>IFERROR(VLOOKUP($A128,Race_2024_Seasonal!A:X,13,FALSE),0)</f>
        <v>0</v>
      </c>
      <c r="K128" s="624">
        <f>IFERROR(VLOOKUP($A128,Race_2024_Seasonal!A:X,14,FALSE),0)</f>
        <v>0</v>
      </c>
      <c r="L128" s="624">
        <f>IFERROR(VLOOKUP($A128,Race_2024_Seasonal!A:X,15,FALSE),0)</f>
        <v>0</v>
      </c>
      <c r="M128" s="624">
        <f>IFERROR(VLOOKUP($A128,Race_2024_Seasonal!A:X,16,FALSE),0)</f>
        <v>0</v>
      </c>
      <c r="N128" s="624">
        <f>IFERROR(VLOOKUP($A128,Race_2024_Seasonal!A:X,17,FALSE),0)</f>
        <v>0</v>
      </c>
      <c r="O128" s="624">
        <f>IFERROR(VLOOKUP($A128,Race_2024_Seasonal!A:X,18,FALSE),0)</f>
        <v>0</v>
      </c>
      <c r="P128" s="554"/>
      <c r="Q128" s="624">
        <f t="shared" si="1"/>
        <v>0</v>
      </c>
      <c r="R128" s="545"/>
      <c r="S128" s="673">
        <f>Q128-'P&amp;L'!I128</f>
        <v>0</v>
      </c>
    </row>
    <row r="129" spans="1:19" ht="15">
      <c r="A129" s="546" t="s">
        <v>1000</v>
      </c>
      <c r="B129" s="546" t="e">
        <f>IFERROR(VLOOKUP(A129,Race_2024_Seasonal!A:C,3,FALSE), VLOOKUP(A129,Race_2024_Seasonal!A:C,3,FALSE))</f>
        <v>#N/A</v>
      </c>
      <c r="C129" s="553" t="s">
        <v>1001</v>
      </c>
      <c r="D129" s="624">
        <f>IFERROR(VLOOKUP($A129,Race_2024_Seasonal!A:X,7,FALSE),0)</f>
        <v>0</v>
      </c>
      <c r="E129" s="624">
        <f>IFERROR(VLOOKUP($A129,Race_2024_Seasonal!A:X,8,FALSE),0)</f>
        <v>0</v>
      </c>
      <c r="F129" s="624">
        <f>IFERROR(VLOOKUP($A129,Race_2024_Seasonal!A:X,9,FALSE),0)</f>
        <v>0</v>
      </c>
      <c r="G129" s="624">
        <f>IFERROR(VLOOKUP($A129,Race_2024_Seasonal!A:X,10,FALSE),0)</f>
        <v>0</v>
      </c>
      <c r="H129" s="624">
        <f>IFERROR(VLOOKUP($A129,Race_2024_Seasonal!A:X,11,FALSE),0)</f>
        <v>0</v>
      </c>
      <c r="I129" s="624">
        <f>IFERROR(VLOOKUP($A129,Race_2024_Seasonal!A:X,12,FALSE),0)</f>
        <v>0</v>
      </c>
      <c r="J129" s="624">
        <f>IFERROR(VLOOKUP($A129,Race_2024_Seasonal!A:X,13,FALSE),0)</f>
        <v>0</v>
      </c>
      <c r="K129" s="624">
        <f>IFERROR(VLOOKUP($A129,Race_2024_Seasonal!A:X,14,FALSE),0)</f>
        <v>0</v>
      </c>
      <c r="L129" s="624">
        <f>IFERROR(VLOOKUP($A129,Race_2024_Seasonal!A:X,15,FALSE),0)</f>
        <v>0</v>
      </c>
      <c r="M129" s="624">
        <f>IFERROR(VLOOKUP($A129,Race_2024_Seasonal!A:X,16,FALSE),0)</f>
        <v>0</v>
      </c>
      <c r="N129" s="624">
        <f>IFERROR(VLOOKUP($A129,Race_2024_Seasonal!A:X,17,FALSE),0)</f>
        <v>0</v>
      </c>
      <c r="O129" s="624">
        <f>IFERROR(VLOOKUP($A129,Race_2024_Seasonal!A:X,18,FALSE),0)</f>
        <v>0</v>
      </c>
      <c r="P129" s="554"/>
      <c r="Q129" s="624">
        <f t="shared" si="1"/>
        <v>0</v>
      </c>
      <c r="R129" s="545"/>
      <c r="S129" s="673">
        <f>Q129-'P&amp;L'!I129</f>
        <v>0</v>
      </c>
    </row>
    <row r="130" spans="1:19" ht="15">
      <c r="A130" s="546" t="s">
        <v>1002</v>
      </c>
      <c r="B130" s="546" t="e">
        <f>IFERROR(VLOOKUP(A130,Race_2024_Seasonal!A:C,3,FALSE), VLOOKUP(A130,Race_2024_Seasonal!A:C,3,FALSE))</f>
        <v>#N/A</v>
      </c>
      <c r="C130" s="553" t="s">
        <v>1003</v>
      </c>
      <c r="D130" s="624">
        <f>IFERROR(VLOOKUP($A130,Race_2024_Seasonal!A:X,7,FALSE),0)</f>
        <v>0</v>
      </c>
      <c r="E130" s="624">
        <f>IFERROR(VLOOKUP($A130,Race_2024_Seasonal!A:X,8,FALSE),0)</f>
        <v>0</v>
      </c>
      <c r="F130" s="624">
        <f>IFERROR(VLOOKUP($A130,Race_2024_Seasonal!A:X,9,FALSE),0)</f>
        <v>0</v>
      </c>
      <c r="G130" s="624">
        <f>IFERROR(VLOOKUP($A130,Race_2024_Seasonal!A:X,10,FALSE),0)</f>
        <v>0</v>
      </c>
      <c r="H130" s="624">
        <f>IFERROR(VLOOKUP($A130,Race_2024_Seasonal!A:X,11,FALSE),0)</f>
        <v>0</v>
      </c>
      <c r="I130" s="624">
        <f>IFERROR(VLOOKUP($A130,Race_2024_Seasonal!A:X,12,FALSE),0)</f>
        <v>0</v>
      </c>
      <c r="J130" s="624">
        <f>IFERROR(VLOOKUP($A130,Race_2024_Seasonal!A:X,13,FALSE),0)</f>
        <v>0</v>
      </c>
      <c r="K130" s="624">
        <f>IFERROR(VLOOKUP($A130,Race_2024_Seasonal!A:X,14,FALSE),0)</f>
        <v>0</v>
      </c>
      <c r="L130" s="624">
        <f>IFERROR(VLOOKUP($A130,Race_2024_Seasonal!A:X,15,FALSE),0)</f>
        <v>0</v>
      </c>
      <c r="M130" s="624">
        <f>IFERROR(VLOOKUP($A130,Race_2024_Seasonal!A:X,16,FALSE),0)</f>
        <v>0</v>
      </c>
      <c r="N130" s="624">
        <f>IFERROR(VLOOKUP($A130,Race_2024_Seasonal!A:X,17,FALSE),0)</f>
        <v>0</v>
      </c>
      <c r="O130" s="624">
        <f>IFERROR(VLOOKUP($A130,Race_2024_Seasonal!A:X,18,FALSE),0)</f>
        <v>0</v>
      </c>
      <c r="P130" s="554"/>
      <c r="Q130" s="624">
        <f t="shared" si="1"/>
        <v>0</v>
      </c>
      <c r="R130" s="545"/>
      <c r="S130" s="673">
        <f>Q130-'P&amp;L'!I130</f>
        <v>0</v>
      </c>
    </row>
    <row r="131" spans="1:19" ht="15">
      <c r="A131" s="546" t="s">
        <v>1004</v>
      </c>
      <c r="B131" s="546" t="e">
        <f>IFERROR(VLOOKUP(A131,Race_2024_Seasonal!A:C,3,FALSE), VLOOKUP(A131,Race_2024_Seasonal!A:C,3,FALSE))</f>
        <v>#N/A</v>
      </c>
      <c r="C131" s="553" t="s">
        <v>1005</v>
      </c>
      <c r="D131" s="624">
        <f>IFERROR(VLOOKUP($A131,Race_2024_Seasonal!A:X,7,FALSE),0)</f>
        <v>0</v>
      </c>
      <c r="E131" s="624">
        <f>IFERROR(VLOOKUP($A131,Race_2024_Seasonal!A:X,8,FALSE),0)</f>
        <v>0</v>
      </c>
      <c r="F131" s="624">
        <f>IFERROR(VLOOKUP($A131,Race_2024_Seasonal!A:X,9,FALSE),0)</f>
        <v>0</v>
      </c>
      <c r="G131" s="624">
        <f>IFERROR(VLOOKUP($A131,Race_2024_Seasonal!A:X,10,FALSE),0)</f>
        <v>0</v>
      </c>
      <c r="H131" s="624">
        <f>IFERROR(VLOOKUP($A131,Race_2024_Seasonal!A:X,11,FALSE),0)</f>
        <v>0</v>
      </c>
      <c r="I131" s="624">
        <f>IFERROR(VLOOKUP($A131,Race_2024_Seasonal!A:X,12,FALSE),0)</f>
        <v>0</v>
      </c>
      <c r="J131" s="624">
        <f>IFERROR(VLOOKUP($A131,Race_2024_Seasonal!A:X,13,FALSE),0)</f>
        <v>0</v>
      </c>
      <c r="K131" s="624">
        <f>IFERROR(VLOOKUP($A131,Race_2024_Seasonal!A:X,14,FALSE),0)</f>
        <v>0</v>
      </c>
      <c r="L131" s="624">
        <f>IFERROR(VLOOKUP($A131,Race_2024_Seasonal!A:X,15,FALSE),0)</f>
        <v>0</v>
      </c>
      <c r="M131" s="624">
        <f>IFERROR(VLOOKUP($A131,Race_2024_Seasonal!A:X,16,FALSE),0)</f>
        <v>0</v>
      </c>
      <c r="N131" s="624">
        <f>IFERROR(VLOOKUP($A131,Race_2024_Seasonal!A:X,17,FALSE),0)</f>
        <v>0</v>
      </c>
      <c r="O131" s="624">
        <f>IFERROR(VLOOKUP($A131,Race_2024_Seasonal!A:X,18,FALSE),0)</f>
        <v>0</v>
      </c>
      <c r="P131" s="554"/>
      <c r="Q131" s="624">
        <f t="shared" si="1"/>
        <v>0</v>
      </c>
      <c r="R131" s="545"/>
      <c r="S131" s="673">
        <f>Q131-'P&amp;L'!I131</f>
        <v>0</v>
      </c>
    </row>
    <row r="132" spans="1:19" ht="15">
      <c r="A132" s="546" t="s">
        <v>1006</v>
      </c>
      <c r="B132" s="546" t="e">
        <f>IFERROR(VLOOKUP(A132,Race_2024_Seasonal!A:C,3,FALSE), VLOOKUP(A132,Race_2024_Seasonal!A:C,3,FALSE))</f>
        <v>#N/A</v>
      </c>
      <c r="C132" s="552" t="s">
        <v>1007</v>
      </c>
      <c r="D132" s="669">
        <f>IFERROR(VLOOKUP($A132,Race_2024_Seasonal!A:X,7,FALSE),0)</f>
        <v>0</v>
      </c>
      <c r="E132" s="669">
        <f>IFERROR(VLOOKUP($A132,Race_2024_Seasonal!A:X,8,FALSE),0)</f>
        <v>0</v>
      </c>
      <c r="F132" s="669">
        <f>IFERROR(VLOOKUP($A132,Race_2024_Seasonal!A:X,9,FALSE),0)</f>
        <v>0</v>
      </c>
      <c r="G132" s="669">
        <f>IFERROR(VLOOKUP($A132,Race_2024_Seasonal!A:X,10,FALSE),0)</f>
        <v>0</v>
      </c>
      <c r="H132" s="669">
        <f>IFERROR(VLOOKUP($A132,Race_2024_Seasonal!A:X,11,FALSE),0)</f>
        <v>0</v>
      </c>
      <c r="I132" s="669">
        <f>IFERROR(VLOOKUP($A132,Race_2024_Seasonal!A:X,12,FALSE),0)</f>
        <v>0</v>
      </c>
      <c r="J132" s="669">
        <f>IFERROR(VLOOKUP($A132,Race_2024_Seasonal!A:X,13,FALSE),0)</f>
        <v>0</v>
      </c>
      <c r="K132" s="669">
        <f>IFERROR(VLOOKUP($A132,Race_2024_Seasonal!A:X,14,FALSE),0)</f>
        <v>0</v>
      </c>
      <c r="L132" s="669">
        <f>IFERROR(VLOOKUP($A132,Race_2024_Seasonal!A:X,15,FALSE),0)</f>
        <v>0</v>
      </c>
      <c r="M132" s="669">
        <f>IFERROR(VLOOKUP($A132,Race_2024_Seasonal!A:X,16,FALSE),0)</f>
        <v>0</v>
      </c>
      <c r="N132" s="669">
        <f>IFERROR(VLOOKUP($A132,Race_2024_Seasonal!A:X,17,FALSE),0)</f>
        <v>0</v>
      </c>
      <c r="O132" s="669">
        <f>IFERROR(VLOOKUP($A132,Race_2024_Seasonal!A:X,18,FALSE),0)</f>
        <v>0</v>
      </c>
      <c r="P132" s="554"/>
      <c r="Q132" s="669">
        <f t="shared" si="1"/>
        <v>0</v>
      </c>
      <c r="R132" s="545"/>
      <c r="S132" s="673">
        <f>Q132-'P&amp;L'!I132</f>
        <v>0</v>
      </c>
    </row>
    <row r="133" spans="1:19" ht="15">
      <c r="A133" s="546" t="s">
        <v>1008</v>
      </c>
      <c r="B133" s="546" t="e">
        <f>IFERROR(VLOOKUP(A133,Race_2024_Seasonal!A:C,3,FALSE), VLOOKUP(A133,Race_2024_Seasonal!A:C,3,FALSE))</f>
        <v>#N/A</v>
      </c>
      <c r="C133" s="549" t="s">
        <v>1009</v>
      </c>
      <c r="D133" s="624">
        <f>IFERROR(VLOOKUP($A133,Race_2024_Seasonal!A:X,7,FALSE),0)</f>
        <v>0</v>
      </c>
      <c r="E133" s="624">
        <f>IFERROR(VLOOKUP($A133,Race_2024_Seasonal!A:X,8,FALSE),0)</f>
        <v>0</v>
      </c>
      <c r="F133" s="624">
        <f>IFERROR(VLOOKUP($A133,Race_2024_Seasonal!A:X,9,FALSE),0)</f>
        <v>0</v>
      </c>
      <c r="G133" s="624">
        <f>IFERROR(VLOOKUP($A133,Race_2024_Seasonal!A:X,10,FALSE),0)</f>
        <v>0</v>
      </c>
      <c r="H133" s="624">
        <f>IFERROR(VLOOKUP($A133,Race_2024_Seasonal!A:X,11,FALSE),0)</f>
        <v>0</v>
      </c>
      <c r="I133" s="624">
        <f>IFERROR(VLOOKUP($A133,Race_2024_Seasonal!A:X,12,FALSE),0)</f>
        <v>0</v>
      </c>
      <c r="J133" s="624">
        <f>IFERROR(VLOOKUP($A133,Race_2024_Seasonal!A:X,13,FALSE),0)</f>
        <v>0</v>
      </c>
      <c r="K133" s="624">
        <f>IFERROR(VLOOKUP($A133,Race_2024_Seasonal!A:X,14,FALSE),0)</f>
        <v>0</v>
      </c>
      <c r="L133" s="624">
        <f>IFERROR(VLOOKUP($A133,Race_2024_Seasonal!A:X,15,FALSE),0)</f>
        <v>0</v>
      </c>
      <c r="M133" s="624">
        <f>IFERROR(VLOOKUP($A133,Race_2024_Seasonal!A:X,16,FALSE),0)</f>
        <v>0</v>
      </c>
      <c r="N133" s="624">
        <f>IFERROR(VLOOKUP($A133,Race_2024_Seasonal!A:X,17,FALSE),0)</f>
        <v>0</v>
      </c>
      <c r="O133" s="624">
        <f>IFERROR(VLOOKUP($A133,Race_2024_Seasonal!A:X,18,FALSE),0)</f>
        <v>0</v>
      </c>
      <c r="P133" s="554"/>
      <c r="Q133" s="624">
        <f t="shared" si="1"/>
        <v>0</v>
      </c>
      <c r="R133" s="545"/>
      <c r="S133" s="673">
        <f>Q133-'P&amp;L'!I133</f>
        <v>0</v>
      </c>
    </row>
    <row r="134" spans="1:19" ht="15">
      <c r="A134" s="617" t="s">
        <v>1010</v>
      </c>
      <c r="B134" s="546" t="str">
        <f>IFERROR(VLOOKUP(A134,Race_2024_Seasonal!A:C,3,FALSE), VLOOKUP(A134,Race_2024_Seasonal!A:C,3,FALSE))</f>
        <v>NOP</v>
      </c>
      <c r="C134" s="618" t="s">
        <v>1011</v>
      </c>
      <c r="D134" s="625">
        <f>IFERROR(VLOOKUP($A134,Race_2024_Seasonal!A:X,7,FALSE),0)</f>
        <v>597647.56400000001</v>
      </c>
      <c r="E134" s="625">
        <f>IFERROR(VLOOKUP($A134,Race_2024_Seasonal!A:X,8,FALSE),0)</f>
        <v>464181.69500000001</v>
      </c>
      <c r="F134" s="625">
        <f>IFERROR(VLOOKUP($A134,Race_2024_Seasonal!A:X,9,FALSE),0)</f>
        <v>892582.81900000002</v>
      </c>
      <c r="G134" s="625">
        <f>IFERROR(VLOOKUP($A134,Race_2024_Seasonal!A:X,10,FALSE),0)</f>
        <v>848631.56200000003</v>
      </c>
      <c r="H134" s="625">
        <f>IFERROR(VLOOKUP($A134,Race_2024_Seasonal!A:X,11,FALSE),0)</f>
        <v>532357.60400000005</v>
      </c>
      <c r="I134" s="625">
        <f>IFERROR(VLOOKUP($A134,Race_2024_Seasonal!A:X,12,FALSE),0)</f>
        <v>532150.18999999994</v>
      </c>
      <c r="J134" s="625">
        <f>IFERROR(VLOOKUP($A134,Race_2024_Seasonal!A:X,13,FALSE),0)</f>
        <v>429732.00400000002</v>
      </c>
      <c r="K134" s="625">
        <f>IFERROR(VLOOKUP($A134,Race_2024_Seasonal!A:X,14,FALSE),0)</f>
        <v>185781.505</v>
      </c>
      <c r="L134" s="625">
        <f>IFERROR(VLOOKUP($A134,Race_2024_Seasonal!A:X,15,FALSE),0)</f>
        <v>248609.09</v>
      </c>
      <c r="M134" s="625">
        <f>IFERROR(VLOOKUP($A134,Race_2024_Seasonal!A:X,16,FALSE),0)</f>
        <v>347438.91800000001</v>
      </c>
      <c r="N134" s="625">
        <f>IFERROR(VLOOKUP($A134,Race_2024_Seasonal!A:X,17,FALSE),0)</f>
        <v>428096.79300000001</v>
      </c>
      <c r="O134" s="625">
        <f>IFERROR(VLOOKUP($A134,Race_2024_Seasonal!A:X,18,FALSE),0)</f>
        <v>431150.88400000002</v>
      </c>
      <c r="P134" s="554"/>
      <c r="Q134" s="625">
        <f t="shared" si="1"/>
        <v>5938360.6279999986</v>
      </c>
      <c r="R134" s="545"/>
      <c r="S134" s="673">
        <f>Q134-'P&amp;L'!I134</f>
        <v>0</v>
      </c>
    </row>
    <row r="135" spans="1:19" ht="15">
      <c r="A135" s="546" t="s">
        <v>1012</v>
      </c>
      <c r="B135" s="546" t="e">
        <f>IFERROR(VLOOKUP(A135,Race_2024_Seasonal!A:C,3,FALSE), VLOOKUP(A135,Race_2024_Seasonal!A:C,3,FALSE))</f>
        <v>#N/A</v>
      </c>
      <c r="C135" s="552" t="s">
        <v>1013</v>
      </c>
      <c r="D135" s="667">
        <f>IFERROR(VLOOKUP($A135,Race_2024_Seasonal!A:X,7,FALSE),0)</f>
        <v>0</v>
      </c>
      <c r="E135" s="667">
        <f>IFERROR(VLOOKUP($A135,Race_2024_Seasonal!A:X,8,FALSE),0)</f>
        <v>0</v>
      </c>
      <c r="F135" s="667">
        <f>IFERROR(VLOOKUP($A135,Race_2024_Seasonal!A:X,9,FALSE),0)</f>
        <v>0</v>
      </c>
      <c r="G135" s="667">
        <f>IFERROR(VLOOKUP($A135,Race_2024_Seasonal!A:X,10,FALSE),0)</f>
        <v>0</v>
      </c>
      <c r="H135" s="667">
        <f>IFERROR(VLOOKUP($A135,Race_2024_Seasonal!A:X,11,FALSE),0)</f>
        <v>0</v>
      </c>
      <c r="I135" s="667">
        <f>IFERROR(VLOOKUP($A135,Race_2024_Seasonal!A:X,12,FALSE),0)</f>
        <v>0</v>
      </c>
      <c r="J135" s="667">
        <f>IFERROR(VLOOKUP($A135,Race_2024_Seasonal!A:X,13,FALSE),0)</f>
        <v>0</v>
      </c>
      <c r="K135" s="667">
        <f>IFERROR(VLOOKUP($A135,Race_2024_Seasonal!A:X,14,FALSE),0)</f>
        <v>0</v>
      </c>
      <c r="L135" s="667">
        <f>IFERROR(VLOOKUP($A135,Race_2024_Seasonal!A:X,15,FALSE),0)</f>
        <v>0</v>
      </c>
      <c r="M135" s="667">
        <f>IFERROR(VLOOKUP($A135,Race_2024_Seasonal!A:X,16,FALSE),0)</f>
        <v>0</v>
      </c>
      <c r="N135" s="667">
        <f>IFERROR(VLOOKUP($A135,Race_2024_Seasonal!A:X,17,FALSE),0)</f>
        <v>0</v>
      </c>
      <c r="O135" s="667">
        <f>IFERROR(VLOOKUP($A135,Race_2024_Seasonal!A:X,18,FALSE),0)</f>
        <v>0</v>
      </c>
      <c r="P135" s="554"/>
      <c r="Q135" s="667">
        <f t="shared" si="1"/>
        <v>0</v>
      </c>
      <c r="R135" s="545"/>
      <c r="S135" s="673">
        <f>Q135-'P&amp;L'!I135</f>
        <v>0</v>
      </c>
    </row>
    <row r="136" spans="1:19" ht="15">
      <c r="A136" s="546" t="s">
        <v>1014</v>
      </c>
      <c r="B136" s="546" t="e">
        <f>IFERROR(VLOOKUP(A136,Race_2024_Seasonal!A:C,3,FALSE), VLOOKUP(A136,Race_2024_Seasonal!A:C,3,FALSE))</f>
        <v>#N/A</v>
      </c>
      <c r="C136" s="549" t="s">
        <v>1015</v>
      </c>
      <c r="D136" s="662">
        <f>IFERROR(VLOOKUP($A136,Race_2024_Seasonal!A:X,7,FALSE),0)</f>
        <v>0</v>
      </c>
      <c r="E136" s="662">
        <f>IFERROR(VLOOKUP($A136,Race_2024_Seasonal!A:X,8,FALSE),0)</f>
        <v>0</v>
      </c>
      <c r="F136" s="662">
        <f>IFERROR(VLOOKUP($A136,Race_2024_Seasonal!A:X,9,FALSE),0)</f>
        <v>0</v>
      </c>
      <c r="G136" s="662">
        <f>IFERROR(VLOOKUP($A136,Race_2024_Seasonal!A:X,10,FALSE),0)</f>
        <v>0</v>
      </c>
      <c r="H136" s="662">
        <f>IFERROR(VLOOKUP($A136,Race_2024_Seasonal!A:X,11,FALSE),0)</f>
        <v>0</v>
      </c>
      <c r="I136" s="662">
        <f>IFERROR(VLOOKUP($A136,Race_2024_Seasonal!A:X,12,FALSE),0)</f>
        <v>0</v>
      </c>
      <c r="J136" s="662">
        <f>IFERROR(VLOOKUP($A136,Race_2024_Seasonal!A:X,13,FALSE),0)</f>
        <v>0</v>
      </c>
      <c r="K136" s="662">
        <f>IFERROR(VLOOKUP($A136,Race_2024_Seasonal!A:X,14,FALSE),0)</f>
        <v>0</v>
      </c>
      <c r="L136" s="662">
        <f>IFERROR(VLOOKUP($A136,Race_2024_Seasonal!A:X,15,FALSE),0)</f>
        <v>0</v>
      </c>
      <c r="M136" s="662">
        <f>IFERROR(VLOOKUP($A136,Race_2024_Seasonal!A:X,16,FALSE),0)</f>
        <v>0</v>
      </c>
      <c r="N136" s="662">
        <f>IFERROR(VLOOKUP($A136,Race_2024_Seasonal!A:X,17,FALSE),0)</f>
        <v>0</v>
      </c>
      <c r="O136" s="662">
        <f>IFERROR(VLOOKUP($A136,Race_2024_Seasonal!A:X,18,FALSE),0)</f>
        <v>0</v>
      </c>
      <c r="P136" s="554"/>
      <c r="Q136" s="662">
        <f t="shared" ref="Q136:Q145" si="2">SUM(D136:O136)</f>
        <v>0</v>
      </c>
      <c r="R136" s="545"/>
      <c r="S136" s="673">
        <f>Q136-'P&amp;L'!I136</f>
        <v>0</v>
      </c>
    </row>
    <row r="137" spans="1:19" ht="15">
      <c r="A137" s="546" t="s">
        <v>1016</v>
      </c>
      <c r="B137" s="546" t="e">
        <f>IFERROR(VLOOKUP(A137,Race_2024_Seasonal!A:C,3,FALSE), VLOOKUP(A137,Race_2024_Seasonal!A:C,3,FALSE))</f>
        <v>#N/A</v>
      </c>
      <c r="C137" s="549" t="s">
        <v>205</v>
      </c>
      <c r="D137" s="662">
        <f>IFERROR(VLOOKUP($A137,Race_2024_Seasonal!A:X,7,FALSE),0)</f>
        <v>0</v>
      </c>
      <c r="E137" s="662">
        <f>IFERROR(VLOOKUP($A137,Race_2024_Seasonal!A:X,8,FALSE),0)</f>
        <v>0</v>
      </c>
      <c r="F137" s="662">
        <f>IFERROR(VLOOKUP($A137,Race_2024_Seasonal!A:X,9,FALSE),0)</f>
        <v>0</v>
      </c>
      <c r="G137" s="662">
        <f>IFERROR(VLOOKUP($A137,Race_2024_Seasonal!A:X,10,FALSE),0)</f>
        <v>0</v>
      </c>
      <c r="H137" s="662">
        <f>IFERROR(VLOOKUP($A137,Race_2024_Seasonal!A:X,11,FALSE),0)</f>
        <v>0</v>
      </c>
      <c r="I137" s="662">
        <f>IFERROR(VLOOKUP($A137,Race_2024_Seasonal!A:X,12,FALSE),0)</f>
        <v>0</v>
      </c>
      <c r="J137" s="662">
        <f>IFERROR(VLOOKUP($A137,Race_2024_Seasonal!A:X,13,FALSE),0)</f>
        <v>0</v>
      </c>
      <c r="K137" s="662">
        <f>IFERROR(VLOOKUP($A137,Race_2024_Seasonal!A:X,14,FALSE),0)</f>
        <v>0</v>
      </c>
      <c r="L137" s="662">
        <f>IFERROR(VLOOKUP($A137,Race_2024_Seasonal!A:X,15,FALSE),0)</f>
        <v>0</v>
      </c>
      <c r="M137" s="662">
        <f>IFERROR(VLOOKUP($A137,Race_2024_Seasonal!A:X,16,FALSE),0)</f>
        <v>0</v>
      </c>
      <c r="N137" s="662">
        <f>IFERROR(VLOOKUP($A137,Race_2024_Seasonal!A:X,17,FALSE),0)</f>
        <v>0</v>
      </c>
      <c r="O137" s="662">
        <f>IFERROR(VLOOKUP($A137,Race_2024_Seasonal!A:X,18,FALSE),0)</f>
        <v>0</v>
      </c>
      <c r="P137" s="554"/>
      <c r="Q137" s="662">
        <f t="shared" si="2"/>
        <v>0</v>
      </c>
      <c r="R137" s="545"/>
      <c r="S137" s="673">
        <f>Q137-'P&amp;L'!I137</f>
        <v>0</v>
      </c>
    </row>
    <row r="138" spans="1:19" ht="15">
      <c r="A138" s="546" t="s">
        <v>1017</v>
      </c>
      <c r="B138" s="546" t="e">
        <f>IFERROR(VLOOKUP(A138,Race_2024_Seasonal!A:C,3,FALSE), VLOOKUP(A138,Race_2024_Seasonal!A:C,3,FALSE))</f>
        <v>#N/A</v>
      </c>
      <c r="C138" s="549" t="s">
        <v>1018</v>
      </c>
      <c r="D138" s="662">
        <f>IFERROR(VLOOKUP($A138,Race_2024_Seasonal!A:X,7,FALSE),0)</f>
        <v>0</v>
      </c>
      <c r="E138" s="662">
        <f>IFERROR(VLOOKUP($A138,Race_2024_Seasonal!A:X,8,FALSE),0)</f>
        <v>0</v>
      </c>
      <c r="F138" s="662">
        <f>IFERROR(VLOOKUP($A138,Race_2024_Seasonal!A:X,9,FALSE),0)</f>
        <v>0</v>
      </c>
      <c r="G138" s="662">
        <f>IFERROR(VLOOKUP($A138,Race_2024_Seasonal!A:X,10,FALSE),0)</f>
        <v>0</v>
      </c>
      <c r="H138" s="662">
        <f>IFERROR(VLOOKUP($A138,Race_2024_Seasonal!A:X,11,FALSE),0)</f>
        <v>0</v>
      </c>
      <c r="I138" s="662">
        <f>IFERROR(VLOOKUP($A138,Race_2024_Seasonal!A:X,12,FALSE),0)</f>
        <v>0</v>
      </c>
      <c r="J138" s="662">
        <f>IFERROR(VLOOKUP($A138,Race_2024_Seasonal!A:X,13,FALSE),0)</f>
        <v>0</v>
      </c>
      <c r="K138" s="662">
        <f>IFERROR(VLOOKUP($A138,Race_2024_Seasonal!A:X,14,FALSE),0)</f>
        <v>0</v>
      </c>
      <c r="L138" s="662">
        <f>IFERROR(VLOOKUP($A138,Race_2024_Seasonal!A:X,15,FALSE),0)</f>
        <v>0</v>
      </c>
      <c r="M138" s="662">
        <f>IFERROR(VLOOKUP($A138,Race_2024_Seasonal!A:X,16,FALSE),0)</f>
        <v>0</v>
      </c>
      <c r="N138" s="662">
        <f>IFERROR(VLOOKUP($A138,Race_2024_Seasonal!A:X,17,FALSE),0)</f>
        <v>0</v>
      </c>
      <c r="O138" s="662">
        <f>IFERROR(VLOOKUP($A138,Race_2024_Seasonal!A:X,18,FALSE),0)</f>
        <v>0</v>
      </c>
      <c r="P138" s="554"/>
      <c r="Q138" s="662">
        <f t="shared" si="2"/>
        <v>0</v>
      </c>
      <c r="R138" s="545"/>
      <c r="S138" s="673">
        <f>Q138-'P&amp;L'!I138</f>
        <v>0</v>
      </c>
    </row>
    <row r="139" spans="1:19" ht="15">
      <c r="A139" s="546" t="s">
        <v>1019</v>
      </c>
      <c r="B139" s="546" t="e">
        <f>IFERROR(VLOOKUP(A139,Race_2024_Seasonal!A:C,3,FALSE), VLOOKUP(A139,Race_2024_Seasonal!A:C,3,FALSE))</f>
        <v>#N/A</v>
      </c>
      <c r="C139" s="549" t="s">
        <v>1020</v>
      </c>
      <c r="D139" s="627">
        <f>IFERROR(VLOOKUP($A139,Race_2024_Seasonal!A:X,7,FALSE),0)</f>
        <v>0</v>
      </c>
      <c r="E139" s="627">
        <f>IFERROR(VLOOKUP($A139,Race_2024_Seasonal!A:X,8,FALSE),0)</f>
        <v>0</v>
      </c>
      <c r="F139" s="627">
        <f>IFERROR(VLOOKUP($A139,Race_2024_Seasonal!A:X,9,FALSE),0)</f>
        <v>0</v>
      </c>
      <c r="G139" s="627">
        <f>IFERROR(VLOOKUP($A139,Race_2024_Seasonal!A:X,10,FALSE),0)</f>
        <v>0</v>
      </c>
      <c r="H139" s="627">
        <f>IFERROR(VLOOKUP($A139,Race_2024_Seasonal!A:X,11,FALSE),0)</f>
        <v>0</v>
      </c>
      <c r="I139" s="627">
        <f>IFERROR(VLOOKUP($A139,Race_2024_Seasonal!A:X,12,FALSE),0)</f>
        <v>0</v>
      </c>
      <c r="J139" s="627">
        <f>IFERROR(VLOOKUP($A139,Race_2024_Seasonal!A:X,13,FALSE),0)</f>
        <v>0</v>
      </c>
      <c r="K139" s="627">
        <f>IFERROR(VLOOKUP($A139,Race_2024_Seasonal!A:X,14,FALSE),0)</f>
        <v>0</v>
      </c>
      <c r="L139" s="627">
        <f>IFERROR(VLOOKUP($A139,Race_2024_Seasonal!A:X,15,FALSE),0)</f>
        <v>0</v>
      </c>
      <c r="M139" s="627">
        <f>IFERROR(VLOOKUP($A139,Race_2024_Seasonal!A:X,16,FALSE),0)</f>
        <v>0</v>
      </c>
      <c r="N139" s="627">
        <f>IFERROR(VLOOKUP($A139,Race_2024_Seasonal!A:X,17,FALSE),0)</f>
        <v>0</v>
      </c>
      <c r="O139" s="627">
        <f>IFERROR(VLOOKUP($A139,Race_2024_Seasonal!A:X,18,FALSE),0)</f>
        <v>0</v>
      </c>
      <c r="P139" s="545"/>
      <c r="Q139" s="627">
        <f t="shared" si="2"/>
        <v>0</v>
      </c>
      <c r="R139" s="545"/>
      <c r="S139" s="673">
        <f>Q139-'P&amp;L'!I139</f>
        <v>0</v>
      </c>
    </row>
    <row r="140" spans="1:19" ht="15">
      <c r="A140" s="546" t="s">
        <v>1021</v>
      </c>
      <c r="B140" s="546" t="e">
        <f>IFERROR(VLOOKUP(A140,Race_2024_Seasonal!A:C,3,FALSE), VLOOKUP(A140,Race_2024_Seasonal!A:C,3,FALSE))</f>
        <v>#N/A</v>
      </c>
      <c r="C140" s="549" t="s">
        <v>1022</v>
      </c>
      <c r="D140" s="627">
        <f>IFERROR(VLOOKUP($A140,Race_2024_Seasonal!A:X,7,FALSE),0)</f>
        <v>0</v>
      </c>
      <c r="E140" s="627">
        <f>IFERROR(VLOOKUP($A140,Race_2024_Seasonal!A:X,8,FALSE),0)</f>
        <v>0</v>
      </c>
      <c r="F140" s="627">
        <f>IFERROR(VLOOKUP($A140,Race_2024_Seasonal!A:X,9,FALSE),0)</f>
        <v>0</v>
      </c>
      <c r="G140" s="627">
        <f>IFERROR(VLOOKUP($A140,Race_2024_Seasonal!A:X,10,FALSE),0)</f>
        <v>0</v>
      </c>
      <c r="H140" s="627">
        <f>IFERROR(VLOOKUP($A140,Race_2024_Seasonal!A:X,11,FALSE),0)</f>
        <v>0</v>
      </c>
      <c r="I140" s="627">
        <f>IFERROR(VLOOKUP($A140,Race_2024_Seasonal!A:X,12,FALSE),0)</f>
        <v>0</v>
      </c>
      <c r="J140" s="627">
        <f>IFERROR(VLOOKUP($A140,Race_2024_Seasonal!A:X,13,FALSE),0)</f>
        <v>0</v>
      </c>
      <c r="K140" s="627">
        <f>IFERROR(VLOOKUP($A140,Race_2024_Seasonal!A:X,14,FALSE),0)</f>
        <v>0</v>
      </c>
      <c r="L140" s="627">
        <f>IFERROR(VLOOKUP($A140,Race_2024_Seasonal!A:X,15,FALSE),0)</f>
        <v>0</v>
      </c>
      <c r="M140" s="627">
        <f>IFERROR(VLOOKUP($A140,Race_2024_Seasonal!A:X,16,FALSE),0)</f>
        <v>0</v>
      </c>
      <c r="N140" s="627">
        <f>IFERROR(VLOOKUP($A140,Race_2024_Seasonal!A:X,17,FALSE),0)</f>
        <v>0</v>
      </c>
      <c r="O140" s="627">
        <f>IFERROR(VLOOKUP($A140,Race_2024_Seasonal!A:X,18,FALSE),0)</f>
        <v>0</v>
      </c>
      <c r="P140" s="554"/>
      <c r="Q140" s="627">
        <f t="shared" si="2"/>
        <v>0</v>
      </c>
      <c r="R140" s="545"/>
      <c r="S140" s="673">
        <f>Q140-'P&amp;L'!I140</f>
        <v>0</v>
      </c>
    </row>
    <row r="141" spans="1:19" ht="15">
      <c r="A141" s="546" t="s">
        <v>1023</v>
      </c>
      <c r="B141" s="546" t="e">
        <f>IFERROR(VLOOKUP(A141,Race_2024_Seasonal!A:C,3,FALSE), VLOOKUP(A141,Race_2024_Seasonal!A:C,3,FALSE))</f>
        <v>#N/A</v>
      </c>
      <c r="C141" s="549" t="s">
        <v>1024</v>
      </c>
      <c r="D141" s="627">
        <f>IFERROR(VLOOKUP($A141,Race_2024_Seasonal!A:X,7,FALSE),0)</f>
        <v>0</v>
      </c>
      <c r="E141" s="627">
        <f>IFERROR(VLOOKUP($A141,Race_2024_Seasonal!A:X,8,FALSE),0)</f>
        <v>0</v>
      </c>
      <c r="F141" s="627">
        <f>IFERROR(VLOOKUP($A141,Race_2024_Seasonal!A:X,9,FALSE),0)</f>
        <v>0</v>
      </c>
      <c r="G141" s="627">
        <f>IFERROR(VLOOKUP($A141,Race_2024_Seasonal!A:X,10,FALSE),0)</f>
        <v>0</v>
      </c>
      <c r="H141" s="627">
        <f>IFERROR(VLOOKUP($A141,Race_2024_Seasonal!A:X,11,FALSE),0)</f>
        <v>0</v>
      </c>
      <c r="I141" s="627">
        <f>IFERROR(VLOOKUP($A141,Race_2024_Seasonal!A:X,12,FALSE),0)</f>
        <v>0</v>
      </c>
      <c r="J141" s="627">
        <f>IFERROR(VLOOKUP($A141,Race_2024_Seasonal!A:X,13,FALSE),0)</f>
        <v>0</v>
      </c>
      <c r="K141" s="627">
        <f>IFERROR(VLOOKUP($A141,Race_2024_Seasonal!A:X,14,FALSE),0)</f>
        <v>0</v>
      </c>
      <c r="L141" s="627">
        <f>IFERROR(VLOOKUP($A141,Race_2024_Seasonal!A:X,15,FALSE),0)</f>
        <v>0</v>
      </c>
      <c r="M141" s="627">
        <f>IFERROR(VLOOKUP($A141,Race_2024_Seasonal!A:X,16,FALSE),0)</f>
        <v>0</v>
      </c>
      <c r="N141" s="627">
        <f>IFERROR(VLOOKUP($A141,Race_2024_Seasonal!A:X,17,FALSE),0)</f>
        <v>0</v>
      </c>
      <c r="O141" s="627">
        <f>IFERROR(VLOOKUP($A141,Race_2024_Seasonal!A:X,18,FALSE),0)</f>
        <v>0</v>
      </c>
      <c r="P141" s="554"/>
      <c r="Q141" s="627">
        <f t="shared" si="2"/>
        <v>0</v>
      </c>
      <c r="R141" s="545"/>
      <c r="S141" s="673">
        <f>Q141-'P&amp;L'!I141</f>
        <v>0</v>
      </c>
    </row>
    <row r="142" spans="1:19" ht="15">
      <c r="A142" s="546" t="s">
        <v>1025</v>
      </c>
      <c r="B142" s="546" t="e">
        <f>IFERROR(VLOOKUP(A142,Race_2024_Seasonal!A:C,3,FALSE), VLOOKUP(A142,Race_2024_Seasonal!A:C,3,FALSE))</f>
        <v>#N/A</v>
      </c>
      <c r="C142" s="549" t="s">
        <v>1026</v>
      </c>
      <c r="D142" s="627">
        <f>IFERROR(VLOOKUP($A142,Race_2024_Seasonal!A:X,7,FALSE),0)</f>
        <v>0</v>
      </c>
      <c r="E142" s="627">
        <f>IFERROR(VLOOKUP($A142,Race_2024_Seasonal!A:X,8,FALSE),0)</f>
        <v>0</v>
      </c>
      <c r="F142" s="627">
        <f>IFERROR(VLOOKUP($A142,Race_2024_Seasonal!A:X,9,FALSE),0)</f>
        <v>0</v>
      </c>
      <c r="G142" s="627">
        <f>IFERROR(VLOOKUP($A142,Race_2024_Seasonal!A:X,10,FALSE),0)</f>
        <v>0</v>
      </c>
      <c r="H142" s="627">
        <f>IFERROR(VLOOKUP($A142,Race_2024_Seasonal!A:X,11,FALSE),0)</f>
        <v>0</v>
      </c>
      <c r="I142" s="627">
        <f>IFERROR(VLOOKUP($A142,Race_2024_Seasonal!A:X,12,FALSE),0)</f>
        <v>0</v>
      </c>
      <c r="J142" s="627">
        <f>IFERROR(VLOOKUP($A142,Race_2024_Seasonal!A:X,13,FALSE),0)</f>
        <v>0</v>
      </c>
      <c r="K142" s="627">
        <f>IFERROR(VLOOKUP($A142,Race_2024_Seasonal!A:X,14,FALSE),0)</f>
        <v>0</v>
      </c>
      <c r="L142" s="627">
        <f>IFERROR(VLOOKUP($A142,Race_2024_Seasonal!A:X,15,FALSE),0)</f>
        <v>0</v>
      </c>
      <c r="M142" s="627">
        <f>IFERROR(VLOOKUP($A142,Race_2024_Seasonal!A:X,16,FALSE),0)</f>
        <v>0</v>
      </c>
      <c r="N142" s="627">
        <f>IFERROR(VLOOKUP($A142,Race_2024_Seasonal!A:X,17,FALSE),0)</f>
        <v>0</v>
      </c>
      <c r="O142" s="627">
        <f>IFERROR(VLOOKUP($A142,Race_2024_Seasonal!A:X,18,FALSE),0)</f>
        <v>0</v>
      </c>
      <c r="P142" s="554"/>
      <c r="Q142" s="627">
        <f t="shared" si="2"/>
        <v>0</v>
      </c>
      <c r="R142" s="545"/>
      <c r="S142" s="673">
        <f>Q142-'P&amp;L'!I142</f>
        <v>0</v>
      </c>
    </row>
    <row r="143" spans="1:19" ht="15">
      <c r="A143" s="546" t="s">
        <v>1027</v>
      </c>
      <c r="B143" s="546" t="e">
        <f>IFERROR(VLOOKUP(A143,Race_2024_Seasonal!A:C,3,FALSE), VLOOKUP(A143,Race_2024_Seasonal!A:C,3,FALSE))</f>
        <v>#N/A</v>
      </c>
      <c r="C143" s="549" t="s">
        <v>1028</v>
      </c>
      <c r="D143" s="627">
        <f>IFERROR(VLOOKUP($A143,Race_2024_Seasonal!A:X,7,FALSE),0)</f>
        <v>0</v>
      </c>
      <c r="E143" s="627">
        <f>IFERROR(VLOOKUP($A143,Race_2024_Seasonal!A:X,8,FALSE),0)</f>
        <v>0</v>
      </c>
      <c r="F143" s="627">
        <f>IFERROR(VLOOKUP($A143,Race_2024_Seasonal!A:X,9,FALSE),0)</f>
        <v>0</v>
      </c>
      <c r="G143" s="627">
        <f>IFERROR(VLOOKUP($A143,Race_2024_Seasonal!A:X,10,FALSE),0)</f>
        <v>0</v>
      </c>
      <c r="H143" s="627">
        <f>IFERROR(VLOOKUP($A143,Race_2024_Seasonal!A:X,11,FALSE),0)</f>
        <v>0</v>
      </c>
      <c r="I143" s="627">
        <f>IFERROR(VLOOKUP($A143,Race_2024_Seasonal!A:X,12,FALSE),0)</f>
        <v>0</v>
      </c>
      <c r="J143" s="627">
        <f>IFERROR(VLOOKUP($A143,Race_2024_Seasonal!A:X,13,FALSE),0)</f>
        <v>0</v>
      </c>
      <c r="K143" s="627">
        <f>IFERROR(VLOOKUP($A143,Race_2024_Seasonal!A:X,14,FALSE),0)</f>
        <v>0</v>
      </c>
      <c r="L143" s="627">
        <f>IFERROR(VLOOKUP($A143,Race_2024_Seasonal!A:X,15,FALSE),0)</f>
        <v>0</v>
      </c>
      <c r="M143" s="627">
        <f>IFERROR(VLOOKUP($A143,Race_2024_Seasonal!A:X,16,FALSE),0)</f>
        <v>0</v>
      </c>
      <c r="N143" s="627">
        <f>IFERROR(VLOOKUP($A143,Race_2024_Seasonal!A:X,17,FALSE),0)</f>
        <v>0</v>
      </c>
      <c r="O143" s="627">
        <f>IFERROR(VLOOKUP($A143,Race_2024_Seasonal!A:X,18,FALSE),0)</f>
        <v>0</v>
      </c>
      <c r="P143" s="554"/>
      <c r="Q143" s="627">
        <f t="shared" si="2"/>
        <v>0</v>
      </c>
      <c r="R143" s="545"/>
      <c r="S143" s="673">
        <f>Q143-'P&amp;L'!I143</f>
        <v>0</v>
      </c>
    </row>
    <row r="144" spans="1:19" ht="15">
      <c r="A144" s="546" t="s">
        <v>1029</v>
      </c>
      <c r="B144" s="546" t="e">
        <f>IFERROR(VLOOKUP(A144,Race_2024_Seasonal!A:C,3,FALSE), VLOOKUP(A144,Race_2024_Seasonal!A:C,3,FALSE))</f>
        <v>#N/A</v>
      </c>
      <c r="C144" s="549" t="s">
        <v>1030</v>
      </c>
      <c r="D144" s="627">
        <f>IFERROR(VLOOKUP($A144,Race_2024_Seasonal!A:X,7,FALSE),0)</f>
        <v>0</v>
      </c>
      <c r="E144" s="627">
        <f>IFERROR(VLOOKUP($A144,Race_2024_Seasonal!A:X,8,FALSE),0)</f>
        <v>0</v>
      </c>
      <c r="F144" s="627">
        <f>IFERROR(VLOOKUP($A144,Race_2024_Seasonal!A:X,9,FALSE),0)</f>
        <v>0</v>
      </c>
      <c r="G144" s="627">
        <f>IFERROR(VLOOKUP($A144,Race_2024_Seasonal!A:X,10,FALSE),0)</f>
        <v>0</v>
      </c>
      <c r="H144" s="627">
        <f>IFERROR(VLOOKUP($A144,Race_2024_Seasonal!A:X,11,FALSE),0)</f>
        <v>0</v>
      </c>
      <c r="I144" s="627">
        <f>IFERROR(VLOOKUP($A144,Race_2024_Seasonal!A:X,12,FALSE),0)</f>
        <v>0</v>
      </c>
      <c r="J144" s="627">
        <f>IFERROR(VLOOKUP($A144,Race_2024_Seasonal!A:X,13,FALSE),0)</f>
        <v>0</v>
      </c>
      <c r="K144" s="627">
        <f>IFERROR(VLOOKUP($A144,Race_2024_Seasonal!A:X,14,FALSE),0)</f>
        <v>0</v>
      </c>
      <c r="L144" s="627">
        <f>IFERROR(VLOOKUP($A144,Race_2024_Seasonal!A:X,15,FALSE),0)</f>
        <v>0</v>
      </c>
      <c r="M144" s="627">
        <f>IFERROR(VLOOKUP($A144,Race_2024_Seasonal!A:X,16,FALSE),0)</f>
        <v>0</v>
      </c>
      <c r="N144" s="627">
        <f>IFERROR(VLOOKUP($A144,Race_2024_Seasonal!A:X,17,FALSE),0)</f>
        <v>0</v>
      </c>
      <c r="O144" s="627">
        <f>IFERROR(VLOOKUP($A144,Race_2024_Seasonal!A:X,18,FALSE),0)</f>
        <v>0</v>
      </c>
      <c r="P144" s="554"/>
      <c r="Q144" s="627">
        <f t="shared" si="2"/>
        <v>0</v>
      </c>
      <c r="R144" s="545"/>
      <c r="S144" s="673">
        <f>Q144-'P&amp;L'!I144</f>
        <v>0</v>
      </c>
    </row>
    <row r="145" spans="1:19" ht="15">
      <c r="A145" s="546" t="s">
        <v>1031</v>
      </c>
      <c r="B145" s="546" t="e">
        <f>IFERROR(VLOOKUP(A145,Race_2024_Seasonal!A:C,3,FALSE), VLOOKUP(A145,Race_2024_Seasonal!A:C,3,FALSE))</f>
        <v>#N/A</v>
      </c>
      <c r="C145" s="549" t="s">
        <v>1032</v>
      </c>
      <c r="D145" s="627">
        <f>IFERROR(VLOOKUP($A145,Race_2024_Seasonal!A:X,7,FALSE),0)</f>
        <v>0</v>
      </c>
      <c r="E145" s="627">
        <f>IFERROR(VLOOKUP($A145,Race_2024_Seasonal!A:X,8,FALSE),0)</f>
        <v>0</v>
      </c>
      <c r="F145" s="627">
        <f>IFERROR(VLOOKUP($A145,Race_2024_Seasonal!A:X,9,FALSE),0)</f>
        <v>0</v>
      </c>
      <c r="G145" s="627">
        <f>IFERROR(VLOOKUP($A145,Race_2024_Seasonal!A:X,10,FALSE),0)</f>
        <v>0</v>
      </c>
      <c r="H145" s="627">
        <f>IFERROR(VLOOKUP($A145,Race_2024_Seasonal!A:X,11,FALSE),0)</f>
        <v>0</v>
      </c>
      <c r="I145" s="627">
        <f>IFERROR(VLOOKUP($A145,Race_2024_Seasonal!A:X,12,FALSE),0)</f>
        <v>0</v>
      </c>
      <c r="J145" s="627">
        <f>IFERROR(VLOOKUP($A145,Race_2024_Seasonal!A:X,13,FALSE),0)</f>
        <v>0</v>
      </c>
      <c r="K145" s="627">
        <f>IFERROR(VLOOKUP($A145,Race_2024_Seasonal!A:X,14,FALSE),0)</f>
        <v>0</v>
      </c>
      <c r="L145" s="627">
        <f>IFERROR(VLOOKUP($A145,Race_2024_Seasonal!A:X,15,FALSE),0)</f>
        <v>0</v>
      </c>
      <c r="M145" s="627">
        <f>IFERROR(VLOOKUP($A145,Race_2024_Seasonal!A:X,16,FALSE),0)</f>
        <v>0</v>
      </c>
      <c r="N145" s="627">
        <f>IFERROR(VLOOKUP($A145,Race_2024_Seasonal!A:X,17,FALSE),0)</f>
        <v>0</v>
      </c>
      <c r="O145" s="627">
        <f>IFERROR(VLOOKUP($A145,Race_2024_Seasonal!A:X,18,FALSE),0)</f>
        <v>0</v>
      </c>
      <c r="P145" s="554"/>
      <c r="Q145" s="627">
        <f t="shared" si="2"/>
        <v>0</v>
      </c>
      <c r="R145" s="545"/>
      <c r="S145" s="673">
        <f>Q145-'P&amp;L'!I145</f>
        <v>0</v>
      </c>
    </row>
    <row r="146" spans="1:19" ht="15">
      <c r="A146" s="546" t="s">
        <v>1033</v>
      </c>
      <c r="B146" s="546" t="e">
        <f>IFERROR(VLOOKUP(A146,Race_2024_Seasonal!A:C,3,FALSE), VLOOKUP(A146,Race_2024_Seasonal!A:C,3,FALSE))</f>
        <v>#N/A</v>
      </c>
      <c r="C146" s="549" t="s">
        <v>1034</v>
      </c>
      <c r="D146" s="665">
        <f>IFERROR(VLOOKUP($A146,Race_2024_Seasonal!A:X,7,FALSE),0)</f>
        <v>0</v>
      </c>
      <c r="E146" s="665">
        <f>IFERROR(VLOOKUP($A146,Race_2024_Seasonal!A:X,8,FALSE),0)</f>
        <v>0</v>
      </c>
      <c r="F146" s="665">
        <f>IFERROR(VLOOKUP($A146,Race_2024_Seasonal!A:X,9,FALSE),0)</f>
        <v>0</v>
      </c>
      <c r="G146" s="665">
        <f>IFERROR(VLOOKUP($A146,Race_2024_Seasonal!A:X,10,FALSE),0)</f>
        <v>0</v>
      </c>
      <c r="H146" s="665">
        <f>IFERROR(VLOOKUP($A146,Race_2024_Seasonal!A:X,11,FALSE),0)</f>
        <v>0</v>
      </c>
      <c r="I146" s="665">
        <f>IFERROR(VLOOKUP($A146,Race_2024_Seasonal!A:X,12,FALSE),0)</f>
        <v>0</v>
      </c>
      <c r="J146" s="665">
        <f>IFERROR(VLOOKUP($A146,Race_2024_Seasonal!A:X,13,FALSE),0)</f>
        <v>0</v>
      </c>
      <c r="K146" s="665">
        <f>IFERROR(VLOOKUP($A146,Race_2024_Seasonal!A:X,14,FALSE),0)</f>
        <v>0</v>
      </c>
      <c r="L146" s="665">
        <f>IFERROR(VLOOKUP($A146,Race_2024_Seasonal!A:X,15,FALSE),0)</f>
        <v>0</v>
      </c>
      <c r="M146" s="665">
        <f>IFERROR(VLOOKUP($A146,Race_2024_Seasonal!A:X,16,FALSE),0)</f>
        <v>0</v>
      </c>
      <c r="N146" s="665">
        <f>IFERROR(VLOOKUP($A146,Race_2024_Seasonal!A:X,17,FALSE),0)</f>
        <v>0</v>
      </c>
      <c r="O146" s="665">
        <f>IFERROR(VLOOKUP($A146,Race_2024_Seasonal!A:X,18,FALSE),0)</f>
        <v>0</v>
      </c>
      <c r="P146" s="545"/>
      <c r="Q146" s="665">
        <f>SUM(D146:O146)</f>
        <v>0</v>
      </c>
      <c r="R146" s="545"/>
      <c r="S146" s="673">
        <f>Q146-'P&amp;L'!I146</f>
        <v>0</v>
      </c>
    </row>
    <row r="147" spans="1:19" ht="12.75" customHeight="1">
      <c r="A147" s="617" t="s">
        <v>1035</v>
      </c>
      <c r="B147" s="546" t="str">
        <f>IFERROR(VLOOKUP(A147,Race_2024_Seasonal!A:C,3,FALSE), VLOOKUP(A147,Race_2024_Seasonal!A:C,3,FALSE))</f>
        <v>EBIT</v>
      </c>
      <c r="C147" s="619" t="s">
        <v>1036</v>
      </c>
      <c r="D147" s="626">
        <f>IFERROR(VLOOKUP($A147,Race_2024_Seasonal!A:X,7,FALSE),0)</f>
        <v>597647.56400000001</v>
      </c>
      <c r="E147" s="626">
        <f>IFERROR(VLOOKUP($A147,Race_2024_Seasonal!A:X,8,FALSE),0)</f>
        <v>464181.69500000001</v>
      </c>
      <c r="F147" s="626">
        <f>IFERROR(VLOOKUP($A147,Race_2024_Seasonal!A:X,9,FALSE),0)</f>
        <v>892582.81900000002</v>
      </c>
      <c r="G147" s="626">
        <f>IFERROR(VLOOKUP($A147,Race_2024_Seasonal!A:X,10,FALSE),0)</f>
        <v>848631.56200000003</v>
      </c>
      <c r="H147" s="626">
        <f>IFERROR(VLOOKUP($A147,Race_2024_Seasonal!A:X,11,FALSE),0)</f>
        <v>532357.60400000005</v>
      </c>
      <c r="I147" s="626">
        <f>IFERROR(VLOOKUP($A147,Race_2024_Seasonal!A:X,12,FALSE),0)</f>
        <v>532150.18999999994</v>
      </c>
      <c r="J147" s="626">
        <f>IFERROR(VLOOKUP($A147,Race_2024_Seasonal!A:X,13,FALSE),0)</f>
        <v>429732.00400000002</v>
      </c>
      <c r="K147" s="626">
        <f>IFERROR(VLOOKUP($A147,Race_2024_Seasonal!A:X,14,FALSE),0)</f>
        <v>185781.505</v>
      </c>
      <c r="L147" s="626">
        <f>IFERROR(VLOOKUP($A147,Race_2024_Seasonal!A:X,15,FALSE),0)</f>
        <v>248609.09</v>
      </c>
      <c r="M147" s="626">
        <f>IFERROR(VLOOKUP($A147,Race_2024_Seasonal!A:X,16,FALSE),0)</f>
        <v>347438.91800000001</v>
      </c>
      <c r="N147" s="626">
        <f>IFERROR(VLOOKUP($A147,Race_2024_Seasonal!A:X,17,FALSE),0)</f>
        <v>428096.79300000001</v>
      </c>
      <c r="O147" s="626">
        <f>IFERROR(VLOOKUP($A147,Race_2024_Seasonal!A:X,18,FALSE),0)</f>
        <v>431150.88400000002</v>
      </c>
      <c r="Q147" s="626">
        <f>SUM(D147:O147)</f>
        <v>5938360.6279999986</v>
      </c>
      <c r="S147" s="673">
        <f>Q147-'P&amp;L'!I147</f>
        <v>0</v>
      </c>
    </row>
  </sheetData>
  <autoFilter ref="C7:Q7" xr:uid="{67A75636-6977-42F1-9840-22E76F5961A4}"/>
  <phoneticPr fontId="65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7CDFE-EF3C-4DD1-B9F4-446B1D8B196C}">
  <sheetPr>
    <tabColor rgb="FF0070C0"/>
  </sheetPr>
  <dimension ref="A1:T61"/>
  <sheetViews>
    <sheetView showGridLines="0" zoomScale="70" zoomScaleNormal="70" workbookViewId="0">
      <pane xSplit="3" ySplit="7" topLeftCell="D36" activePane="bottomRight" state="frozen"/>
      <selection pane="topRight" activeCell="D14" sqref="D14"/>
      <selection pane="bottomLeft" activeCell="D14" sqref="D14"/>
      <selection pane="bottomRight" activeCell="Q49" sqref="Q49:Q60"/>
    </sheetView>
  </sheetViews>
  <sheetFormatPr defaultColWidth="9.28515625" defaultRowHeight="12.75" customHeight="1" outlineLevelRow="1" outlineLevelCol="1"/>
  <cols>
    <col min="1" max="1" width="19.7109375" style="544" hidden="1" customWidth="1" outlineLevel="1"/>
    <col min="2" max="2" width="3.7109375" style="544" hidden="1" customWidth="1" outlineLevel="1"/>
    <col min="3" max="3" width="48.7109375" style="544" bestFit="1" customWidth="1" collapsed="1"/>
    <col min="4" max="15" width="20.7109375" style="544" customWidth="1"/>
    <col min="16" max="16" width="4.28515625" style="544" customWidth="1"/>
    <col min="17" max="18" width="20.7109375" style="544" customWidth="1"/>
    <col min="19" max="19" width="11.28515625" style="544" bestFit="1" customWidth="1"/>
    <col min="20" max="20" width="9.28515625" style="544" customWidth="1"/>
    <col min="21" max="16384" width="9.28515625" style="451"/>
  </cols>
  <sheetData>
    <row r="1" spans="1:20" ht="19.899999999999999" customHeight="1">
      <c r="A1" s="451"/>
      <c r="B1" s="451"/>
      <c r="C1" s="60" t="str">
        <f>+'0. Instructions'!$A$1</f>
        <v>Budget 2024</v>
      </c>
      <c r="D1" s="60"/>
      <c r="E1" s="60"/>
      <c r="F1" s="471"/>
      <c r="G1" s="610"/>
      <c r="H1" s="610"/>
      <c r="I1" s="577"/>
      <c r="J1" s="609"/>
      <c r="K1" s="451"/>
      <c r="L1" s="609"/>
      <c r="M1" s="611"/>
      <c r="N1" s="451"/>
      <c r="O1" s="451"/>
      <c r="P1" s="451"/>
      <c r="Q1" s="451"/>
      <c r="R1" s="451"/>
      <c r="S1" s="451"/>
      <c r="T1" s="451"/>
    </row>
    <row r="2" spans="1:20" ht="19.899999999999999" customHeight="1" thickBot="1">
      <c r="A2" s="451"/>
      <c r="B2" s="451"/>
      <c r="C2" s="55" t="s">
        <v>754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60"/>
      <c r="S2" s="451"/>
      <c r="T2" s="451"/>
    </row>
    <row r="3" spans="1:20" ht="37.9" customHeight="1">
      <c r="A3" s="546"/>
      <c r="B3" s="546"/>
      <c r="C3" s="545"/>
      <c r="D3" s="575"/>
      <c r="E3" s="575"/>
      <c r="F3" s="575"/>
      <c r="G3" s="575"/>
      <c r="H3" s="575"/>
      <c r="I3" s="545"/>
      <c r="J3" s="575"/>
      <c r="K3" s="545"/>
      <c r="L3" s="546"/>
      <c r="M3" s="554"/>
    </row>
    <row r="4" spans="1:20" ht="15">
      <c r="A4" s="546"/>
      <c r="B4" s="546"/>
      <c r="C4" s="545"/>
      <c r="D4" s="575"/>
      <c r="E4" s="575"/>
      <c r="F4" s="575"/>
      <c r="G4" s="575"/>
      <c r="H4" s="575"/>
      <c r="I4" s="545"/>
      <c r="J4" s="575"/>
      <c r="L4" s="546"/>
      <c r="M4" s="554"/>
    </row>
    <row r="5" spans="1:20" ht="15">
      <c r="A5" s="546"/>
      <c r="B5" s="546"/>
      <c r="C5" s="546"/>
      <c r="D5" s="546"/>
      <c r="E5" s="546"/>
      <c r="F5" s="546"/>
      <c r="G5" s="546"/>
      <c r="H5" s="546"/>
      <c r="J5" s="546"/>
      <c r="L5" s="546"/>
      <c r="M5" s="554"/>
    </row>
    <row r="6" spans="1:20" ht="30" customHeight="1">
      <c r="A6" s="546"/>
      <c r="B6" s="546"/>
      <c r="C6" s="545"/>
      <c r="P6" s="574"/>
      <c r="Q6" s="573" t="s">
        <v>1110</v>
      </c>
      <c r="R6" s="573"/>
    </row>
    <row r="7" spans="1:20" ht="30" customHeight="1">
      <c r="A7" s="546"/>
      <c r="B7" s="546"/>
      <c r="C7" s="571"/>
      <c r="D7" s="571" t="s">
        <v>1111</v>
      </c>
      <c r="E7" s="571" t="s">
        <v>1112</v>
      </c>
      <c r="F7" s="571" t="s">
        <v>1113</v>
      </c>
      <c r="G7" s="571" t="s">
        <v>1114</v>
      </c>
      <c r="H7" s="571" t="s">
        <v>1115</v>
      </c>
      <c r="I7" s="571" t="s">
        <v>1116</v>
      </c>
      <c r="J7" s="571" t="s">
        <v>1117</v>
      </c>
      <c r="K7" s="571" t="s">
        <v>1118</v>
      </c>
      <c r="L7" s="571" t="s">
        <v>1119</v>
      </c>
      <c r="M7" s="571" t="s">
        <v>1120</v>
      </c>
      <c r="N7" s="571" t="s">
        <v>1121</v>
      </c>
      <c r="O7" s="571" t="s">
        <v>1122</v>
      </c>
      <c r="P7" s="572"/>
      <c r="Q7" s="571" t="s">
        <v>1123</v>
      </c>
      <c r="R7" s="676"/>
      <c r="S7" s="643" t="s">
        <v>1124</v>
      </c>
    </row>
    <row r="8" spans="1:20" ht="15">
      <c r="A8" s="546" t="s">
        <v>1040</v>
      </c>
      <c r="B8" s="546"/>
      <c r="C8" s="581" t="s">
        <v>678</v>
      </c>
      <c r="D8" s="595">
        <f>IFERROR(VLOOKUP($A8,Race_2024_Seasonal!A:W,6,FALSE),0)+IFERROR(VLOOKUP($A8,Race_2024_Seasonal!A:W,7,FALSE),0)</f>
        <v>4460172.4850000003</v>
      </c>
      <c r="E8" s="595">
        <f>IFERROR(VLOOKUP($A8,Race_2024_Seasonal!$A:$W,8,FALSE),0)+D8</f>
        <v>4470141.8230000008</v>
      </c>
      <c r="F8" s="595">
        <f>IFERROR(VLOOKUP($A8,Race_2024_Seasonal!$A:$W,9,FALSE),0)+E8</f>
        <v>4538971.3770000003</v>
      </c>
      <c r="G8" s="595">
        <f>IFERROR(VLOOKUP($A8,Race_2024_Seasonal!$A:$W,10,FALSE),0)+F8</f>
        <v>4314330.9309999999</v>
      </c>
      <c r="H8" s="595">
        <f>IFERROR(VLOOKUP($A8,Race_2024_Seasonal!$A:$W,11,FALSE),0)+G8</f>
        <v>4055844.3079999997</v>
      </c>
      <c r="I8" s="595">
        <f>IFERROR(VLOOKUP($A8,Race_2024_Seasonal!$A:$W,12,FALSE),0)+H8</f>
        <v>4877864.18</v>
      </c>
      <c r="J8" s="595">
        <f>IFERROR(VLOOKUP($A8,Race_2024_Seasonal!$A:$W,13,FALSE),0)+I8</f>
        <v>4477452.2879999997</v>
      </c>
      <c r="K8" s="595">
        <f>IFERROR(VLOOKUP($A8,Race_2024_Seasonal!$A:$W,14,FALSE),0)+J8</f>
        <v>3930131.2449999996</v>
      </c>
      <c r="L8" s="595">
        <f>IFERROR(VLOOKUP($A8,Race_2024_Seasonal!$A:$W,15,FALSE),0)+K8</f>
        <v>4410947.4210000001</v>
      </c>
      <c r="M8" s="595">
        <f>IFERROR(VLOOKUP($A8,Race_2024_Seasonal!$A:$W,16,FALSE),0)+L8</f>
        <v>4015178.8530000001</v>
      </c>
      <c r="N8" s="595">
        <f>IFERROR(VLOOKUP($A8,Race_2024_Seasonal!$A:$W,17,FALSE),0)+M8</f>
        <v>3817150.2620000001</v>
      </c>
      <c r="O8" s="580">
        <f>IFERROR(VLOOKUP($A8,Race_2024_Seasonal!$A:$W,18,FALSE),0)+N8</f>
        <v>4412440.0279999999</v>
      </c>
      <c r="Q8" s="594">
        <f>O8</f>
        <v>4412440.0279999999</v>
      </c>
      <c r="R8" s="677"/>
      <c r="S8" s="644">
        <f>Q8-KeyData!H8</f>
        <v>0</v>
      </c>
      <c r="T8" s="546"/>
    </row>
    <row r="9" spans="1:20" ht="15">
      <c r="A9" s="546" t="s">
        <v>1041</v>
      </c>
      <c r="B9" s="546"/>
      <c r="C9" s="579" t="s">
        <v>1042</v>
      </c>
      <c r="D9" s="578">
        <f>IFERROR(VLOOKUP($A9,Race_2024_Seasonal!A:W,6,FALSE),0)+IFERROR(VLOOKUP($A9,Race_2024_Seasonal!A:W,7,FALSE),0)</f>
        <v>3729312.8140000002</v>
      </c>
      <c r="E9" s="578">
        <f>IFERROR(VLOOKUP($A9,Race_2024_Seasonal!$A:$W,8,FALSE),0)+D9</f>
        <v>3442718.0590000004</v>
      </c>
      <c r="F9" s="578">
        <f>IFERROR(VLOOKUP($A9,Race_2024_Seasonal!$A:$W,9,FALSE),0)+E9</f>
        <v>3553661.6420000005</v>
      </c>
      <c r="G9" s="578">
        <f>IFERROR(VLOOKUP($A9,Race_2024_Seasonal!$A:$W,10,FALSE),0)+F9</f>
        <v>3545795.9770000004</v>
      </c>
      <c r="H9" s="578">
        <f>IFERROR(VLOOKUP($A9,Race_2024_Seasonal!$A:$W,11,FALSE),0)+G9</f>
        <v>3360149.6910000006</v>
      </c>
      <c r="I9" s="578">
        <f>IFERROR(VLOOKUP($A9,Race_2024_Seasonal!$A:$W,12,FALSE),0)+H9</f>
        <v>4008245.9080000008</v>
      </c>
      <c r="J9" s="578">
        <f>IFERROR(VLOOKUP($A9,Race_2024_Seasonal!$A:$W,13,FALSE),0)+I9</f>
        <v>3607834.0160000008</v>
      </c>
      <c r="K9" s="578">
        <f>IFERROR(VLOOKUP($A9,Race_2024_Seasonal!$A:$W,14,FALSE),0)+J9</f>
        <v>3132248.1210000007</v>
      </c>
      <c r="L9" s="578">
        <f>IFERROR(VLOOKUP($A9,Race_2024_Seasonal!$A:$W,15,FALSE),0)+K9</f>
        <v>3770367.6030000006</v>
      </c>
      <c r="M9" s="578">
        <f>IFERROR(VLOOKUP($A9,Race_2024_Seasonal!$A:$W,16,FALSE),0)+L9</f>
        <v>3354886.2010000004</v>
      </c>
      <c r="N9" s="578">
        <f>IFERROR(VLOOKUP($A9,Race_2024_Seasonal!$A:$W,17,FALSE),0)+M9</f>
        <v>2963090.3880000003</v>
      </c>
      <c r="O9" s="589">
        <f>IFERROR(VLOOKUP($A9,Race_2024_Seasonal!$A:$W,18,FALSE),0)+N9</f>
        <v>3729192.1290000002</v>
      </c>
      <c r="Q9" s="587">
        <f t="shared" ref="Q9:Q12" si="0">O9</f>
        <v>3729192.1290000002</v>
      </c>
      <c r="R9" s="674"/>
      <c r="S9" s="644">
        <f>Q9-KeyData!H9</f>
        <v>0</v>
      </c>
      <c r="T9" s="546"/>
    </row>
    <row r="10" spans="1:20" ht="15">
      <c r="A10" s="546" t="s">
        <v>1043</v>
      </c>
      <c r="B10" s="546"/>
      <c r="C10" s="579" t="s">
        <v>1044</v>
      </c>
      <c r="D10" s="578">
        <f>IFERROR(VLOOKUP($A10,Race_2024_Seasonal!A:W,6,FALSE),0)+IFERROR(VLOOKUP($A10,Race_2024_Seasonal!A:W,7,FALSE),0)</f>
        <v>289252.61900000001</v>
      </c>
      <c r="E10" s="578">
        <f>IFERROR(VLOOKUP($A10,Race_2024_Seasonal!$A:$W,8,FALSE),0)+D10</f>
        <v>406623.90700000001</v>
      </c>
      <c r="F10" s="578">
        <f>IFERROR(VLOOKUP($A10,Race_2024_Seasonal!$A:$W,9,FALSE),0)+E10</f>
        <v>389956.42100000003</v>
      </c>
      <c r="G10" s="578">
        <f>IFERROR(VLOOKUP($A10,Race_2024_Seasonal!$A:$W,10,FALSE),0)+F10</f>
        <v>304163.38100000005</v>
      </c>
      <c r="H10" s="578">
        <f>IFERROR(VLOOKUP($A10,Race_2024_Seasonal!$A:$W,11,FALSE),0)+G10</f>
        <v>275335.33200000005</v>
      </c>
      <c r="I10" s="578">
        <f>IFERROR(VLOOKUP($A10,Race_2024_Seasonal!$A:$W,12,FALSE),0)+H10</f>
        <v>344169.16500000004</v>
      </c>
      <c r="J10" s="578">
        <f>IFERROR(VLOOKUP($A10,Race_2024_Seasonal!$A:$W,13,FALSE),0)+I10</f>
        <v>344169.16500000004</v>
      </c>
      <c r="K10" s="578">
        <f>IFERROR(VLOOKUP($A10,Race_2024_Seasonal!$A:$W,14,FALSE),0)+J10</f>
        <v>315778.51700000005</v>
      </c>
      <c r="L10" s="578">
        <f>IFERROR(VLOOKUP($A10,Race_2024_Seasonal!$A:$W,15,FALSE),0)+K10</f>
        <v>253522.52600000004</v>
      </c>
      <c r="M10" s="578">
        <f>IFERROR(VLOOKUP($A10,Race_2024_Seasonal!$A:$W,16,FALSE),0)+L10</f>
        <v>261324.28200000004</v>
      </c>
      <c r="N10" s="578">
        <f>IFERROR(VLOOKUP($A10,Race_2024_Seasonal!$A:$W,17,FALSE),0)+M10</f>
        <v>338011.61200000002</v>
      </c>
      <c r="O10" s="589">
        <f>IFERROR(VLOOKUP($A10,Race_2024_Seasonal!$A:$W,18,FALSE),0)+N10</f>
        <v>270409.28899999999</v>
      </c>
      <c r="Q10" s="587">
        <f t="shared" si="0"/>
        <v>270409.28899999999</v>
      </c>
      <c r="R10" s="674"/>
      <c r="S10" s="644">
        <f>Q10-KeyData!H10</f>
        <v>0</v>
      </c>
      <c r="T10" s="546"/>
    </row>
    <row r="11" spans="1:20" ht="15">
      <c r="A11" s="546" t="s">
        <v>1045</v>
      </c>
      <c r="B11" s="546"/>
      <c r="C11" s="579" t="s">
        <v>1046</v>
      </c>
      <c r="D11" s="578">
        <f>IFERROR(VLOOKUP($A11,Race_2024_Seasonal!A:W,6,FALSE),0)+IFERROR(VLOOKUP($A11,Race_2024_Seasonal!A:W,7,FALSE),0)</f>
        <v>0</v>
      </c>
      <c r="E11" s="578">
        <f>IFERROR(VLOOKUP($A11,Race_2024_Seasonal!$A:$W,8,FALSE),0)+D11</f>
        <v>0</v>
      </c>
      <c r="F11" s="578">
        <f>IFERROR(VLOOKUP($A11,Race_2024_Seasonal!$A:$W,9,FALSE),0)+E11</f>
        <v>0</v>
      </c>
      <c r="G11" s="578">
        <f>IFERROR(VLOOKUP($A11,Race_2024_Seasonal!$A:$W,10,FALSE),0)+F11</f>
        <v>0</v>
      </c>
      <c r="H11" s="578">
        <f>IFERROR(VLOOKUP($A11,Race_2024_Seasonal!$A:$W,11,FALSE),0)+G11</f>
        <v>0</v>
      </c>
      <c r="I11" s="578">
        <f>IFERROR(VLOOKUP($A11,Race_2024_Seasonal!$A:$W,12,FALSE),0)+H11</f>
        <v>0</v>
      </c>
      <c r="J11" s="578">
        <f>IFERROR(VLOOKUP($A11,Race_2024_Seasonal!$A:$W,13,FALSE),0)+I11</f>
        <v>0</v>
      </c>
      <c r="K11" s="578">
        <f>IFERROR(VLOOKUP($A11,Race_2024_Seasonal!$A:$W,14,FALSE),0)+J11</f>
        <v>0</v>
      </c>
      <c r="L11" s="578">
        <f>IFERROR(VLOOKUP($A11,Race_2024_Seasonal!$A:$W,15,FALSE),0)+K11</f>
        <v>0</v>
      </c>
      <c r="M11" s="578">
        <f>IFERROR(VLOOKUP($A11,Race_2024_Seasonal!$A:$W,16,FALSE),0)+L11</f>
        <v>0</v>
      </c>
      <c r="N11" s="578">
        <f>IFERROR(VLOOKUP($A11,Race_2024_Seasonal!$A:$W,17,FALSE),0)+M11</f>
        <v>0</v>
      </c>
      <c r="O11" s="589">
        <f>IFERROR(VLOOKUP($A11,Race_2024_Seasonal!$A:$W,18,FALSE),0)+N11</f>
        <v>0</v>
      </c>
      <c r="Q11" s="587">
        <f t="shared" si="0"/>
        <v>0</v>
      </c>
      <c r="R11" s="674"/>
      <c r="S11" s="644">
        <f>Q11-KeyData!H11</f>
        <v>0</v>
      </c>
      <c r="T11" s="546"/>
    </row>
    <row r="12" spans="1:20" ht="15">
      <c r="A12" s="546" t="s">
        <v>1047</v>
      </c>
      <c r="B12" s="546"/>
      <c r="C12" s="608" t="s">
        <v>1048</v>
      </c>
      <c r="D12" s="585">
        <f>IFERROR(VLOOKUP($A12,Race_2024_Seasonal!A:W,6,FALSE),0)+IFERROR(VLOOKUP($A12,Race_2024_Seasonal!A:W,7,FALSE),0)</f>
        <v>441607.05200000003</v>
      </c>
      <c r="E12" s="585">
        <f>IFERROR(VLOOKUP($A12,Race_2024_Seasonal!$A:$W,8,FALSE),0)+D12</f>
        <v>620799.85700000008</v>
      </c>
      <c r="F12" s="585">
        <f>IFERROR(VLOOKUP($A12,Race_2024_Seasonal!$A:$W,9,FALSE),0)+E12</f>
        <v>595353.31400000013</v>
      </c>
      <c r="G12" s="585">
        <f>IFERROR(VLOOKUP($A12,Race_2024_Seasonal!$A:$W,10,FALSE),0)+F12</f>
        <v>464371.57300000015</v>
      </c>
      <c r="H12" s="585">
        <f>IFERROR(VLOOKUP($A12,Race_2024_Seasonal!$A:$W,11,FALSE),0)+G12</f>
        <v>420359.28500000015</v>
      </c>
      <c r="I12" s="585">
        <f>IFERROR(VLOOKUP($A12,Race_2024_Seasonal!$A:$W,12,FALSE),0)+H12</f>
        <v>525449.10700000019</v>
      </c>
      <c r="J12" s="585">
        <f>IFERROR(VLOOKUP($A12,Race_2024_Seasonal!$A:$W,13,FALSE),0)+I12</f>
        <v>525449.10700000019</v>
      </c>
      <c r="K12" s="585">
        <f>IFERROR(VLOOKUP($A12,Race_2024_Seasonal!$A:$W,14,FALSE),0)+J12</f>
        <v>482104.60700000019</v>
      </c>
      <c r="L12" s="585">
        <f>IFERROR(VLOOKUP($A12,Race_2024_Seasonal!$A:$W,15,FALSE),0)+K12</f>
        <v>387057.29200000019</v>
      </c>
      <c r="M12" s="585">
        <f>IFERROR(VLOOKUP($A12,Race_2024_Seasonal!$A:$W,16,FALSE),0)+L12</f>
        <v>398968.37000000017</v>
      </c>
      <c r="N12" s="585">
        <f>IFERROR(VLOOKUP($A12,Race_2024_Seasonal!$A:$W,17,FALSE),0)+M12</f>
        <v>516048.26200000016</v>
      </c>
      <c r="O12" s="584">
        <f>IFERROR(VLOOKUP($A12,Race_2024_Seasonal!$A:$W,18,FALSE),0)+N12</f>
        <v>412838.61000000016</v>
      </c>
      <c r="Q12" s="583">
        <f t="shared" si="0"/>
        <v>412838.61000000016</v>
      </c>
      <c r="R12" s="674"/>
      <c r="S12" s="644">
        <f>Q12-KeyData!H12</f>
        <v>0</v>
      </c>
      <c r="T12" s="607"/>
    </row>
    <row r="13" spans="1:20" ht="15">
      <c r="A13" s="546"/>
      <c r="B13" s="546"/>
      <c r="C13" s="554"/>
      <c r="D13" s="554"/>
      <c r="E13" s="554"/>
      <c r="F13" s="554"/>
      <c r="G13" s="554"/>
      <c r="H13" s="554"/>
      <c r="I13" s="554"/>
      <c r="J13" s="554"/>
      <c r="K13" s="554"/>
      <c r="L13" s="554"/>
      <c r="M13" s="554"/>
      <c r="N13" s="554"/>
      <c r="O13" s="554"/>
      <c r="Q13" s="554"/>
      <c r="R13" s="554"/>
      <c r="S13" s="644">
        <f>Q13-KeyData!H13</f>
        <v>0</v>
      </c>
    </row>
    <row r="14" spans="1:20" ht="15">
      <c r="A14" s="546" t="s">
        <v>1049</v>
      </c>
      <c r="B14" s="546"/>
      <c r="C14" s="581" t="s">
        <v>1050</v>
      </c>
      <c r="D14" s="606">
        <f>IFERROR(VLOOKUP($A14,Race_2024_Seasonal!A:W,6,FALSE),0)+IFERROR(VLOOKUP($A14,Race_2024_Seasonal!A:W,7,FALSE),0)</f>
        <v>30694530.879999999</v>
      </c>
      <c r="E14" s="606">
        <f>IFERROR(VLOOKUP($A14,Race_2024_Seasonal!$A:$W,8,FALSE),0)+D14</f>
        <v>33524598.717999998</v>
      </c>
      <c r="F14" s="606">
        <f>IFERROR(VLOOKUP($A14,Race_2024_Seasonal!$A:$W,9,FALSE),0)+E14</f>
        <v>30363945.159999996</v>
      </c>
      <c r="G14" s="606">
        <f>IFERROR(VLOOKUP($A14,Race_2024_Seasonal!$A:$W,10,FALSE),0)+F14</f>
        <v>27704640.654999997</v>
      </c>
      <c r="H14" s="606">
        <f>IFERROR(VLOOKUP($A14,Race_2024_Seasonal!$A:$W,11,FALSE),0)+G14</f>
        <v>26539817.753999997</v>
      </c>
      <c r="I14" s="606">
        <f>IFERROR(VLOOKUP($A14,Race_2024_Seasonal!$A:$W,12,FALSE),0)+H14</f>
        <v>23157862.469999999</v>
      </c>
      <c r="J14" s="606">
        <f>IFERROR(VLOOKUP($A14,Race_2024_Seasonal!$A:$W,13,FALSE),0)+I14</f>
        <v>22764040.825999998</v>
      </c>
      <c r="K14" s="606">
        <f>IFERROR(VLOOKUP($A14,Race_2024_Seasonal!$A:$W,14,FALSE),0)+J14</f>
        <v>21669941.092999998</v>
      </c>
      <c r="L14" s="606">
        <f>IFERROR(VLOOKUP($A14,Race_2024_Seasonal!$A:$W,15,FALSE),0)+K14</f>
        <v>21109017.763999999</v>
      </c>
      <c r="M14" s="606">
        <f>IFERROR(VLOOKUP($A14,Race_2024_Seasonal!$A:$W,16,FALSE),0)+L14</f>
        <v>21212775.653999999</v>
      </c>
      <c r="N14" s="606">
        <f>IFERROR(VLOOKUP($A14,Race_2024_Seasonal!$A:$W,17,FALSE),0)+M14</f>
        <v>21976259.502</v>
      </c>
      <c r="O14" s="605">
        <f>IFERROR(VLOOKUP($A14,Race_2024_Seasonal!$A:$W,18,FALSE),0)+N14</f>
        <v>22297470.466000002</v>
      </c>
      <c r="Q14" s="604">
        <f t="shared" ref="Q14:Q15" si="1">O14</f>
        <v>22297470.466000002</v>
      </c>
      <c r="R14" s="674"/>
      <c r="S14" s="644">
        <f>Q14-KeyData!H14</f>
        <v>0</v>
      </c>
    </row>
    <row r="15" spans="1:20" ht="15" outlineLevel="1">
      <c r="A15" s="546"/>
      <c r="B15" s="546"/>
      <c r="C15" s="634"/>
      <c r="D15" s="635"/>
      <c r="E15" s="635"/>
      <c r="F15" s="635"/>
      <c r="G15" s="635"/>
      <c r="H15" s="635"/>
      <c r="I15" s="635"/>
      <c r="J15" s="635"/>
      <c r="K15" s="635"/>
      <c r="L15" s="635"/>
      <c r="M15" s="635"/>
      <c r="N15" s="635"/>
      <c r="O15" s="636"/>
      <c r="Q15" s="642">
        <f t="shared" si="1"/>
        <v>0</v>
      </c>
      <c r="R15" s="674"/>
      <c r="S15" s="644">
        <f>Q15-KeyData!H15</f>
        <v>0</v>
      </c>
    </row>
    <row r="16" spans="1:20" ht="15" outlineLevel="1">
      <c r="A16" s="546"/>
      <c r="B16" s="546"/>
      <c r="C16" s="554"/>
      <c r="D16" s="554"/>
      <c r="E16" s="554"/>
      <c r="F16" s="554"/>
      <c r="G16" s="554"/>
      <c r="H16" s="554"/>
      <c r="I16" s="554"/>
      <c r="J16" s="554"/>
      <c r="K16" s="554"/>
      <c r="L16" s="554"/>
      <c r="M16" s="554"/>
      <c r="N16" s="554"/>
      <c r="O16" s="554"/>
      <c r="Q16" s="554"/>
      <c r="R16" s="554"/>
      <c r="S16" s="644">
        <f>Q16-KeyData!H16</f>
        <v>0</v>
      </c>
    </row>
    <row r="17" spans="1:19" ht="15" outlineLevel="1">
      <c r="A17" s="546" t="s">
        <v>1051</v>
      </c>
      <c r="B17" s="546"/>
      <c r="C17" s="581" t="s">
        <v>1052</v>
      </c>
      <c r="D17" s="606">
        <f>IFERROR(VLOOKUP($A17,Race_2024_Seasonal!A:W,6,FALSE),0)+IFERROR(VLOOKUP($A17,Race_2024_Seasonal!A:W,7,FALSE),0)</f>
        <v>19625199.923</v>
      </c>
      <c r="E17" s="606">
        <f>IFERROR(VLOOKUP($A17,Race_2024_Seasonal!$A:$W,8,FALSE),0)+D17</f>
        <v>14887597.252</v>
      </c>
      <c r="F17" s="606">
        <f>IFERROR(VLOOKUP($A17,Race_2024_Seasonal!$A:$W,9,FALSE),0)+E17</f>
        <v>14272555.077</v>
      </c>
      <c r="G17" s="606">
        <f>IFERROR(VLOOKUP($A17,Race_2024_Seasonal!$A:$W,10,FALSE),0)+F17</f>
        <v>14515753.886</v>
      </c>
      <c r="H17" s="606">
        <f>IFERROR(VLOOKUP($A17,Race_2024_Seasonal!$A:$W,11,FALSE),0)+G17</f>
        <v>14646961.816</v>
      </c>
      <c r="I17" s="606">
        <f>IFERROR(VLOOKUP($A17,Race_2024_Seasonal!$A:$W,12,FALSE),0)+H17</f>
        <v>15040162.33</v>
      </c>
      <c r="J17" s="606">
        <f>IFERROR(VLOOKUP($A17,Race_2024_Seasonal!$A:$W,13,FALSE),0)+I17</f>
        <v>15076397.367000001</v>
      </c>
      <c r="K17" s="606">
        <f>IFERROR(VLOOKUP($A17,Race_2024_Seasonal!$A:$W,14,FALSE),0)+J17</f>
        <v>16385156.979</v>
      </c>
      <c r="L17" s="606">
        <f>IFERROR(VLOOKUP($A17,Race_2024_Seasonal!$A:$W,15,FALSE),0)+K17</f>
        <v>15934710.882000001</v>
      </c>
      <c r="M17" s="606">
        <f>IFERROR(VLOOKUP($A17,Race_2024_Seasonal!$A:$W,16,FALSE),0)+L17</f>
        <v>16039743.413000001</v>
      </c>
      <c r="N17" s="606">
        <f>IFERROR(VLOOKUP($A17,Race_2024_Seasonal!$A:$W,17,FALSE),0)+M17</f>
        <v>15649997.531000001</v>
      </c>
      <c r="O17" s="605">
        <f>IFERROR(VLOOKUP($A17,Race_2024_Seasonal!$A:$W,18,FALSE),0)+N17</f>
        <v>14318691.035000002</v>
      </c>
      <c r="Q17" s="604">
        <f t="shared" ref="Q17:Q19" si="2">O17</f>
        <v>14318691.035000002</v>
      </c>
      <c r="R17" s="674"/>
      <c r="S17" s="644">
        <f>Q17-KeyData!H17</f>
        <v>0</v>
      </c>
    </row>
    <row r="18" spans="1:19" ht="15">
      <c r="A18" s="546"/>
      <c r="B18" s="546"/>
      <c r="C18" s="637"/>
      <c r="D18" s="638"/>
      <c r="E18" s="638"/>
      <c r="F18" s="638"/>
      <c r="G18" s="638"/>
      <c r="H18" s="638"/>
      <c r="I18" s="638"/>
      <c r="J18" s="638"/>
      <c r="K18" s="638"/>
      <c r="L18" s="638"/>
      <c r="M18" s="638"/>
      <c r="N18" s="638"/>
      <c r="O18" s="639"/>
      <c r="Q18" s="641">
        <f t="shared" si="2"/>
        <v>0</v>
      </c>
      <c r="R18" s="674"/>
      <c r="S18" s="644">
        <f>Q18-KeyData!H18</f>
        <v>0</v>
      </c>
    </row>
    <row r="19" spans="1:19" ht="15">
      <c r="A19" s="546"/>
      <c r="B19" s="546"/>
      <c r="C19" s="603" t="s">
        <v>677</v>
      </c>
      <c r="D19" s="602">
        <f>D8+D14-D17</f>
        <v>15529503.442000002</v>
      </c>
      <c r="E19" s="602">
        <f t="shared" ref="E19:O19" si="3">E8+E14-E17</f>
        <v>23107143.289000001</v>
      </c>
      <c r="F19" s="602">
        <f t="shared" si="3"/>
        <v>20630361.460000001</v>
      </c>
      <c r="G19" s="602">
        <f t="shared" si="3"/>
        <v>17503217.699999996</v>
      </c>
      <c r="H19" s="602">
        <f t="shared" si="3"/>
        <v>15948700.245999996</v>
      </c>
      <c r="I19" s="602">
        <f t="shared" si="3"/>
        <v>12995564.319999998</v>
      </c>
      <c r="J19" s="602">
        <f t="shared" si="3"/>
        <v>12165095.746999996</v>
      </c>
      <c r="K19" s="602">
        <f t="shared" si="3"/>
        <v>9214915.3589999992</v>
      </c>
      <c r="L19" s="602">
        <f t="shared" si="3"/>
        <v>9585254.3029999975</v>
      </c>
      <c r="M19" s="602">
        <f t="shared" si="3"/>
        <v>9188211.0939999986</v>
      </c>
      <c r="N19" s="602">
        <f t="shared" si="3"/>
        <v>10143412.232999997</v>
      </c>
      <c r="O19" s="602">
        <f t="shared" si="3"/>
        <v>12391219.459000001</v>
      </c>
      <c r="Q19" s="599">
        <f t="shared" si="2"/>
        <v>12391219.459000001</v>
      </c>
      <c r="R19" s="674"/>
      <c r="S19" s="644">
        <f>Q19-KeyData!H19</f>
        <v>0</v>
      </c>
    </row>
    <row r="20" spans="1:19" ht="15">
      <c r="A20" s="546"/>
      <c r="B20" s="546"/>
      <c r="C20" s="592"/>
      <c r="D20" s="592"/>
      <c r="E20" s="592"/>
      <c r="F20" s="592"/>
      <c r="G20" s="592"/>
      <c r="H20" s="592"/>
      <c r="I20" s="592"/>
      <c r="J20" s="592"/>
      <c r="K20" s="592"/>
      <c r="L20" s="592"/>
      <c r="M20" s="592"/>
      <c r="N20" s="592"/>
      <c r="O20" s="592"/>
      <c r="Q20" s="592"/>
      <c r="R20" s="592"/>
      <c r="S20" s="644">
        <f>Q20-KeyData!H20</f>
        <v>0</v>
      </c>
    </row>
    <row r="21" spans="1:19" ht="15" outlineLevel="1">
      <c r="A21" s="546"/>
      <c r="B21" s="546"/>
      <c r="C21" s="581" t="s">
        <v>1053</v>
      </c>
      <c r="D21" s="595">
        <f t="shared" ref="D21:O21" si="4">SUM(D22:D23)</f>
        <v>73</v>
      </c>
      <c r="E21" s="595">
        <f t="shared" si="4"/>
        <v>73</v>
      </c>
      <c r="F21" s="595">
        <f t="shared" si="4"/>
        <v>73</v>
      </c>
      <c r="G21" s="595">
        <f t="shared" si="4"/>
        <v>73</v>
      </c>
      <c r="H21" s="595">
        <f t="shared" si="4"/>
        <v>73</v>
      </c>
      <c r="I21" s="595">
        <f t="shared" si="4"/>
        <v>73</v>
      </c>
      <c r="J21" s="595">
        <f t="shared" si="4"/>
        <v>73</v>
      </c>
      <c r="K21" s="595">
        <f t="shared" si="4"/>
        <v>73</v>
      </c>
      <c r="L21" s="595">
        <f t="shared" si="4"/>
        <v>73</v>
      </c>
      <c r="M21" s="595">
        <f t="shared" si="4"/>
        <v>73</v>
      </c>
      <c r="N21" s="595">
        <f t="shared" si="4"/>
        <v>73</v>
      </c>
      <c r="O21" s="580">
        <f t="shared" si="4"/>
        <v>73</v>
      </c>
      <c r="Q21" s="594">
        <f>O21</f>
        <v>73</v>
      </c>
      <c r="R21" s="677"/>
      <c r="S21" s="644">
        <f>Q21-KeyData!H21</f>
        <v>0</v>
      </c>
    </row>
    <row r="22" spans="1:19" ht="15" outlineLevel="1">
      <c r="A22" s="544" t="s">
        <v>1054</v>
      </c>
      <c r="C22" s="591" t="s">
        <v>1055</v>
      </c>
      <c r="D22" s="578">
        <f>IFERROR(VLOOKUP($A22,Race_2024_Seasonal!$A:$W,7,FALSE),0)</f>
        <v>50</v>
      </c>
      <c r="E22" s="578">
        <f>IFERROR(VLOOKUP($A22,Race_2024_Seasonal!$A:$W,7,FALSE),0)</f>
        <v>50</v>
      </c>
      <c r="F22" s="578">
        <f>IFERROR(VLOOKUP($A22,Race_2024_Seasonal!$A:$W,7,FALSE),0)</f>
        <v>50</v>
      </c>
      <c r="G22" s="578">
        <f>IFERROR(VLOOKUP($A22,Race_2024_Seasonal!$A:$W,7,FALSE),0)</f>
        <v>50</v>
      </c>
      <c r="H22" s="578">
        <f>IFERROR(VLOOKUP($A22,Race_2024_Seasonal!$A:$W,7,FALSE),0)</f>
        <v>50</v>
      </c>
      <c r="I22" s="578">
        <f>IFERROR(VLOOKUP($A22,Race_2024_Seasonal!$A:$W,7,FALSE),0)</f>
        <v>50</v>
      </c>
      <c r="J22" s="578">
        <f>IFERROR(VLOOKUP($A22,Race_2024_Seasonal!$A:$W,7,FALSE),0)</f>
        <v>50</v>
      </c>
      <c r="K22" s="578">
        <f>IFERROR(VLOOKUP($A22,Race_2024_Seasonal!$A:$W,7,FALSE),0)</f>
        <v>50</v>
      </c>
      <c r="L22" s="578">
        <f>IFERROR(VLOOKUP($A22,Race_2024_Seasonal!$A:$W,7,FALSE),0)</f>
        <v>50</v>
      </c>
      <c r="M22" s="578">
        <f>IFERROR(VLOOKUP($A22,Race_2024_Seasonal!$A:$W,7,FALSE),0)</f>
        <v>50</v>
      </c>
      <c r="N22" s="578">
        <f>IFERROR(VLOOKUP($A22,Race_2024_Seasonal!$A:$W,7,FALSE),0)</f>
        <v>50</v>
      </c>
      <c r="O22" s="589">
        <f>IFERROR(VLOOKUP($A22,Race_2024_Seasonal!$A:$W,7,FALSE),0)</f>
        <v>50</v>
      </c>
      <c r="Q22" s="587">
        <f t="shared" ref="Q22:Q30" si="5">O22</f>
        <v>50</v>
      </c>
      <c r="R22" s="674"/>
      <c r="S22" s="644">
        <f>Q22-KeyData!H22</f>
        <v>0</v>
      </c>
    </row>
    <row r="23" spans="1:19" ht="15" outlineLevel="1">
      <c r="A23" s="546" t="s">
        <v>1056</v>
      </c>
      <c r="B23" s="546"/>
      <c r="C23" s="591" t="s">
        <v>1057</v>
      </c>
      <c r="D23" s="578">
        <f>IFERROR(VLOOKUP($A23,Race_2024_Seasonal!$A:$W,7,FALSE),0)</f>
        <v>23</v>
      </c>
      <c r="E23" s="578">
        <f>IFERROR(VLOOKUP($A23,Race_2024_Seasonal!$A:$W,7,FALSE),0)</f>
        <v>23</v>
      </c>
      <c r="F23" s="578">
        <f>IFERROR(VLOOKUP($A23,Race_2024_Seasonal!$A:$W,7,FALSE),0)</f>
        <v>23</v>
      </c>
      <c r="G23" s="578">
        <f>IFERROR(VLOOKUP($A23,Race_2024_Seasonal!$A:$W,7,FALSE),0)</f>
        <v>23</v>
      </c>
      <c r="H23" s="578">
        <f>IFERROR(VLOOKUP($A23,Race_2024_Seasonal!$A:$W,7,FALSE),0)</f>
        <v>23</v>
      </c>
      <c r="I23" s="578">
        <f>IFERROR(VLOOKUP($A23,Race_2024_Seasonal!$A:$W,7,FALSE),0)</f>
        <v>23</v>
      </c>
      <c r="J23" s="578">
        <f>IFERROR(VLOOKUP($A23,Race_2024_Seasonal!$A:$W,7,FALSE),0)</f>
        <v>23</v>
      </c>
      <c r="K23" s="578">
        <f>IFERROR(VLOOKUP($A23,Race_2024_Seasonal!$A:$W,7,FALSE),0)</f>
        <v>23</v>
      </c>
      <c r="L23" s="578">
        <f>IFERROR(VLOOKUP($A23,Race_2024_Seasonal!$A:$W,7,FALSE),0)</f>
        <v>23</v>
      </c>
      <c r="M23" s="578">
        <f>IFERROR(VLOOKUP($A23,Race_2024_Seasonal!$A:$W,7,FALSE),0)</f>
        <v>23</v>
      </c>
      <c r="N23" s="578">
        <f>IFERROR(VLOOKUP($A23,Race_2024_Seasonal!$A:$W,7,FALSE),0)</f>
        <v>23</v>
      </c>
      <c r="O23" s="589">
        <f>IFERROR(VLOOKUP($A23,Race_2024_Seasonal!$A:$W,7,FALSE),0)</f>
        <v>23</v>
      </c>
      <c r="Q23" s="587">
        <f t="shared" si="5"/>
        <v>23</v>
      </c>
      <c r="R23" s="674"/>
      <c r="S23" s="644">
        <f>Q23-KeyData!H23</f>
        <v>0</v>
      </c>
    </row>
    <row r="24" spans="1:19" ht="15">
      <c r="A24" s="546" t="s">
        <v>1058</v>
      </c>
      <c r="B24" s="546"/>
      <c r="C24" s="591" t="s">
        <v>1059</v>
      </c>
      <c r="D24" s="578">
        <f>IFERROR(VLOOKUP($A24,Race_2024_Seasonal!$A:$W,7,FALSE),0)</f>
        <v>0</v>
      </c>
      <c r="E24" s="578">
        <f>IFERROR(VLOOKUP($A24,Race_2024_Seasonal!$A:$W,7,FALSE),0)</f>
        <v>0</v>
      </c>
      <c r="F24" s="578">
        <f>IFERROR(VLOOKUP($A24,Race_2024_Seasonal!$A:$W,7,FALSE),0)</f>
        <v>0</v>
      </c>
      <c r="G24" s="578">
        <f>IFERROR(VLOOKUP($A24,Race_2024_Seasonal!$A:$W,7,FALSE),0)</f>
        <v>0</v>
      </c>
      <c r="H24" s="578">
        <f>IFERROR(VLOOKUP($A24,Race_2024_Seasonal!$A:$W,7,FALSE),0)</f>
        <v>0</v>
      </c>
      <c r="I24" s="578">
        <f>IFERROR(VLOOKUP($A24,Race_2024_Seasonal!$A:$W,7,FALSE),0)</f>
        <v>0</v>
      </c>
      <c r="J24" s="578">
        <f>IFERROR(VLOOKUP($A24,Race_2024_Seasonal!$A:$W,7,FALSE),0)</f>
        <v>0</v>
      </c>
      <c r="K24" s="578">
        <f>IFERROR(VLOOKUP($A24,Race_2024_Seasonal!$A:$W,7,FALSE),0)</f>
        <v>0</v>
      </c>
      <c r="L24" s="578">
        <f>IFERROR(VLOOKUP($A24,Race_2024_Seasonal!$A:$W,7,FALSE),0)</f>
        <v>0</v>
      </c>
      <c r="M24" s="578">
        <f>IFERROR(VLOOKUP($A24,Race_2024_Seasonal!$A:$W,7,FALSE),0)</f>
        <v>0</v>
      </c>
      <c r="N24" s="578">
        <f>IFERROR(VLOOKUP($A24,Race_2024_Seasonal!$A:$W,7,FALSE),0)</f>
        <v>0</v>
      </c>
      <c r="O24" s="589">
        <f>IFERROR(VLOOKUP($A24,Race_2024_Seasonal!$A:$W,7,FALSE),0)</f>
        <v>0</v>
      </c>
      <c r="Q24" s="587">
        <f t="shared" si="5"/>
        <v>0</v>
      </c>
      <c r="R24" s="674"/>
      <c r="S24" s="644">
        <f>Q24-KeyData!H24</f>
        <v>0</v>
      </c>
    </row>
    <row r="25" spans="1:19" ht="15">
      <c r="A25" s="546" t="s">
        <v>1060</v>
      </c>
      <c r="B25" s="546"/>
      <c r="C25" s="591" t="s">
        <v>1061</v>
      </c>
      <c r="D25" s="578">
        <f>IFERROR(VLOOKUP($A25,Race_2024_Seasonal!$A:$W,7,FALSE),0)</f>
        <v>0</v>
      </c>
      <c r="E25" s="578">
        <f>IFERROR(VLOOKUP($A25,Race_2024_Seasonal!$A:$W,7,FALSE),0)</f>
        <v>0</v>
      </c>
      <c r="F25" s="578">
        <f>IFERROR(VLOOKUP($A25,Race_2024_Seasonal!$A:$W,7,FALSE),0)</f>
        <v>0</v>
      </c>
      <c r="G25" s="578">
        <f>IFERROR(VLOOKUP($A25,Race_2024_Seasonal!$A:$W,7,FALSE),0)</f>
        <v>0</v>
      </c>
      <c r="H25" s="578">
        <f>IFERROR(VLOOKUP($A25,Race_2024_Seasonal!$A:$W,7,FALSE),0)</f>
        <v>0</v>
      </c>
      <c r="I25" s="578">
        <f>IFERROR(VLOOKUP($A25,Race_2024_Seasonal!$A:$W,7,FALSE),0)</f>
        <v>0</v>
      </c>
      <c r="J25" s="578">
        <f>IFERROR(VLOOKUP($A25,Race_2024_Seasonal!$A:$W,7,FALSE),0)</f>
        <v>0</v>
      </c>
      <c r="K25" s="578">
        <f>IFERROR(VLOOKUP($A25,Race_2024_Seasonal!$A:$W,7,FALSE),0)</f>
        <v>0</v>
      </c>
      <c r="L25" s="578">
        <f>IFERROR(VLOOKUP($A25,Race_2024_Seasonal!$A:$W,7,FALSE),0)</f>
        <v>0</v>
      </c>
      <c r="M25" s="578">
        <f>IFERROR(VLOOKUP($A25,Race_2024_Seasonal!$A:$W,7,FALSE),0)</f>
        <v>0</v>
      </c>
      <c r="N25" s="578">
        <f>IFERROR(VLOOKUP($A25,Race_2024_Seasonal!$A:$W,7,FALSE),0)</f>
        <v>0</v>
      </c>
      <c r="O25" s="589">
        <f>IFERROR(VLOOKUP($A25,Race_2024_Seasonal!$A:$W,7,FALSE),0)</f>
        <v>0</v>
      </c>
      <c r="Q25" s="587">
        <f t="shared" si="5"/>
        <v>0</v>
      </c>
      <c r="R25" s="674"/>
      <c r="S25" s="644">
        <f>Q25-KeyData!H25</f>
        <v>0</v>
      </c>
    </row>
    <row r="26" spans="1:19" ht="15">
      <c r="A26" s="546" t="s">
        <v>1062</v>
      </c>
      <c r="B26" s="546"/>
      <c r="C26" s="591" t="s">
        <v>1063</v>
      </c>
      <c r="D26" s="578">
        <f>IFERROR(VLOOKUP($A26,Race_2024_Seasonal!$A:$W,7,FALSE),0)</f>
        <v>50</v>
      </c>
      <c r="E26" s="578">
        <f>IFERROR(VLOOKUP($A26,Race_2024_Seasonal!$A:$W,7,FALSE),0)</f>
        <v>50</v>
      </c>
      <c r="F26" s="578">
        <f>IFERROR(VLOOKUP($A26,Race_2024_Seasonal!$A:$W,7,FALSE),0)</f>
        <v>50</v>
      </c>
      <c r="G26" s="578">
        <f>IFERROR(VLOOKUP($A26,Race_2024_Seasonal!$A:$W,7,FALSE),0)</f>
        <v>50</v>
      </c>
      <c r="H26" s="578">
        <f>IFERROR(VLOOKUP($A26,Race_2024_Seasonal!$A:$W,7,FALSE),0)</f>
        <v>50</v>
      </c>
      <c r="I26" s="578">
        <f>IFERROR(VLOOKUP($A26,Race_2024_Seasonal!$A:$W,7,FALSE),0)</f>
        <v>50</v>
      </c>
      <c r="J26" s="578">
        <f>IFERROR(VLOOKUP($A26,Race_2024_Seasonal!$A:$W,7,FALSE),0)</f>
        <v>50</v>
      </c>
      <c r="K26" s="578">
        <f>IFERROR(VLOOKUP($A26,Race_2024_Seasonal!$A:$W,7,FALSE),0)</f>
        <v>50</v>
      </c>
      <c r="L26" s="578">
        <f>IFERROR(VLOOKUP($A26,Race_2024_Seasonal!$A:$W,7,FALSE),0)</f>
        <v>50</v>
      </c>
      <c r="M26" s="578">
        <f>IFERROR(VLOOKUP($A26,Race_2024_Seasonal!$A:$W,7,FALSE),0)</f>
        <v>50</v>
      </c>
      <c r="N26" s="578">
        <f>IFERROR(VLOOKUP($A26,Race_2024_Seasonal!$A:$W,7,FALSE),0)</f>
        <v>50</v>
      </c>
      <c r="O26" s="589">
        <f>IFERROR(VLOOKUP($A26,Race_2024_Seasonal!$A:$W,7,FALSE),0)</f>
        <v>50</v>
      </c>
      <c r="Q26" s="587">
        <f t="shared" si="5"/>
        <v>50</v>
      </c>
      <c r="R26" s="674"/>
      <c r="S26" s="644">
        <f>Q26-KeyData!H26</f>
        <v>0</v>
      </c>
    </row>
    <row r="27" spans="1:19" ht="15">
      <c r="A27" s="546" t="s">
        <v>1064</v>
      </c>
      <c r="B27" s="546"/>
      <c r="C27" s="591" t="s">
        <v>1065</v>
      </c>
      <c r="D27" s="578">
        <f>IFERROR(VLOOKUP($A27,Race_2024_Seasonal!$A:$W,7,FALSE),0)</f>
        <v>23</v>
      </c>
      <c r="E27" s="578">
        <f>IFERROR(VLOOKUP($A27,Race_2024_Seasonal!$A:$W,7,FALSE),0)</f>
        <v>23</v>
      </c>
      <c r="F27" s="578">
        <f>IFERROR(VLOOKUP($A27,Race_2024_Seasonal!$A:$W,7,FALSE),0)</f>
        <v>23</v>
      </c>
      <c r="G27" s="578">
        <f>IFERROR(VLOOKUP($A27,Race_2024_Seasonal!$A:$W,7,FALSE),0)</f>
        <v>23</v>
      </c>
      <c r="H27" s="578">
        <f>IFERROR(VLOOKUP($A27,Race_2024_Seasonal!$A:$W,7,FALSE),0)</f>
        <v>23</v>
      </c>
      <c r="I27" s="578">
        <f>IFERROR(VLOOKUP($A27,Race_2024_Seasonal!$A:$W,7,FALSE),0)</f>
        <v>23</v>
      </c>
      <c r="J27" s="578">
        <f>IFERROR(VLOOKUP($A27,Race_2024_Seasonal!$A:$W,7,FALSE),0)</f>
        <v>23</v>
      </c>
      <c r="K27" s="578">
        <f>IFERROR(VLOOKUP($A27,Race_2024_Seasonal!$A:$W,7,FALSE),0)</f>
        <v>23</v>
      </c>
      <c r="L27" s="578">
        <f>IFERROR(VLOOKUP($A27,Race_2024_Seasonal!$A:$W,7,FALSE),0)</f>
        <v>23</v>
      </c>
      <c r="M27" s="578">
        <f>IFERROR(VLOOKUP($A27,Race_2024_Seasonal!$A:$W,7,FALSE),0)</f>
        <v>23</v>
      </c>
      <c r="N27" s="578">
        <f>IFERROR(VLOOKUP($A27,Race_2024_Seasonal!$A:$W,7,FALSE),0)</f>
        <v>23</v>
      </c>
      <c r="O27" s="589">
        <f>IFERROR(VLOOKUP($A27,Race_2024_Seasonal!$A:$W,7,FALSE),0)</f>
        <v>23</v>
      </c>
      <c r="Q27" s="587">
        <f t="shared" si="5"/>
        <v>23</v>
      </c>
      <c r="R27" s="674"/>
      <c r="S27" s="644">
        <f>Q27-KeyData!H27</f>
        <v>0</v>
      </c>
    </row>
    <row r="28" spans="1:19" ht="15">
      <c r="A28" s="546" t="s">
        <v>1066</v>
      </c>
      <c r="B28" s="546"/>
      <c r="C28" s="590" t="s">
        <v>1067</v>
      </c>
      <c r="D28" s="578">
        <f>IFERROR(VLOOKUP($A28,Race_2024_Seasonal!$A:$W,7,FALSE),0)</f>
        <v>0</v>
      </c>
      <c r="E28" s="578">
        <f>IFERROR(VLOOKUP($A28,Race_2024_Seasonal!$A:$W,7,FALSE),0)</f>
        <v>0</v>
      </c>
      <c r="F28" s="578">
        <f>IFERROR(VLOOKUP($A28,Race_2024_Seasonal!$A:$W,7,FALSE),0)</f>
        <v>0</v>
      </c>
      <c r="G28" s="578">
        <f>IFERROR(VLOOKUP($A28,Race_2024_Seasonal!$A:$W,7,FALSE),0)</f>
        <v>0</v>
      </c>
      <c r="H28" s="578">
        <f>IFERROR(VLOOKUP($A28,Race_2024_Seasonal!$A:$W,7,FALSE),0)</f>
        <v>0</v>
      </c>
      <c r="I28" s="578">
        <f>IFERROR(VLOOKUP($A28,Race_2024_Seasonal!$A:$W,7,FALSE),0)</f>
        <v>0</v>
      </c>
      <c r="J28" s="578">
        <f>IFERROR(VLOOKUP($A28,Race_2024_Seasonal!$A:$W,7,FALSE),0)</f>
        <v>0</v>
      </c>
      <c r="K28" s="578">
        <f>IFERROR(VLOOKUP($A28,Race_2024_Seasonal!$A:$W,7,FALSE),0)</f>
        <v>0</v>
      </c>
      <c r="L28" s="578">
        <f>IFERROR(VLOOKUP($A28,Race_2024_Seasonal!$A:$W,7,FALSE),0)</f>
        <v>0</v>
      </c>
      <c r="M28" s="578">
        <f>IFERROR(VLOOKUP($A28,Race_2024_Seasonal!$A:$W,7,FALSE),0)</f>
        <v>0</v>
      </c>
      <c r="N28" s="578">
        <f>IFERROR(VLOOKUP($A28,Race_2024_Seasonal!$A:$W,7,FALSE),0)</f>
        <v>0</v>
      </c>
      <c r="O28" s="589">
        <f>IFERROR(VLOOKUP($A28,Race_2024_Seasonal!$A:$W,7,FALSE),0)</f>
        <v>0</v>
      </c>
      <c r="Q28" s="587">
        <f t="shared" si="5"/>
        <v>0</v>
      </c>
      <c r="R28" s="674"/>
      <c r="S28" s="644">
        <f>Q28-KeyData!H28</f>
        <v>0</v>
      </c>
    </row>
    <row r="29" spans="1:19" ht="15">
      <c r="A29" s="546" t="s">
        <v>1068</v>
      </c>
      <c r="B29" s="546"/>
      <c r="C29" s="590" t="s">
        <v>1069</v>
      </c>
      <c r="D29" s="578">
        <f>IFERROR(VLOOKUP($A29,Race_2024_Seasonal!$A:$W,7,FALSE),0)</f>
        <v>0</v>
      </c>
      <c r="E29" s="578">
        <f>IFERROR(VLOOKUP($A29,Race_2024_Seasonal!$A:$W,7,FALSE),0)</f>
        <v>0</v>
      </c>
      <c r="F29" s="578">
        <f>IFERROR(VLOOKUP($A29,Race_2024_Seasonal!$A:$W,7,FALSE),0)</f>
        <v>0</v>
      </c>
      <c r="G29" s="578">
        <f>IFERROR(VLOOKUP($A29,Race_2024_Seasonal!$A:$W,7,FALSE),0)</f>
        <v>0</v>
      </c>
      <c r="H29" s="578">
        <f>IFERROR(VLOOKUP($A29,Race_2024_Seasonal!$A:$W,7,FALSE),0)</f>
        <v>0</v>
      </c>
      <c r="I29" s="578">
        <f>IFERROR(VLOOKUP($A29,Race_2024_Seasonal!$A:$W,7,FALSE),0)</f>
        <v>0</v>
      </c>
      <c r="J29" s="578">
        <f>IFERROR(VLOOKUP($A29,Race_2024_Seasonal!$A:$W,7,FALSE),0)</f>
        <v>0</v>
      </c>
      <c r="K29" s="578">
        <f>IFERROR(VLOOKUP($A29,Race_2024_Seasonal!$A:$W,7,FALSE),0)</f>
        <v>0</v>
      </c>
      <c r="L29" s="578">
        <f>IFERROR(VLOOKUP($A29,Race_2024_Seasonal!$A:$W,7,FALSE),0)</f>
        <v>0</v>
      </c>
      <c r="M29" s="578">
        <f>IFERROR(VLOOKUP($A29,Race_2024_Seasonal!$A:$W,7,FALSE),0)</f>
        <v>0</v>
      </c>
      <c r="N29" s="578">
        <f>IFERROR(VLOOKUP($A29,Race_2024_Seasonal!$A:$W,7,FALSE),0)</f>
        <v>0</v>
      </c>
      <c r="O29" s="589">
        <f>IFERROR(VLOOKUP($A29,Race_2024_Seasonal!$A:$W,7,FALSE),0)</f>
        <v>0</v>
      </c>
      <c r="Q29" s="587">
        <f t="shared" si="5"/>
        <v>0</v>
      </c>
      <c r="R29" s="674"/>
      <c r="S29" s="644">
        <f>Q29-KeyData!H29</f>
        <v>0</v>
      </c>
    </row>
    <row r="30" spans="1:19" ht="15">
      <c r="A30" s="546" t="s">
        <v>1070</v>
      </c>
      <c r="B30" s="546"/>
      <c r="C30" s="586" t="s">
        <v>1071</v>
      </c>
      <c r="D30" s="628">
        <f>IFERROR((VLOOKUP($A30,Race_2024_Seasonal!$A:$W,5)-D21),0)</f>
        <v>-73</v>
      </c>
      <c r="E30" s="628">
        <f>IFERROR((VLOOKUP($A30,Race_2024_Seasonal!$A:$W,7,FALSE)-E21),0)</f>
        <v>0</v>
      </c>
      <c r="F30" s="628">
        <f>IFERROR((VLOOKUP($A30,Race_2024_Seasonal!$A:$W,7,FALSE)-F21),0)</f>
        <v>0</v>
      </c>
      <c r="G30" s="628">
        <f>IFERROR((VLOOKUP($A30,Race_2024_Seasonal!$A:$W,7,FALSE)-G21),0)</f>
        <v>0</v>
      </c>
      <c r="H30" s="628">
        <f>IFERROR((VLOOKUP($A30,Race_2024_Seasonal!$A:$W,7,FALSE)-H21),0)</f>
        <v>0</v>
      </c>
      <c r="I30" s="628">
        <f>IFERROR((VLOOKUP($A30,Race_2024_Seasonal!$A:$W,7,FALSE)-I21),0)</f>
        <v>0</v>
      </c>
      <c r="J30" s="628">
        <f>IFERROR((VLOOKUP($A30,Race_2024_Seasonal!$A:$W,7,FALSE)-J21),0)</f>
        <v>0</v>
      </c>
      <c r="K30" s="628">
        <f>IFERROR((VLOOKUP($A30,Race_2024_Seasonal!$A:$W,7,FALSE)-K21),0)</f>
        <v>0</v>
      </c>
      <c r="L30" s="628">
        <f>IFERROR((VLOOKUP($A30,Race_2024_Seasonal!$A:$W,7,FALSE)-L21),0)</f>
        <v>0</v>
      </c>
      <c r="M30" s="628">
        <f>IFERROR((VLOOKUP($A30,Race_2024_Seasonal!$A:$W,7,FALSE)-M21),0)</f>
        <v>0</v>
      </c>
      <c r="N30" s="628">
        <f>IFERROR((VLOOKUP($A30,Race_2024_Seasonal!$A:$W,7,FALSE)-N21),0)</f>
        <v>0</v>
      </c>
      <c r="O30" s="629">
        <f>IFERROR((VLOOKUP($A30,Race_2024_Seasonal!$A:$W,7,FALSE)-O21),0)</f>
        <v>0</v>
      </c>
      <c r="Q30" s="640">
        <f t="shared" si="5"/>
        <v>0</v>
      </c>
      <c r="R30" s="675"/>
      <c r="S30" s="644">
        <f>Q30-KeyData!H30</f>
        <v>0</v>
      </c>
    </row>
    <row r="31" spans="1:19" ht="15">
      <c r="S31" s="644">
        <f>Q31-KeyData!H31</f>
        <v>0</v>
      </c>
    </row>
    <row r="32" spans="1:19" ht="15">
      <c r="C32" s="630" t="s">
        <v>471</v>
      </c>
      <c r="D32" s="606">
        <f t="shared" ref="D32:O32" si="6">SUM(D40+D46)</f>
        <v>-1206260.7560000001</v>
      </c>
      <c r="E32" s="606">
        <f t="shared" si="6"/>
        <v>-1222850.03</v>
      </c>
      <c r="F32" s="606">
        <f t="shared" si="6"/>
        <v>-1201771.2760000001</v>
      </c>
      <c r="G32" s="606">
        <f t="shared" si="6"/>
        <v>-1160701.4360000002</v>
      </c>
      <c r="H32" s="606">
        <f t="shared" si="6"/>
        <v>-1182407.577</v>
      </c>
      <c r="I32" s="606">
        <f t="shared" si="6"/>
        <v>-1187382.2719999999</v>
      </c>
      <c r="J32" s="606">
        <f t="shared" si="6"/>
        <v>-1267603.6500000001</v>
      </c>
      <c r="K32" s="606">
        <f t="shared" si="6"/>
        <v>-1301651.307</v>
      </c>
      <c r="L32" s="606">
        <f t="shared" si="6"/>
        <v>-1240929.4440000001</v>
      </c>
      <c r="M32" s="606">
        <f t="shared" si="6"/>
        <v>-1214931.8019999999</v>
      </c>
      <c r="N32" s="606">
        <f t="shared" si="6"/>
        <v>-1223166.1540000001</v>
      </c>
      <c r="O32" s="605">
        <f t="shared" si="6"/>
        <v>-1219483.31</v>
      </c>
      <c r="Q32" s="604">
        <f>SUM(D32:O32)</f>
        <v>-14629139.014</v>
      </c>
      <c r="R32" s="674"/>
      <c r="S32" s="644">
        <f>Q32-KeyData!H32</f>
        <v>0</v>
      </c>
    </row>
    <row r="33" spans="1:19" ht="15">
      <c r="A33" s="544" t="s">
        <v>1072</v>
      </c>
      <c r="C33" s="633" t="s">
        <v>435</v>
      </c>
      <c r="D33" s="578">
        <f>IFERROR(VLOOKUP(A33, Race_2024_Seasonal!A:W, 7, FALSE), 0)</f>
        <v>-253151.49900000001</v>
      </c>
      <c r="E33" s="578">
        <f>IFERROR(VLOOKUP(A33, Race_2024_Seasonal!A:W, 8, FALSE), 0)</f>
        <v>-255376.49299999999</v>
      </c>
      <c r="F33" s="578">
        <f>IFERROR(VLOOKUP(A33, Race_2024_Seasonal!A:W, 9, FALSE), 0)</f>
        <v>-255822.16399999999</v>
      </c>
      <c r="G33" s="578">
        <f>IFERROR(VLOOKUP(A33, Race_2024_Seasonal!A:W, 10, FALSE), 0)</f>
        <v>-233170.497</v>
      </c>
      <c r="H33" s="578">
        <f>IFERROR(VLOOKUP(A33, Race_2024_Seasonal!A:W, 11, FALSE), 0)</f>
        <v>-245821.46100000001</v>
      </c>
      <c r="I33" s="578">
        <f>IFERROR(VLOOKUP(A33, Race_2024_Seasonal!A:W, 12, FALSE), 0)</f>
        <v>-253301.41099999999</v>
      </c>
      <c r="J33" s="578">
        <f>IFERROR(VLOOKUP(A33, Race_2024_Seasonal!A:W, 13, FALSE), 0)</f>
        <v>-324251.647</v>
      </c>
      <c r="K33" s="578">
        <f>IFERROR(VLOOKUP(A33, Race_2024_Seasonal!A:W, 14, FALSE), 0)</f>
        <v>-289298.18099999998</v>
      </c>
      <c r="L33" s="578">
        <f>IFERROR(VLOOKUP(A33, Race_2024_Seasonal!A:W, 15, FALSE), 0)</f>
        <v>-278807.17499999999</v>
      </c>
      <c r="M33" s="578">
        <f>IFERROR(VLOOKUP(A33, Race_2024_Seasonal!A:W, 16, FALSE), 0)</f>
        <v>-278501.18099999998</v>
      </c>
      <c r="N33" s="578">
        <f>IFERROR(VLOOKUP(A33, Race_2024_Seasonal!A:W, 17, FALSE), 0)</f>
        <v>-272726.35700000002</v>
      </c>
      <c r="O33" s="589">
        <f>IFERROR(VLOOKUP(A33, Race_2024_Seasonal!A:W, 18, FALSE), 0)</f>
        <v>-282078.25099999999</v>
      </c>
      <c r="Q33" s="587">
        <f t="shared" ref="Q33:Q46" si="7">SUM(D33:O33)</f>
        <v>-3222306.3169999998</v>
      </c>
      <c r="R33" s="674"/>
      <c r="S33" s="644">
        <f>Q33-KeyData!H33</f>
        <v>0</v>
      </c>
    </row>
    <row r="34" spans="1:19" ht="15">
      <c r="A34" s="544" t="s">
        <v>1073</v>
      </c>
      <c r="C34" s="633" t="s">
        <v>438</v>
      </c>
      <c r="D34" s="578">
        <f>IFERROR(VLOOKUP(A34, Race_2024_Seasonal!A:W, 7, FALSE), 0)</f>
        <v>-28258.053</v>
      </c>
      <c r="E34" s="578">
        <f>IFERROR(VLOOKUP(A34, Race_2024_Seasonal!A:W, 8, FALSE), 0)</f>
        <v>-29969.393</v>
      </c>
      <c r="F34" s="578">
        <f>IFERROR(VLOOKUP(A34, Race_2024_Seasonal!A:W, 9, FALSE), 0)</f>
        <v>-28699.673999999999</v>
      </c>
      <c r="G34" s="578">
        <f>IFERROR(VLOOKUP(A34, Race_2024_Seasonal!A:W, 10, FALSE), 0)</f>
        <v>-26246.813999999998</v>
      </c>
      <c r="H34" s="578">
        <f>IFERROR(VLOOKUP(A34, Race_2024_Seasonal!A:W, 11, FALSE), 0)</f>
        <v>-26725.01</v>
      </c>
      <c r="I34" s="578">
        <f>IFERROR(VLOOKUP(A34, Race_2024_Seasonal!A:W, 12, FALSE), 0)</f>
        <v>-29354.675999999999</v>
      </c>
      <c r="J34" s="578">
        <f>IFERROR(VLOOKUP(A34, Race_2024_Seasonal!A:W, 13, FALSE), 0)</f>
        <v>-35514.9</v>
      </c>
      <c r="K34" s="578">
        <f>IFERROR(VLOOKUP(A34, Race_2024_Seasonal!A:W, 14, FALSE), 0)</f>
        <v>-29917.932000000001</v>
      </c>
      <c r="L34" s="578">
        <f>IFERROR(VLOOKUP(A34, Race_2024_Seasonal!A:W, 15, FALSE), 0)</f>
        <v>-32249.134999999998</v>
      </c>
      <c r="M34" s="578">
        <f>IFERROR(VLOOKUP(A34, Race_2024_Seasonal!A:W, 16, FALSE), 0)</f>
        <v>-29435.114000000001</v>
      </c>
      <c r="N34" s="578">
        <f>IFERROR(VLOOKUP(A34, Race_2024_Seasonal!A:W, 17, FALSE), 0)</f>
        <v>-29894.879000000001</v>
      </c>
      <c r="O34" s="589">
        <f>IFERROR(VLOOKUP(A34, Race_2024_Seasonal!A:W, 18, FALSE), 0)</f>
        <v>-30517.768</v>
      </c>
      <c r="Q34" s="587">
        <f t="shared" si="7"/>
        <v>-356783.348</v>
      </c>
      <c r="R34" s="674"/>
      <c r="S34" s="644">
        <f>Q34-KeyData!H34</f>
        <v>0</v>
      </c>
    </row>
    <row r="35" spans="1:19" ht="15">
      <c r="A35" s="544" t="s">
        <v>1074</v>
      </c>
      <c r="C35" s="633" t="s">
        <v>441</v>
      </c>
      <c r="D35" s="578">
        <f>IFERROR(VLOOKUP(A35, Race_2024_Seasonal!A:W, 7, FALSE), 0)</f>
        <v>-70673.240000000005</v>
      </c>
      <c r="E35" s="578">
        <f>IFERROR(VLOOKUP(A35, Race_2024_Seasonal!A:W, 8, FALSE), 0)</f>
        <v>-82731.05</v>
      </c>
      <c r="F35" s="578">
        <f>IFERROR(VLOOKUP(A35, Race_2024_Seasonal!A:W, 9, FALSE), 0)</f>
        <v>-61443.425999999999</v>
      </c>
      <c r="G35" s="578">
        <f>IFERROR(VLOOKUP(A35, Race_2024_Seasonal!A:W, 10, FALSE), 0)</f>
        <v>-39957.754999999997</v>
      </c>
      <c r="H35" s="578">
        <f>IFERROR(VLOOKUP(A35, Race_2024_Seasonal!A:W, 11, FALSE), 0)</f>
        <v>-48828.54</v>
      </c>
      <c r="I35" s="578">
        <f>IFERROR(VLOOKUP(A35, Race_2024_Seasonal!A:W, 12, FALSE), 0)</f>
        <v>-39848.936999999998</v>
      </c>
      <c r="J35" s="578">
        <f>IFERROR(VLOOKUP(A35, Race_2024_Seasonal!A:W, 13, FALSE), 0)</f>
        <v>-50418.95</v>
      </c>
      <c r="K35" s="578">
        <f>IFERROR(VLOOKUP(A35, Race_2024_Seasonal!A:W, 14, FALSE), 0)</f>
        <v>-38532.838000000003</v>
      </c>
      <c r="L35" s="578">
        <f>IFERROR(VLOOKUP(A35, Race_2024_Seasonal!A:W, 15, FALSE), 0)</f>
        <v>-57055.716</v>
      </c>
      <c r="M35" s="578">
        <f>IFERROR(VLOOKUP(A35, Race_2024_Seasonal!A:W, 16, FALSE), 0)</f>
        <v>-40031.266000000003</v>
      </c>
      <c r="N35" s="578">
        <f>IFERROR(VLOOKUP(A35, Race_2024_Seasonal!A:W, 17, FALSE), 0)</f>
        <v>-48109.358999999997</v>
      </c>
      <c r="O35" s="589">
        <f>IFERROR(VLOOKUP(A35, Race_2024_Seasonal!A:W, 18, FALSE), 0)</f>
        <v>-40348.781000000003</v>
      </c>
      <c r="Q35" s="587">
        <f t="shared" si="7"/>
        <v>-617979.85800000001</v>
      </c>
      <c r="R35" s="674"/>
      <c r="S35" s="644">
        <f>Q35-KeyData!H35</f>
        <v>0</v>
      </c>
    </row>
    <row r="36" spans="1:19" ht="15">
      <c r="A36" s="544" t="s">
        <v>1075</v>
      </c>
      <c r="C36" s="633" t="s">
        <v>444</v>
      </c>
      <c r="D36" s="578">
        <f>IFERROR(VLOOKUP(A36, Race_2024_Seasonal!A:W, 7, FALSE), 0)</f>
        <v>0</v>
      </c>
      <c r="E36" s="578">
        <f>IFERROR(VLOOKUP(A36, Race_2024_Seasonal!A:W, 8, FALSE), 0)</f>
        <v>0</v>
      </c>
      <c r="F36" s="578">
        <f>IFERROR(VLOOKUP(A36, Race_2024_Seasonal!A:W, 9, FALSE), 0)</f>
        <v>0</v>
      </c>
      <c r="G36" s="578">
        <f>IFERROR(VLOOKUP(A36, Race_2024_Seasonal!A:W, 10, FALSE), 0)</f>
        <v>0</v>
      </c>
      <c r="H36" s="578">
        <f>IFERROR(VLOOKUP(A36, Race_2024_Seasonal!A:W, 11, FALSE), 0)</f>
        <v>-5000</v>
      </c>
      <c r="I36" s="578">
        <f>IFERROR(VLOOKUP(A36, Race_2024_Seasonal!A:W, 12, FALSE), 0)</f>
        <v>0</v>
      </c>
      <c r="J36" s="578">
        <f>IFERROR(VLOOKUP(A36, Race_2024_Seasonal!A:W, 13, FALSE), 0)</f>
        <v>0</v>
      </c>
      <c r="K36" s="578">
        <f>IFERROR(VLOOKUP(A36, Race_2024_Seasonal!A:W, 14, FALSE), 0)</f>
        <v>-13000</v>
      </c>
      <c r="L36" s="578">
        <f>IFERROR(VLOOKUP(A36, Race_2024_Seasonal!A:W, 15, FALSE), 0)</f>
        <v>0</v>
      </c>
      <c r="M36" s="578">
        <f>IFERROR(VLOOKUP(A36, Race_2024_Seasonal!A:W, 16, FALSE), 0)</f>
        <v>0</v>
      </c>
      <c r="N36" s="578">
        <f>IFERROR(VLOOKUP(A36, Race_2024_Seasonal!A:W, 17, FALSE), 0)</f>
        <v>0</v>
      </c>
      <c r="O36" s="589">
        <f>IFERROR(VLOOKUP(A36, Race_2024_Seasonal!A:W, 18, FALSE), 0)</f>
        <v>0</v>
      </c>
      <c r="Q36" s="587">
        <f t="shared" si="7"/>
        <v>-18000</v>
      </c>
      <c r="R36" s="674"/>
      <c r="S36" s="644">
        <f>Q36-KeyData!H36</f>
        <v>0</v>
      </c>
    </row>
    <row r="37" spans="1:19" ht="15">
      <c r="A37" s="544" t="s">
        <v>1076</v>
      </c>
      <c r="C37" s="633" t="s">
        <v>446</v>
      </c>
      <c r="D37" s="578">
        <f>IFERROR(VLOOKUP(A37, Race_2024_Seasonal!A:W, 7, FALSE), 0)</f>
        <v>-15544.484</v>
      </c>
      <c r="E37" s="578">
        <f>IFERROR(VLOOKUP(A37, Race_2024_Seasonal!A:W, 8, FALSE), 0)</f>
        <v>-15544.484</v>
      </c>
      <c r="F37" s="578">
        <f>IFERROR(VLOOKUP(A37, Race_2024_Seasonal!A:W, 9, FALSE), 0)</f>
        <v>-15544.484</v>
      </c>
      <c r="G37" s="578">
        <f>IFERROR(VLOOKUP(A37, Race_2024_Seasonal!A:W, 10, FALSE), 0)</f>
        <v>-15544.484</v>
      </c>
      <c r="H37" s="578">
        <f>IFERROR(VLOOKUP(A37, Race_2024_Seasonal!A:W, 11, FALSE), 0)</f>
        <v>-15544.484</v>
      </c>
      <c r="I37" s="578">
        <f>IFERROR(VLOOKUP(A37, Race_2024_Seasonal!A:W, 12, FALSE), 0)</f>
        <v>-15544.484</v>
      </c>
      <c r="J37" s="578">
        <f>IFERROR(VLOOKUP(A37, Race_2024_Seasonal!A:W, 13, FALSE), 0)</f>
        <v>-15544.484</v>
      </c>
      <c r="K37" s="578">
        <f>IFERROR(VLOOKUP(A37, Race_2024_Seasonal!A:W, 14, FALSE), 0)</f>
        <v>-15544.484</v>
      </c>
      <c r="L37" s="578">
        <f>IFERROR(VLOOKUP(A37, Race_2024_Seasonal!A:W, 15, FALSE), 0)</f>
        <v>-15544.484</v>
      </c>
      <c r="M37" s="578">
        <f>IFERROR(VLOOKUP(A37, Race_2024_Seasonal!A:W, 16, FALSE), 0)</f>
        <v>-15544.484</v>
      </c>
      <c r="N37" s="578">
        <f>IFERROR(VLOOKUP(A37, Race_2024_Seasonal!A:W, 17, FALSE), 0)</f>
        <v>-15544.484</v>
      </c>
      <c r="O37" s="589">
        <f>IFERROR(VLOOKUP(A37, Race_2024_Seasonal!A:W, 18, FALSE), 0)</f>
        <v>-15544.476000000001</v>
      </c>
      <c r="Q37" s="587">
        <f t="shared" si="7"/>
        <v>-186533.8</v>
      </c>
      <c r="R37" s="674"/>
      <c r="S37" s="644">
        <f>Q37-KeyData!H37</f>
        <v>0</v>
      </c>
    </row>
    <row r="38" spans="1:19" ht="12.75" customHeight="1">
      <c r="A38" s="544" t="s">
        <v>1077</v>
      </c>
      <c r="C38" s="633" t="s">
        <v>449</v>
      </c>
      <c r="D38" s="578">
        <f>IFERROR(VLOOKUP(A38, Race_2024_Seasonal!A:W, 7, FALSE), 0)</f>
        <v>0</v>
      </c>
      <c r="E38" s="578">
        <f>IFERROR(VLOOKUP(A38, Race_2024_Seasonal!A:W, 8, FALSE), 0)</f>
        <v>0</v>
      </c>
      <c r="F38" s="578">
        <f>IFERROR(VLOOKUP(A38, Race_2024_Seasonal!A:W, 9, FALSE), 0)</f>
        <v>0</v>
      </c>
      <c r="G38" s="578">
        <f>IFERROR(VLOOKUP(A38, Race_2024_Seasonal!A:W, 10, FALSE), 0)</f>
        <v>0</v>
      </c>
      <c r="H38" s="578">
        <f>IFERROR(VLOOKUP(A38, Race_2024_Seasonal!A:W, 11, FALSE), 0)</f>
        <v>0</v>
      </c>
      <c r="I38" s="578">
        <f>IFERROR(VLOOKUP(A38, Race_2024_Seasonal!A:W, 12, FALSE), 0)</f>
        <v>0</v>
      </c>
      <c r="J38" s="578">
        <f>IFERROR(VLOOKUP(A38, Race_2024_Seasonal!A:W, 13, FALSE), 0)</f>
        <v>0</v>
      </c>
      <c r="K38" s="578">
        <f>IFERROR(VLOOKUP(A38, Race_2024_Seasonal!A:W, 14, FALSE), 0)</f>
        <v>0</v>
      </c>
      <c r="L38" s="578">
        <f>IFERROR(VLOOKUP(A38, Race_2024_Seasonal!A:W, 15, FALSE), 0)</f>
        <v>0</v>
      </c>
      <c r="M38" s="578">
        <f>IFERROR(VLOOKUP(A38, Race_2024_Seasonal!A:W, 16, FALSE), 0)</f>
        <v>0</v>
      </c>
      <c r="N38" s="578">
        <f>IFERROR(VLOOKUP(A38, Race_2024_Seasonal!A:W, 17, FALSE), 0)</f>
        <v>0</v>
      </c>
      <c r="O38" s="589">
        <f>IFERROR(VLOOKUP(A38, Race_2024_Seasonal!A:W, 18, FALSE), 0)</f>
        <v>0</v>
      </c>
      <c r="P38" s="572"/>
      <c r="Q38" s="587">
        <f t="shared" si="7"/>
        <v>0</v>
      </c>
      <c r="R38" s="674"/>
      <c r="S38" s="644">
        <f>Q38-KeyData!H38</f>
        <v>0</v>
      </c>
    </row>
    <row r="39" spans="1:19" ht="12.75" customHeight="1">
      <c r="A39" s="544" t="s">
        <v>1078</v>
      </c>
      <c r="C39" s="633" t="s">
        <v>452</v>
      </c>
      <c r="D39" s="578">
        <f>IFERROR(VLOOKUP(A39, Race_2024_Seasonal!A:W, 7, FALSE), 0)</f>
        <v>-29194.240000000002</v>
      </c>
      <c r="E39" s="578">
        <f>IFERROR(VLOOKUP(A39, Race_2024_Seasonal!A:W, 8, FALSE), 0)</f>
        <v>-29789.37</v>
      </c>
      <c r="F39" s="578">
        <f>IFERROR(VLOOKUP(A39, Race_2024_Seasonal!A:W, 9, FALSE), 0)</f>
        <v>-30822.288</v>
      </c>
      <c r="G39" s="578">
        <f>IFERROR(VLOOKUP(A39, Race_2024_Seasonal!A:W, 10, FALSE), 0)</f>
        <v>-35193.218999999997</v>
      </c>
      <c r="H39" s="578">
        <f>IFERROR(VLOOKUP(A39, Race_2024_Seasonal!A:W, 11, FALSE), 0)</f>
        <v>-29899.415000000001</v>
      </c>
      <c r="I39" s="578">
        <f>IFERROR(VLOOKUP(A39, Race_2024_Seasonal!A:W, 12, FALSE), 0)</f>
        <v>-37777.43</v>
      </c>
      <c r="J39" s="578">
        <f>IFERROR(VLOOKUP(A39, Race_2024_Seasonal!A:W, 13, FALSE), 0)</f>
        <v>-29140.21</v>
      </c>
      <c r="K39" s="578">
        <f>IFERROR(VLOOKUP(A39, Race_2024_Seasonal!A:W, 14, FALSE), 0)</f>
        <v>-93848.892000000007</v>
      </c>
      <c r="L39" s="578">
        <f>IFERROR(VLOOKUP(A39, Race_2024_Seasonal!A:W, 15, FALSE), 0)</f>
        <v>-35763.953999999998</v>
      </c>
      <c r="M39" s="578">
        <f>IFERROR(VLOOKUP(A39, Race_2024_Seasonal!A:W, 16, FALSE), 0)</f>
        <v>-29910.776999999998</v>
      </c>
      <c r="N39" s="578">
        <f>IFERROR(VLOOKUP(A39, Race_2024_Seasonal!A:W, 17, FALSE), 0)</f>
        <v>-35382.095000000001</v>
      </c>
      <c r="O39" s="589">
        <f>IFERROR(VLOOKUP(A39, Race_2024_Seasonal!A:W, 18, FALSE), 0)</f>
        <v>-29485.054</v>
      </c>
      <c r="Q39" s="587">
        <f t="shared" si="7"/>
        <v>-446206.94400000002</v>
      </c>
      <c r="R39" s="674"/>
      <c r="S39" s="644">
        <f>Q39-KeyData!H39</f>
        <v>0</v>
      </c>
    </row>
    <row r="40" spans="1:19" ht="12.75" customHeight="1">
      <c r="C40" s="631" t="s">
        <v>455</v>
      </c>
      <c r="D40" s="598">
        <f t="shared" ref="D40:O40" si="8">SUM(D33:D39)</f>
        <v>-396821.516</v>
      </c>
      <c r="E40" s="598">
        <f t="shared" si="8"/>
        <v>-413410.79</v>
      </c>
      <c r="F40" s="598">
        <f t="shared" si="8"/>
        <v>-392332.03599999996</v>
      </c>
      <c r="G40" s="598">
        <f t="shared" si="8"/>
        <v>-350112.76899999997</v>
      </c>
      <c r="H40" s="598">
        <f t="shared" si="8"/>
        <v>-371818.91</v>
      </c>
      <c r="I40" s="598">
        <f t="shared" si="8"/>
        <v>-375826.93799999997</v>
      </c>
      <c r="J40" s="598">
        <f t="shared" si="8"/>
        <v>-454870.19100000005</v>
      </c>
      <c r="K40" s="598">
        <f t="shared" si="8"/>
        <v>-480142.32699999999</v>
      </c>
      <c r="L40" s="598">
        <f t="shared" si="8"/>
        <v>-419420.46400000004</v>
      </c>
      <c r="M40" s="598">
        <f t="shared" si="8"/>
        <v>-393422.82199999999</v>
      </c>
      <c r="N40" s="598">
        <f t="shared" si="8"/>
        <v>-401657.174</v>
      </c>
      <c r="O40" s="597">
        <f t="shared" si="8"/>
        <v>-397974.33</v>
      </c>
      <c r="Q40" s="596">
        <f t="shared" si="7"/>
        <v>-4847810.267</v>
      </c>
      <c r="R40" s="674"/>
      <c r="S40" s="644">
        <f>Q40-KeyData!H40</f>
        <v>0</v>
      </c>
    </row>
    <row r="41" spans="1:19" ht="12.75" customHeight="1">
      <c r="A41" s="544" t="s">
        <v>1079</v>
      </c>
      <c r="C41" s="633" t="s">
        <v>456</v>
      </c>
      <c r="D41" s="578">
        <f>IFERROR(VLOOKUP(A41, Race_2024_Seasonal!A:W, 7, FALSE), 0)</f>
        <v>-215714.087</v>
      </c>
      <c r="E41" s="578">
        <f>IFERROR(VLOOKUP(A41, Race_2024_Seasonal!A:W, 8, FALSE), 0)</f>
        <v>-215714.087</v>
      </c>
      <c r="F41" s="578">
        <f>IFERROR(VLOOKUP(A41, Race_2024_Seasonal!A:W, 9, FALSE), 0)</f>
        <v>-215714.087</v>
      </c>
      <c r="G41" s="578">
        <f>IFERROR(VLOOKUP(A41, Race_2024_Seasonal!A:W, 10, FALSE), 0)</f>
        <v>-215714.087</v>
      </c>
      <c r="H41" s="578">
        <f>IFERROR(VLOOKUP(A41, Race_2024_Seasonal!A:W, 11, FALSE), 0)</f>
        <v>-215714.087</v>
      </c>
      <c r="I41" s="578">
        <f>IFERROR(VLOOKUP(A41, Race_2024_Seasonal!A:W, 12, FALSE), 0)</f>
        <v>-215714.087</v>
      </c>
      <c r="J41" s="578">
        <f>IFERROR(VLOOKUP(A41, Race_2024_Seasonal!A:W, 13, FALSE), 0)</f>
        <v>-215714.087</v>
      </c>
      <c r="K41" s="578">
        <f>IFERROR(VLOOKUP(A41, Race_2024_Seasonal!A:W, 14, FALSE), 0)</f>
        <v>-215714.087</v>
      </c>
      <c r="L41" s="578">
        <f>IFERROR(VLOOKUP(A41, Race_2024_Seasonal!A:W, 15, FALSE), 0)</f>
        <v>-215714.087</v>
      </c>
      <c r="M41" s="578">
        <f>IFERROR(VLOOKUP(A41, Race_2024_Seasonal!A:W, 16, FALSE), 0)</f>
        <v>-215714.087</v>
      </c>
      <c r="N41" s="578">
        <f>IFERROR(VLOOKUP(A41, Race_2024_Seasonal!A:W, 17, FALSE), 0)</f>
        <v>-215714.087</v>
      </c>
      <c r="O41" s="589">
        <f>IFERROR(VLOOKUP(A41, Race_2024_Seasonal!A:W, 18, FALSE), 0)</f>
        <v>-215714.087</v>
      </c>
      <c r="Q41" s="587">
        <f t="shared" si="7"/>
        <v>-2588569.0439999998</v>
      </c>
      <c r="R41" s="674"/>
      <c r="S41" s="644">
        <f>Q41-KeyData!H41</f>
        <v>0</v>
      </c>
    </row>
    <row r="42" spans="1:19" ht="12.75" customHeight="1">
      <c r="A42" s="544" t="s">
        <v>1080</v>
      </c>
      <c r="C42" s="633" t="s">
        <v>458</v>
      </c>
      <c r="D42" s="578">
        <f>IFERROR(VLOOKUP(A42, Race_2024_Seasonal!A:W, 7, FALSE), 0)</f>
        <v>-96754.433000000005</v>
      </c>
      <c r="E42" s="578">
        <f>IFERROR(VLOOKUP(A42, Race_2024_Seasonal!A:W, 8, FALSE), 0)</f>
        <v>-96754.433000000005</v>
      </c>
      <c r="F42" s="578">
        <f>IFERROR(VLOOKUP(A42, Race_2024_Seasonal!A:W, 9, FALSE), 0)</f>
        <v>-96754.433000000005</v>
      </c>
      <c r="G42" s="578">
        <f>IFERROR(VLOOKUP(A42, Race_2024_Seasonal!A:W, 10, FALSE), 0)</f>
        <v>-96754.433000000005</v>
      </c>
      <c r="H42" s="578">
        <f>IFERROR(VLOOKUP(A42, Race_2024_Seasonal!A:W, 11, FALSE), 0)</f>
        <v>-96754.433000000005</v>
      </c>
      <c r="I42" s="578">
        <f>IFERROR(VLOOKUP(A42, Race_2024_Seasonal!A:W, 12, FALSE), 0)</f>
        <v>-96754.433000000005</v>
      </c>
      <c r="J42" s="578">
        <f>IFERROR(VLOOKUP(A42, Race_2024_Seasonal!A:W, 13, FALSE), 0)</f>
        <v>-96754.433000000005</v>
      </c>
      <c r="K42" s="578">
        <f>IFERROR(VLOOKUP(A42, Race_2024_Seasonal!A:W, 14, FALSE), 0)</f>
        <v>-96754.433000000005</v>
      </c>
      <c r="L42" s="578">
        <f>IFERROR(VLOOKUP(A42, Race_2024_Seasonal!A:W, 15, FALSE), 0)</f>
        <v>-96754.433000000005</v>
      </c>
      <c r="M42" s="578">
        <f>IFERROR(VLOOKUP(A42, Race_2024_Seasonal!A:W, 16, FALSE), 0)</f>
        <v>-96754.433000000005</v>
      </c>
      <c r="N42" s="578">
        <f>IFERROR(VLOOKUP(A42, Race_2024_Seasonal!A:W, 17, FALSE), 0)</f>
        <v>-96754.433000000005</v>
      </c>
      <c r="O42" s="589">
        <f>IFERROR(VLOOKUP(A42, Race_2024_Seasonal!A:W, 18, FALSE), 0)</f>
        <v>-96754.433000000005</v>
      </c>
      <c r="Q42" s="587">
        <f t="shared" si="7"/>
        <v>-1161053.1959999998</v>
      </c>
      <c r="R42" s="674"/>
      <c r="S42" s="644">
        <f>Q42-KeyData!H42</f>
        <v>0</v>
      </c>
    </row>
    <row r="43" spans="1:19" ht="12.75" customHeight="1">
      <c r="A43" s="544" t="s">
        <v>1081</v>
      </c>
      <c r="C43" s="633" t="s">
        <v>460</v>
      </c>
      <c r="D43" s="578">
        <f>IFERROR(VLOOKUP(A43, Race_2024_Seasonal!A:W, 7, FALSE), 0)</f>
        <v>9757.3160000000007</v>
      </c>
      <c r="E43" s="578">
        <f>IFERROR(VLOOKUP(A43, Race_2024_Seasonal!A:W, 8, FALSE), 0)</f>
        <v>9757.3160000000007</v>
      </c>
      <c r="F43" s="578">
        <f>IFERROR(VLOOKUP(A43, Race_2024_Seasonal!A:W, 9, FALSE), 0)</f>
        <v>9757.3160000000007</v>
      </c>
      <c r="G43" s="578">
        <f>IFERROR(VLOOKUP(A43, Race_2024_Seasonal!A:W, 10, FALSE), 0)</f>
        <v>9757.3160000000007</v>
      </c>
      <c r="H43" s="578">
        <f>IFERROR(VLOOKUP(A43, Race_2024_Seasonal!A:W, 11, FALSE), 0)</f>
        <v>9757.3160000000007</v>
      </c>
      <c r="I43" s="578">
        <f>IFERROR(VLOOKUP(A43, Race_2024_Seasonal!A:W, 12, FALSE), 0)</f>
        <v>9757.3160000000007</v>
      </c>
      <c r="J43" s="578">
        <f>IFERROR(VLOOKUP(A43, Race_2024_Seasonal!A:W, 13, FALSE), 0)</f>
        <v>9757.3160000000007</v>
      </c>
      <c r="K43" s="578">
        <f>IFERROR(VLOOKUP(A43, Race_2024_Seasonal!A:W, 14, FALSE), 0)</f>
        <v>9757.3160000000007</v>
      </c>
      <c r="L43" s="578">
        <f>IFERROR(VLOOKUP(A43, Race_2024_Seasonal!A:W, 15, FALSE), 0)</f>
        <v>9757.3160000000007</v>
      </c>
      <c r="M43" s="578">
        <f>IFERROR(VLOOKUP(A43, Race_2024_Seasonal!A:W, 16, FALSE), 0)</f>
        <v>9757.3160000000007</v>
      </c>
      <c r="N43" s="578">
        <f>IFERROR(VLOOKUP(A43, Race_2024_Seasonal!A:W, 17, FALSE), 0)</f>
        <v>9757.3160000000007</v>
      </c>
      <c r="O43" s="589">
        <f>IFERROR(VLOOKUP(A43, Race_2024_Seasonal!A:W, 18, FALSE), 0)</f>
        <v>9757.3160000000007</v>
      </c>
      <c r="Q43" s="587">
        <f t="shared" si="7"/>
        <v>117087.79200000003</v>
      </c>
      <c r="R43" s="674"/>
      <c r="S43" s="644">
        <f>Q43-KeyData!H43</f>
        <v>0</v>
      </c>
    </row>
    <row r="44" spans="1:19" ht="12.75" customHeight="1">
      <c r="A44" s="544" t="s">
        <v>1082</v>
      </c>
      <c r="C44" s="633" t="s">
        <v>463</v>
      </c>
      <c r="D44" s="578">
        <f>IFERROR(VLOOKUP(A44, Race_2024_Seasonal!A:W, 7, FALSE), 0)</f>
        <v>-192354.476</v>
      </c>
      <c r="E44" s="578">
        <f>IFERROR(VLOOKUP(A44, Race_2024_Seasonal!A:W, 8, FALSE), 0)</f>
        <v>-192354.476</v>
      </c>
      <c r="F44" s="578">
        <f>IFERROR(VLOOKUP(A44, Race_2024_Seasonal!A:W, 9, FALSE), 0)</f>
        <v>-192354.476</v>
      </c>
      <c r="G44" s="578">
        <f>IFERROR(VLOOKUP(A44, Race_2024_Seasonal!A:W, 10, FALSE), 0)</f>
        <v>-192354.476</v>
      </c>
      <c r="H44" s="578">
        <f>IFERROR(VLOOKUP(A44, Race_2024_Seasonal!A:W, 11, FALSE), 0)</f>
        <v>-192354.476</v>
      </c>
      <c r="I44" s="578">
        <f>IFERROR(VLOOKUP(A44, Race_2024_Seasonal!A:W, 12, FALSE), 0)</f>
        <v>-192354.476</v>
      </c>
      <c r="J44" s="578">
        <f>IFERROR(VLOOKUP(A44, Race_2024_Seasonal!A:W, 13, FALSE), 0)</f>
        <v>-192354.476</v>
      </c>
      <c r="K44" s="578">
        <f>IFERROR(VLOOKUP(A44, Race_2024_Seasonal!A:W, 14, FALSE), 0)</f>
        <v>-192354.476</v>
      </c>
      <c r="L44" s="578">
        <f>IFERROR(VLOOKUP(A44, Race_2024_Seasonal!A:W, 15, FALSE), 0)</f>
        <v>-192354.476</v>
      </c>
      <c r="M44" s="578">
        <f>IFERROR(VLOOKUP(A44, Race_2024_Seasonal!A:W, 16, FALSE), 0)</f>
        <v>-192354.476</v>
      </c>
      <c r="N44" s="578">
        <f>IFERROR(VLOOKUP(A44, Race_2024_Seasonal!A:W, 17, FALSE), 0)</f>
        <v>-192354.476</v>
      </c>
      <c r="O44" s="589">
        <f>IFERROR(VLOOKUP(A44, Race_2024_Seasonal!A:W, 18, FALSE), 0)</f>
        <v>-192354.476</v>
      </c>
      <c r="Q44" s="587">
        <f t="shared" si="7"/>
        <v>-2308253.7119999998</v>
      </c>
      <c r="R44" s="674"/>
      <c r="S44" s="644">
        <f>Q44-KeyData!H44</f>
        <v>0</v>
      </c>
    </row>
    <row r="45" spans="1:19" ht="12.75" customHeight="1">
      <c r="A45" s="544" t="s">
        <v>1083</v>
      </c>
      <c r="C45" s="633" t="s">
        <v>466</v>
      </c>
      <c r="D45" s="578">
        <f>IFERROR(VLOOKUP(A45, Race_2024_Seasonal!A:W, 7, FALSE), 0)</f>
        <v>-314373.56</v>
      </c>
      <c r="E45" s="578">
        <f>IFERROR(VLOOKUP(A45, Race_2024_Seasonal!A:W, 8, FALSE), 0)</f>
        <v>-314373.56</v>
      </c>
      <c r="F45" s="578">
        <f>IFERROR(VLOOKUP(A45, Race_2024_Seasonal!A:W, 9, FALSE), 0)</f>
        <v>-314373.56</v>
      </c>
      <c r="G45" s="578">
        <f>IFERROR(VLOOKUP(A45, Race_2024_Seasonal!A:W, 10, FALSE), 0)</f>
        <v>-315522.98700000002</v>
      </c>
      <c r="H45" s="578">
        <f>IFERROR(VLOOKUP(A45, Race_2024_Seasonal!A:W, 11, FALSE), 0)</f>
        <v>-315522.98700000002</v>
      </c>
      <c r="I45" s="578">
        <f>IFERROR(VLOOKUP(A45, Race_2024_Seasonal!A:W, 12, FALSE), 0)</f>
        <v>-316489.65399999998</v>
      </c>
      <c r="J45" s="578">
        <f>IFERROR(VLOOKUP(A45, Race_2024_Seasonal!A:W, 13, FALSE), 0)</f>
        <v>-317667.77899999998</v>
      </c>
      <c r="K45" s="578">
        <f>IFERROR(VLOOKUP(A45, Race_2024_Seasonal!A:W, 14, FALSE), 0)</f>
        <v>-326443.3</v>
      </c>
      <c r="L45" s="578">
        <f>IFERROR(VLOOKUP(A45, Race_2024_Seasonal!A:W, 15, FALSE), 0)</f>
        <v>-326443.3</v>
      </c>
      <c r="M45" s="578">
        <f>IFERROR(VLOOKUP(A45, Race_2024_Seasonal!A:W, 16, FALSE), 0)</f>
        <v>-326443.3</v>
      </c>
      <c r="N45" s="578">
        <f>IFERROR(VLOOKUP(A45, Race_2024_Seasonal!A:W, 17, FALSE), 0)</f>
        <v>-326443.3</v>
      </c>
      <c r="O45" s="589">
        <f>IFERROR(VLOOKUP(A45, Race_2024_Seasonal!A:W, 18, FALSE), 0)</f>
        <v>-326443.3</v>
      </c>
      <c r="Q45" s="587">
        <f t="shared" si="7"/>
        <v>-3840540.5869999989</v>
      </c>
      <c r="R45" s="674"/>
      <c r="S45" s="644">
        <f>Q45-KeyData!H45</f>
        <v>0</v>
      </c>
    </row>
    <row r="46" spans="1:19" ht="12.75" customHeight="1">
      <c r="C46" s="632" t="s">
        <v>469</v>
      </c>
      <c r="D46" s="602">
        <f t="shared" ref="D46:O46" si="9">SUM(D41:D45)</f>
        <v>-809439.24</v>
      </c>
      <c r="E46" s="602">
        <f t="shared" si="9"/>
        <v>-809439.24</v>
      </c>
      <c r="F46" s="602">
        <f t="shared" si="9"/>
        <v>-809439.24</v>
      </c>
      <c r="G46" s="602">
        <f t="shared" si="9"/>
        <v>-810588.66700000013</v>
      </c>
      <c r="H46" s="602">
        <f t="shared" si="9"/>
        <v>-810588.66700000013</v>
      </c>
      <c r="I46" s="602">
        <f t="shared" si="9"/>
        <v>-811555.33400000003</v>
      </c>
      <c r="J46" s="602">
        <f t="shared" si="9"/>
        <v>-812733.45900000003</v>
      </c>
      <c r="K46" s="602">
        <f t="shared" si="9"/>
        <v>-821508.98</v>
      </c>
      <c r="L46" s="602">
        <f t="shared" si="9"/>
        <v>-821508.98</v>
      </c>
      <c r="M46" s="602">
        <f t="shared" si="9"/>
        <v>-821508.98</v>
      </c>
      <c r="N46" s="602">
        <f t="shared" si="9"/>
        <v>-821508.98</v>
      </c>
      <c r="O46" s="601">
        <f t="shared" si="9"/>
        <v>-821508.98</v>
      </c>
      <c r="Q46" s="599">
        <f t="shared" si="7"/>
        <v>-9781328.7470000014</v>
      </c>
      <c r="R46" s="674"/>
      <c r="S46" s="644">
        <f>Q46-KeyData!H46</f>
        <v>0</v>
      </c>
    </row>
    <row r="47" spans="1:19" ht="12.75" customHeight="1">
      <c r="S47" s="644">
        <f>Q47-KeyData!H47</f>
        <v>0</v>
      </c>
    </row>
    <row r="48" spans="1:19" ht="12.75" customHeight="1">
      <c r="A48" s="845"/>
      <c r="B48" s="845"/>
      <c r="C48" s="630" t="s">
        <v>1084</v>
      </c>
      <c r="D48" s="832"/>
      <c r="E48" s="832"/>
      <c r="F48" s="832"/>
      <c r="G48" s="832"/>
      <c r="H48" s="832"/>
      <c r="I48" s="832"/>
      <c r="J48" s="832"/>
      <c r="K48" s="832"/>
      <c r="L48" s="832"/>
      <c r="M48" s="832"/>
      <c r="N48" s="832"/>
      <c r="O48" s="833"/>
      <c r="Q48" s="857"/>
      <c r="S48" s="644">
        <f>Q48-KeyData!H48</f>
        <v>0</v>
      </c>
    </row>
    <row r="49" spans="1:19" ht="12.75" customHeight="1">
      <c r="A49" s="845"/>
      <c r="B49" s="845"/>
      <c r="C49" s="847" t="s">
        <v>1085</v>
      </c>
      <c r="D49" s="598">
        <f>SUM(D50:D60)</f>
        <v>269077.03200000001</v>
      </c>
      <c r="E49" s="598">
        <f t="shared" ref="E49:O49" si="10">SUM(E50:E60)</f>
        <v>345726.63900000002</v>
      </c>
      <c r="F49" s="598">
        <f t="shared" si="10"/>
        <v>369604.80099999998</v>
      </c>
      <c r="G49" s="598">
        <f t="shared" si="10"/>
        <v>118205.395</v>
      </c>
      <c r="H49" s="598">
        <f t="shared" si="10"/>
        <v>211044.03</v>
      </c>
      <c r="I49" s="598">
        <f t="shared" si="10"/>
        <v>138417.435</v>
      </c>
      <c r="J49" s="598">
        <f t="shared" si="10"/>
        <v>195562.66899999999</v>
      </c>
      <c r="K49" s="598">
        <f t="shared" si="10"/>
        <v>1209970.0660000001</v>
      </c>
      <c r="L49" s="598">
        <f t="shared" si="10"/>
        <v>6899.0519999999997</v>
      </c>
      <c r="M49" s="598">
        <f t="shared" si="10"/>
        <v>270260.96600000001</v>
      </c>
      <c r="N49" s="598">
        <f t="shared" si="10"/>
        <v>2652.0630000000001</v>
      </c>
      <c r="O49" s="597">
        <f t="shared" si="10"/>
        <v>196824.97099999999</v>
      </c>
      <c r="Q49" s="596">
        <f t="shared" ref="Q49:Q60" si="11">SUM(D49:O49)</f>
        <v>3334245.1190000004</v>
      </c>
      <c r="S49" s="644">
        <f>Q49-KeyData!H49</f>
        <v>0</v>
      </c>
    </row>
    <row r="50" spans="1:19" ht="12.75" customHeight="1">
      <c r="A50" s="845" t="s">
        <v>1086</v>
      </c>
      <c r="B50" s="845"/>
      <c r="C50" s="848" t="s">
        <v>1087</v>
      </c>
      <c r="D50" s="578">
        <f>IFERROR(VLOOKUP(A50, Race_2024_Seasonal!A:W, 7, FALSE), 0)</f>
        <v>0</v>
      </c>
      <c r="E50" s="578">
        <f>IFERROR(VLOOKUP(A50, Race_2024_Seasonal!A:W, 8, FALSE), 0)</f>
        <v>0</v>
      </c>
      <c r="F50" s="578">
        <f>IFERROR(VLOOKUP(A50, Race_2024_Seasonal!A:W, 9, FALSE), 0)</f>
        <v>0</v>
      </c>
      <c r="G50" s="578">
        <f>IFERROR(VLOOKUP(A50, Race_2024_Seasonal!A:W, 10, FALSE), 0)</f>
        <v>0</v>
      </c>
      <c r="H50" s="578">
        <f>IFERROR(VLOOKUP(A50, Race_2024_Seasonal!A:W, 11, FALSE), 0)</f>
        <v>0</v>
      </c>
      <c r="I50" s="578">
        <f>IFERROR(VLOOKUP(A50, Race_2024_Seasonal!A:W, 12, FALSE), 0)</f>
        <v>0</v>
      </c>
      <c r="J50" s="578">
        <f>IFERROR(VLOOKUP(A50, Race_2024_Seasonal!A:W, 13, FALSE), 0)</f>
        <v>0</v>
      </c>
      <c r="K50" s="578">
        <f>IFERROR(VLOOKUP(A50, Race_2024_Seasonal!A:W, 14, FALSE), 0)</f>
        <v>0</v>
      </c>
      <c r="L50" s="578">
        <f>IFERROR(VLOOKUP(A50, Race_2024_Seasonal!A:W, 15, FALSE), 0)</f>
        <v>0</v>
      </c>
      <c r="M50" s="578">
        <f>IFERROR(VLOOKUP(A50, Race_2024_Seasonal!A:W, 16, FALSE), 0)</f>
        <v>0</v>
      </c>
      <c r="N50" s="578">
        <f>IFERROR(VLOOKUP(A50, Race_2024_Seasonal!A:W, 17, FALSE), 0)</f>
        <v>0</v>
      </c>
      <c r="O50" s="589">
        <f>IFERROR(VLOOKUP(A50, Race_2024_Seasonal!A:W, 18, FALSE), 0)</f>
        <v>0</v>
      </c>
      <c r="Q50" s="587">
        <f t="shared" si="11"/>
        <v>0</v>
      </c>
      <c r="S50" s="644">
        <f>Q50-KeyData!H50</f>
        <v>0</v>
      </c>
    </row>
    <row r="51" spans="1:19" ht="12.75" customHeight="1">
      <c r="A51" s="845" t="s">
        <v>1090</v>
      </c>
      <c r="B51" s="845"/>
      <c r="C51" s="848" t="s">
        <v>1091</v>
      </c>
      <c r="D51" s="578">
        <f>IFERROR(VLOOKUP(A51, Race_2024_Seasonal!A:W, 7, FALSE), 0)</f>
        <v>0</v>
      </c>
      <c r="E51" s="578">
        <f>IFERROR(VLOOKUP(A51, Race_2024_Seasonal!A:W, 8, FALSE), 0)</f>
        <v>0</v>
      </c>
      <c r="F51" s="578">
        <f>IFERROR(VLOOKUP(A51, Race_2024_Seasonal!A:W, 9, FALSE), 0)</f>
        <v>0</v>
      </c>
      <c r="G51" s="578">
        <f>IFERROR(VLOOKUP(A51, Race_2024_Seasonal!A:W, 10, FALSE), 0)</f>
        <v>0</v>
      </c>
      <c r="H51" s="578">
        <f>IFERROR(VLOOKUP(A51, Race_2024_Seasonal!A:W, 11, FALSE), 0)</f>
        <v>0</v>
      </c>
      <c r="I51" s="578">
        <f>IFERROR(VLOOKUP(A51, Race_2024_Seasonal!A:W, 12, FALSE), 0)</f>
        <v>0</v>
      </c>
      <c r="J51" s="578">
        <f>IFERROR(VLOOKUP(A51, Race_2024_Seasonal!A:W, 13, FALSE), 0)</f>
        <v>0</v>
      </c>
      <c r="K51" s="578">
        <f>IFERROR(VLOOKUP(A51, Race_2024_Seasonal!A:W, 14, FALSE), 0)</f>
        <v>7916.9449999999997</v>
      </c>
      <c r="L51" s="578">
        <f>IFERROR(VLOOKUP(A51, Race_2024_Seasonal!A:W, 15, FALSE), 0)</f>
        <v>0</v>
      </c>
      <c r="M51" s="578">
        <f>IFERROR(VLOOKUP(A51, Race_2024_Seasonal!A:W, 16, FALSE), 0)</f>
        <v>0</v>
      </c>
      <c r="N51" s="578">
        <f>IFERROR(VLOOKUP(A51, Race_2024_Seasonal!A:W, 17, FALSE), 0)</f>
        <v>0</v>
      </c>
      <c r="O51" s="589">
        <f>IFERROR(VLOOKUP(A51, Race_2024_Seasonal!A:W, 18, FALSE), 0)</f>
        <v>0</v>
      </c>
      <c r="Q51" s="587">
        <f t="shared" si="11"/>
        <v>7916.9449999999997</v>
      </c>
      <c r="S51" s="644">
        <f>Q51-KeyData!H52</f>
        <v>0</v>
      </c>
    </row>
    <row r="52" spans="1:19" ht="12.75" customHeight="1">
      <c r="A52" s="845" t="s">
        <v>1092</v>
      </c>
      <c r="B52" s="845"/>
      <c r="C52" s="848" t="s">
        <v>1093</v>
      </c>
      <c r="D52" s="578">
        <f>IFERROR(VLOOKUP(A52, Race_2024_Seasonal!A:W, 7, FALSE), 0)</f>
        <v>0</v>
      </c>
      <c r="E52" s="578">
        <f>IFERROR(VLOOKUP(A52, Race_2024_Seasonal!A:W, 8, FALSE), 0)</f>
        <v>0</v>
      </c>
      <c r="F52" s="578">
        <f>IFERROR(VLOOKUP(A52, Race_2024_Seasonal!A:W, 9, FALSE), 0)</f>
        <v>0</v>
      </c>
      <c r="G52" s="578">
        <f>IFERROR(VLOOKUP(A52, Race_2024_Seasonal!A:W, 10, FALSE), 0)</f>
        <v>0</v>
      </c>
      <c r="H52" s="578">
        <f>IFERROR(VLOOKUP(A52, Race_2024_Seasonal!A:W, 11, FALSE), 0)</f>
        <v>0</v>
      </c>
      <c r="I52" s="578">
        <f>IFERROR(VLOOKUP(A52, Race_2024_Seasonal!A:W, 12, FALSE), 0)</f>
        <v>0</v>
      </c>
      <c r="J52" s="578">
        <f>IFERROR(VLOOKUP(A52, Race_2024_Seasonal!A:W, 13, FALSE), 0)</f>
        <v>0</v>
      </c>
      <c r="K52" s="578">
        <f>IFERROR(VLOOKUP(A52, Race_2024_Seasonal!A:W, 14, FALSE), 0)</f>
        <v>0</v>
      </c>
      <c r="L52" s="578">
        <f>IFERROR(VLOOKUP(A52, Race_2024_Seasonal!A:W, 15, FALSE), 0)</f>
        <v>0</v>
      </c>
      <c r="M52" s="578">
        <f>IFERROR(VLOOKUP(A52, Race_2024_Seasonal!A:W, 16, FALSE), 0)</f>
        <v>0</v>
      </c>
      <c r="N52" s="578">
        <f>IFERROR(VLOOKUP(A52, Race_2024_Seasonal!A:W, 17, FALSE), 0)</f>
        <v>0</v>
      </c>
      <c r="O52" s="589">
        <f>IFERROR(VLOOKUP(A52, Race_2024_Seasonal!A:W, 18, FALSE), 0)</f>
        <v>0</v>
      </c>
      <c r="Q52" s="587">
        <f t="shared" si="11"/>
        <v>0</v>
      </c>
      <c r="S52" s="644">
        <f>Q52-KeyData!H53</f>
        <v>0</v>
      </c>
    </row>
    <row r="53" spans="1:19" ht="12.75" customHeight="1">
      <c r="A53" s="845" t="s">
        <v>1094</v>
      </c>
      <c r="B53" s="845"/>
      <c r="C53" s="848" t="s">
        <v>1095</v>
      </c>
      <c r="D53" s="578">
        <f>IFERROR(VLOOKUP(A53, Race_2024_Seasonal!A:W, 7, FALSE), 0)</f>
        <v>227061.253</v>
      </c>
      <c r="E53" s="578">
        <f>IFERROR(VLOOKUP(A53, Race_2024_Seasonal!A:W, 8, FALSE), 0)</f>
        <v>37322.739000000001</v>
      </c>
      <c r="F53" s="578">
        <f>IFERROR(VLOOKUP(A53, Race_2024_Seasonal!A:W, 9, FALSE), 0)</f>
        <v>172999.49100000001</v>
      </c>
      <c r="G53" s="578">
        <f>IFERROR(VLOOKUP(A53, Race_2024_Seasonal!A:W, 10, FALSE), 0)</f>
        <v>0</v>
      </c>
      <c r="H53" s="578">
        <f>IFERROR(VLOOKUP(A53, Race_2024_Seasonal!A:W, 11, FALSE), 0)</f>
        <v>201996.09299999999</v>
      </c>
      <c r="I53" s="578">
        <f>IFERROR(VLOOKUP(A53, Race_2024_Seasonal!A:W, 12, FALSE), 0)</f>
        <v>0</v>
      </c>
      <c r="J53" s="578">
        <f>IFERROR(VLOOKUP(A53, Race_2024_Seasonal!A:W, 13, FALSE), 0)</f>
        <v>0</v>
      </c>
      <c r="K53" s="578">
        <f>IFERROR(VLOOKUP(A53, Race_2024_Seasonal!A:W, 14, FALSE), 0)</f>
        <v>249198.04800000001</v>
      </c>
      <c r="L53" s="578">
        <f>IFERROR(VLOOKUP(A53, Race_2024_Seasonal!A:W, 15, FALSE), 0)</f>
        <v>0</v>
      </c>
      <c r="M53" s="578">
        <f>IFERROR(VLOOKUP(A53, Race_2024_Seasonal!A:W, 16, FALSE), 0)</f>
        <v>246031.27</v>
      </c>
      <c r="N53" s="578">
        <f>IFERROR(VLOOKUP(A53, Race_2024_Seasonal!A:W, 17, FALSE), 0)</f>
        <v>0</v>
      </c>
      <c r="O53" s="589">
        <f>IFERROR(VLOOKUP(A53, Race_2024_Seasonal!A:W, 18, FALSE), 0)</f>
        <v>196824.97099999999</v>
      </c>
      <c r="Q53" s="587">
        <f t="shared" si="11"/>
        <v>1331433.865</v>
      </c>
      <c r="S53" s="644">
        <f>Q53-KeyData!H54</f>
        <v>0</v>
      </c>
    </row>
    <row r="54" spans="1:19" ht="12.75" customHeight="1">
      <c r="A54" s="845" t="s">
        <v>1096</v>
      </c>
      <c r="B54" s="845"/>
      <c r="C54" s="848" t="s">
        <v>1097</v>
      </c>
      <c r="D54" s="578">
        <f>IFERROR(VLOOKUP(A54, Race_2024_Seasonal!A:W, 7, FALSE), 0)</f>
        <v>31667.778999999999</v>
      </c>
      <c r="E54" s="578">
        <f>IFERROR(VLOOKUP(A54, Race_2024_Seasonal!A:W, 8, FALSE), 0)</f>
        <v>308403.90000000002</v>
      </c>
      <c r="F54" s="578">
        <f>IFERROR(VLOOKUP(A54, Race_2024_Seasonal!A:W, 9, FALSE), 0)</f>
        <v>30270.098999999998</v>
      </c>
      <c r="G54" s="578">
        <f>IFERROR(VLOOKUP(A54, Race_2024_Seasonal!A:W, 10, FALSE), 0)</f>
        <v>118205.395</v>
      </c>
      <c r="H54" s="578">
        <f>IFERROR(VLOOKUP(A54, Race_2024_Seasonal!A:W, 11, FALSE), 0)</f>
        <v>9047.9369999999999</v>
      </c>
      <c r="I54" s="578">
        <f>IFERROR(VLOOKUP(A54, Race_2024_Seasonal!A:W, 12, FALSE), 0)</f>
        <v>107921.364</v>
      </c>
      <c r="J54" s="578">
        <f>IFERROR(VLOOKUP(A54, Race_2024_Seasonal!A:W, 13, FALSE), 0)</f>
        <v>193108.416</v>
      </c>
      <c r="K54" s="578">
        <f>IFERROR(VLOOKUP(A54, Race_2024_Seasonal!A:W, 14, FALSE), 0)</f>
        <v>952855.07299999997</v>
      </c>
      <c r="L54" s="578">
        <f>IFERROR(VLOOKUP(A54, Race_2024_Seasonal!A:W, 15, FALSE), 0)</f>
        <v>6899.0519999999997</v>
      </c>
      <c r="M54" s="578">
        <f>IFERROR(VLOOKUP(A54, Race_2024_Seasonal!A:W, 16, FALSE), 0)</f>
        <v>24229.696</v>
      </c>
      <c r="N54" s="578">
        <f>IFERROR(VLOOKUP(A54, Race_2024_Seasonal!A:W, 17, FALSE), 0)</f>
        <v>0</v>
      </c>
      <c r="O54" s="589">
        <f>IFERROR(VLOOKUP(A54, Race_2024_Seasonal!A:W, 18, FALSE), 0)</f>
        <v>0</v>
      </c>
      <c r="Q54" s="587">
        <f t="shared" si="11"/>
        <v>1782608.7109999999</v>
      </c>
      <c r="S54" s="644">
        <f>Q54-KeyData!H55</f>
        <v>0</v>
      </c>
    </row>
    <row r="55" spans="1:19" ht="12.75" customHeight="1">
      <c r="A55" s="845" t="s">
        <v>1098</v>
      </c>
      <c r="B55" s="845"/>
      <c r="C55" s="848" t="s">
        <v>1099</v>
      </c>
      <c r="D55" s="578">
        <f>IFERROR(VLOOKUP(A55, Race_2024_Seasonal!A:W, 7, FALSE), 0)</f>
        <v>0</v>
      </c>
      <c r="E55" s="578">
        <f>IFERROR(VLOOKUP(A55, Race_2024_Seasonal!A:W, 8, FALSE), 0)</f>
        <v>0</v>
      </c>
      <c r="F55" s="578">
        <f>IFERROR(VLOOKUP(A55, Race_2024_Seasonal!A:W, 9, FALSE), 0)</f>
        <v>0</v>
      </c>
      <c r="G55" s="578">
        <f>IFERROR(VLOOKUP(A55, Race_2024_Seasonal!A:W, 10, FALSE), 0)</f>
        <v>0</v>
      </c>
      <c r="H55" s="578">
        <f>IFERROR(VLOOKUP(A55, Race_2024_Seasonal!A:W, 11, FALSE), 0)</f>
        <v>0</v>
      </c>
      <c r="I55" s="578">
        <f>IFERROR(VLOOKUP(A55, Race_2024_Seasonal!A:W, 12, FALSE), 0)</f>
        <v>0</v>
      </c>
      <c r="J55" s="578">
        <f>IFERROR(VLOOKUP(A55, Race_2024_Seasonal!A:W, 13, FALSE), 0)</f>
        <v>0</v>
      </c>
      <c r="K55" s="578">
        <f>IFERROR(VLOOKUP(A55, Race_2024_Seasonal!A:W, 14, FALSE), 0)</f>
        <v>0</v>
      </c>
      <c r="L55" s="578">
        <f>IFERROR(VLOOKUP(A55, Race_2024_Seasonal!A:W, 15, FALSE), 0)</f>
        <v>0</v>
      </c>
      <c r="M55" s="578">
        <f>IFERROR(VLOOKUP(A55, Race_2024_Seasonal!A:W, 16, FALSE), 0)</f>
        <v>0</v>
      </c>
      <c r="N55" s="578">
        <f>IFERROR(VLOOKUP(A55, Race_2024_Seasonal!A:W, 17, FALSE), 0)</f>
        <v>0</v>
      </c>
      <c r="O55" s="589">
        <f>IFERROR(VLOOKUP(A55, Race_2024_Seasonal!A:W, 18, FALSE), 0)</f>
        <v>0</v>
      </c>
      <c r="Q55" s="587">
        <f t="shared" si="11"/>
        <v>0</v>
      </c>
      <c r="S55" s="644">
        <f>Q55-KeyData!H56</f>
        <v>0</v>
      </c>
    </row>
    <row r="56" spans="1:19" ht="12.75" customHeight="1">
      <c r="A56" s="451" t="s">
        <v>1100</v>
      </c>
      <c r="B56" s="451"/>
      <c r="C56" s="848" t="s">
        <v>1101</v>
      </c>
      <c r="D56" s="578">
        <f>IFERROR(VLOOKUP(A56, Race_2024_Seasonal!A:W, 7, FALSE), 0)</f>
        <v>0</v>
      </c>
      <c r="E56" s="578">
        <f>IFERROR(VLOOKUP(A56, Race_2024_Seasonal!A:W, 8, FALSE), 0)</f>
        <v>0</v>
      </c>
      <c r="F56" s="578">
        <f>IFERROR(VLOOKUP(A56, Race_2024_Seasonal!A:W, 9, FALSE), 0)</f>
        <v>0</v>
      </c>
      <c r="G56" s="578">
        <f>IFERROR(VLOOKUP(A56, Race_2024_Seasonal!A:W, 10, FALSE), 0)</f>
        <v>0</v>
      </c>
      <c r="H56" s="578">
        <f>IFERROR(VLOOKUP(A56, Race_2024_Seasonal!A:W, 11, FALSE), 0)</f>
        <v>0</v>
      </c>
      <c r="I56" s="578">
        <f>IFERROR(VLOOKUP(A56, Race_2024_Seasonal!A:W, 12, FALSE), 0)</f>
        <v>0</v>
      </c>
      <c r="J56" s="578">
        <f>IFERROR(VLOOKUP(A56, Race_2024_Seasonal!A:W, 13, FALSE), 0)</f>
        <v>0</v>
      </c>
      <c r="K56" s="578">
        <f>IFERROR(VLOOKUP(A56, Race_2024_Seasonal!A:W, 14, FALSE), 0)</f>
        <v>0</v>
      </c>
      <c r="L56" s="578">
        <f>IFERROR(VLOOKUP(A56, Race_2024_Seasonal!A:W, 15, FALSE), 0)</f>
        <v>0</v>
      </c>
      <c r="M56" s="578">
        <f>IFERROR(VLOOKUP(A56, Race_2024_Seasonal!A:W, 16, FALSE), 0)</f>
        <v>0</v>
      </c>
      <c r="N56" s="578">
        <f>IFERROR(VLOOKUP(A56, Race_2024_Seasonal!A:W, 17, FALSE), 0)</f>
        <v>0</v>
      </c>
      <c r="O56" s="589">
        <f>IFERROR(VLOOKUP(A56, Race_2024_Seasonal!A:W, 18, FALSE), 0)</f>
        <v>0</v>
      </c>
      <c r="Q56" s="587">
        <f t="shared" si="11"/>
        <v>0</v>
      </c>
      <c r="S56" s="644">
        <f>Q56-KeyData!H57</f>
        <v>0</v>
      </c>
    </row>
    <row r="57" spans="1:19" ht="12.75" customHeight="1">
      <c r="A57" s="451" t="s">
        <v>1102</v>
      </c>
      <c r="B57" s="451"/>
      <c r="C57" s="848" t="s">
        <v>1103</v>
      </c>
      <c r="D57" s="578">
        <f>IFERROR(VLOOKUP(A57, Race_2024_Seasonal!A:W, 7, FALSE), 0)</f>
        <v>0</v>
      </c>
      <c r="E57" s="578">
        <f>IFERROR(VLOOKUP(A57, Race_2024_Seasonal!A:W, 8, FALSE), 0)</f>
        <v>0</v>
      </c>
      <c r="F57" s="578">
        <f>IFERROR(VLOOKUP(A57, Race_2024_Seasonal!A:W, 9, FALSE), 0)</f>
        <v>12780.210999999999</v>
      </c>
      <c r="G57" s="578">
        <f>IFERROR(VLOOKUP(A57, Race_2024_Seasonal!A:W, 10, FALSE), 0)</f>
        <v>0</v>
      </c>
      <c r="H57" s="578">
        <f>IFERROR(VLOOKUP(A57, Race_2024_Seasonal!A:W, 11, FALSE), 0)</f>
        <v>0</v>
      </c>
      <c r="I57" s="578">
        <f>IFERROR(VLOOKUP(A57, Race_2024_Seasonal!A:W, 12, FALSE), 0)</f>
        <v>30496.071</v>
      </c>
      <c r="J57" s="578">
        <f>IFERROR(VLOOKUP(A57, Race_2024_Seasonal!A:W, 13, FALSE), 0)</f>
        <v>2454.2530000000002</v>
      </c>
      <c r="K57" s="578">
        <f>IFERROR(VLOOKUP(A57, Race_2024_Seasonal!A:W, 14, FALSE), 0)</f>
        <v>0</v>
      </c>
      <c r="L57" s="578">
        <f>IFERROR(VLOOKUP(A57, Race_2024_Seasonal!A:W, 15, FALSE), 0)</f>
        <v>0</v>
      </c>
      <c r="M57" s="578">
        <f>IFERROR(VLOOKUP(A57, Race_2024_Seasonal!A:W, 16, FALSE), 0)</f>
        <v>0</v>
      </c>
      <c r="N57" s="578">
        <f>IFERROR(VLOOKUP(A57, Race_2024_Seasonal!A:W, 17, FALSE), 0)</f>
        <v>2652.0630000000001</v>
      </c>
      <c r="O57" s="589">
        <f>IFERROR(VLOOKUP(A57, Race_2024_Seasonal!A:W, 18, FALSE), 0)</f>
        <v>0</v>
      </c>
      <c r="Q57" s="587">
        <f t="shared" si="11"/>
        <v>48382.597999999998</v>
      </c>
      <c r="S57" s="644">
        <f>Q57-KeyData!H58</f>
        <v>0</v>
      </c>
    </row>
    <row r="58" spans="1:19" ht="12.75" customHeight="1">
      <c r="A58" s="451" t="s">
        <v>1104</v>
      </c>
      <c r="B58" s="451"/>
      <c r="C58" s="848" t="s">
        <v>1105</v>
      </c>
      <c r="D58" s="578">
        <f>IFERROR(VLOOKUP(A58, Race_2024_Seasonal!A:W, 7, FALSE), 0)</f>
        <v>0</v>
      </c>
      <c r="E58" s="578">
        <f>IFERROR(VLOOKUP(A58, Race_2024_Seasonal!A:W, 8, FALSE), 0)</f>
        <v>0</v>
      </c>
      <c r="F58" s="578">
        <f>IFERROR(VLOOKUP(A58, Race_2024_Seasonal!A:W, 9, FALSE), 0)</f>
        <v>0</v>
      </c>
      <c r="G58" s="578">
        <f>IFERROR(VLOOKUP(A58, Race_2024_Seasonal!A:W, 10, FALSE), 0)</f>
        <v>0</v>
      </c>
      <c r="H58" s="578">
        <f>IFERROR(VLOOKUP(A58, Race_2024_Seasonal!A:W, 11, FALSE), 0)</f>
        <v>0</v>
      </c>
      <c r="I58" s="578">
        <f>IFERROR(VLOOKUP(A58, Race_2024_Seasonal!A:W, 12, FALSE), 0)</f>
        <v>0</v>
      </c>
      <c r="J58" s="578">
        <f>IFERROR(VLOOKUP(A58, Race_2024_Seasonal!A:W, 13, FALSE), 0)</f>
        <v>0</v>
      </c>
      <c r="K58" s="578">
        <f>IFERROR(VLOOKUP(A58, Race_2024_Seasonal!A:W, 14, FALSE), 0)</f>
        <v>0</v>
      </c>
      <c r="L58" s="578">
        <f>IFERROR(VLOOKUP(A58, Race_2024_Seasonal!A:W, 15, FALSE), 0)</f>
        <v>0</v>
      </c>
      <c r="M58" s="578">
        <f>IFERROR(VLOOKUP(A58, Race_2024_Seasonal!A:W, 16, FALSE), 0)</f>
        <v>0</v>
      </c>
      <c r="N58" s="578">
        <f>IFERROR(VLOOKUP(A58, Race_2024_Seasonal!A:W, 17, FALSE), 0)</f>
        <v>0</v>
      </c>
      <c r="O58" s="589">
        <f>IFERROR(VLOOKUP(A58, Race_2024_Seasonal!A:W, 18, FALSE), 0)</f>
        <v>0</v>
      </c>
      <c r="Q58" s="587">
        <f t="shared" si="11"/>
        <v>0</v>
      </c>
      <c r="S58" s="644">
        <f>Q58-KeyData!H59</f>
        <v>0</v>
      </c>
    </row>
    <row r="59" spans="1:19" ht="12.75" customHeight="1">
      <c r="A59" s="451" t="s">
        <v>1106</v>
      </c>
      <c r="B59" s="451"/>
      <c r="C59" s="848" t="s">
        <v>1107</v>
      </c>
      <c r="D59" s="578">
        <f>IFERROR(VLOOKUP(A59, Race_2024_Seasonal!A:W, 7, FALSE), 0)</f>
        <v>0</v>
      </c>
      <c r="E59" s="578">
        <f>IFERROR(VLOOKUP(A59, Race_2024_Seasonal!A:W, 8, FALSE), 0)</f>
        <v>0</v>
      </c>
      <c r="F59" s="578">
        <f>IFERROR(VLOOKUP(A59, Race_2024_Seasonal!A:W, 9, FALSE), 0)</f>
        <v>0</v>
      </c>
      <c r="G59" s="578">
        <f>IFERROR(VLOOKUP(A59, Race_2024_Seasonal!A:W, 10, FALSE), 0)</f>
        <v>0</v>
      </c>
      <c r="H59" s="578">
        <f>IFERROR(VLOOKUP(A59, Race_2024_Seasonal!A:W, 11, FALSE), 0)</f>
        <v>0</v>
      </c>
      <c r="I59" s="578">
        <f>IFERROR(VLOOKUP(A59, Race_2024_Seasonal!A:W, 12, FALSE), 0)</f>
        <v>0</v>
      </c>
      <c r="J59" s="578">
        <f>IFERROR(VLOOKUP(A59, Race_2024_Seasonal!A:W, 13, FALSE), 0)</f>
        <v>0</v>
      </c>
      <c r="K59" s="578">
        <f>IFERROR(VLOOKUP(A59, Race_2024_Seasonal!A:W, 14, FALSE), 0)</f>
        <v>0</v>
      </c>
      <c r="L59" s="578">
        <f>IFERROR(VLOOKUP(A59, Race_2024_Seasonal!A:W, 15, FALSE), 0)</f>
        <v>0</v>
      </c>
      <c r="M59" s="578">
        <f>IFERROR(VLOOKUP(A59, Race_2024_Seasonal!A:W, 16, FALSE), 0)</f>
        <v>0</v>
      </c>
      <c r="N59" s="578">
        <f>IFERROR(VLOOKUP(A59, Race_2024_Seasonal!A:W, 17, FALSE), 0)</f>
        <v>0</v>
      </c>
      <c r="O59" s="589">
        <f>IFERROR(VLOOKUP(A59, Race_2024_Seasonal!A:W, 18, FALSE), 0)</f>
        <v>0</v>
      </c>
      <c r="Q59" s="587">
        <f t="shared" si="11"/>
        <v>0</v>
      </c>
      <c r="S59" s="644">
        <f>Q59-KeyData!H60</f>
        <v>0</v>
      </c>
    </row>
    <row r="60" spans="1:19" ht="12.75" customHeight="1">
      <c r="A60" s="451" t="s">
        <v>1108</v>
      </c>
      <c r="B60" s="451"/>
      <c r="C60" s="856" t="s">
        <v>1109</v>
      </c>
      <c r="D60" s="585">
        <f>IFERROR(VLOOKUP(A60, Race_2024_Seasonal!A:W, 7, FALSE), 0)</f>
        <v>10348</v>
      </c>
      <c r="E60" s="585">
        <f>IFERROR(VLOOKUP(A60, Race_2024_Seasonal!A:W, 8, FALSE), 0)</f>
        <v>0</v>
      </c>
      <c r="F60" s="585">
        <f>IFERROR(VLOOKUP(A60, Race_2024_Seasonal!A:W, 9, FALSE), 0)</f>
        <v>153555</v>
      </c>
      <c r="G60" s="585">
        <f>IFERROR(VLOOKUP(A60, Race_2024_Seasonal!A:W, 10, FALSE), 0)</f>
        <v>0</v>
      </c>
      <c r="H60" s="585">
        <f>IFERROR(VLOOKUP(A60, Race_2024_Seasonal!A:W, 11, FALSE), 0)</f>
        <v>0</v>
      </c>
      <c r="I60" s="585">
        <f>IFERROR(VLOOKUP(A60, Race_2024_Seasonal!A:W, 12, FALSE), 0)</f>
        <v>0</v>
      </c>
      <c r="J60" s="585">
        <f>IFERROR(VLOOKUP(A60, Race_2024_Seasonal!A:W, 13, FALSE), 0)</f>
        <v>0</v>
      </c>
      <c r="K60" s="585">
        <f>IFERROR(VLOOKUP(A60, Race_2024_Seasonal!A:W, 14, FALSE), 0)</f>
        <v>0</v>
      </c>
      <c r="L60" s="585">
        <f>IFERROR(VLOOKUP(A60, Race_2024_Seasonal!A:W, 15, FALSE), 0)</f>
        <v>0</v>
      </c>
      <c r="M60" s="585">
        <f>IFERROR(VLOOKUP(A60, Race_2024_Seasonal!A:W, 16, FALSE), 0)</f>
        <v>0</v>
      </c>
      <c r="N60" s="585">
        <f>IFERROR(VLOOKUP(A60, Race_2024_Seasonal!A:W, 17, FALSE), 0)</f>
        <v>0</v>
      </c>
      <c r="O60" s="584">
        <f>IFERROR(VLOOKUP(A60, Race_2024_Seasonal!A:W, 18, FALSE), 0)</f>
        <v>0</v>
      </c>
      <c r="Q60" s="583">
        <f t="shared" si="11"/>
        <v>163903</v>
      </c>
      <c r="S60" s="644">
        <f>Q60-KeyData!H61</f>
        <v>0</v>
      </c>
    </row>
    <row r="61" spans="1:19" ht="12.75" customHeight="1">
      <c r="S61" s="644">
        <f>Q61-KeyData!H62</f>
        <v>0</v>
      </c>
    </row>
  </sheetData>
  <phoneticPr fontId="65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9C027-37BD-47EF-B787-829477BF7724}">
  <sheetPr>
    <tabColor rgb="FFFF0000"/>
  </sheetPr>
  <dimension ref="A1:R1216"/>
  <sheetViews>
    <sheetView workbookViewId="0">
      <selection activeCell="O1" sqref="O1"/>
    </sheetView>
  </sheetViews>
  <sheetFormatPr defaultRowHeight="15"/>
  <cols>
    <col min="1" max="1" width="19.85546875" bestFit="1" customWidth="1"/>
    <col min="2" max="2" width="23.42578125" bestFit="1" customWidth="1"/>
    <col min="3" max="3" width="19.42578125" bestFit="1" customWidth="1"/>
    <col min="4" max="4" width="9.7109375" bestFit="1" customWidth="1"/>
    <col min="5" max="5" width="18.28515625" bestFit="1" customWidth="1"/>
    <col min="6" max="6" width="9.85546875" bestFit="1" customWidth="1"/>
    <col min="7" max="7" width="11.7109375" bestFit="1" customWidth="1"/>
    <col min="8" max="8" width="14.28515625" bestFit="1" customWidth="1"/>
    <col min="9" max="12" width="11.7109375" bestFit="1" customWidth="1"/>
    <col min="13" max="13" width="8.28515625" bestFit="1" customWidth="1"/>
    <col min="14" max="14" width="9.7109375" bestFit="1" customWidth="1"/>
    <col min="15" max="16" width="8.28515625" bestFit="1" customWidth="1"/>
    <col min="17" max="18" width="8.28515625" style="616" bestFit="1" customWidth="1"/>
    <col min="19" max="21" width="8.28515625" bestFit="1" customWidth="1"/>
  </cols>
  <sheetData>
    <row r="1" spans="1:18">
      <c r="B1" s="1012" t="s">
        <v>1125</v>
      </c>
      <c r="C1" s="1011"/>
      <c r="D1" s="1012" t="s">
        <v>1126</v>
      </c>
      <c r="E1" s="1012" t="s">
        <v>762</v>
      </c>
      <c r="F1" s="808" t="s">
        <v>1127</v>
      </c>
      <c r="G1" s="808" t="s">
        <v>1128</v>
      </c>
      <c r="H1" s="808" t="s">
        <v>1129</v>
      </c>
      <c r="I1" s="808" t="s">
        <v>1130</v>
      </c>
      <c r="J1" s="808" t="s">
        <v>1131</v>
      </c>
      <c r="K1" s="808" t="s">
        <v>1132</v>
      </c>
      <c r="L1" s="808" t="s">
        <v>1133</v>
      </c>
      <c r="N1" s="678" t="s">
        <v>1124</v>
      </c>
      <c r="O1" s="678" t="s">
        <v>1124</v>
      </c>
      <c r="P1" t="s">
        <v>1134</v>
      </c>
      <c r="Q1"/>
      <c r="R1"/>
    </row>
    <row r="2" spans="1:18">
      <c r="A2" s="451" t="str">
        <f xml:space="preserve"> IFERROR(+B2*1,B2)&amp;"_"&amp;IFERROR(+D2*1,D2)</f>
        <v>122100000_100</v>
      </c>
      <c r="B2" s="1013" t="s">
        <v>1135</v>
      </c>
      <c r="C2" s="809" t="s">
        <v>1136</v>
      </c>
      <c r="D2" s="808" t="s">
        <v>1137</v>
      </c>
      <c r="E2" s="808" t="s">
        <v>1138</v>
      </c>
      <c r="F2" s="612"/>
      <c r="G2" s="612">
        <v>23104788.289000001</v>
      </c>
      <c r="H2" s="612">
        <v>11564651.297</v>
      </c>
      <c r="I2" s="612">
        <v>23102965.756000001</v>
      </c>
      <c r="J2" s="612">
        <v>11564651.297</v>
      </c>
      <c r="K2" s="612">
        <v>11564651.297</v>
      </c>
      <c r="L2" s="613">
        <v>11564651.297</v>
      </c>
      <c r="N2" t="e">
        <f>VLOOKUP(A2, 'P&amp;L'!A:B,1,FALSE)</f>
        <v>#N/A</v>
      </c>
      <c r="O2" t="e">
        <f>VLOOKUP(A2, KeyData!A:C,1,FALSE)</f>
        <v>#N/A</v>
      </c>
      <c r="Q2"/>
      <c r="R2"/>
    </row>
    <row r="3" spans="1:18">
      <c r="A3" s="451" t="str">
        <f t="shared" ref="A3:A66" si="0" xml:space="preserve"> IFERROR(+B3*1,B3)&amp;"_"&amp;IFERROR(+D3*1,D3)</f>
        <v>122100000_110</v>
      </c>
      <c r="B3" s="1013" t="s">
        <v>1135</v>
      </c>
      <c r="C3" s="809" t="s">
        <v>1136</v>
      </c>
      <c r="D3" s="808" t="s">
        <v>1139</v>
      </c>
      <c r="E3" s="808" t="s">
        <v>1140</v>
      </c>
      <c r="F3" s="612"/>
      <c r="G3" s="612">
        <v>6015.1980000000003</v>
      </c>
      <c r="H3" s="612">
        <v>2606</v>
      </c>
      <c r="I3" s="612"/>
      <c r="J3" s="612"/>
      <c r="K3" s="612"/>
      <c r="L3" s="613">
        <v>7916.9449999999997</v>
      </c>
      <c r="N3" t="e">
        <f>VLOOKUP(A3, 'P&amp;L'!A:B,1,FALSE)</f>
        <v>#N/A</v>
      </c>
      <c r="O3" t="e">
        <f>VLOOKUP(A3, KeyData!A:C,1,FALSE)</f>
        <v>#N/A</v>
      </c>
      <c r="Q3"/>
      <c r="R3"/>
    </row>
    <row r="4" spans="1:18">
      <c r="A4" s="451" t="str">
        <f t="shared" si="0"/>
        <v>122100000_120</v>
      </c>
      <c r="B4" s="1013" t="s">
        <v>1135</v>
      </c>
      <c r="C4" s="809" t="s">
        <v>1136</v>
      </c>
      <c r="D4" s="808" t="s">
        <v>1141</v>
      </c>
      <c r="E4" s="808" t="s">
        <v>1142</v>
      </c>
      <c r="F4" s="612"/>
      <c r="G4" s="612">
        <v>-351.38299999999998</v>
      </c>
      <c r="H4" s="612"/>
      <c r="I4" s="612"/>
      <c r="J4" s="612"/>
      <c r="K4" s="612"/>
      <c r="L4" s="613"/>
      <c r="N4" t="e">
        <f>VLOOKUP(A4, 'P&amp;L'!A:B,1,FALSE)</f>
        <v>#N/A</v>
      </c>
      <c r="O4" t="e">
        <f>VLOOKUP(A4, KeyData!A:C,1,FALSE)</f>
        <v>#N/A</v>
      </c>
      <c r="Q4"/>
      <c r="R4"/>
    </row>
    <row r="5" spans="1:18">
      <c r="A5" s="451" t="str">
        <f t="shared" si="0"/>
        <v>122100000_135</v>
      </c>
      <c r="B5" s="1013" t="s">
        <v>1135</v>
      </c>
      <c r="C5" s="809" t="s">
        <v>1136</v>
      </c>
      <c r="D5" s="808" t="s">
        <v>1143</v>
      </c>
      <c r="E5" s="808" t="s">
        <v>1144</v>
      </c>
      <c r="F5" s="612"/>
      <c r="G5" s="612">
        <v>-11541268.528000001</v>
      </c>
      <c r="H5" s="612"/>
      <c r="I5" s="612"/>
      <c r="J5" s="612"/>
      <c r="K5" s="612"/>
      <c r="L5" s="613"/>
      <c r="N5" t="e">
        <f>VLOOKUP(A5, 'P&amp;L'!A:B,1,FALSE)</f>
        <v>#N/A</v>
      </c>
      <c r="O5" t="e">
        <f>VLOOKUP(A5, KeyData!A:C,1,FALSE)</f>
        <v>#N/A</v>
      </c>
      <c r="Q5"/>
      <c r="R5"/>
    </row>
    <row r="6" spans="1:18">
      <c r="A6" s="451" t="str">
        <f t="shared" si="0"/>
        <v>122100000_148</v>
      </c>
      <c r="B6" s="1013" t="s">
        <v>1135</v>
      </c>
      <c r="C6" s="809" t="s">
        <v>1136</v>
      </c>
      <c r="D6" s="808" t="s">
        <v>1145</v>
      </c>
      <c r="E6" s="808" t="s">
        <v>1146</v>
      </c>
      <c r="F6" s="612"/>
      <c r="G6" s="612">
        <v>-1822.5329999999999</v>
      </c>
      <c r="H6" s="612"/>
      <c r="I6" s="612"/>
      <c r="J6" s="612"/>
      <c r="K6" s="612"/>
      <c r="L6" s="613"/>
      <c r="N6" t="e">
        <f>VLOOKUP(A6, 'P&amp;L'!A:B,1,FALSE)</f>
        <v>#N/A</v>
      </c>
      <c r="O6" t="e">
        <f>VLOOKUP(A6, KeyData!A:C,1,FALSE)</f>
        <v>#N/A</v>
      </c>
      <c r="Q6"/>
      <c r="R6"/>
    </row>
    <row r="7" spans="1:18">
      <c r="A7" s="451" t="str">
        <f t="shared" si="0"/>
        <v>122100000_160</v>
      </c>
      <c r="B7" s="1013" t="s">
        <v>1135</v>
      </c>
      <c r="C7" s="809" t="s">
        <v>1136</v>
      </c>
      <c r="D7" s="808" t="s">
        <v>1147</v>
      </c>
      <c r="E7" s="808" t="s">
        <v>1148</v>
      </c>
      <c r="F7" s="612"/>
      <c r="G7" s="612">
        <v>0</v>
      </c>
      <c r="H7" s="612">
        <v>0</v>
      </c>
      <c r="I7" s="612"/>
      <c r="J7" s="612">
        <v>0</v>
      </c>
      <c r="K7" s="612">
        <v>0</v>
      </c>
      <c r="L7" s="613"/>
      <c r="M7" s="451"/>
      <c r="N7" t="e">
        <f>VLOOKUP(A7, 'P&amp;L'!A:B,1,FALSE)</f>
        <v>#N/A</v>
      </c>
      <c r="O7" t="e">
        <f>VLOOKUP(A7, KeyData!A:C,1,FALSE)</f>
        <v>#N/A</v>
      </c>
      <c r="P7" s="451"/>
    </row>
    <row r="8" spans="1:18">
      <c r="A8" s="451" t="str">
        <f t="shared" si="0"/>
        <v>122100000_200</v>
      </c>
      <c r="B8" s="1013" t="s">
        <v>1135</v>
      </c>
      <c r="C8" s="809" t="s">
        <v>1136</v>
      </c>
      <c r="D8" s="808" t="s">
        <v>1149</v>
      </c>
      <c r="E8" s="808" t="s">
        <v>1138</v>
      </c>
      <c r="F8" s="612"/>
      <c r="G8" s="612">
        <v>-4051062.9240000001</v>
      </c>
      <c r="H8" s="612">
        <v>-6361554.2630000003</v>
      </c>
      <c r="I8" s="612">
        <v>-6362836.0520000001</v>
      </c>
      <c r="J8" s="612">
        <v>-6361554.2630000003</v>
      </c>
      <c r="K8" s="612">
        <v>-6361554.2630000003</v>
      </c>
      <c r="L8" s="613">
        <v>-8676451.2420000006</v>
      </c>
      <c r="M8" s="451"/>
      <c r="N8" t="e">
        <f>VLOOKUP(A8, 'P&amp;L'!A:B,1,FALSE)</f>
        <v>#N/A</v>
      </c>
      <c r="O8" t="e">
        <f>VLOOKUP(A8, KeyData!A:C,1,FALSE)</f>
        <v>#N/A</v>
      </c>
      <c r="P8" s="451"/>
    </row>
    <row r="9" spans="1:18">
      <c r="A9" s="451" t="str">
        <f t="shared" si="0"/>
        <v>122100000_210</v>
      </c>
      <c r="B9" s="1013" t="s">
        <v>1135</v>
      </c>
      <c r="C9" s="809" t="s">
        <v>1136</v>
      </c>
      <c r="D9" s="808" t="s">
        <v>1150</v>
      </c>
      <c r="E9" s="808" t="s">
        <v>1151</v>
      </c>
      <c r="F9" s="612"/>
      <c r="G9" s="612">
        <v>-2314271.327</v>
      </c>
      <c r="H9" s="612">
        <v>-1157171.2390000001</v>
      </c>
      <c r="I9" s="612">
        <v>-2314443.8169999998</v>
      </c>
      <c r="J9" s="612">
        <v>-2313883.5350000001</v>
      </c>
      <c r="K9" s="612">
        <v>-2314896.9789999998</v>
      </c>
      <c r="L9" s="613">
        <v>-2313800.0970000001</v>
      </c>
      <c r="M9" s="451"/>
      <c r="N9" t="e">
        <f>VLOOKUP(A9, 'P&amp;L'!A:B,1,FALSE)</f>
        <v>#N/A</v>
      </c>
      <c r="O9" t="e">
        <f>VLOOKUP(A9, KeyData!A:C,1,FALSE)</f>
        <v>#N/A</v>
      </c>
      <c r="P9" s="451"/>
    </row>
    <row r="10" spans="1:18">
      <c r="A10" s="451" t="str">
        <f t="shared" si="0"/>
        <v>122100000_220</v>
      </c>
      <c r="B10" s="1013" t="s">
        <v>1135</v>
      </c>
      <c r="C10" s="809" t="s">
        <v>1136</v>
      </c>
      <c r="D10" s="808" t="s">
        <v>1152</v>
      </c>
      <c r="E10" s="808" t="s">
        <v>1153</v>
      </c>
      <c r="F10" s="612"/>
      <c r="G10" s="612">
        <v>351.38299999999998</v>
      </c>
      <c r="H10" s="612"/>
      <c r="I10" s="612"/>
      <c r="J10" s="612"/>
      <c r="K10" s="612"/>
      <c r="L10" s="613"/>
      <c r="M10" s="451"/>
      <c r="N10" t="e">
        <f>VLOOKUP(A10, 'P&amp;L'!A:B,1,FALSE)</f>
        <v>#N/A</v>
      </c>
      <c r="O10" t="e">
        <f>VLOOKUP(A10, KeyData!A:C,1,FALSE)</f>
        <v>#N/A</v>
      </c>
      <c r="P10" s="451"/>
    </row>
    <row r="11" spans="1:18">
      <c r="A11" s="451" t="str">
        <f t="shared" si="0"/>
        <v>122100000_248</v>
      </c>
      <c r="B11" s="1013" t="s">
        <v>1135</v>
      </c>
      <c r="C11" s="809" t="s">
        <v>1136</v>
      </c>
      <c r="D11" s="808" t="s">
        <v>1154</v>
      </c>
      <c r="E11" s="808" t="s">
        <v>1146</v>
      </c>
      <c r="F11" s="612"/>
      <c r="G11" s="612">
        <v>1822.816</v>
      </c>
      <c r="H11" s="612"/>
      <c r="I11" s="612"/>
      <c r="J11" s="612"/>
      <c r="K11" s="612"/>
      <c r="L11" s="613"/>
      <c r="M11" s="451"/>
      <c r="N11" t="e">
        <f>VLOOKUP(A11, 'P&amp;L'!A:B,1,FALSE)</f>
        <v>#N/A</v>
      </c>
      <c r="O11" t="e">
        <f>VLOOKUP(A11, KeyData!A:C,1,FALSE)</f>
        <v>#N/A</v>
      </c>
      <c r="P11" s="451"/>
    </row>
    <row r="12" spans="1:18">
      <c r="A12" s="451" t="str">
        <f t="shared" si="0"/>
        <v>122100000_260</v>
      </c>
      <c r="B12" s="1013" t="s">
        <v>1135</v>
      </c>
      <c r="C12" s="809" t="s">
        <v>1136</v>
      </c>
      <c r="D12" s="808" t="s">
        <v>1155</v>
      </c>
      <c r="E12" s="808" t="s">
        <v>1148</v>
      </c>
      <c r="F12" s="612"/>
      <c r="G12" s="612">
        <v>0</v>
      </c>
      <c r="H12" s="612">
        <v>0</v>
      </c>
      <c r="I12" s="612"/>
      <c r="J12" s="612">
        <v>0</v>
      </c>
      <c r="K12" s="612">
        <v>0</v>
      </c>
      <c r="L12" s="613"/>
      <c r="M12" s="451"/>
      <c r="N12" t="e">
        <f>VLOOKUP(A12, 'P&amp;L'!A:B,1,FALSE)</f>
        <v>#N/A</v>
      </c>
      <c r="O12" t="e">
        <f>VLOOKUP(A12, KeyData!A:C,1,FALSE)</f>
        <v>#N/A</v>
      </c>
      <c r="P12" s="451"/>
    </row>
    <row r="13" spans="1:18">
      <c r="A13" s="451" t="str">
        <f t="shared" si="0"/>
        <v>122100000_Result</v>
      </c>
      <c r="B13" s="1013" t="s">
        <v>1135</v>
      </c>
      <c r="C13" s="809" t="s">
        <v>1136</v>
      </c>
      <c r="D13" s="842" t="s">
        <v>1156</v>
      </c>
      <c r="E13" s="840"/>
      <c r="F13" s="836"/>
      <c r="G13" s="836">
        <v>5204200.9910000004</v>
      </c>
      <c r="H13" s="836">
        <v>4048531.7949999999</v>
      </c>
      <c r="I13" s="836">
        <v>14425685.887</v>
      </c>
      <c r="J13" s="836">
        <v>2889213.4989999998</v>
      </c>
      <c r="K13" s="836">
        <v>2888200.0550000002</v>
      </c>
      <c r="L13" s="838">
        <v>582316.90300000005</v>
      </c>
      <c r="M13" s="451"/>
      <c r="N13" t="e">
        <f>VLOOKUP(A13, 'P&amp;L'!A:B,1,FALSE)</f>
        <v>#N/A</v>
      </c>
      <c r="O13" t="e">
        <f>VLOOKUP(A13, KeyData!A:C,1,FALSE)</f>
        <v>#N/A</v>
      </c>
      <c r="P13" s="451"/>
    </row>
    <row r="14" spans="1:18">
      <c r="A14" s="451" t="str">
        <f t="shared" si="0"/>
        <v>122133000_100</v>
      </c>
      <c r="B14" s="1014" t="s">
        <v>1157</v>
      </c>
      <c r="C14" s="810" t="s">
        <v>1158</v>
      </c>
      <c r="D14" s="808" t="s">
        <v>1137</v>
      </c>
      <c r="E14" s="808" t="s">
        <v>1138</v>
      </c>
      <c r="F14" s="612"/>
      <c r="G14" s="612">
        <v>23082537.056000002</v>
      </c>
      <c r="H14" s="612">
        <v>11541268.528000001</v>
      </c>
      <c r="I14" s="612">
        <v>23082537.056000002</v>
      </c>
      <c r="J14" s="612">
        <v>11541268.528000001</v>
      </c>
      <c r="K14" s="612">
        <v>11541268.528000001</v>
      </c>
      <c r="L14" s="613">
        <v>11541268.528000001</v>
      </c>
      <c r="M14" s="451"/>
      <c r="N14" t="e">
        <f>VLOOKUP(A14, 'P&amp;L'!A:B,1,FALSE)</f>
        <v>#N/A</v>
      </c>
      <c r="O14" t="e">
        <f>VLOOKUP(A14, KeyData!A:C,1,FALSE)</f>
        <v>#N/A</v>
      </c>
      <c r="P14" s="451"/>
    </row>
    <row r="15" spans="1:18">
      <c r="A15" s="451" t="str">
        <f t="shared" si="0"/>
        <v>122133000_135</v>
      </c>
      <c r="B15" s="1014" t="s">
        <v>1157</v>
      </c>
      <c r="C15" s="810" t="s">
        <v>1158</v>
      </c>
      <c r="D15" s="808" t="s">
        <v>1143</v>
      </c>
      <c r="E15" s="808" t="s">
        <v>1144</v>
      </c>
      <c r="F15" s="612"/>
      <c r="G15" s="612">
        <v>-11541268.528000001</v>
      </c>
      <c r="H15" s="612"/>
      <c r="I15" s="612"/>
      <c r="J15" s="612"/>
      <c r="K15" s="612"/>
      <c r="L15" s="613"/>
      <c r="M15" s="451"/>
      <c r="N15" t="e">
        <f>VLOOKUP(A15, 'P&amp;L'!A:B,1,FALSE)</f>
        <v>#N/A</v>
      </c>
      <c r="O15" t="e">
        <f>VLOOKUP(A15, KeyData!A:C,1,FALSE)</f>
        <v>#N/A</v>
      </c>
      <c r="P15" s="451"/>
    </row>
    <row r="16" spans="1:18">
      <c r="A16" s="451" t="str">
        <f t="shared" si="0"/>
        <v>122133000_160</v>
      </c>
      <c r="B16" s="1014" t="s">
        <v>1157</v>
      </c>
      <c r="C16" s="810" t="s">
        <v>1158</v>
      </c>
      <c r="D16" s="808" t="s">
        <v>1147</v>
      </c>
      <c r="E16" s="808" t="s">
        <v>1148</v>
      </c>
      <c r="F16" s="612"/>
      <c r="G16" s="612">
        <v>0</v>
      </c>
      <c r="H16" s="612">
        <v>0</v>
      </c>
      <c r="I16" s="612"/>
      <c r="J16" s="612">
        <v>0</v>
      </c>
      <c r="K16" s="612">
        <v>0</v>
      </c>
      <c r="L16" s="613"/>
      <c r="M16" s="451"/>
      <c r="N16" t="e">
        <f>VLOOKUP(A16, 'P&amp;L'!A:B,1,FALSE)</f>
        <v>#N/A</v>
      </c>
      <c r="O16" t="e">
        <f>VLOOKUP(A16, KeyData!A:C,1,FALSE)</f>
        <v>#N/A</v>
      </c>
      <c r="P16" s="451"/>
    </row>
    <row r="17" spans="1:16">
      <c r="A17" s="451" t="str">
        <f t="shared" si="0"/>
        <v>122133000_200</v>
      </c>
      <c r="B17" s="1014" t="s">
        <v>1157</v>
      </c>
      <c r="C17" s="810" t="s">
        <v>1158</v>
      </c>
      <c r="D17" s="808" t="s">
        <v>1149</v>
      </c>
      <c r="E17" s="808" t="s">
        <v>1138</v>
      </c>
      <c r="F17" s="612"/>
      <c r="G17" s="612">
        <v>-4039443.9849999999</v>
      </c>
      <c r="H17" s="612">
        <v>-6347697.6909999996</v>
      </c>
      <c r="I17" s="612">
        <v>-6347697.6909999996</v>
      </c>
      <c r="J17" s="612">
        <v>-6347697.6909999996</v>
      </c>
      <c r="K17" s="612">
        <v>-6347697.6909999996</v>
      </c>
      <c r="L17" s="613">
        <v>-8655951.3969999999</v>
      </c>
      <c r="M17" s="451"/>
      <c r="N17" t="e">
        <f>VLOOKUP(A17, 'P&amp;L'!A:B,1,FALSE)</f>
        <v>#N/A</v>
      </c>
      <c r="O17" t="e">
        <f>VLOOKUP(A17, KeyData!A:C,1,FALSE)</f>
        <v>#N/A</v>
      </c>
      <c r="P17" s="451"/>
    </row>
    <row r="18" spans="1:16">
      <c r="A18" s="451" t="str">
        <f t="shared" si="0"/>
        <v>122133000_210</v>
      </c>
      <c r="B18" s="1014" t="s">
        <v>1157</v>
      </c>
      <c r="C18" s="810" t="s">
        <v>1158</v>
      </c>
      <c r="D18" s="808" t="s">
        <v>1150</v>
      </c>
      <c r="E18" s="808" t="s">
        <v>1151</v>
      </c>
      <c r="F18" s="612"/>
      <c r="G18" s="612">
        <v>-2308253.7059999998</v>
      </c>
      <c r="H18" s="612">
        <v>-1154126.8529999999</v>
      </c>
      <c r="I18" s="612">
        <v>-2308253.7000000002</v>
      </c>
      <c r="J18" s="612">
        <v>-2308253.7059999998</v>
      </c>
      <c r="K18" s="612">
        <v>-2308253.7059999998</v>
      </c>
      <c r="L18" s="613">
        <v>-2308253.7119999998</v>
      </c>
      <c r="M18" s="451"/>
      <c r="N18" t="e">
        <f>VLOOKUP(A18, 'P&amp;L'!A:B,1,FALSE)</f>
        <v>#N/A</v>
      </c>
      <c r="O18" t="e">
        <f>VLOOKUP(A18, KeyData!A:C,1,FALSE)</f>
        <v>#N/A</v>
      </c>
      <c r="P18" s="451"/>
    </row>
    <row r="19" spans="1:16">
      <c r="A19" s="451" t="str">
        <f t="shared" si="0"/>
        <v>122133000_260</v>
      </c>
      <c r="B19" s="1014" t="s">
        <v>1157</v>
      </c>
      <c r="C19" s="810" t="s">
        <v>1158</v>
      </c>
      <c r="D19" s="808" t="s">
        <v>1155</v>
      </c>
      <c r="E19" s="808" t="s">
        <v>1148</v>
      </c>
      <c r="F19" s="612"/>
      <c r="G19" s="612">
        <v>0</v>
      </c>
      <c r="H19" s="612">
        <v>0</v>
      </c>
      <c r="I19" s="612"/>
      <c r="J19" s="612">
        <v>0</v>
      </c>
      <c r="K19" s="612">
        <v>0</v>
      </c>
      <c r="L19" s="613"/>
      <c r="M19" s="451"/>
      <c r="N19" t="e">
        <f>VLOOKUP(A19, 'P&amp;L'!A:B,1,FALSE)</f>
        <v>#N/A</v>
      </c>
      <c r="O19" t="e">
        <f>VLOOKUP(A19, KeyData!A:C,1,FALSE)</f>
        <v>#N/A</v>
      </c>
      <c r="P19" s="451"/>
    </row>
    <row r="20" spans="1:16">
      <c r="A20" s="451" t="str">
        <f t="shared" si="0"/>
        <v>122133000_Result</v>
      </c>
      <c r="B20" s="1014" t="s">
        <v>1157</v>
      </c>
      <c r="C20" s="810" t="s">
        <v>1158</v>
      </c>
      <c r="D20" s="842" t="s">
        <v>1156</v>
      </c>
      <c r="E20" s="840"/>
      <c r="F20" s="836"/>
      <c r="G20" s="836">
        <v>5193570.8370000003</v>
      </c>
      <c r="H20" s="836">
        <v>4039443.9840000002</v>
      </c>
      <c r="I20" s="836">
        <v>14426585.664999999</v>
      </c>
      <c r="J20" s="836">
        <v>2885317.1310000001</v>
      </c>
      <c r="K20" s="836">
        <v>2885317.1310000001</v>
      </c>
      <c r="L20" s="838">
        <v>577063.41899999999</v>
      </c>
      <c r="M20" s="451"/>
      <c r="N20" t="e">
        <f>VLOOKUP(A20, 'P&amp;L'!A:B,1,FALSE)</f>
        <v>#N/A</v>
      </c>
      <c r="O20" t="e">
        <f>VLOOKUP(A20, KeyData!A:C,1,FALSE)</f>
        <v>#N/A</v>
      </c>
      <c r="P20" s="451"/>
    </row>
    <row r="21" spans="1:16">
      <c r="A21" s="451" t="str">
        <f t="shared" si="0"/>
        <v>122133100_100</v>
      </c>
      <c r="B21" s="1015" t="s">
        <v>1159</v>
      </c>
      <c r="C21" s="811" t="s">
        <v>1160</v>
      </c>
      <c r="D21" s="808" t="s">
        <v>1137</v>
      </c>
      <c r="E21" s="808" t="s">
        <v>1138</v>
      </c>
      <c r="F21" s="612"/>
      <c r="G21" s="612">
        <v>23082537.056000002</v>
      </c>
      <c r="H21" s="612">
        <v>11541268.528000001</v>
      </c>
      <c r="I21" s="612">
        <v>23082537.056000002</v>
      </c>
      <c r="J21" s="612">
        <v>11541268.528000001</v>
      </c>
      <c r="K21" s="612">
        <v>11541268.528000001</v>
      </c>
      <c r="L21" s="613">
        <v>11541268.528000001</v>
      </c>
      <c r="M21" s="451"/>
      <c r="N21" t="e">
        <f>VLOOKUP(A21, 'P&amp;L'!A:B,1,FALSE)</f>
        <v>#N/A</v>
      </c>
      <c r="O21" t="e">
        <f>VLOOKUP(A21, KeyData!A:C,1,FALSE)</f>
        <v>#N/A</v>
      </c>
      <c r="P21" s="451"/>
    </row>
    <row r="22" spans="1:16">
      <c r="A22" s="451" t="str">
        <f t="shared" si="0"/>
        <v>122133100_135</v>
      </c>
      <c r="B22" s="1015" t="s">
        <v>1159</v>
      </c>
      <c r="C22" s="811" t="s">
        <v>1160</v>
      </c>
      <c r="D22" s="808" t="s">
        <v>1143</v>
      </c>
      <c r="E22" s="808" t="s">
        <v>1144</v>
      </c>
      <c r="F22" s="612"/>
      <c r="G22" s="612">
        <v>-11541268.528000001</v>
      </c>
      <c r="H22" s="612"/>
      <c r="I22" s="612"/>
      <c r="J22" s="612"/>
      <c r="K22" s="612"/>
      <c r="L22" s="613"/>
      <c r="M22" s="451"/>
      <c r="N22" t="e">
        <f>VLOOKUP(A22, 'P&amp;L'!A:B,1,FALSE)</f>
        <v>#N/A</v>
      </c>
      <c r="O22" t="e">
        <f>VLOOKUP(A22, KeyData!A:C,1,FALSE)</f>
        <v>#N/A</v>
      </c>
      <c r="P22" s="451"/>
    </row>
    <row r="23" spans="1:16">
      <c r="A23" s="451" t="str">
        <f t="shared" si="0"/>
        <v>122133100_160</v>
      </c>
      <c r="B23" s="1015" t="s">
        <v>1159</v>
      </c>
      <c r="C23" s="811" t="s">
        <v>1160</v>
      </c>
      <c r="D23" s="808" t="s">
        <v>1147</v>
      </c>
      <c r="E23" s="808" t="s">
        <v>1148</v>
      </c>
      <c r="F23" s="612"/>
      <c r="G23" s="612">
        <v>0</v>
      </c>
      <c r="H23" s="612">
        <v>0</v>
      </c>
      <c r="I23" s="612"/>
      <c r="J23" s="612">
        <v>0</v>
      </c>
      <c r="K23" s="612">
        <v>0</v>
      </c>
      <c r="L23" s="613"/>
      <c r="M23" s="451"/>
      <c r="N23" t="e">
        <f>VLOOKUP(A23, 'P&amp;L'!A:B,1,FALSE)</f>
        <v>#N/A</v>
      </c>
      <c r="O23" t="e">
        <f>VLOOKUP(A23, KeyData!A:C,1,FALSE)</f>
        <v>#N/A</v>
      </c>
      <c r="P23" s="451"/>
    </row>
    <row r="24" spans="1:16">
      <c r="A24" s="451" t="str">
        <f t="shared" si="0"/>
        <v>122133100_200</v>
      </c>
      <c r="B24" s="1015" t="s">
        <v>1159</v>
      </c>
      <c r="C24" s="811" t="s">
        <v>1160</v>
      </c>
      <c r="D24" s="808" t="s">
        <v>1149</v>
      </c>
      <c r="E24" s="808" t="s">
        <v>1138</v>
      </c>
      <c r="F24" s="612"/>
      <c r="G24" s="612">
        <v>-4039443.9849999999</v>
      </c>
      <c r="H24" s="612">
        <v>-6347697.6909999996</v>
      </c>
      <c r="I24" s="612">
        <v>-6347697.6909999996</v>
      </c>
      <c r="J24" s="612">
        <v>-6347697.6909999996</v>
      </c>
      <c r="K24" s="612">
        <v>-6347697.6909999996</v>
      </c>
      <c r="L24" s="613">
        <v>-8655951.3969999999</v>
      </c>
      <c r="M24" s="451"/>
      <c r="N24" t="e">
        <f>VLOOKUP(A24, 'P&amp;L'!A:B,1,FALSE)</f>
        <v>#N/A</v>
      </c>
      <c r="O24" t="e">
        <f>VLOOKUP(A24, KeyData!A:C,1,FALSE)</f>
        <v>#N/A</v>
      </c>
      <c r="P24" s="451"/>
    </row>
    <row r="25" spans="1:16">
      <c r="A25" s="451" t="str">
        <f t="shared" si="0"/>
        <v>122133100_210</v>
      </c>
      <c r="B25" s="1015" t="s">
        <v>1159</v>
      </c>
      <c r="C25" s="811" t="s">
        <v>1160</v>
      </c>
      <c r="D25" s="808" t="s">
        <v>1150</v>
      </c>
      <c r="E25" s="808" t="s">
        <v>1151</v>
      </c>
      <c r="F25" s="612"/>
      <c r="G25" s="612">
        <v>-2308253.7059999998</v>
      </c>
      <c r="H25" s="612">
        <v>-1154126.8529999999</v>
      </c>
      <c r="I25" s="612">
        <v>-2308253.7000000002</v>
      </c>
      <c r="J25" s="612">
        <v>-2308253.7059999998</v>
      </c>
      <c r="K25" s="612">
        <v>-2308253.7059999998</v>
      </c>
      <c r="L25" s="613">
        <v>-2308253.7119999998</v>
      </c>
      <c r="M25" s="451"/>
      <c r="N25" t="e">
        <f>VLOOKUP(A25, 'P&amp;L'!A:B,1,FALSE)</f>
        <v>#N/A</v>
      </c>
      <c r="O25" t="e">
        <f>VLOOKUP(A25, KeyData!A:C,1,FALSE)</f>
        <v>#N/A</v>
      </c>
      <c r="P25" s="451"/>
    </row>
    <row r="26" spans="1:16">
      <c r="A26" s="451" t="str">
        <f t="shared" si="0"/>
        <v>122133100_260</v>
      </c>
      <c r="B26" s="1015" t="s">
        <v>1159</v>
      </c>
      <c r="C26" s="811" t="s">
        <v>1160</v>
      </c>
      <c r="D26" s="808" t="s">
        <v>1155</v>
      </c>
      <c r="E26" s="808" t="s">
        <v>1148</v>
      </c>
      <c r="F26" s="612"/>
      <c r="G26" s="612">
        <v>0</v>
      </c>
      <c r="H26" s="612">
        <v>0</v>
      </c>
      <c r="I26" s="612"/>
      <c r="J26" s="612">
        <v>0</v>
      </c>
      <c r="K26" s="612">
        <v>0</v>
      </c>
      <c r="L26" s="613"/>
      <c r="M26" s="451"/>
      <c r="N26" t="e">
        <f>VLOOKUP(A26, 'P&amp;L'!A:B,1,FALSE)</f>
        <v>#N/A</v>
      </c>
      <c r="O26" t="e">
        <f>VLOOKUP(A26, KeyData!A:C,1,FALSE)</f>
        <v>#N/A</v>
      </c>
      <c r="P26" s="451"/>
    </row>
    <row r="27" spans="1:16">
      <c r="A27" s="451" t="str">
        <f t="shared" si="0"/>
        <v>122133100_Result</v>
      </c>
      <c r="B27" s="1015" t="s">
        <v>1159</v>
      </c>
      <c r="C27" s="811" t="s">
        <v>1160</v>
      </c>
      <c r="D27" s="842" t="s">
        <v>1156</v>
      </c>
      <c r="E27" s="840"/>
      <c r="F27" s="836"/>
      <c r="G27" s="836">
        <v>5193570.8370000003</v>
      </c>
      <c r="H27" s="836">
        <v>4039443.9840000002</v>
      </c>
      <c r="I27" s="836">
        <v>14426585.664999999</v>
      </c>
      <c r="J27" s="836">
        <v>2885317.1310000001</v>
      </c>
      <c r="K27" s="836">
        <v>2885317.1310000001</v>
      </c>
      <c r="L27" s="838">
        <v>577063.41899999999</v>
      </c>
      <c r="M27" s="451"/>
      <c r="N27" t="e">
        <f>VLOOKUP(A27, 'P&amp;L'!A:B,1,FALSE)</f>
        <v>#N/A</v>
      </c>
      <c r="O27" t="e">
        <f>VLOOKUP(A27, KeyData!A:C,1,FALSE)</f>
        <v>#N/A</v>
      </c>
      <c r="P27" s="451"/>
    </row>
    <row r="28" spans="1:16">
      <c r="A28" s="451" t="str">
        <f t="shared" si="0"/>
        <v>122137000_110</v>
      </c>
      <c r="B28" s="1016" t="s">
        <v>1161</v>
      </c>
      <c r="C28" s="810" t="s">
        <v>1162</v>
      </c>
      <c r="D28" s="808" t="s">
        <v>1139</v>
      </c>
      <c r="E28" s="808" t="s">
        <v>1140</v>
      </c>
      <c r="F28" s="612"/>
      <c r="G28" s="612"/>
      <c r="H28" s="612">
        <v>0</v>
      </c>
      <c r="I28" s="612"/>
      <c r="J28" s="612"/>
      <c r="K28" s="612"/>
      <c r="L28" s="613"/>
      <c r="M28" s="451"/>
      <c r="N28" t="e">
        <f>VLOOKUP(A28, 'P&amp;L'!A:B,1,FALSE)</f>
        <v>#N/A</v>
      </c>
      <c r="O28" t="str">
        <f>VLOOKUP(A28, KeyData!A:C,1,FALSE)</f>
        <v>122137000_110</v>
      </c>
      <c r="P28" s="451"/>
    </row>
    <row r="29" spans="1:16">
      <c r="A29" s="451" t="str">
        <f t="shared" si="0"/>
        <v>122137000_160</v>
      </c>
      <c r="B29" s="1016" t="s">
        <v>1161</v>
      </c>
      <c r="C29" s="810" t="s">
        <v>1162</v>
      </c>
      <c r="D29" s="808" t="s">
        <v>1147</v>
      </c>
      <c r="E29" s="808" t="s">
        <v>1148</v>
      </c>
      <c r="F29" s="612"/>
      <c r="G29" s="612"/>
      <c r="H29" s="612">
        <v>0</v>
      </c>
      <c r="I29" s="612"/>
      <c r="J29" s="612"/>
      <c r="K29" s="612"/>
      <c r="L29" s="613"/>
      <c r="M29" s="451"/>
      <c r="N29" t="e">
        <f>VLOOKUP(A29, 'P&amp;L'!A:B,1,FALSE)</f>
        <v>#N/A</v>
      </c>
      <c r="O29" t="e">
        <f>VLOOKUP(A29, KeyData!A:C,1,FALSE)</f>
        <v>#N/A</v>
      </c>
      <c r="P29" s="451"/>
    </row>
    <row r="30" spans="1:16">
      <c r="A30" s="451" t="str">
        <f t="shared" si="0"/>
        <v>122137000_Result</v>
      </c>
      <c r="B30" s="1016" t="s">
        <v>1161</v>
      </c>
      <c r="C30" s="810" t="s">
        <v>1162</v>
      </c>
      <c r="D30" s="842" t="s">
        <v>1156</v>
      </c>
      <c r="E30" s="840"/>
      <c r="F30" s="836"/>
      <c r="G30" s="836"/>
      <c r="H30" s="836">
        <v>0</v>
      </c>
      <c r="I30" s="836"/>
      <c r="J30" s="836"/>
      <c r="K30" s="836"/>
      <c r="L30" s="838"/>
      <c r="M30" s="451"/>
      <c r="N30" t="e">
        <f>VLOOKUP(A30, 'P&amp;L'!A:B,1,FALSE)</f>
        <v>#N/A</v>
      </c>
      <c r="O30" t="e">
        <f>VLOOKUP(A30, KeyData!A:C,1,FALSE)</f>
        <v>#N/A</v>
      </c>
      <c r="P30" s="451"/>
    </row>
    <row r="31" spans="1:16">
      <c r="A31" s="451" t="str">
        <f t="shared" si="0"/>
        <v>122142000_100</v>
      </c>
      <c r="B31" s="1016" t="s">
        <v>1163</v>
      </c>
      <c r="C31" s="810" t="s">
        <v>1164</v>
      </c>
      <c r="D31" s="808" t="s">
        <v>1137</v>
      </c>
      <c r="E31" s="808" t="s">
        <v>1138</v>
      </c>
      <c r="F31" s="612"/>
      <c r="G31" s="612">
        <v>22251.233</v>
      </c>
      <c r="H31" s="612">
        <v>23382.769</v>
      </c>
      <c r="I31" s="612">
        <v>20428.7</v>
      </c>
      <c r="J31" s="612">
        <v>23382.769</v>
      </c>
      <c r="K31" s="612">
        <v>23382.769</v>
      </c>
      <c r="L31" s="613">
        <v>23382.769</v>
      </c>
      <c r="M31" s="451"/>
      <c r="N31" t="e">
        <f>VLOOKUP(A31, 'P&amp;L'!A:B,1,FALSE)</f>
        <v>#N/A</v>
      </c>
      <c r="O31" t="e">
        <f>VLOOKUP(A31, KeyData!A:C,1,FALSE)</f>
        <v>#N/A</v>
      </c>
      <c r="P31" s="451"/>
    </row>
    <row r="32" spans="1:16">
      <c r="A32" s="451" t="str">
        <f t="shared" si="0"/>
        <v>122142000_110</v>
      </c>
      <c r="B32" s="1016" t="s">
        <v>1163</v>
      </c>
      <c r="C32" s="810" t="s">
        <v>1164</v>
      </c>
      <c r="D32" s="808" t="s">
        <v>1139</v>
      </c>
      <c r="E32" s="808" t="s">
        <v>1140</v>
      </c>
      <c r="F32" s="612"/>
      <c r="G32" s="612">
        <v>6015.1980000000003</v>
      </c>
      <c r="H32" s="612">
        <v>2606</v>
      </c>
      <c r="I32" s="612"/>
      <c r="J32" s="612"/>
      <c r="K32" s="612"/>
      <c r="L32" s="613">
        <v>7916.9449999999997</v>
      </c>
      <c r="M32" s="451"/>
      <c r="N32" t="e">
        <f>VLOOKUP(A32, 'P&amp;L'!A:B,1,FALSE)</f>
        <v>#N/A</v>
      </c>
      <c r="O32" t="str">
        <f>VLOOKUP(A32, KeyData!A:C,1,FALSE)</f>
        <v>122142000_110</v>
      </c>
      <c r="P32" s="451"/>
    </row>
    <row r="33" spans="1:16">
      <c r="A33" s="451" t="str">
        <f t="shared" si="0"/>
        <v>122142000_120</v>
      </c>
      <c r="B33" s="1016" t="s">
        <v>1163</v>
      </c>
      <c r="C33" s="810" t="s">
        <v>1164</v>
      </c>
      <c r="D33" s="808" t="s">
        <v>1141</v>
      </c>
      <c r="E33" s="808" t="s">
        <v>1142</v>
      </c>
      <c r="F33" s="612"/>
      <c r="G33" s="612">
        <v>-351.38299999999998</v>
      </c>
      <c r="H33" s="612"/>
      <c r="I33" s="612"/>
      <c r="J33" s="612"/>
      <c r="K33" s="612"/>
      <c r="L33" s="613"/>
      <c r="M33" s="451"/>
      <c r="N33" t="e">
        <f>VLOOKUP(A33, 'P&amp;L'!A:B,1,FALSE)</f>
        <v>#N/A</v>
      </c>
      <c r="O33" t="e">
        <f>VLOOKUP(A33, KeyData!A:C,1,FALSE)</f>
        <v>#N/A</v>
      </c>
      <c r="P33" s="451"/>
    </row>
    <row r="34" spans="1:16">
      <c r="A34" s="451" t="str">
        <f t="shared" si="0"/>
        <v>122142000_148</v>
      </c>
      <c r="B34" s="1016" t="s">
        <v>1163</v>
      </c>
      <c r="C34" s="810" t="s">
        <v>1164</v>
      </c>
      <c r="D34" s="808" t="s">
        <v>1145</v>
      </c>
      <c r="E34" s="808" t="s">
        <v>1146</v>
      </c>
      <c r="F34" s="612"/>
      <c r="G34" s="612">
        <v>-1822.5329999999999</v>
      </c>
      <c r="H34" s="612"/>
      <c r="I34" s="612"/>
      <c r="J34" s="612"/>
      <c r="K34" s="612"/>
      <c r="L34" s="613"/>
      <c r="M34" s="451"/>
      <c r="N34" t="e">
        <f>VLOOKUP(A34, 'P&amp;L'!A:B,1,FALSE)</f>
        <v>#N/A</v>
      </c>
      <c r="O34" t="e">
        <f>VLOOKUP(A34, KeyData!A:C,1,FALSE)</f>
        <v>#N/A</v>
      </c>
      <c r="P34" s="451"/>
    </row>
    <row r="35" spans="1:16">
      <c r="A35" s="451" t="str">
        <f t="shared" si="0"/>
        <v>122142000_160</v>
      </c>
      <c r="B35" s="1016" t="s">
        <v>1163</v>
      </c>
      <c r="C35" s="810" t="s">
        <v>1164</v>
      </c>
      <c r="D35" s="808" t="s">
        <v>1147</v>
      </c>
      <c r="E35" s="808" t="s">
        <v>1148</v>
      </c>
      <c r="F35" s="612"/>
      <c r="G35" s="612">
        <v>0</v>
      </c>
      <c r="H35" s="612">
        <v>0</v>
      </c>
      <c r="I35" s="612"/>
      <c r="J35" s="612">
        <v>0</v>
      </c>
      <c r="K35" s="612">
        <v>0</v>
      </c>
      <c r="L35" s="613"/>
      <c r="M35" s="451"/>
      <c r="N35" t="e">
        <f>VLOOKUP(A35, 'P&amp;L'!A:B,1,FALSE)</f>
        <v>#N/A</v>
      </c>
      <c r="O35" t="e">
        <f>VLOOKUP(A35, KeyData!A:C,1,FALSE)</f>
        <v>#N/A</v>
      </c>
      <c r="P35" s="451"/>
    </row>
    <row r="36" spans="1:16">
      <c r="A36" s="451" t="str">
        <f t="shared" si="0"/>
        <v>122142000_200</v>
      </c>
      <c r="B36" s="1016" t="s">
        <v>1163</v>
      </c>
      <c r="C36" s="810" t="s">
        <v>1164</v>
      </c>
      <c r="D36" s="808" t="s">
        <v>1149</v>
      </c>
      <c r="E36" s="808" t="s">
        <v>1138</v>
      </c>
      <c r="F36" s="612"/>
      <c r="G36" s="612">
        <v>-11618.939</v>
      </c>
      <c r="H36" s="612">
        <v>-13856.572</v>
      </c>
      <c r="I36" s="612">
        <v>-15138.361000000001</v>
      </c>
      <c r="J36" s="612">
        <v>-13856.572</v>
      </c>
      <c r="K36" s="612">
        <v>-13856.572</v>
      </c>
      <c r="L36" s="613">
        <v>-20499.845000000001</v>
      </c>
      <c r="M36" s="451"/>
      <c r="N36" t="e">
        <f>VLOOKUP(A36, 'P&amp;L'!A:B,1,FALSE)</f>
        <v>#N/A</v>
      </c>
      <c r="O36" t="e">
        <f>VLOOKUP(A36, KeyData!A:C,1,FALSE)</f>
        <v>#N/A</v>
      </c>
      <c r="P36" s="451"/>
    </row>
    <row r="37" spans="1:16">
      <c r="A37" s="451" t="str">
        <f t="shared" si="0"/>
        <v>122142000_210</v>
      </c>
      <c r="B37" s="1016" t="s">
        <v>1163</v>
      </c>
      <c r="C37" s="810" t="s">
        <v>1164</v>
      </c>
      <c r="D37" s="808" t="s">
        <v>1150</v>
      </c>
      <c r="E37" s="808" t="s">
        <v>1151</v>
      </c>
      <c r="F37" s="612"/>
      <c r="G37" s="612">
        <v>-6017.6210000000001</v>
      </c>
      <c r="H37" s="612">
        <v>-3044.386</v>
      </c>
      <c r="I37" s="612">
        <v>-6190.1170000000002</v>
      </c>
      <c r="J37" s="612">
        <v>-5629.8289999999997</v>
      </c>
      <c r="K37" s="612">
        <v>-6643.2730000000001</v>
      </c>
      <c r="L37" s="613">
        <v>-5546.3850000000002</v>
      </c>
      <c r="M37" s="451"/>
      <c r="N37" t="e">
        <f>VLOOKUP(A37, 'P&amp;L'!A:B,1,FALSE)</f>
        <v>#N/A</v>
      </c>
      <c r="O37" t="e">
        <f>VLOOKUP(A37, KeyData!A:C,1,FALSE)</f>
        <v>#N/A</v>
      </c>
      <c r="P37" s="451"/>
    </row>
    <row r="38" spans="1:16">
      <c r="A38" s="451" t="str">
        <f t="shared" si="0"/>
        <v>122142000_220</v>
      </c>
      <c r="B38" s="1016" t="s">
        <v>1163</v>
      </c>
      <c r="C38" s="810" t="s">
        <v>1164</v>
      </c>
      <c r="D38" s="808" t="s">
        <v>1152</v>
      </c>
      <c r="E38" s="808" t="s">
        <v>1153</v>
      </c>
      <c r="F38" s="612"/>
      <c r="G38" s="612">
        <v>351.38299999999998</v>
      </c>
      <c r="H38" s="612"/>
      <c r="I38" s="612"/>
      <c r="J38" s="612"/>
      <c r="K38" s="612"/>
      <c r="L38" s="613"/>
      <c r="M38" s="451"/>
      <c r="N38" t="e">
        <f>VLOOKUP(A38, 'P&amp;L'!A:B,1,FALSE)</f>
        <v>#N/A</v>
      </c>
      <c r="O38" t="e">
        <f>VLOOKUP(A38, KeyData!A:C,1,FALSE)</f>
        <v>#N/A</v>
      </c>
      <c r="P38" s="451"/>
    </row>
    <row r="39" spans="1:16">
      <c r="A39" s="451" t="str">
        <f t="shared" si="0"/>
        <v>122142000_248</v>
      </c>
      <c r="B39" s="1016" t="s">
        <v>1163</v>
      </c>
      <c r="C39" s="810" t="s">
        <v>1164</v>
      </c>
      <c r="D39" s="808" t="s">
        <v>1154</v>
      </c>
      <c r="E39" s="808" t="s">
        <v>1146</v>
      </c>
      <c r="F39" s="612"/>
      <c r="G39" s="612">
        <v>1822.816</v>
      </c>
      <c r="H39" s="612"/>
      <c r="I39" s="612"/>
      <c r="J39" s="612"/>
      <c r="K39" s="612"/>
      <c r="L39" s="613"/>
      <c r="M39" s="451"/>
      <c r="N39" t="e">
        <f>VLOOKUP(A39, 'P&amp;L'!A:B,1,FALSE)</f>
        <v>#N/A</v>
      </c>
      <c r="O39" t="e">
        <f>VLOOKUP(A39, KeyData!A:C,1,FALSE)</f>
        <v>#N/A</v>
      </c>
      <c r="P39" s="451"/>
    </row>
    <row r="40" spans="1:16">
      <c r="A40" s="451" t="str">
        <f t="shared" si="0"/>
        <v>122142000_260</v>
      </c>
      <c r="B40" s="1016" t="s">
        <v>1163</v>
      </c>
      <c r="C40" s="810" t="s">
        <v>1164</v>
      </c>
      <c r="D40" s="808" t="s">
        <v>1155</v>
      </c>
      <c r="E40" s="808" t="s">
        <v>1148</v>
      </c>
      <c r="F40" s="612"/>
      <c r="G40" s="612">
        <v>0</v>
      </c>
      <c r="H40" s="612">
        <v>0</v>
      </c>
      <c r="I40" s="612"/>
      <c r="J40" s="612">
        <v>0</v>
      </c>
      <c r="K40" s="612">
        <v>0</v>
      </c>
      <c r="L40" s="613"/>
      <c r="M40" s="451"/>
      <c r="N40" t="e">
        <f>VLOOKUP(A40, 'P&amp;L'!A:B,1,FALSE)</f>
        <v>#N/A</v>
      </c>
      <c r="O40" t="e">
        <f>VLOOKUP(A40, KeyData!A:C,1,FALSE)</f>
        <v>#N/A</v>
      </c>
      <c r="P40" s="451"/>
    </row>
    <row r="41" spans="1:16">
      <c r="A41" s="451" t="str">
        <f t="shared" si="0"/>
        <v>122142000_Result</v>
      </c>
      <c r="B41" s="1016" t="s">
        <v>1163</v>
      </c>
      <c r="C41" s="810" t="s">
        <v>1164</v>
      </c>
      <c r="D41" s="842" t="s">
        <v>1156</v>
      </c>
      <c r="E41" s="840"/>
      <c r="F41" s="836"/>
      <c r="G41" s="836">
        <v>10630.154</v>
      </c>
      <c r="H41" s="836">
        <v>9087.8109999999997</v>
      </c>
      <c r="I41" s="836">
        <v>-899.77800000000002</v>
      </c>
      <c r="J41" s="836">
        <v>3896.3679999999999</v>
      </c>
      <c r="K41" s="836">
        <v>2882.924</v>
      </c>
      <c r="L41" s="838">
        <v>5253.4840000000004</v>
      </c>
      <c r="M41" s="451"/>
      <c r="N41" t="e">
        <f>VLOOKUP(A41, 'P&amp;L'!A:B,1,FALSE)</f>
        <v>#N/A</v>
      </c>
      <c r="O41" t="e">
        <f>VLOOKUP(A41, KeyData!A:C,1,FALSE)</f>
        <v>#N/A</v>
      </c>
      <c r="P41" s="451"/>
    </row>
    <row r="42" spans="1:16">
      <c r="A42" s="451" t="str">
        <f t="shared" si="0"/>
        <v>122600000_100</v>
      </c>
      <c r="B42" s="1013" t="s">
        <v>1165</v>
      </c>
      <c r="C42" s="809" t="s">
        <v>1166</v>
      </c>
      <c r="D42" s="808" t="s">
        <v>1137</v>
      </c>
      <c r="E42" s="808" t="s">
        <v>1138</v>
      </c>
      <c r="F42" s="612"/>
      <c r="G42" s="612">
        <v>46380820.277999997</v>
      </c>
      <c r="H42" s="612">
        <v>45632484.311999999</v>
      </c>
      <c r="I42" s="612">
        <v>48367054.725000001</v>
      </c>
      <c r="J42" s="612">
        <v>45632484.311999999</v>
      </c>
      <c r="K42" s="612">
        <v>45632484.311999999</v>
      </c>
      <c r="L42" s="613">
        <v>49280429.979000002</v>
      </c>
      <c r="M42" s="451"/>
      <c r="N42" t="e">
        <f>VLOOKUP(A42, 'P&amp;L'!A:B,1,FALSE)</f>
        <v>#N/A</v>
      </c>
      <c r="O42" t="e">
        <f>VLOOKUP(A42, KeyData!A:C,1,FALSE)</f>
        <v>#N/A</v>
      </c>
      <c r="P42" s="451"/>
    </row>
    <row r="43" spans="1:16">
      <c r="A43" s="451" t="str">
        <f t="shared" si="0"/>
        <v>122600000_110</v>
      </c>
      <c r="B43" s="1013" t="s">
        <v>1165</v>
      </c>
      <c r="C43" s="809" t="s">
        <v>1166</v>
      </c>
      <c r="D43" s="808" t="s">
        <v>1139</v>
      </c>
      <c r="E43" s="808" t="s">
        <v>1140</v>
      </c>
      <c r="F43" s="612"/>
      <c r="G43" s="612">
        <v>1531163.2919999999</v>
      </c>
      <c r="H43" s="612">
        <v>826194.37699999998</v>
      </c>
      <c r="I43" s="612">
        <v>6536792.3779999996</v>
      </c>
      <c r="J43" s="612">
        <v>3539647.932</v>
      </c>
      <c r="K43" s="612">
        <v>3102176.3679999998</v>
      </c>
      <c r="L43" s="613">
        <v>3340162.469</v>
      </c>
      <c r="M43" s="451"/>
      <c r="N43" t="e">
        <f>VLOOKUP(A43, 'P&amp;L'!A:B,1,FALSE)</f>
        <v>#N/A</v>
      </c>
      <c r="O43" t="e">
        <f>VLOOKUP(A43, KeyData!A:C,1,FALSE)</f>
        <v>#N/A</v>
      </c>
      <c r="P43" s="451"/>
    </row>
    <row r="44" spans="1:16">
      <c r="A44" s="451" t="str">
        <f t="shared" si="0"/>
        <v>122600000_120</v>
      </c>
      <c r="B44" s="1013" t="s">
        <v>1165</v>
      </c>
      <c r="C44" s="809" t="s">
        <v>1166</v>
      </c>
      <c r="D44" s="808" t="s">
        <v>1141</v>
      </c>
      <c r="E44" s="808" t="s">
        <v>1142</v>
      </c>
      <c r="F44" s="612"/>
      <c r="G44" s="612">
        <v>-211041.45300000001</v>
      </c>
      <c r="H44" s="612"/>
      <c r="I44" s="612"/>
      <c r="J44" s="612"/>
      <c r="K44" s="612"/>
      <c r="L44" s="613"/>
      <c r="M44" s="451"/>
      <c r="N44" t="e">
        <f>VLOOKUP(A44, 'P&amp;L'!A:B,1,FALSE)</f>
        <v>#N/A</v>
      </c>
      <c r="O44" t="e">
        <f>VLOOKUP(A44, KeyData!A:C,1,FALSE)</f>
        <v>#N/A</v>
      </c>
      <c r="P44" s="451"/>
    </row>
    <row r="45" spans="1:16">
      <c r="A45" s="451" t="str">
        <f t="shared" si="0"/>
        <v>122600000_122</v>
      </c>
      <c r="B45" s="1013" t="s">
        <v>1165</v>
      </c>
      <c r="C45" s="809" t="s">
        <v>1166</v>
      </c>
      <c r="D45" s="808" t="s">
        <v>1167</v>
      </c>
      <c r="E45" s="808" t="s">
        <v>1168</v>
      </c>
      <c r="F45" s="612"/>
      <c r="G45" s="612">
        <v>-418949.15100000001</v>
      </c>
      <c r="H45" s="612">
        <v>-650869.62</v>
      </c>
      <c r="I45" s="612"/>
      <c r="J45" s="612">
        <v>-460919.62</v>
      </c>
      <c r="K45" s="612">
        <v>-650869.62</v>
      </c>
      <c r="L45" s="613"/>
      <c r="M45" s="451"/>
      <c r="N45" t="e">
        <f>VLOOKUP(A45, 'P&amp;L'!A:B,1,FALSE)</f>
        <v>#N/A</v>
      </c>
      <c r="O45" t="e">
        <f>VLOOKUP(A45, KeyData!A:C,1,FALSE)</f>
        <v>#N/A</v>
      </c>
      <c r="P45" s="451"/>
    </row>
    <row r="46" spans="1:16">
      <c r="A46" s="451" t="str">
        <f t="shared" si="0"/>
        <v>122600000_130</v>
      </c>
      <c r="B46" s="1013" t="s">
        <v>1165</v>
      </c>
      <c r="C46" s="809" t="s">
        <v>1166</v>
      </c>
      <c r="D46" s="808" t="s">
        <v>1169</v>
      </c>
      <c r="E46" s="808" t="s">
        <v>1170</v>
      </c>
      <c r="F46" s="612"/>
      <c r="G46" s="612"/>
      <c r="H46" s="612">
        <v>0</v>
      </c>
      <c r="I46" s="612"/>
      <c r="J46" s="612"/>
      <c r="K46" s="612"/>
      <c r="L46" s="613"/>
      <c r="M46" s="451"/>
      <c r="N46" t="e">
        <f>VLOOKUP(A46, 'P&amp;L'!A:B,1,FALSE)</f>
        <v>#N/A</v>
      </c>
      <c r="O46" t="e">
        <f>VLOOKUP(A46, KeyData!A:C,1,FALSE)</f>
        <v>#N/A</v>
      </c>
      <c r="P46" s="451"/>
    </row>
    <row r="47" spans="1:16">
      <c r="A47" s="451" t="str">
        <f t="shared" si="0"/>
        <v>122600000_135</v>
      </c>
      <c r="B47" s="1013" t="s">
        <v>1165</v>
      </c>
      <c r="C47" s="809" t="s">
        <v>1166</v>
      </c>
      <c r="D47" s="808" t="s">
        <v>1143</v>
      </c>
      <c r="E47" s="808" t="s">
        <v>1144</v>
      </c>
      <c r="F47" s="612"/>
      <c r="G47" s="612">
        <v>-866854.60800000001</v>
      </c>
      <c r="H47" s="612">
        <v>1743980.8130000001</v>
      </c>
      <c r="I47" s="612"/>
      <c r="J47" s="612">
        <v>1749679.622</v>
      </c>
      <c r="K47" s="612">
        <v>1749679.622</v>
      </c>
      <c r="L47" s="613"/>
      <c r="M47" s="451"/>
      <c r="N47" t="e">
        <f>VLOOKUP(A47, 'P&amp;L'!A:B,1,FALSE)</f>
        <v>#N/A</v>
      </c>
      <c r="O47" t="e">
        <f>VLOOKUP(A47, KeyData!A:C,1,FALSE)</f>
        <v>#N/A</v>
      </c>
      <c r="P47" s="451"/>
    </row>
    <row r="48" spans="1:16">
      <c r="A48" s="451" t="str">
        <f t="shared" si="0"/>
        <v>122600000_148</v>
      </c>
      <c r="B48" s="1013" t="s">
        <v>1165</v>
      </c>
      <c r="C48" s="809" t="s">
        <v>1166</v>
      </c>
      <c r="D48" s="808" t="s">
        <v>1145</v>
      </c>
      <c r="E48" s="808" t="s">
        <v>1146</v>
      </c>
      <c r="F48" s="612"/>
      <c r="G48" s="612">
        <v>-4.8000000000000001E-2</v>
      </c>
      <c r="H48" s="612"/>
      <c r="I48" s="612"/>
      <c r="J48" s="612"/>
      <c r="K48" s="612"/>
      <c r="L48" s="613"/>
      <c r="M48" s="451"/>
      <c r="N48" t="e">
        <f>VLOOKUP(A48, 'P&amp;L'!A:B,1,FALSE)</f>
        <v>#N/A</v>
      </c>
      <c r="O48" t="e">
        <f>VLOOKUP(A48, KeyData!A:C,1,FALSE)</f>
        <v>#N/A</v>
      </c>
      <c r="P48" s="451"/>
    </row>
    <row r="49" spans="1:16">
      <c r="A49" s="451" t="str">
        <f t="shared" si="0"/>
        <v>122600000_160</v>
      </c>
      <c r="B49" s="1013" t="s">
        <v>1165</v>
      </c>
      <c r="C49" s="809" t="s">
        <v>1166</v>
      </c>
      <c r="D49" s="808" t="s">
        <v>1147</v>
      </c>
      <c r="E49" s="808" t="s">
        <v>1148</v>
      </c>
      <c r="F49" s="612"/>
      <c r="G49" s="612">
        <v>0</v>
      </c>
      <c r="H49" s="612">
        <v>0</v>
      </c>
      <c r="I49" s="612"/>
      <c r="J49" s="612">
        <v>0</v>
      </c>
      <c r="K49" s="612">
        <v>0</v>
      </c>
      <c r="L49" s="613"/>
      <c r="M49" s="451"/>
      <c r="N49" t="e">
        <f>VLOOKUP(A49, 'P&amp;L'!A:B,1,FALSE)</f>
        <v>#N/A</v>
      </c>
      <c r="O49" t="e">
        <f>VLOOKUP(A49, KeyData!A:C,1,FALSE)</f>
        <v>#N/A</v>
      </c>
      <c r="P49" s="451"/>
    </row>
    <row r="50" spans="1:16">
      <c r="A50" s="451" t="str">
        <f t="shared" si="0"/>
        <v>122600000_200</v>
      </c>
      <c r="B50" s="1013" t="s">
        <v>1165</v>
      </c>
      <c r="C50" s="809" t="s">
        <v>1166</v>
      </c>
      <c r="D50" s="808" t="s">
        <v>1149</v>
      </c>
      <c r="E50" s="808" t="s">
        <v>1138</v>
      </c>
      <c r="F50" s="612"/>
      <c r="G50" s="612">
        <v>-19526795.991999999</v>
      </c>
      <c r="H50" s="612">
        <v>-22888812.250999998</v>
      </c>
      <c r="I50" s="612">
        <v>-24599887.993999999</v>
      </c>
      <c r="J50" s="612">
        <v>-22888812.250999998</v>
      </c>
      <c r="K50" s="612">
        <v>-22888812.250999998</v>
      </c>
      <c r="L50" s="613">
        <v>-28441069.065000001</v>
      </c>
      <c r="M50" s="451"/>
      <c r="N50" t="e">
        <f>VLOOKUP(A50, 'P&amp;L'!A:B,1,FALSE)</f>
        <v>#N/A</v>
      </c>
      <c r="O50" t="e">
        <f>VLOOKUP(A50, KeyData!A:C,1,FALSE)</f>
        <v>#N/A</v>
      </c>
      <c r="P50" s="451"/>
    </row>
    <row r="51" spans="1:16">
      <c r="A51" s="451" t="str">
        <f t="shared" si="0"/>
        <v>122600000_210</v>
      </c>
      <c r="B51" s="1013" t="s">
        <v>1165</v>
      </c>
      <c r="C51" s="809" t="s">
        <v>1166</v>
      </c>
      <c r="D51" s="808" t="s">
        <v>1150</v>
      </c>
      <c r="E51" s="808" t="s">
        <v>1151</v>
      </c>
      <c r="F51" s="612"/>
      <c r="G51" s="612">
        <v>-4700328.6160000004</v>
      </c>
      <c r="H51" s="612">
        <v>-2218886.2620000001</v>
      </c>
      <c r="I51" s="612">
        <v>-4873695.6210000003</v>
      </c>
      <c r="J51" s="612">
        <v>-4413452.2120000003</v>
      </c>
      <c r="K51" s="612">
        <v>-4381132.9550000001</v>
      </c>
      <c r="L51" s="613">
        <v>-4382370.7319999998</v>
      </c>
      <c r="M51" s="451"/>
      <c r="N51" t="e">
        <f>VLOOKUP(A51, 'P&amp;L'!A:B,1,FALSE)</f>
        <v>#N/A</v>
      </c>
      <c r="O51" t="e">
        <f>VLOOKUP(A51, KeyData!A:C,1,FALSE)</f>
        <v>#N/A</v>
      </c>
      <c r="P51" s="451"/>
    </row>
    <row r="52" spans="1:16">
      <c r="A52" s="451" t="str">
        <f t="shared" si="0"/>
        <v>122600000_211</v>
      </c>
      <c r="B52" s="1013" t="s">
        <v>1165</v>
      </c>
      <c r="C52" s="809" t="s">
        <v>1166</v>
      </c>
      <c r="D52" s="808" t="s">
        <v>1171</v>
      </c>
      <c r="E52" s="808" t="s">
        <v>1172</v>
      </c>
      <c r="F52" s="612"/>
      <c r="G52" s="612">
        <v>-540635.20299999998</v>
      </c>
      <c r="H52" s="612">
        <v>-192067.70300000001</v>
      </c>
      <c r="I52" s="612">
        <v>-379978.53399999999</v>
      </c>
      <c r="J52" s="612">
        <v>-312410.88500000001</v>
      </c>
      <c r="K52" s="612">
        <v>-309312.245</v>
      </c>
      <c r="L52" s="613">
        <v>-153228.89799999999</v>
      </c>
      <c r="M52" s="451"/>
      <c r="N52" t="e">
        <f>VLOOKUP(A52, 'P&amp;L'!A:B,1,FALSE)</f>
        <v>#N/A</v>
      </c>
      <c r="O52" t="e">
        <f>VLOOKUP(A52, KeyData!A:C,1,FALSE)</f>
        <v>#N/A</v>
      </c>
      <c r="P52" s="451"/>
    </row>
    <row r="53" spans="1:16">
      <c r="A53" s="451" t="str">
        <f t="shared" si="0"/>
        <v>122600000_220</v>
      </c>
      <c r="B53" s="1013" t="s">
        <v>1165</v>
      </c>
      <c r="C53" s="809" t="s">
        <v>1166</v>
      </c>
      <c r="D53" s="808" t="s">
        <v>1152</v>
      </c>
      <c r="E53" s="808" t="s">
        <v>1153</v>
      </c>
      <c r="F53" s="612"/>
      <c r="G53" s="612">
        <v>179236.95</v>
      </c>
      <c r="H53" s="612"/>
      <c r="I53" s="612"/>
      <c r="J53" s="612"/>
      <c r="K53" s="612"/>
      <c r="L53" s="613"/>
      <c r="M53" s="451"/>
      <c r="N53" t="e">
        <f>VLOOKUP(A53, 'P&amp;L'!A:B,1,FALSE)</f>
        <v>#N/A</v>
      </c>
      <c r="O53" t="e">
        <f>VLOOKUP(A53, KeyData!A:C,1,FALSE)</f>
        <v>#N/A</v>
      </c>
      <c r="P53" s="451"/>
    </row>
    <row r="54" spans="1:16">
      <c r="A54" s="451" t="str">
        <f t="shared" si="0"/>
        <v>122600000_222</v>
      </c>
      <c r="B54" s="1013" t="s">
        <v>1165</v>
      </c>
      <c r="C54" s="809" t="s">
        <v>1166</v>
      </c>
      <c r="D54" s="808" t="s">
        <v>1173</v>
      </c>
      <c r="E54" s="808" t="s">
        <v>1174</v>
      </c>
      <c r="F54" s="612"/>
      <c r="G54" s="612">
        <v>415414.93199999997</v>
      </c>
      <c r="H54" s="612">
        <v>650869.62</v>
      </c>
      <c r="I54" s="612"/>
      <c r="J54" s="612">
        <v>460919.62</v>
      </c>
      <c r="K54" s="612">
        <v>650869.62</v>
      </c>
      <c r="L54" s="613"/>
      <c r="M54" s="451"/>
      <c r="N54" t="e">
        <f>VLOOKUP(A54, 'P&amp;L'!A:B,1,FALSE)</f>
        <v>#N/A</v>
      </c>
      <c r="O54" t="e">
        <f>VLOOKUP(A54, KeyData!A:C,1,FALSE)</f>
        <v>#N/A</v>
      </c>
      <c r="P54" s="451"/>
    </row>
    <row r="55" spans="1:16">
      <c r="A55" s="451" t="str">
        <f t="shared" si="0"/>
        <v>122600000_235</v>
      </c>
      <c r="B55" s="1013" t="s">
        <v>1165</v>
      </c>
      <c r="C55" s="809" t="s">
        <v>1166</v>
      </c>
      <c r="D55" s="808" t="s">
        <v>1175</v>
      </c>
      <c r="E55" s="808" t="s">
        <v>1176</v>
      </c>
      <c r="F55" s="612"/>
      <c r="G55" s="612">
        <v>952629.33900000004</v>
      </c>
      <c r="H55" s="612">
        <v>-1526450.2120000001</v>
      </c>
      <c r="I55" s="612"/>
      <c r="J55" s="612">
        <v>-1532149.0209999999</v>
      </c>
      <c r="K55" s="612">
        <v>-1532149.0209999999</v>
      </c>
      <c r="L55" s="613"/>
      <c r="M55" s="451"/>
      <c r="N55" t="e">
        <f>VLOOKUP(A55, 'P&amp;L'!A:B,1,FALSE)</f>
        <v>#N/A</v>
      </c>
      <c r="O55" t="e">
        <f>VLOOKUP(A55, KeyData!A:C,1,FALSE)</f>
        <v>#N/A</v>
      </c>
      <c r="P55" s="451"/>
    </row>
    <row r="56" spans="1:16">
      <c r="A56" s="451" t="str">
        <f t="shared" si="0"/>
        <v>122600000_260</v>
      </c>
      <c r="B56" s="1013" t="s">
        <v>1165</v>
      </c>
      <c r="C56" s="809" t="s">
        <v>1166</v>
      </c>
      <c r="D56" s="808" t="s">
        <v>1155</v>
      </c>
      <c r="E56" s="808" t="s">
        <v>1148</v>
      </c>
      <c r="F56" s="612"/>
      <c r="G56" s="612">
        <v>0</v>
      </c>
      <c r="H56" s="612">
        <v>0</v>
      </c>
      <c r="I56" s="612"/>
      <c r="J56" s="612">
        <v>0</v>
      </c>
      <c r="K56" s="612">
        <v>0</v>
      </c>
      <c r="L56" s="613"/>
      <c r="M56" s="451"/>
      <c r="N56" t="e">
        <f>VLOOKUP(A56, 'P&amp;L'!A:B,1,FALSE)</f>
        <v>#N/A</v>
      </c>
      <c r="O56" t="e">
        <f>VLOOKUP(A56, KeyData!A:C,1,FALSE)</f>
        <v>#N/A</v>
      </c>
      <c r="P56" s="451"/>
    </row>
    <row r="57" spans="1:16">
      <c r="A57" s="451" t="str">
        <f t="shared" si="0"/>
        <v>122600000_Result</v>
      </c>
      <c r="B57" s="1013" t="s">
        <v>1165</v>
      </c>
      <c r="C57" s="809" t="s">
        <v>1166</v>
      </c>
      <c r="D57" s="842" t="s">
        <v>1156</v>
      </c>
      <c r="E57" s="840"/>
      <c r="F57" s="836"/>
      <c r="G57" s="836">
        <v>23194659.719999999</v>
      </c>
      <c r="H57" s="836">
        <v>21376443.074000001</v>
      </c>
      <c r="I57" s="836">
        <v>25050284.954</v>
      </c>
      <c r="J57" s="836">
        <v>21774987.497000001</v>
      </c>
      <c r="K57" s="836">
        <v>21372933.829999998</v>
      </c>
      <c r="L57" s="838">
        <v>19643923.752999999</v>
      </c>
      <c r="M57" s="451"/>
      <c r="N57" t="e">
        <f>VLOOKUP(A57, 'P&amp;L'!A:B,1,FALSE)</f>
        <v>#N/A</v>
      </c>
      <c r="O57" t="e">
        <f>VLOOKUP(A57, KeyData!A:C,1,FALSE)</f>
        <v>#N/A</v>
      </c>
      <c r="P57" s="451"/>
    </row>
    <row r="58" spans="1:16">
      <c r="A58" s="451" t="str">
        <f t="shared" si="0"/>
        <v>122612000_100</v>
      </c>
      <c r="B58" s="1016" t="s">
        <v>1177</v>
      </c>
      <c r="C58" s="810" t="s">
        <v>1178</v>
      </c>
      <c r="D58" s="808" t="s">
        <v>1137</v>
      </c>
      <c r="E58" s="808" t="s">
        <v>1138</v>
      </c>
      <c r="F58" s="612"/>
      <c r="G58" s="612">
        <v>1181940.027</v>
      </c>
      <c r="H58" s="612">
        <v>1136423.5249999999</v>
      </c>
      <c r="I58" s="612">
        <v>1181939.9790000001</v>
      </c>
      <c r="J58" s="612">
        <v>1136423.5249999999</v>
      </c>
      <c r="K58" s="612">
        <v>1136423.5249999999</v>
      </c>
      <c r="L58" s="613">
        <v>1136423.5249999999</v>
      </c>
      <c r="M58" s="451"/>
      <c r="N58" t="e">
        <f>VLOOKUP(A58, 'P&amp;L'!A:B,1,FALSE)</f>
        <v>#N/A</v>
      </c>
      <c r="O58" t="e">
        <f>VLOOKUP(A58, KeyData!A:C,1,FALSE)</f>
        <v>#N/A</v>
      </c>
      <c r="P58" s="451"/>
    </row>
    <row r="59" spans="1:16">
      <c r="A59" s="451" t="str">
        <f t="shared" si="0"/>
        <v>122612000_110</v>
      </c>
      <c r="B59" s="1016" t="s">
        <v>1177</v>
      </c>
      <c r="C59" s="810" t="s">
        <v>1178</v>
      </c>
      <c r="D59" s="808" t="s">
        <v>1139</v>
      </c>
      <c r="E59" s="808" t="s">
        <v>1140</v>
      </c>
      <c r="F59" s="612"/>
      <c r="G59" s="612">
        <v>112610.647</v>
      </c>
      <c r="H59" s="612">
        <v>1954.5</v>
      </c>
      <c r="I59" s="612"/>
      <c r="J59" s="612"/>
      <c r="K59" s="612"/>
      <c r="L59" s="613"/>
      <c r="M59" s="451"/>
      <c r="N59" t="e">
        <f>VLOOKUP(A59, 'P&amp;L'!A:B,1,FALSE)</f>
        <v>#N/A</v>
      </c>
      <c r="O59" t="str">
        <f>VLOOKUP(A59, KeyData!A:C,1,FALSE)</f>
        <v>122612000_110</v>
      </c>
      <c r="P59" s="451"/>
    </row>
    <row r="60" spans="1:16">
      <c r="A60" s="451" t="str">
        <f t="shared" si="0"/>
        <v>122612000_120</v>
      </c>
      <c r="B60" s="1016" t="s">
        <v>1177</v>
      </c>
      <c r="C60" s="810" t="s">
        <v>1178</v>
      </c>
      <c r="D60" s="808" t="s">
        <v>1141</v>
      </c>
      <c r="E60" s="808" t="s">
        <v>1142</v>
      </c>
      <c r="F60" s="612"/>
      <c r="G60" s="612">
        <v>-26431.05</v>
      </c>
      <c r="H60" s="612"/>
      <c r="I60" s="612"/>
      <c r="J60" s="612"/>
      <c r="K60" s="612"/>
      <c r="L60" s="613"/>
      <c r="M60" s="451"/>
      <c r="N60" t="e">
        <f>VLOOKUP(A60, 'P&amp;L'!A:B,1,FALSE)</f>
        <v>#N/A</v>
      </c>
      <c r="O60" t="e">
        <f>VLOOKUP(A60, KeyData!A:C,1,FALSE)</f>
        <v>#N/A</v>
      </c>
      <c r="P60" s="451"/>
    </row>
    <row r="61" spans="1:16">
      <c r="A61" s="451" t="str">
        <f t="shared" si="0"/>
        <v>122612000_148</v>
      </c>
      <c r="B61" s="1016" t="s">
        <v>1177</v>
      </c>
      <c r="C61" s="810" t="s">
        <v>1178</v>
      </c>
      <c r="D61" s="808" t="s">
        <v>1145</v>
      </c>
      <c r="E61" s="808" t="s">
        <v>1146</v>
      </c>
      <c r="F61" s="612"/>
      <c r="G61" s="612">
        <v>-4.8000000000000001E-2</v>
      </c>
      <c r="H61" s="612"/>
      <c r="I61" s="612"/>
      <c r="J61" s="612"/>
      <c r="K61" s="612"/>
      <c r="L61" s="613"/>
      <c r="M61" s="451"/>
      <c r="N61" t="e">
        <f>VLOOKUP(A61, 'P&amp;L'!A:B,1,FALSE)</f>
        <v>#N/A</v>
      </c>
      <c r="O61" t="e">
        <f>VLOOKUP(A61, KeyData!A:C,1,FALSE)</f>
        <v>#N/A</v>
      </c>
      <c r="P61" s="451"/>
    </row>
    <row r="62" spans="1:16">
      <c r="A62" s="451" t="str">
        <f t="shared" si="0"/>
        <v>122612000_160</v>
      </c>
      <c r="B62" s="1016" t="s">
        <v>1177</v>
      </c>
      <c r="C62" s="810" t="s">
        <v>1178</v>
      </c>
      <c r="D62" s="808" t="s">
        <v>1147</v>
      </c>
      <c r="E62" s="808" t="s">
        <v>1148</v>
      </c>
      <c r="F62" s="612"/>
      <c r="G62" s="612">
        <v>0</v>
      </c>
      <c r="H62" s="612">
        <v>0</v>
      </c>
      <c r="I62" s="612"/>
      <c r="J62" s="612">
        <v>0</v>
      </c>
      <c r="K62" s="612">
        <v>0</v>
      </c>
      <c r="L62" s="613"/>
      <c r="M62" s="451"/>
      <c r="N62" t="e">
        <f>VLOOKUP(A62, 'P&amp;L'!A:B,1,FALSE)</f>
        <v>#N/A</v>
      </c>
      <c r="O62" t="e">
        <f>VLOOKUP(A62, KeyData!A:C,1,FALSE)</f>
        <v>#N/A</v>
      </c>
      <c r="P62" s="451"/>
    </row>
    <row r="63" spans="1:16">
      <c r="A63" s="451" t="str">
        <f t="shared" si="0"/>
        <v>122612000_Result</v>
      </c>
      <c r="B63" s="1016" t="s">
        <v>1177</v>
      </c>
      <c r="C63" s="810" t="s">
        <v>1178</v>
      </c>
      <c r="D63" s="842" t="s">
        <v>1156</v>
      </c>
      <c r="E63" s="840"/>
      <c r="F63" s="836"/>
      <c r="G63" s="836">
        <v>1268119.5759999999</v>
      </c>
      <c r="H63" s="836">
        <v>1138378.0249999999</v>
      </c>
      <c r="I63" s="836">
        <v>1181939.9790000001</v>
      </c>
      <c r="J63" s="836">
        <v>1136423.5249999999</v>
      </c>
      <c r="K63" s="836">
        <v>1136423.5249999999</v>
      </c>
      <c r="L63" s="838">
        <v>1136423.5249999999</v>
      </c>
      <c r="M63" s="451"/>
      <c r="N63" t="e">
        <f>VLOOKUP(A63, 'P&amp;L'!A:B,1,FALSE)</f>
        <v>#N/A</v>
      </c>
      <c r="O63" t="e">
        <f>VLOOKUP(A63, KeyData!A:C,1,FALSE)</f>
        <v>#N/A</v>
      </c>
      <c r="P63" s="451"/>
    </row>
    <row r="64" spans="1:16">
      <c r="A64" s="451" t="str">
        <f t="shared" si="0"/>
        <v>122613000_100</v>
      </c>
      <c r="B64" s="1016" t="s">
        <v>1179</v>
      </c>
      <c r="C64" s="810" t="s">
        <v>1180</v>
      </c>
      <c r="D64" s="808" t="s">
        <v>1137</v>
      </c>
      <c r="E64" s="808" t="s">
        <v>1138</v>
      </c>
      <c r="F64" s="612"/>
      <c r="G64" s="612">
        <v>76856.163</v>
      </c>
      <c r="H64" s="612">
        <v>-7266.0389999999998</v>
      </c>
      <c r="I64" s="612">
        <v>76856.163</v>
      </c>
      <c r="J64" s="612">
        <v>-7266.0389999999998</v>
      </c>
      <c r="K64" s="612">
        <v>-7266.0389999999998</v>
      </c>
      <c r="L64" s="613">
        <v>-7266.0389999999998</v>
      </c>
      <c r="M64" s="451"/>
      <c r="N64" t="e">
        <f>VLOOKUP(A64, 'P&amp;L'!A:B,1,FALSE)</f>
        <v>#N/A</v>
      </c>
      <c r="O64" t="e">
        <f>VLOOKUP(A64, KeyData!A:C,1,FALSE)</f>
        <v>#N/A</v>
      </c>
      <c r="P64" s="451"/>
    </row>
    <row r="65" spans="1:16">
      <c r="A65" s="451" t="str">
        <f t="shared" si="0"/>
        <v>122613000_110</v>
      </c>
      <c r="B65" s="1016" t="s">
        <v>1179</v>
      </c>
      <c r="C65" s="810" t="s">
        <v>1180</v>
      </c>
      <c r="D65" s="808" t="s">
        <v>1139</v>
      </c>
      <c r="E65" s="808" t="s">
        <v>1140</v>
      </c>
      <c r="F65" s="612"/>
      <c r="G65" s="612">
        <v>1454</v>
      </c>
      <c r="H65" s="612">
        <v>2295.8670000000002</v>
      </c>
      <c r="I65" s="612"/>
      <c r="J65" s="612"/>
      <c r="K65" s="612"/>
      <c r="L65" s="613"/>
      <c r="M65" s="451"/>
      <c r="N65" t="e">
        <f>VLOOKUP(A65, 'P&amp;L'!A:B,1,FALSE)</f>
        <v>#N/A</v>
      </c>
      <c r="O65" t="e">
        <f>VLOOKUP(A65, KeyData!A:C,1,FALSE)</f>
        <v>#N/A</v>
      </c>
      <c r="P65" s="451"/>
    </row>
    <row r="66" spans="1:16">
      <c r="A66" s="451" t="str">
        <f t="shared" si="0"/>
        <v>122613000_120</v>
      </c>
      <c r="B66" s="1016" t="s">
        <v>1179</v>
      </c>
      <c r="C66" s="810" t="s">
        <v>1180</v>
      </c>
      <c r="D66" s="808" t="s">
        <v>1141</v>
      </c>
      <c r="E66" s="808" t="s">
        <v>1142</v>
      </c>
      <c r="F66" s="612"/>
      <c r="G66" s="612">
        <v>-82512.471999999994</v>
      </c>
      <c r="H66" s="612"/>
      <c r="I66" s="612"/>
      <c r="J66" s="612"/>
      <c r="K66" s="612"/>
      <c r="L66" s="613"/>
      <c r="M66" s="451"/>
      <c r="N66" t="e">
        <f>VLOOKUP(A66, 'P&amp;L'!A:B,1,FALSE)</f>
        <v>#N/A</v>
      </c>
      <c r="O66" t="e">
        <f>VLOOKUP(A66, KeyData!A:C,1,FALSE)</f>
        <v>#N/A</v>
      </c>
      <c r="P66" s="451"/>
    </row>
    <row r="67" spans="1:16">
      <c r="A67" s="451" t="str">
        <f t="shared" ref="A67:A130" si="1" xml:space="preserve"> IFERROR(+B67*1,B67)&amp;"_"&amp;IFERROR(+D67*1,D67)</f>
        <v>122613000_135</v>
      </c>
      <c r="B67" s="1016" t="s">
        <v>1179</v>
      </c>
      <c r="C67" s="810" t="s">
        <v>1180</v>
      </c>
      <c r="D67" s="808" t="s">
        <v>1143</v>
      </c>
      <c r="E67" s="808" t="s">
        <v>1144</v>
      </c>
      <c r="F67" s="612"/>
      <c r="G67" s="612">
        <v>5656.3090000000002</v>
      </c>
      <c r="H67" s="612"/>
      <c r="I67" s="612"/>
      <c r="J67" s="612"/>
      <c r="K67" s="612"/>
      <c r="L67" s="613"/>
      <c r="M67" s="451"/>
      <c r="N67" t="e">
        <f>VLOOKUP(A67, 'P&amp;L'!A:B,1,FALSE)</f>
        <v>#N/A</v>
      </c>
      <c r="O67" t="e">
        <f>VLOOKUP(A67, KeyData!A:C,1,FALSE)</f>
        <v>#N/A</v>
      </c>
      <c r="P67" s="451"/>
    </row>
    <row r="68" spans="1:16">
      <c r="A68" s="451" t="str">
        <f t="shared" si="1"/>
        <v>122613000_160</v>
      </c>
      <c r="B68" s="1016" t="s">
        <v>1179</v>
      </c>
      <c r="C68" s="810" t="s">
        <v>1180</v>
      </c>
      <c r="D68" s="808" t="s">
        <v>1147</v>
      </c>
      <c r="E68" s="808" t="s">
        <v>1148</v>
      </c>
      <c r="F68" s="612"/>
      <c r="G68" s="612">
        <v>0</v>
      </c>
      <c r="H68" s="612">
        <v>0</v>
      </c>
      <c r="I68" s="612"/>
      <c r="J68" s="612">
        <v>0</v>
      </c>
      <c r="K68" s="612">
        <v>0</v>
      </c>
      <c r="L68" s="613"/>
      <c r="M68" s="451"/>
      <c r="N68" t="e">
        <f>VLOOKUP(A68, 'P&amp;L'!A:B,1,FALSE)</f>
        <v>#N/A</v>
      </c>
      <c r="O68" t="e">
        <f>VLOOKUP(A68, KeyData!A:C,1,FALSE)</f>
        <v>#N/A</v>
      </c>
      <c r="P68" s="451"/>
    </row>
    <row r="69" spans="1:16">
      <c r="A69" s="451" t="str">
        <f t="shared" si="1"/>
        <v>122613000_200</v>
      </c>
      <c r="B69" s="1016" t="s">
        <v>1179</v>
      </c>
      <c r="C69" s="810" t="s">
        <v>1180</v>
      </c>
      <c r="D69" s="808" t="s">
        <v>1149</v>
      </c>
      <c r="E69" s="808" t="s">
        <v>1138</v>
      </c>
      <c r="F69" s="612"/>
      <c r="G69" s="612">
        <v>-67599.247000000003</v>
      </c>
      <c r="H69" s="612">
        <v>6982.5569999999998</v>
      </c>
      <c r="I69" s="612">
        <v>-86501.247000000003</v>
      </c>
      <c r="J69" s="612">
        <v>6982.5569999999998</v>
      </c>
      <c r="K69" s="612">
        <v>6982.5569999999998</v>
      </c>
      <c r="L69" s="613">
        <v>6982.5569999999998</v>
      </c>
      <c r="M69" s="451"/>
      <c r="N69" t="e">
        <f>VLOOKUP(A69, 'P&amp;L'!A:B,1,FALSE)</f>
        <v>#N/A</v>
      </c>
      <c r="O69" t="e">
        <f>VLOOKUP(A69, KeyData!A:C,1,FALSE)</f>
        <v>#N/A</v>
      </c>
      <c r="P69" s="451"/>
    </row>
    <row r="70" spans="1:16">
      <c r="A70" s="451" t="str">
        <f t="shared" si="1"/>
        <v>122613000_210</v>
      </c>
      <c r="B70" s="1016" t="s">
        <v>1179</v>
      </c>
      <c r="C70" s="810" t="s">
        <v>1180</v>
      </c>
      <c r="D70" s="808" t="s">
        <v>1150</v>
      </c>
      <c r="E70" s="808" t="s">
        <v>1151</v>
      </c>
      <c r="F70" s="612"/>
      <c r="G70" s="612">
        <v>-15155.556</v>
      </c>
      <c r="H70" s="612">
        <v>-1799.4349999999999</v>
      </c>
      <c r="I70" s="612"/>
      <c r="J70" s="612"/>
      <c r="K70" s="612"/>
      <c r="L70" s="613"/>
      <c r="M70" s="451"/>
      <c r="N70" t="e">
        <f>VLOOKUP(A70, 'P&amp;L'!A:B,1,FALSE)</f>
        <v>#N/A</v>
      </c>
      <c r="O70" t="e">
        <f>VLOOKUP(A70, KeyData!A:C,1,FALSE)</f>
        <v>#N/A</v>
      </c>
      <c r="P70" s="451"/>
    </row>
    <row r="71" spans="1:16">
      <c r="A71" s="451" t="str">
        <f t="shared" si="1"/>
        <v>122613000_220</v>
      </c>
      <c r="B71" s="1016" t="s">
        <v>1179</v>
      </c>
      <c r="C71" s="810" t="s">
        <v>1180</v>
      </c>
      <c r="D71" s="808" t="s">
        <v>1152</v>
      </c>
      <c r="E71" s="808" t="s">
        <v>1153</v>
      </c>
      <c r="F71" s="612"/>
      <c r="G71" s="612">
        <v>82512.471999999994</v>
      </c>
      <c r="H71" s="612"/>
      <c r="I71" s="612"/>
      <c r="J71" s="612"/>
      <c r="K71" s="612"/>
      <c r="L71" s="613"/>
      <c r="M71" s="451"/>
      <c r="N71" t="e">
        <f>VLOOKUP(A71, 'P&amp;L'!A:B,1,FALSE)</f>
        <v>#N/A</v>
      </c>
      <c r="O71" t="e">
        <f>VLOOKUP(A71, KeyData!A:C,1,FALSE)</f>
        <v>#N/A</v>
      </c>
      <c r="P71" s="451"/>
    </row>
    <row r="72" spans="1:16">
      <c r="A72" s="451" t="str">
        <f t="shared" si="1"/>
        <v>122613000_235</v>
      </c>
      <c r="B72" s="1016" t="s">
        <v>1179</v>
      </c>
      <c r="C72" s="810" t="s">
        <v>1180</v>
      </c>
      <c r="D72" s="808" t="s">
        <v>1175</v>
      </c>
      <c r="E72" s="808" t="s">
        <v>1176</v>
      </c>
      <c r="F72" s="612"/>
      <c r="G72" s="612">
        <v>-1E-3</v>
      </c>
      <c r="H72" s="612"/>
      <c r="I72" s="612"/>
      <c r="J72" s="612"/>
      <c r="K72" s="612"/>
      <c r="L72" s="613"/>
      <c r="M72" s="451"/>
      <c r="N72" t="e">
        <f>VLOOKUP(A72, 'P&amp;L'!A:B,1,FALSE)</f>
        <v>#N/A</v>
      </c>
      <c r="O72" t="e">
        <f>VLOOKUP(A72, KeyData!A:C,1,FALSE)</f>
        <v>#N/A</v>
      </c>
      <c r="P72" s="451"/>
    </row>
    <row r="73" spans="1:16">
      <c r="A73" s="451" t="str">
        <f t="shared" si="1"/>
        <v>122613000_260</v>
      </c>
      <c r="B73" s="1016" t="s">
        <v>1179</v>
      </c>
      <c r="C73" s="810" t="s">
        <v>1180</v>
      </c>
      <c r="D73" s="808" t="s">
        <v>1155</v>
      </c>
      <c r="E73" s="808" t="s">
        <v>1148</v>
      </c>
      <c r="F73" s="612"/>
      <c r="G73" s="612">
        <v>0</v>
      </c>
      <c r="H73" s="612">
        <v>0</v>
      </c>
      <c r="I73" s="612"/>
      <c r="J73" s="612">
        <v>0</v>
      </c>
      <c r="K73" s="612">
        <v>0</v>
      </c>
      <c r="L73" s="613"/>
      <c r="M73" s="451"/>
      <c r="N73" t="e">
        <f>VLOOKUP(A73, 'P&amp;L'!A:B,1,FALSE)</f>
        <v>#N/A</v>
      </c>
      <c r="O73" t="e">
        <f>VLOOKUP(A73, KeyData!A:C,1,FALSE)</f>
        <v>#N/A</v>
      </c>
      <c r="P73" s="451"/>
    </row>
    <row r="74" spans="1:16">
      <c r="A74" s="451" t="str">
        <f t="shared" si="1"/>
        <v>122613000_Result</v>
      </c>
      <c r="B74" s="1016" t="s">
        <v>1179</v>
      </c>
      <c r="C74" s="810" t="s">
        <v>1180</v>
      </c>
      <c r="D74" s="842" t="s">
        <v>1156</v>
      </c>
      <c r="E74" s="840"/>
      <c r="F74" s="836"/>
      <c r="G74" s="836">
        <v>1211.6679999999999</v>
      </c>
      <c r="H74" s="836">
        <v>212.95</v>
      </c>
      <c r="I74" s="836">
        <v>-9645.0840000000007</v>
      </c>
      <c r="J74" s="836">
        <v>-283.48200000000003</v>
      </c>
      <c r="K74" s="836">
        <v>-283.48200000000003</v>
      </c>
      <c r="L74" s="838">
        <v>-283.48200000000003</v>
      </c>
      <c r="M74" s="451"/>
      <c r="N74" t="e">
        <f>VLOOKUP(A74, 'P&amp;L'!A:B,1,FALSE)</f>
        <v>#N/A</v>
      </c>
      <c r="O74" t="e">
        <f>VLOOKUP(A74, KeyData!A:C,1,FALSE)</f>
        <v>#N/A</v>
      </c>
      <c r="P74" s="451"/>
    </row>
    <row r="75" spans="1:16">
      <c r="A75" s="451" t="str">
        <f t="shared" si="1"/>
        <v>122617100_100</v>
      </c>
      <c r="B75" s="1016" t="s">
        <v>1181</v>
      </c>
      <c r="C75" s="810" t="s">
        <v>1182</v>
      </c>
      <c r="D75" s="808" t="s">
        <v>1137</v>
      </c>
      <c r="E75" s="808" t="s">
        <v>1138</v>
      </c>
      <c r="F75" s="612"/>
      <c r="G75" s="612">
        <v>4392960.6399999997</v>
      </c>
      <c r="H75" s="612">
        <v>3980040.6639999999</v>
      </c>
      <c r="I75" s="612">
        <v>4750038.6129999999</v>
      </c>
      <c r="J75" s="612">
        <v>3980040.6639999999</v>
      </c>
      <c r="K75" s="612">
        <v>3980040.6639999999</v>
      </c>
      <c r="L75" s="613">
        <v>4433828.5360000003</v>
      </c>
      <c r="M75" s="451"/>
      <c r="N75" t="e">
        <f>VLOOKUP(A75, 'P&amp;L'!A:B,1,FALSE)</f>
        <v>#N/A</v>
      </c>
      <c r="O75" t="e">
        <f>VLOOKUP(A75, KeyData!A:C,1,FALSE)</f>
        <v>#N/A</v>
      </c>
      <c r="P75" s="451"/>
    </row>
    <row r="76" spans="1:16">
      <c r="A76" s="451" t="str">
        <f t="shared" si="1"/>
        <v>122617100_110</v>
      </c>
      <c r="B76" s="1016" t="s">
        <v>1181</v>
      </c>
      <c r="C76" s="810" t="s">
        <v>1182</v>
      </c>
      <c r="D76" s="808" t="s">
        <v>1139</v>
      </c>
      <c r="E76" s="808" t="s">
        <v>1140</v>
      </c>
      <c r="F76" s="612"/>
      <c r="G76" s="612">
        <v>47982.394999999997</v>
      </c>
      <c r="H76" s="612">
        <v>103888.15399999999</v>
      </c>
      <c r="I76" s="612">
        <v>1362642.219</v>
      </c>
      <c r="J76" s="612">
        <v>1157066.254</v>
      </c>
      <c r="K76" s="612">
        <v>1879905.6340000001</v>
      </c>
      <c r="L76" s="613">
        <v>1331433.865</v>
      </c>
      <c r="M76" s="451"/>
      <c r="N76" t="e">
        <f>VLOOKUP(A76, 'P&amp;L'!A:B,1,FALSE)</f>
        <v>#N/A</v>
      </c>
      <c r="O76" t="str">
        <f>VLOOKUP(A76, KeyData!A:C,1,FALSE)</f>
        <v>122617100_110</v>
      </c>
      <c r="P76" s="451"/>
    </row>
    <row r="77" spans="1:16">
      <c r="A77" s="451" t="str">
        <f t="shared" si="1"/>
        <v>122617100_130</v>
      </c>
      <c r="B77" s="1016" t="s">
        <v>1181</v>
      </c>
      <c r="C77" s="810" t="s">
        <v>1182</v>
      </c>
      <c r="D77" s="808" t="s">
        <v>1169</v>
      </c>
      <c r="E77" s="808" t="s">
        <v>1170</v>
      </c>
      <c r="F77" s="612"/>
      <c r="G77" s="612"/>
      <c r="H77" s="612">
        <v>3534.7429999999999</v>
      </c>
      <c r="I77" s="612"/>
      <c r="J77" s="612"/>
      <c r="K77" s="612"/>
      <c r="L77" s="613"/>
      <c r="M77" s="451"/>
      <c r="N77" t="e">
        <f>VLOOKUP(A77, 'P&amp;L'!A:B,1,FALSE)</f>
        <v>#N/A</v>
      </c>
      <c r="O77" t="e">
        <f>VLOOKUP(A77, KeyData!A:C,1,FALSE)</f>
        <v>#N/A</v>
      </c>
      <c r="P77" s="451"/>
    </row>
    <row r="78" spans="1:16">
      <c r="A78" s="451" t="str">
        <f t="shared" si="1"/>
        <v>122617100_160</v>
      </c>
      <c r="B78" s="1016" t="s">
        <v>1181</v>
      </c>
      <c r="C78" s="810" t="s">
        <v>1182</v>
      </c>
      <c r="D78" s="808" t="s">
        <v>1147</v>
      </c>
      <c r="E78" s="808" t="s">
        <v>1148</v>
      </c>
      <c r="F78" s="612"/>
      <c r="G78" s="612">
        <v>0</v>
      </c>
      <c r="H78" s="612">
        <v>0</v>
      </c>
      <c r="I78" s="612"/>
      <c r="J78" s="612">
        <v>0</v>
      </c>
      <c r="K78" s="612">
        <v>0</v>
      </c>
      <c r="L78" s="613"/>
      <c r="M78" s="451"/>
      <c r="N78" t="e">
        <f>VLOOKUP(A78, 'P&amp;L'!A:B,1,FALSE)</f>
        <v>#N/A</v>
      </c>
      <c r="O78" t="e">
        <f>VLOOKUP(A78, KeyData!A:C,1,FALSE)</f>
        <v>#N/A</v>
      </c>
      <c r="P78" s="451"/>
    </row>
    <row r="79" spans="1:16">
      <c r="A79" s="451" t="str">
        <f t="shared" si="1"/>
        <v>122617100_200</v>
      </c>
      <c r="B79" s="1016" t="s">
        <v>1181</v>
      </c>
      <c r="C79" s="810" t="s">
        <v>1182</v>
      </c>
      <c r="D79" s="808" t="s">
        <v>1149</v>
      </c>
      <c r="E79" s="808" t="s">
        <v>1138</v>
      </c>
      <c r="F79" s="612"/>
      <c r="G79" s="612">
        <v>-2161050.912</v>
      </c>
      <c r="H79" s="612">
        <v>-2131556.7489999998</v>
      </c>
      <c r="I79" s="612">
        <v>-2317036.233</v>
      </c>
      <c r="J79" s="612">
        <v>-2131556.7489999998</v>
      </c>
      <c r="K79" s="612">
        <v>-2131556.7489999998</v>
      </c>
      <c r="L79" s="613">
        <v>-2270024.608</v>
      </c>
      <c r="M79" s="451"/>
      <c r="N79" t="e">
        <f>VLOOKUP(A79, 'P&amp;L'!A:B,1,FALSE)</f>
        <v>#N/A</v>
      </c>
      <c r="O79" t="e">
        <f>VLOOKUP(A79, KeyData!A:C,1,FALSE)</f>
        <v>#N/A</v>
      </c>
      <c r="P79" s="451"/>
    </row>
    <row r="80" spans="1:16">
      <c r="A80" s="451" t="str">
        <f t="shared" si="1"/>
        <v>122617100_210</v>
      </c>
      <c r="B80" s="1016" t="s">
        <v>1181</v>
      </c>
      <c r="C80" s="810" t="s">
        <v>1182</v>
      </c>
      <c r="D80" s="808" t="s">
        <v>1150</v>
      </c>
      <c r="E80" s="808" t="s">
        <v>1151</v>
      </c>
      <c r="F80" s="612"/>
      <c r="G80" s="612">
        <v>-217318.804</v>
      </c>
      <c r="H80" s="612">
        <v>-95777.741999999998</v>
      </c>
      <c r="I80" s="612">
        <v>-222319.848</v>
      </c>
      <c r="J80" s="612">
        <v>-143885.74299999999</v>
      </c>
      <c r="K80" s="612">
        <v>-146026.27100000001</v>
      </c>
      <c r="L80" s="613">
        <v>-318427.98800000001</v>
      </c>
      <c r="M80" s="451"/>
      <c r="N80" t="e">
        <f>VLOOKUP(A80, 'P&amp;L'!A:B,1,FALSE)</f>
        <v>#N/A</v>
      </c>
      <c r="O80" t="e">
        <f>VLOOKUP(A80, KeyData!A:C,1,FALSE)</f>
        <v>#N/A</v>
      </c>
      <c r="P80" s="451"/>
    </row>
    <row r="81" spans="1:16">
      <c r="A81" s="451" t="str">
        <f t="shared" si="1"/>
        <v>122617100_260</v>
      </c>
      <c r="B81" s="1016" t="s">
        <v>1181</v>
      </c>
      <c r="C81" s="810" t="s">
        <v>1182</v>
      </c>
      <c r="D81" s="808" t="s">
        <v>1155</v>
      </c>
      <c r="E81" s="808" t="s">
        <v>1148</v>
      </c>
      <c r="F81" s="612"/>
      <c r="G81" s="612">
        <v>0</v>
      </c>
      <c r="H81" s="612">
        <v>0</v>
      </c>
      <c r="I81" s="612"/>
      <c r="J81" s="612">
        <v>0</v>
      </c>
      <c r="K81" s="612">
        <v>0</v>
      </c>
      <c r="L81" s="613"/>
      <c r="M81" s="451"/>
      <c r="N81" t="e">
        <f>VLOOKUP(A81, 'P&amp;L'!A:B,1,FALSE)</f>
        <v>#N/A</v>
      </c>
      <c r="O81" t="e">
        <f>VLOOKUP(A81, KeyData!A:C,1,FALSE)</f>
        <v>#N/A</v>
      </c>
      <c r="P81" s="451"/>
    </row>
    <row r="82" spans="1:16">
      <c r="A82" s="451" t="str">
        <f t="shared" si="1"/>
        <v>122617100_Result</v>
      </c>
      <c r="B82" s="1016" t="s">
        <v>1181</v>
      </c>
      <c r="C82" s="810" t="s">
        <v>1182</v>
      </c>
      <c r="D82" s="842" t="s">
        <v>1156</v>
      </c>
      <c r="E82" s="840"/>
      <c r="F82" s="836"/>
      <c r="G82" s="836">
        <v>2062573.3189999999</v>
      </c>
      <c r="H82" s="836">
        <v>1860129.07</v>
      </c>
      <c r="I82" s="836">
        <v>3573324.7510000002</v>
      </c>
      <c r="J82" s="836">
        <v>2861664.426</v>
      </c>
      <c r="K82" s="836">
        <v>3582363.2779999999</v>
      </c>
      <c r="L82" s="838">
        <v>3176809.8050000002</v>
      </c>
      <c r="M82" s="451"/>
      <c r="N82" t="e">
        <f>VLOOKUP(A82, 'P&amp;L'!A:B,1,FALSE)</f>
        <v>#N/A</v>
      </c>
      <c r="O82" t="e">
        <f>VLOOKUP(A82, KeyData!A:C,1,FALSE)</f>
        <v>#N/A</v>
      </c>
      <c r="P82" s="451"/>
    </row>
    <row r="83" spans="1:16">
      <c r="A83" s="451" t="str">
        <f t="shared" si="1"/>
        <v>122617200_100</v>
      </c>
      <c r="B83" s="1016" t="s">
        <v>1183</v>
      </c>
      <c r="C83" s="810" t="s">
        <v>1184</v>
      </c>
      <c r="D83" s="808" t="s">
        <v>1137</v>
      </c>
      <c r="E83" s="808" t="s">
        <v>1138</v>
      </c>
      <c r="F83" s="612"/>
      <c r="G83" s="612">
        <v>54944.909</v>
      </c>
      <c r="H83" s="612">
        <v>238850.52100000001</v>
      </c>
      <c r="I83" s="612">
        <v>342211.68900000001</v>
      </c>
      <c r="J83" s="612">
        <v>238850.52100000001</v>
      </c>
      <c r="K83" s="612">
        <v>238850.52100000001</v>
      </c>
      <c r="L83" s="613">
        <v>244794.79399999999</v>
      </c>
      <c r="M83" s="451"/>
      <c r="N83" t="e">
        <f>VLOOKUP(A83, 'P&amp;L'!A:B,1,FALSE)</f>
        <v>#N/A</v>
      </c>
      <c r="O83" t="e">
        <f>VLOOKUP(A83, KeyData!A:C,1,FALSE)</f>
        <v>#N/A</v>
      </c>
      <c r="P83" s="451"/>
    </row>
    <row r="84" spans="1:16">
      <c r="A84" s="451" t="str">
        <f t="shared" si="1"/>
        <v>122617200_110</v>
      </c>
      <c r="B84" s="1016" t="s">
        <v>1183</v>
      </c>
      <c r="C84" s="810" t="s">
        <v>1184</v>
      </c>
      <c r="D84" s="808" t="s">
        <v>1139</v>
      </c>
      <c r="E84" s="808" t="s">
        <v>1140</v>
      </c>
      <c r="F84" s="612"/>
      <c r="G84" s="612">
        <v>273545.99900000001</v>
      </c>
      <c r="H84" s="612"/>
      <c r="I84" s="612">
        <v>3648.4</v>
      </c>
      <c r="J84" s="612">
        <v>2295.873</v>
      </c>
      <c r="K84" s="612">
        <v>5944.2730000000001</v>
      </c>
      <c r="L84" s="613"/>
      <c r="M84" s="451"/>
      <c r="N84" t="e">
        <f>VLOOKUP(A84, 'P&amp;L'!A:B,1,FALSE)</f>
        <v>#N/A</v>
      </c>
      <c r="O84" t="e">
        <f>VLOOKUP(A84, KeyData!A:C,1,FALSE)</f>
        <v>#N/A</v>
      </c>
      <c r="P84" s="451"/>
    </row>
    <row r="85" spans="1:16">
      <c r="A85" s="451" t="str">
        <f t="shared" si="1"/>
        <v>122617200_120</v>
      </c>
      <c r="B85" s="1016" t="s">
        <v>1183</v>
      </c>
      <c r="C85" s="810" t="s">
        <v>1184</v>
      </c>
      <c r="D85" s="808" t="s">
        <v>1141</v>
      </c>
      <c r="E85" s="808" t="s">
        <v>1142</v>
      </c>
      <c r="F85" s="612"/>
      <c r="G85" s="612">
        <v>-60541.580999999998</v>
      </c>
      <c r="H85" s="612"/>
      <c r="I85" s="612"/>
      <c r="J85" s="612"/>
      <c r="K85" s="612"/>
      <c r="L85" s="613"/>
      <c r="M85" s="451"/>
      <c r="N85" t="e">
        <f>VLOOKUP(A85, 'P&amp;L'!A:B,1,FALSE)</f>
        <v>#N/A</v>
      </c>
      <c r="O85" t="e">
        <f>VLOOKUP(A85, KeyData!A:C,1,FALSE)</f>
        <v>#N/A</v>
      </c>
      <c r="P85" s="451"/>
    </row>
    <row r="86" spans="1:16">
      <c r="A86" s="451" t="str">
        <f t="shared" si="1"/>
        <v>122617200_135</v>
      </c>
      <c r="B86" s="1016" t="s">
        <v>1183</v>
      </c>
      <c r="C86" s="810" t="s">
        <v>1184</v>
      </c>
      <c r="D86" s="808" t="s">
        <v>1143</v>
      </c>
      <c r="E86" s="808" t="s">
        <v>1144</v>
      </c>
      <c r="F86" s="612"/>
      <c r="G86" s="612">
        <v>5596.6729999999998</v>
      </c>
      <c r="H86" s="612"/>
      <c r="I86" s="612"/>
      <c r="J86" s="612"/>
      <c r="K86" s="612"/>
      <c r="L86" s="613"/>
      <c r="M86" s="451"/>
      <c r="N86" t="e">
        <f>VLOOKUP(A86, 'P&amp;L'!A:B,1,FALSE)</f>
        <v>#N/A</v>
      </c>
      <c r="O86" t="e">
        <f>VLOOKUP(A86, KeyData!A:C,1,FALSE)</f>
        <v>#N/A</v>
      </c>
      <c r="P86" s="451"/>
    </row>
    <row r="87" spans="1:16">
      <c r="A87" s="451" t="str">
        <f t="shared" si="1"/>
        <v>122617200_160</v>
      </c>
      <c r="B87" s="1016" t="s">
        <v>1183</v>
      </c>
      <c r="C87" s="810" t="s">
        <v>1184</v>
      </c>
      <c r="D87" s="808" t="s">
        <v>1147</v>
      </c>
      <c r="E87" s="808" t="s">
        <v>1148</v>
      </c>
      <c r="F87" s="612"/>
      <c r="G87" s="612">
        <v>0</v>
      </c>
      <c r="H87" s="612">
        <v>0</v>
      </c>
      <c r="I87" s="612"/>
      <c r="J87" s="612">
        <v>0</v>
      </c>
      <c r="K87" s="612">
        <v>0</v>
      </c>
      <c r="L87" s="613"/>
      <c r="M87" s="451"/>
      <c r="N87" t="e">
        <f>VLOOKUP(A87, 'P&amp;L'!A:B,1,FALSE)</f>
        <v>#N/A</v>
      </c>
      <c r="O87" t="e">
        <f>VLOOKUP(A87, KeyData!A:C,1,FALSE)</f>
        <v>#N/A</v>
      </c>
      <c r="P87" s="451"/>
    </row>
    <row r="88" spans="1:16">
      <c r="A88" s="451" t="str">
        <f t="shared" si="1"/>
        <v>122617200_200</v>
      </c>
      <c r="B88" s="1016" t="s">
        <v>1183</v>
      </c>
      <c r="C88" s="810" t="s">
        <v>1184</v>
      </c>
      <c r="D88" s="808" t="s">
        <v>1149</v>
      </c>
      <c r="E88" s="808" t="s">
        <v>1138</v>
      </c>
      <c r="F88" s="612"/>
      <c r="G88" s="612">
        <v>-40051.544000000002</v>
      </c>
      <c r="H88" s="612">
        <v>-34280.574999999997</v>
      </c>
      <c r="I88" s="612">
        <v>-89341.755999999994</v>
      </c>
      <c r="J88" s="612">
        <v>-34280.574999999997</v>
      </c>
      <c r="K88" s="612">
        <v>-34280.574999999997</v>
      </c>
      <c r="L88" s="613">
        <v>-89630.733999999997</v>
      </c>
      <c r="M88" s="451"/>
      <c r="N88" t="e">
        <f>VLOOKUP(A88, 'P&amp;L'!A:B,1,FALSE)</f>
        <v>#N/A</v>
      </c>
      <c r="O88" t="e">
        <f>VLOOKUP(A88, KeyData!A:C,1,FALSE)</f>
        <v>#N/A</v>
      </c>
      <c r="P88" s="451"/>
    </row>
    <row r="89" spans="1:16">
      <c r="A89" s="451" t="str">
        <f t="shared" si="1"/>
        <v>122617200_210</v>
      </c>
      <c r="B89" s="1016" t="s">
        <v>1183</v>
      </c>
      <c r="C89" s="810" t="s">
        <v>1184</v>
      </c>
      <c r="D89" s="808" t="s">
        <v>1150</v>
      </c>
      <c r="E89" s="808" t="s">
        <v>1151</v>
      </c>
      <c r="F89" s="612"/>
      <c r="G89" s="612">
        <v>-63681.514000000003</v>
      </c>
      <c r="H89" s="612">
        <v>-38705.976000000002</v>
      </c>
      <c r="I89" s="612">
        <v>-110032.96799999999</v>
      </c>
      <c r="J89" s="612">
        <v>-54182.328000000001</v>
      </c>
      <c r="K89" s="612">
        <v>-55388.163</v>
      </c>
      <c r="L89" s="613"/>
      <c r="M89" s="451"/>
      <c r="N89" t="e">
        <f>VLOOKUP(A89, 'P&amp;L'!A:B,1,FALSE)</f>
        <v>#N/A</v>
      </c>
      <c r="O89" t="e">
        <f>VLOOKUP(A89, KeyData!A:C,1,FALSE)</f>
        <v>#N/A</v>
      </c>
      <c r="P89" s="451"/>
    </row>
    <row r="90" spans="1:16">
      <c r="A90" s="451" t="str">
        <f t="shared" si="1"/>
        <v>122617200_220</v>
      </c>
      <c r="B90" s="1016" t="s">
        <v>1183</v>
      </c>
      <c r="C90" s="810" t="s">
        <v>1184</v>
      </c>
      <c r="D90" s="808" t="s">
        <v>1152</v>
      </c>
      <c r="E90" s="808" t="s">
        <v>1153</v>
      </c>
      <c r="F90" s="612"/>
      <c r="G90" s="612">
        <v>60541.582000000002</v>
      </c>
      <c r="H90" s="612"/>
      <c r="I90" s="612"/>
      <c r="J90" s="612"/>
      <c r="K90" s="612"/>
      <c r="L90" s="613"/>
      <c r="M90" s="451"/>
      <c r="N90" t="e">
        <f>VLOOKUP(A90, 'P&amp;L'!A:B,1,FALSE)</f>
        <v>#N/A</v>
      </c>
      <c r="O90" t="e">
        <f>VLOOKUP(A90, KeyData!A:C,1,FALSE)</f>
        <v>#N/A</v>
      </c>
      <c r="P90" s="451"/>
    </row>
    <row r="91" spans="1:16">
      <c r="A91" s="451" t="str">
        <f t="shared" si="1"/>
        <v>122617200_235</v>
      </c>
      <c r="B91" s="1016" t="s">
        <v>1183</v>
      </c>
      <c r="C91" s="810" t="s">
        <v>1184</v>
      </c>
      <c r="D91" s="808" t="s">
        <v>1175</v>
      </c>
      <c r="E91" s="808" t="s">
        <v>1176</v>
      </c>
      <c r="F91" s="612"/>
      <c r="G91" s="612">
        <v>-1E-3</v>
      </c>
      <c r="H91" s="612"/>
      <c r="I91" s="612"/>
      <c r="J91" s="612"/>
      <c r="K91" s="612"/>
      <c r="L91" s="613"/>
      <c r="M91" s="451"/>
      <c r="N91" t="e">
        <f>VLOOKUP(A91, 'P&amp;L'!A:B,1,FALSE)</f>
        <v>#N/A</v>
      </c>
      <c r="O91" t="e">
        <f>VLOOKUP(A91, KeyData!A:C,1,FALSE)</f>
        <v>#N/A</v>
      </c>
      <c r="P91" s="451"/>
    </row>
    <row r="92" spans="1:16">
      <c r="A92" s="451" t="str">
        <f t="shared" si="1"/>
        <v>122617200_260</v>
      </c>
      <c r="B92" s="1016" t="s">
        <v>1183</v>
      </c>
      <c r="C92" s="810" t="s">
        <v>1184</v>
      </c>
      <c r="D92" s="808" t="s">
        <v>1155</v>
      </c>
      <c r="E92" s="808" t="s">
        <v>1148</v>
      </c>
      <c r="F92" s="612"/>
      <c r="G92" s="612">
        <v>0</v>
      </c>
      <c r="H92" s="612">
        <v>0</v>
      </c>
      <c r="I92" s="612"/>
      <c r="J92" s="612">
        <v>0</v>
      </c>
      <c r="K92" s="612">
        <v>0</v>
      </c>
      <c r="L92" s="613"/>
      <c r="M92" s="451"/>
      <c r="N92" t="e">
        <f>VLOOKUP(A92, 'P&amp;L'!A:B,1,FALSE)</f>
        <v>#N/A</v>
      </c>
      <c r="O92" t="e">
        <f>VLOOKUP(A92, KeyData!A:C,1,FALSE)</f>
        <v>#N/A</v>
      </c>
      <c r="P92" s="451"/>
    </row>
    <row r="93" spans="1:16">
      <c r="A93" s="451" t="str">
        <f t="shared" si="1"/>
        <v>122617200_Result</v>
      </c>
      <c r="B93" s="1016" t="s">
        <v>1183</v>
      </c>
      <c r="C93" s="810" t="s">
        <v>1184</v>
      </c>
      <c r="D93" s="842" t="s">
        <v>1156</v>
      </c>
      <c r="E93" s="840"/>
      <c r="F93" s="836"/>
      <c r="G93" s="836">
        <v>230354.52299999999</v>
      </c>
      <c r="H93" s="836">
        <v>165863.97</v>
      </c>
      <c r="I93" s="836">
        <v>146485.36499999999</v>
      </c>
      <c r="J93" s="836">
        <v>152683.49100000001</v>
      </c>
      <c r="K93" s="836">
        <v>155126.05600000001</v>
      </c>
      <c r="L93" s="838">
        <v>155164.06</v>
      </c>
      <c r="M93" s="451"/>
      <c r="N93" t="e">
        <f>VLOOKUP(A93, 'P&amp;L'!A:B,1,FALSE)</f>
        <v>#N/A</v>
      </c>
      <c r="O93" t="e">
        <f>VLOOKUP(A93, KeyData!A:C,1,FALSE)</f>
        <v>#N/A</v>
      </c>
      <c r="P93" s="451"/>
    </row>
    <row r="94" spans="1:16">
      <c r="A94" s="451" t="str">
        <f t="shared" si="1"/>
        <v>122622000_100</v>
      </c>
      <c r="B94" s="1016" t="s">
        <v>1185</v>
      </c>
      <c r="C94" s="810" t="s">
        <v>1186</v>
      </c>
      <c r="D94" s="808" t="s">
        <v>1137</v>
      </c>
      <c r="E94" s="808" t="s">
        <v>1138</v>
      </c>
      <c r="F94" s="612"/>
      <c r="G94" s="612">
        <v>34659503.266999997</v>
      </c>
      <c r="H94" s="612">
        <v>33932244.594999999</v>
      </c>
      <c r="I94" s="612">
        <v>35648898.971000001</v>
      </c>
      <c r="J94" s="612">
        <v>33932244.594999999</v>
      </c>
      <c r="K94" s="612">
        <v>33932244.594999999</v>
      </c>
      <c r="L94" s="613">
        <v>36727889.386</v>
      </c>
      <c r="M94" s="451"/>
      <c r="N94" t="e">
        <f>VLOOKUP(A94, 'P&amp;L'!A:B,1,FALSE)</f>
        <v>#N/A</v>
      </c>
      <c r="O94" t="e">
        <f>VLOOKUP(A94, KeyData!A:C,1,FALSE)</f>
        <v>#N/A</v>
      </c>
      <c r="P94" s="451"/>
    </row>
    <row r="95" spans="1:16">
      <c r="A95" s="451" t="str">
        <f t="shared" si="1"/>
        <v>122622000_110</v>
      </c>
      <c r="B95" s="1016" t="s">
        <v>1185</v>
      </c>
      <c r="C95" s="810" t="s">
        <v>1186</v>
      </c>
      <c r="D95" s="808" t="s">
        <v>1139</v>
      </c>
      <c r="E95" s="808" t="s">
        <v>1140</v>
      </c>
      <c r="F95" s="612"/>
      <c r="G95" s="612">
        <v>270877.62599999999</v>
      </c>
      <c r="H95" s="612">
        <v>60240</v>
      </c>
      <c r="I95" s="612">
        <v>4757706.6830000002</v>
      </c>
      <c r="J95" s="612">
        <v>2203666.9049999998</v>
      </c>
      <c r="K95" s="612">
        <v>1187139.2609999999</v>
      </c>
      <c r="L95" s="613">
        <v>1782608.7109999999</v>
      </c>
      <c r="M95" s="451"/>
      <c r="N95" t="e">
        <f>VLOOKUP(A95, 'P&amp;L'!A:B,1,FALSE)</f>
        <v>#N/A</v>
      </c>
      <c r="O95" t="str">
        <f>VLOOKUP(A95, KeyData!A:C,1,FALSE)</f>
        <v>122622000_110</v>
      </c>
      <c r="P95" s="451"/>
    </row>
    <row r="96" spans="1:16">
      <c r="A96" s="451" t="str">
        <f t="shared" si="1"/>
        <v>122622000_120</v>
      </c>
      <c r="B96" s="1016" t="s">
        <v>1185</v>
      </c>
      <c r="C96" s="810" t="s">
        <v>1186</v>
      </c>
      <c r="D96" s="808" t="s">
        <v>1141</v>
      </c>
      <c r="E96" s="808" t="s">
        <v>1142</v>
      </c>
      <c r="F96" s="612"/>
      <c r="G96" s="612">
        <v>-10021.191999999999</v>
      </c>
      <c r="H96" s="612"/>
      <c r="I96" s="612"/>
      <c r="J96" s="612"/>
      <c r="K96" s="612"/>
      <c r="L96" s="613"/>
      <c r="M96" s="451"/>
      <c r="N96" t="e">
        <f>VLOOKUP(A96, 'P&amp;L'!A:B,1,FALSE)</f>
        <v>#N/A</v>
      </c>
      <c r="O96" t="e">
        <f>VLOOKUP(A96, KeyData!A:C,1,FALSE)</f>
        <v>#N/A</v>
      </c>
      <c r="P96" s="451"/>
    </row>
    <row r="97" spans="1:16">
      <c r="A97" s="451" t="str">
        <f t="shared" si="1"/>
        <v>122622000_122</v>
      </c>
      <c r="B97" s="1016" t="s">
        <v>1185</v>
      </c>
      <c r="C97" s="810" t="s">
        <v>1186</v>
      </c>
      <c r="D97" s="808" t="s">
        <v>1167</v>
      </c>
      <c r="E97" s="808" t="s">
        <v>1168</v>
      </c>
      <c r="F97" s="612"/>
      <c r="G97" s="612">
        <v>-333253.78100000002</v>
      </c>
      <c r="H97" s="612">
        <v>-650869.62</v>
      </c>
      <c r="I97" s="612"/>
      <c r="J97" s="612">
        <v>-460919.62</v>
      </c>
      <c r="K97" s="612">
        <v>-650869.62</v>
      </c>
      <c r="L97" s="613"/>
      <c r="M97" s="451"/>
      <c r="N97" t="e">
        <f>VLOOKUP(A97, 'P&amp;L'!A:B,1,FALSE)</f>
        <v>#N/A</v>
      </c>
      <c r="O97" t="e">
        <f>VLOOKUP(A97, KeyData!A:C,1,FALSE)</f>
        <v>#N/A</v>
      </c>
      <c r="P97" s="451"/>
    </row>
    <row r="98" spans="1:16">
      <c r="A98" s="451" t="str">
        <f t="shared" si="1"/>
        <v>122622000_135</v>
      </c>
      <c r="B98" s="1016" t="s">
        <v>1185</v>
      </c>
      <c r="C98" s="810" t="s">
        <v>1186</v>
      </c>
      <c r="D98" s="808" t="s">
        <v>1143</v>
      </c>
      <c r="E98" s="808" t="s">
        <v>1144</v>
      </c>
      <c r="F98" s="612"/>
      <c r="G98" s="612">
        <v>-618070.446</v>
      </c>
      <c r="H98" s="612">
        <v>2281548.0669999998</v>
      </c>
      <c r="I98" s="612"/>
      <c r="J98" s="612">
        <v>2286764.7659999998</v>
      </c>
      <c r="K98" s="612">
        <v>2286764.7659999998</v>
      </c>
      <c r="L98" s="613"/>
      <c r="M98" s="451"/>
      <c r="N98" t="e">
        <f>VLOOKUP(A98, 'P&amp;L'!A:B,1,FALSE)</f>
        <v>#N/A</v>
      </c>
      <c r="O98" t="e">
        <f>VLOOKUP(A98, KeyData!A:C,1,FALSE)</f>
        <v>#N/A</v>
      </c>
      <c r="P98" s="451"/>
    </row>
    <row r="99" spans="1:16">
      <c r="A99" s="451" t="str">
        <f t="shared" si="1"/>
        <v>122622000_160</v>
      </c>
      <c r="B99" s="1016" t="s">
        <v>1185</v>
      </c>
      <c r="C99" s="810" t="s">
        <v>1186</v>
      </c>
      <c r="D99" s="808" t="s">
        <v>1147</v>
      </c>
      <c r="E99" s="808" t="s">
        <v>1148</v>
      </c>
      <c r="F99" s="612"/>
      <c r="G99" s="612">
        <v>0</v>
      </c>
      <c r="H99" s="612">
        <v>0</v>
      </c>
      <c r="I99" s="612"/>
      <c r="J99" s="612">
        <v>0</v>
      </c>
      <c r="K99" s="612">
        <v>0</v>
      </c>
      <c r="L99" s="613"/>
      <c r="M99" s="451"/>
      <c r="N99" t="e">
        <f>VLOOKUP(A99, 'P&amp;L'!A:B,1,FALSE)</f>
        <v>#N/A</v>
      </c>
      <c r="O99" t="e">
        <f>VLOOKUP(A99, KeyData!A:C,1,FALSE)</f>
        <v>#N/A</v>
      </c>
      <c r="P99" s="451"/>
    </row>
    <row r="100" spans="1:16">
      <c r="A100" s="451" t="str">
        <f t="shared" si="1"/>
        <v>122622000_200</v>
      </c>
      <c r="B100" s="1016" t="s">
        <v>1185</v>
      </c>
      <c r="C100" s="810" t="s">
        <v>1186</v>
      </c>
      <c r="D100" s="808" t="s">
        <v>1149</v>
      </c>
      <c r="E100" s="808" t="s">
        <v>1138</v>
      </c>
      <c r="F100" s="612"/>
      <c r="G100" s="612">
        <v>-12502974.852</v>
      </c>
      <c r="H100" s="612">
        <v>-15514224.491</v>
      </c>
      <c r="I100" s="612">
        <v>-16522772.628</v>
      </c>
      <c r="J100" s="612">
        <v>-15514224.491</v>
      </c>
      <c r="K100" s="612">
        <v>-15514224.491</v>
      </c>
      <c r="L100" s="613">
        <v>-20994689.510000002</v>
      </c>
      <c r="M100" s="451"/>
      <c r="N100" t="e">
        <f>VLOOKUP(A100, 'P&amp;L'!A:B,1,FALSE)</f>
        <v>#N/A</v>
      </c>
      <c r="O100" t="e">
        <f>VLOOKUP(A100, KeyData!A:C,1,FALSE)</f>
        <v>#N/A</v>
      </c>
      <c r="P100" s="451"/>
    </row>
    <row r="101" spans="1:16">
      <c r="A101" s="451" t="str">
        <f t="shared" si="1"/>
        <v>122622000_210</v>
      </c>
      <c r="B101" s="1016" t="s">
        <v>1185</v>
      </c>
      <c r="C101" s="810" t="s">
        <v>1186</v>
      </c>
      <c r="D101" s="808" t="s">
        <v>1150</v>
      </c>
      <c r="E101" s="808" t="s">
        <v>1151</v>
      </c>
      <c r="F101" s="612"/>
      <c r="G101" s="612">
        <v>-4079049.5580000002</v>
      </c>
      <c r="H101" s="612">
        <v>-2039165.801</v>
      </c>
      <c r="I101" s="612">
        <v>-4473283.977</v>
      </c>
      <c r="J101" s="612">
        <v>-4142235.443</v>
      </c>
      <c r="K101" s="612">
        <v>-4106396.09</v>
      </c>
      <c r="L101" s="613">
        <v>-3988491.4380000001</v>
      </c>
      <c r="M101" s="451"/>
      <c r="N101" t="e">
        <f>VLOOKUP(A101, 'P&amp;L'!A:B,1,FALSE)</f>
        <v>#N/A</v>
      </c>
      <c r="O101" t="e">
        <f>VLOOKUP(A101, KeyData!A:C,1,FALSE)</f>
        <v>#N/A</v>
      </c>
      <c r="P101" s="451"/>
    </row>
    <row r="102" spans="1:16">
      <c r="A102" s="451" t="str">
        <f t="shared" si="1"/>
        <v>122622000_220</v>
      </c>
      <c r="B102" s="1016" t="s">
        <v>1185</v>
      </c>
      <c r="C102" s="810" t="s">
        <v>1186</v>
      </c>
      <c r="D102" s="808" t="s">
        <v>1152</v>
      </c>
      <c r="E102" s="808" t="s">
        <v>1153</v>
      </c>
      <c r="F102" s="612"/>
      <c r="G102" s="612">
        <v>10021.191999999999</v>
      </c>
      <c r="H102" s="612"/>
      <c r="I102" s="612"/>
      <c r="J102" s="612"/>
      <c r="K102" s="612"/>
      <c r="L102" s="613"/>
      <c r="M102" s="451"/>
      <c r="N102" t="e">
        <f>VLOOKUP(A102, 'P&amp;L'!A:B,1,FALSE)</f>
        <v>#N/A</v>
      </c>
      <c r="O102" t="e">
        <f>VLOOKUP(A102, KeyData!A:C,1,FALSE)</f>
        <v>#N/A</v>
      </c>
      <c r="P102" s="451"/>
    </row>
    <row r="103" spans="1:16">
      <c r="A103" s="451" t="str">
        <f t="shared" si="1"/>
        <v>122622000_222</v>
      </c>
      <c r="B103" s="1016" t="s">
        <v>1185</v>
      </c>
      <c r="C103" s="810" t="s">
        <v>1186</v>
      </c>
      <c r="D103" s="808" t="s">
        <v>1173</v>
      </c>
      <c r="E103" s="808" t="s">
        <v>1174</v>
      </c>
      <c r="F103" s="612"/>
      <c r="G103" s="612">
        <v>329719.56199999998</v>
      </c>
      <c r="H103" s="612">
        <v>650869.62</v>
      </c>
      <c r="I103" s="612"/>
      <c r="J103" s="612">
        <v>460919.62</v>
      </c>
      <c r="K103" s="612">
        <v>650869.62</v>
      </c>
      <c r="L103" s="613"/>
      <c r="M103" s="451"/>
      <c r="N103" t="e">
        <f>VLOOKUP(A103, 'P&amp;L'!A:B,1,FALSE)</f>
        <v>#N/A</v>
      </c>
      <c r="O103" t="e">
        <f>VLOOKUP(A103, KeyData!A:C,1,FALSE)</f>
        <v>#N/A</v>
      </c>
      <c r="P103" s="451"/>
    </row>
    <row r="104" spans="1:16">
      <c r="A104" s="451" t="str">
        <f t="shared" si="1"/>
        <v>122622000_235</v>
      </c>
      <c r="B104" s="1016" t="s">
        <v>1185</v>
      </c>
      <c r="C104" s="810" t="s">
        <v>1186</v>
      </c>
      <c r="D104" s="808" t="s">
        <v>1175</v>
      </c>
      <c r="E104" s="808" t="s">
        <v>1176</v>
      </c>
      <c r="F104" s="612"/>
      <c r="G104" s="612">
        <v>691681.11899999995</v>
      </c>
      <c r="H104" s="612">
        <v>-2031527.2949999999</v>
      </c>
      <c r="I104" s="612"/>
      <c r="J104" s="612">
        <v>-2036743.9939999999</v>
      </c>
      <c r="K104" s="612">
        <v>-2036743.9939999999</v>
      </c>
      <c r="L104" s="613"/>
      <c r="M104" s="451"/>
      <c r="N104" t="e">
        <f>VLOOKUP(A104, 'P&amp;L'!A:B,1,FALSE)</f>
        <v>#N/A</v>
      </c>
      <c r="O104" t="e">
        <f>VLOOKUP(A104, KeyData!A:C,1,FALSE)</f>
        <v>#N/A</v>
      </c>
      <c r="P104" s="451"/>
    </row>
    <row r="105" spans="1:16">
      <c r="A105" s="451" t="str">
        <f t="shared" si="1"/>
        <v>122622000_260</v>
      </c>
      <c r="B105" s="1016" t="s">
        <v>1185</v>
      </c>
      <c r="C105" s="810" t="s">
        <v>1186</v>
      </c>
      <c r="D105" s="808" t="s">
        <v>1155</v>
      </c>
      <c r="E105" s="808" t="s">
        <v>1148</v>
      </c>
      <c r="F105" s="612"/>
      <c r="G105" s="612">
        <v>0</v>
      </c>
      <c r="H105" s="612">
        <v>0</v>
      </c>
      <c r="I105" s="612"/>
      <c r="J105" s="612">
        <v>0</v>
      </c>
      <c r="K105" s="612">
        <v>0</v>
      </c>
      <c r="L105" s="613"/>
      <c r="M105" s="451"/>
      <c r="N105" t="e">
        <f>VLOOKUP(A105, 'P&amp;L'!A:B,1,FALSE)</f>
        <v>#N/A</v>
      </c>
      <c r="O105" t="e">
        <f>VLOOKUP(A105, KeyData!A:C,1,FALSE)</f>
        <v>#N/A</v>
      </c>
      <c r="P105" s="451"/>
    </row>
    <row r="106" spans="1:16">
      <c r="A106" s="451" t="str">
        <f t="shared" si="1"/>
        <v>122622000_Result</v>
      </c>
      <c r="B106" s="1016" t="s">
        <v>1185</v>
      </c>
      <c r="C106" s="810" t="s">
        <v>1186</v>
      </c>
      <c r="D106" s="842" t="s">
        <v>1156</v>
      </c>
      <c r="E106" s="840"/>
      <c r="F106" s="836"/>
      <c r="G106" s="836">
        <v>18418432.936999999</v>
      </c>
      <c r="H106" s="836">
        <v>16689115.074999999</v>
      </c>
      <c r="I106" s="836">
        <v>19410549.048999999</v>
      </c>
      <c r="J106" s="836">
        <v>16729472.338</v>
      </c>
      <c r="K106" s="836">
        <v>15748784.047</v>
      </c>
      <c r="L106" s="838">
        <v>13527317.149</v>
      </c>
      <c r="M106" s="451"/>
      <c r="N106" t="e">
        <f>VLOOKUP(A106, 'P&amp;L'!A:B,1,FALSE)</f>
        <v>#N/A</v>
      </c>
      <c r="O106" t="e">
        <f>VLOOKUP(A106, KeyData!A:C,1,FALSE)</f>
        <v>#N/A</v>
      </c>
      <c r="P106" s="451"/>
    </row>
    <row r="107" spans="1:16">
      <c r="A107" s="451" t="str">
        <f t="shared" si="1"/>
        <v>122627000_100</v>
      </c>
      <c r="B107" s="1016" t="s">
        <v>1187</v>
      </c>
      <c r="C107" s="810" t="s">
        <v>1188</v>
      </c>
      <c r="D107" s="808" t="s">
        <v>1137</v>
      </c>
      <c r="E107" s="808" t="s">
        <v>1138</v>
      </c>
      <c r="F107" s="612"/>
      <c r="G107" s="612">
        <v>1508341.1329999999</v>
      </c>
      <c r="H107" s="612">
        <v>1363340.7409999999</v>
      </c>
      <c r="I107" s="612">
        <v>1534328.33</v>
      </c>
      <c r="J107" s="612">
        <v>1363340.7409999999</v>
      </c>
      <c r="K107" s="612">
        <v>1363340.7409999999</v>
      </c>
      <c r="L107" s="613">
        <v>888745.79700000002</v>
      </c>
      <c r="M107" s="451"/>
      <c r="N107" t="e">
        <f>VLOOKUP(A107, 'P&amp;L'!A:B,1,FALSE)</f>
        <v>#N/A</v>
      </c>
      <c r="O107" t="e">
        <f>VLOOKUP(A107, KeyData!A:C,1,FALSE)</f>
        <v>#N/A</v>
      </c>
      <c r="P107" s="451"/>
    </row>
    <row r="108" spans="1:16">
      <c r="A108" s="451" t="str">
        <f t="shared" si="1"/>
        <v>122627000_110</v>
      </c>
      <c r="B108" s="1016" t="s">
        <v>1187</v>
      </c>
      <c r="C108" s="810" t="s">
        <v>1188</v>
      </c>
      <c r="D108" s="808" t="s">
        <v>1139</v>
      </c>
      <c r="E108" s="808" t="s">
        <v>1140</v>
      </c>
      <c r="F108" s="612"/>
      <c r="G108" s="612">
        <v>172798.96900000001</v>
      </c>
      <c r="H108" s="612">
        <v>87260.607000000004</v>
      </c>
      <c r="I108" s="612">
        <v>265276.076</v>
      </c>
      <c r="J108" s="612">
        <v>27884.2</v>
      </c>
      <c r="K108" s="612">
        <v>29187.200000000001</v>
      </c>
      <c r="L108" s="613">
        <v>48382.597999999998</v>
      </c>
      <c r="M108" s="451"/>
      <c r="N108" t="e">
        <f>VLOOKUP(A108, 'P&amp;L'!A:B,1,FALSE)</f>
        <v>#N/A</v>
      </c>
      <c r="O108" t="str">
        <f>VLOOKUP(A108, KeyData!A:C,1,FALSE)</f>
        <v>122627000_110</v>
      </c>
      <c r="P108" s="451"/>
    </row>
    <row r="109" spans="1:16">
      <c r="A109" s="451" t="str">
        <f t="shared" si="1"/>
        <v>122627000_122</v>
      </c>
      <c r="B109" s="1016" t="s">
        <v>1187</v>
      </c>
      <c r="C109" s="810" t="s">
        <v>1188</v>
      </c>
      <c r="D109" s="808" t="s">
        <v>1167</v>
      </c>
      <c r="E109" s="808" t="s">
        <v>1168</v>
      </c>
      <c r="F109" s="612"/>
      <c r="G109" s="612">
        <v>-9545.3700000000008</v>
      </c>
      <c r="H109" s="612"/>
      <c r="I109" s="612"/>
      <c r="J109" s="612"/>
      <c r="K109" s="612"/>
      <c r="L109" s="613"/>
      <c r="M109" s="451"/>
      <c r="N109" t="e">
        <f>VLOOKUP(A109, 'P&amp;L'!A:B,1,FALSE)</f>
        <v>#N/A</v>
      </c>
      <c r="O109" t="e">
        <f>VLOOKUP(A109, KeyData!A:C,1,FALSE)</f>
        <v>#N/A</v>
      </c>
      <c r="P109" s="451"/>
    </row>
    <row r="110" spans="1:16">
      <c r="A110" s="451" t="str">
        <f t="shared" si="1"/>
        <v>122627000_135</v>
      </c>
      <c r="B110" s="1016" t="s">
        <v>1187</v>
      </c>
      <c r="C110" s="810" t="s">
        <v>1188</v>
      </c>
      <c r="D110" s="808" t="s">
        <v>1143</v>
      </c>
      <c r="E110" s="808" t="s">
        <v>1144</v>
      </c>
      <c r="F110" s="612"/>
      <c r="G110" s="612">
        <v>-261573.92300000001</v>
      </c>
      <c r="H110" s="612">
        <v>-505567.25400000002</v>
      </c>
      <c r="I110" s="612"/>
      <c r="J110" s="612">
        <v>-505085.14399999997</v>
      </c>
      <c r="K110" s="612">
        <v>-505085.14399999997</v>
      </c>
      <c r="L110" s="613"/>
      <c r="M110" s="451"/>
      <c r="N110" t="e">
        <f>VLOOKUP(A110, 'P&amp;L'!A:B,1,FALSE)</f>
        <v>#N/A</v>
      </c>
      <c r="O110" t="e">
        <f>VLOOKUP(A110, KeyData!A:C,1,FALSE)</f>
        <v>#N/A</v>
      </c>
      <c r="P110" s="451"/>
    </row>
    <row r="111" spans="1:16">
      <c r="A111" s="451" t="str">
        <f t="shared" si="1"/>
        <v>122627000_160</v>
      </c>
      <c r="B111" s="1016" t="s">
        <v>1187</v>
      </c>
      <c r="C111" s="810" t="s">
        <v>1188</v>
      </c>
      <c r="D111" s="808" t="s">
        <v>1147</v>
      </c>
      <c r="E111" s="808" t="s">
        <v>1148</v>
      </c>
      <c r="F111" s="612"/>
      <c r="G111" s="612">
        <v>0</v>
      </c>
      <c r="H111" s="612">
        <v>0</v>
      </c>
      <c r="I111" s="612"/>
      <c r="J111" s="612">
        <v>0</v>
      </c>
      <c r="K111" s="612">
        <v>0</v>
      </c>
      <c r="L111" s="613"/>
      <c r="M111" s="451"/>
      <c r="N111" t="e">
        <f>VLOOKUP(A111, 'P&amp;L'!A:B,1,FALSE)</f>
        <v>#N/A</v>
      </c>
      <c r="O111" t="e">
        <f>VLOOKUP(A111, KeyData!A:C,1,FALSE)</f>
        <v>#N/A</v>
      </c>
      <c r="P111" s="451"/>
    </row>
    <row r="112" spans="1:16">
      <c r="A112" s="451" t="str">
        <f t="shared" si="1"/>
        <v>122627000_200</v>
      </c>
      <c r="B112" s="1016" t="s">
        <v>1187</v>
      </c>
      <c r="C112" s="810" t="s">
        <v>1188</v>
      </c>
      <c r="D112" s="808" t="s">
        <v>1149</v>
      </c>
      <c r="E112" s="808" t="s">
        <v>1138</v>
      </c>
      <c r="F112" s="612"/>
      <c r="G112" s="612">
        <v>-1164655.6399999999</v>
      </c>
      <c r="H112" s="612">
        <v>-1177136.986</v>
      </c>
      <c r="I112" s="612">
        <v>-1371997.115</v>
      </c>
      <c r="J112" s="612">
        <v>-1177136.986</v>
      </c>
      <c r="K112" s="612">
        <v>-1177136.986</v>
      </c>
      <c r="L112" s="613">
        <v>-725091.82799999998</v>
      </c>
      <c r="M112" s="451"/>
      <c r="N112" t="e">
        <f>VLOOKUP(A112, 'P&amp;L'!A:B,1,FALSE)</f>
        <v>#N/A</v>
      </c>
      <c r="O112" t="e">
        <f>VLOOKUP(A112, KeyData!A:C,1,FALSE)</f>
        <v>#N/A</v>
      </c>
      <c r="P112" s="451"/>
    </row>
    <row r="113" spans="1:16">
      <c r="A113" s="451" t="str">
        <f t="shared" si="1"/>
        <v>122627000_210</v>
      </c>
      <c r="B113" s="1016" t="s">
        <v>1187</v>
      </c>
      <c r="C113" s="810" t="s">
        <v>1188</v>
      </c>
      <c r="D113" s="808" t="s">
        <v>1150</v>
      </c>
      <c r="E113" s="808" t="s">
        <v>1151</v>
      </c>
      <c r="F113" s="612"/>
      <c r="G113" s="612">
        <v>-311528.19900000002</v>
      </c>
      <c r="H113" s="612">
        <v>-36929.642</v>
      </c>
      <c r="I113" s="612">
        <v>-53654.16</v>
      </c>
      <c r="J113" s="612">
        <v>-52442.008000000002</v>
      </c>
      <c r="K113" s="612">
        <v>-52615.741000000002</v>
      </c>
      <c r="L113" s="613">
        <v>-62329.99</v>
      </c>
      <c r="M113" s="451"/>
      <c r="N113" t="e">
        <f>VLOOKUP(A113, 'P&amp;L'!A:B,1,FALSE)</f>
        <v>#N/A</v>
      </c>
      <c r="O113" t="e">
        <f>VLOOKUP(A113, KeyData!A:C,1,FALSE)</f>
        <v>#N/A</v>
      </c>
      <c r="P113" s="451"/>
    </row>
    <row r="114" spans="1:16">
      <c r="A114" s="451" t="str">
        <f t="shared" si="1"/>
        <v>122627000_222</v>
      </c>
      <c r="B114" s="1016" t="s">
        <v>1187</v>
      </c>
      <c r="C114" s="810" t="s">
        <v>1188</v>
      </c>
      <c r="D114" s="808" t="s">
        <v>1173</v>
      </c>
      <c r="E114" s="808" t="s">
        <v>1174</v>
      </c>
      <c r="F114" s="612"/>
      <c r="G114" s="612">
        <v>9545.3700000000008</v>
      </c>
      <c r="H114" s="612"/>
      <c r="I114" s="612"/>
      <c r="J114" s="612"/>
      <c r="K114" s="612"/>
      <c r="L114" s="613"/>
      <c r="M114" s="451"/>
      <c r="N114" t="e">
        <f>VLOOKUP(A114, 'P&amp;L'!A:B,1,FALSE)</f>
        <v>#N/A</v>
      </c>
      <c r="O114" t="e">
        <f>VLOOKUP(A114, KeyData!A:C,1,FALSE)</f>
        <v>#N/A</v>
      </c>
      <c r="P114" s="451"/>
    </row>
    <row r="115" spans="1:16">
      <c r="A115" s="451" t="str">
        <f t="shared" si="1"/>
        <v>122627000_235</v>
      </c>
      <c r="B115" s="1016" t="s">
        <v>1187</v>
      </c>
      <c r="C115" s="810" t="s">
        <v>1188</v>
      </c>
      <c r="D115" s="808" t="s">
        <v>1175</v>
      </c>
      <c r="E115" s="808" t="s">
        <v>1176</v>
      </c>
      <c r="F115" s="612"/>
      <c r="G115" s="612">
        <v>262270.74699999997</v>
      </c>
      <c r="H115" s="612">
        <v>505077.08299999998</v>
      </c>
      <c r="I115" s="612"/>
      <c r="J115" s="612">
        <v>504594.973</v>
      </c>
      <c r="K115" s="612">
        <v>504594.973</v>
      </c>
      <c r="L115" s="613"/>
      <c r="M115" s="451"/>
      <c r="N115" t="e">
        <f>VLOOKUP(A115, 'P&amp;L'!A:B,1,FALSE)</f>
        <v>#N/A</v>
      </c>
      <c r="O115" t="e">
        <f>VLOOKUP(A115, KeyData!A:C,1,FALSE)</f>
        <v>#N/A</v>
      </c>
      <c r="P115" s="451"/>
    </row>
    <row r="116" spans="1:16">
      <c r="A116" s="451" t="str">
        <f t="shared" si="1"/>
        <v>122627000_260</v>
      </c>
      <c r="B116" s="1016" t="s">
        <v>1187</v>
      </c>
      <c r="C116" s="810" t="s">
        <v>1188</v>
      </c>
      <c r="D116" s="808" t="s">
        <v>1155</v>
      </c>
      <c r="E116" s="808" t="s">
        <v>1148</v>
      </c>
      <c r="F116" s="612"/>
      <c r="G116" s="612">
        <v>0</v>
      </c>
      <c r="H116" s="612">
        <v>0</v>
      </c>
      <c r="I116" s="612"/>
      <c r="J116" s="612">
        <v>0</v>
      </c>
      <c r="K116" s="612">
        <v>0</v>
      </c>
      <c r="L116" s="613"/>
      <c r="M116" s="451"/>
      <c r="N116" t="e">
        <f>VLOOKUP(A116, 'P&amp;L'!A:B,1,FALSE)</f>
        <v>#N/A</v>
      </c>
      <c r="O116" t="e">
        <f>VLOOKUP(A116, KeyData!A:C,1,FALSE)</f>
        <v>#N/A</v>
      </c>
      <c r="P116" s="451"/>
    </row>
    <row r="117" spans="1:16">
      <c r="A117" s="451" t="str">
        <f t="shared" si="1"/>
        <v>122627000_Result</v>
      </c>
      <c r="B117" s="1016" t="s">
        <v>1187</v>
      </c>
      <c r="C117" s="810" t="s">
        <v>1188</v>
      </c>
      <c r="D117" s="842" t="s">
        <v>1156</v>
      </c>
      <c r="E117" s="840"/>
      <c r="F117" s="836"/>
      <c r="G117" s="836">
        <v>205653.087</v>
      </c>
      <c r="H117" s="836">
        <v>236044.549</v>
      </c>
      <c r="I117" s="836">
        <v>373953.13099999999</v>
      </c>
      <c r="J117" s="836">
        <v>161155.77600000001</v>
      </c>
      <c r="K117" s="836">
        <v>162285.04300000001</v>
      </c>
      <c r="L117" s="838">
        <v>149706.57699999999</v>
      </c>
      <c r="M117" s="451"/>
      <c r="N117" t="e">
        <f>VLOOKUP(A117, 'P&amp;L'!A:B,1,FALSE)</f>
        <v>#N/A</v>
      </c>
      <c r="O117" t="e">
        <f>VLOOKUP(A117, KeyData!A:C,1,FALSE)</f>
        <v>#N/A</v>
      </c>
      <c r="P117" s="451"/>
    </row>
    <row r="118" spans="1:16">
      <c r="A118" s="451" t="str">
        <f t="shared" si="1"/>
        <v>122628000_100</v>
      </c>
      <c r="B118" s="1016" t="s">
        <v>1189</v>
      </c>
      <c r="C118" s="810" t="s">
        <v>1190</v>
      </c>
      <c r="D118" s="808" t="s">
        <v>1137</v>
      </c>
      <c r="E118" s="808" t="s">
        <v>1138</v>
      </c>
      <c r="F118" s="612"/>
      <c r="G118" s="612">
        <v>41419.396000000001</v>
      </c>
      <c r="H118" s="612">
        <v>29434.407999999999</v>
      </c>
      <c r="I118" s="612">
        <v>70414.337</v>
      </c>
      <c r="J118" s="612">
        <v>29434.407999999999</v>
      </c>
      <c r="K118" s="612">
        <v>29434.407999999999</v>
      </c>
      <c r="L118" s="613">
        <v>29434.407999999999</v>
      </c>
      <c r="M118" s="451"/>
      <c r="N118" t="e">
        <f>VLOOKUP(A118, 'P&amp;L'!A:B,1,FALSE)</f>
        <v>#N/A</v>
      </c>
      <c r="O118" t="e">
        <f>VLOOKUP(A118, KeyData!A:C,1,FALSE)</f>
        <v>#N/A</v>
      </c>
      <c r="P118" s="451"/>
    </row>
    <row r="119" spans="1:16">
      <c r="A119" s="451" t="str">
        <f t="shared" si="1"/>
        <v>122628000_110</v>
      </c>
      <c r="B119" s="1016" t="s">
        <v>1189</v>
      </c>
      <c r="C119" s="810" t="s">
        <v>1190</v>
      </c>
      <c r="D119" s="808" t="s">
        <v>1139</v>
      </c>
      <c r="E119" s="808" t="s">
        <v>1140</v>
      </c>
      <c r="F119" s="612"/>
      <c r="G119" s="612">
        <v>32149.896000000001</v>
      </c>
      <c r="H119" s="612"/>
      <c r="I119" s="612"/>
      <c r="J119" s="612"/>
      <c r="K119" s="612"/>
      <c r="L119" s="613">
        <v>13834.295</v>
      </c>
      <c r="M119" s="451"/>
      <c r="N119" t="e">
        <f>VLOOKUP(A119, 'P&amp;L'!A:B,1,FALSE)</f>
        <v>#N/A</v>
      </c>
      <c r="O119" t="e">
        <f>VLOOKUP(A119, KeyData!A:C,1,FALSE)</f>
        <v>#N/A</v>
      </c>
      <c r="P119" s="451"/>
    </row>
    <row r="120" spans="1:16">
      <c r="A120" s="451" t="str">
        <f t="shared" si="1"/>
        <v>122628000_120</v>
      </c>
      <c r="B120" s="1016" t="s">
        <v>1189</v>
      </c>
      <c r="C120" s="810" t="s">
        <v>1190</v>
      </c>
      <c r="D120" s="808" t="s">
        <v>1141</v>
      </c>
      <c r="E120" s="808" t="s">
        <v>1142</v>
      </c>
      <c r="F120" s="612"/>
      <c r="G120" s="612">
        <v>-31535.157999999999</v>
      </c>
      <c r="H120" s="612"/>
      <c r="I120" s="612"/>
      <c r="J120" s="612"/>
      <c r="K120" s="612"/>
      <c r="L120" s="613"/>
      <c r="M120" s="451"/>
      <c r="N120" t="e">
        <f>VLOOKUP(A120, 'P&amp;L'!A:B,1,FALSE)</f>
        <v>#N/A</v>
      </c>
      <c r="O120" t="e">
        <f>VLOOKUP(A120, KeyData!A:C,1,FALSE)</f>
        <v>#N/A</v>
      </c>
      <c r="P120" s="451"/>
    </row>
    <row r="121" spans="1:16">
      <c r="A121" s="451" t="str">
        <f t="shared" si="1"/>
        <v>122628000_135</v>
      </c>
      <c r="B121" s="1016" t="s">
        <v>1189</v>
      </c>
      <c r="C121" s="810" t="s">
        <v>1190</v>
      </c>
      <c r="D121" s="808" t="s">
        <v>1143</v>
      </c>
      <c r="E121" s="808" t="s">
        <v>1144</v>
      </c>
      <c r="F121" s="612"/>
      <c r="G121" s="612">
        <v>1536.779</v>
      </c>
      <c r="H121" s="612"/>
      <c r="I121" s="612"/>
      <c r="J121" s="612"/>
      <c r="K121" s="612"/>
      <c r="L121" s="613"/>
      <c r="M121" s="451"/>
      <c r="N121" t="e">
        <f>VLOOKUP(A121, 'P&amp;L'!A:B,1,FALSE)</f>
        <v>#N/A</v>
      </c>
      <c r="O121" t="e">
        <f>VLOOKUP(A121, KeyData!A:C,1,FALSE)</f>
        <v>#N/A</v>
      </c>
      <c r="P121" s="451"/>
    </row>
    <row r="122" spans="1:16">
      <c r="A122" s="451" t="str">
        <f t="shared" si="1"/>
        <v>122628000_160</v>
      </c>
      <c r="B122" s="1016" t="s">
        <v>1189</v>
      </c>
      <c r="C122" s="810" t="s">
        <v>1190</v>
      </c>
      <c r="D122" s="808" t="s">
        <v>1147</v>
      </c>
      <c r="E122" s="808" t="s">
        <v>1148</v>
      </c>
      <c r="F122" s="612"/>
      <c r="G122" s="612">
        <v>0</v>
      </c>
      <c r="H122" s="612">
        <v>0</v>
      </c>
      <c r="I122" s="612"/>
      <c r="J122" s="612">
        <v>0</v>
      </c>
      <c r="K122" s="612">
        <v>0</v>
      </c>
      <c r="L122" s="613"/>
      <c r="M122" s="451"/>
      <c r="N122" t="e">
        <f>VLOOKUP(A122, 'P&amp;L'!A:B,1,FALSE)</f>
        <v>#N/A</v>
      </c>
      <c r="O122" t="e">
        <f>VLOOKUP(A122, KeyData!A:C,1,FALSE)</f>
        <v>#N/A</v>
      </c>
      <c r="P122" s="451"/>
    </row>
    <row r="123" spans="1:16">
      <c r="A123" s="451" t="str">
        <f t="shared" si="1"/>
        <v>122628000_200</v>
      </c>
      <c r="B123" s="1016" t="s">
        <v>1189</v>
      </c>
      <c r="C123" s="810" t="s">
        <v>1190</v>
      </c>
      <c r="D123" s="808" t="s">
        <v>1149</v>
      </c>
      <c r="E123" s="808" t="s">
        <v>1138</v>
      </c>
      <c r="F123" s="612"/>
      <c r="G123" s="612">
        <v>-23267.156999999999</v>
      </c>
      <c r="H123" s="612">
        <v>-6914.1639999999998</v>
      </c>
      <c r="I123" s="612">
        <v>-95139.171000000002</v>
      </c>
      <c r="J123" s="612">
        <v>-6914.1639999999998</v>
      </c>
      <c r="K123" s="612">
        <v>-6914.1639999999998</v>
      </c>
      <c r="L123" s="613">
        <v>-27620.853999999999</v>
      </c>
      <c r="M123" s="451"/>
      <c r="N123" t="e">
        <f>VLOOKUP(A123, 'P&amp;L'!A:B,1,FALSE)</f>
        <v>#N/A</v>
      </c>
      <c r="O123" t="e">
        <f>VLOOKUP(A123, KeyData!A:C,1,FALSE)</f>
        <v>#N/A</v>
      </c>
      <c r="P123" s="451"/>
    </row>
    <row r="124" spans="1:16">
      <c r="A124" s="451" t="str">
        <f t="shared" si="1"/>
        <v>122628000_210</v>
      </c>
      <c r="B124" s="1016" t="s">
        <v>1189</v>
      </c>
      <c r="C124" s="810" t="s">
        <v>1190</v>
      </c>
      <c r="D124" s="808" t="s">
        <v>1150</v>
      </c>
      <c r="E124" s="808" t="s">
        <v>1151</v>
      </c>
      <c r="F124" s="612"/>
      <c r="G124" s="612">
        <v>-13594.985000000001</v>
      </c>
      <c r="H124" s="612">
        <v>-6507.6660000000002</v>
      </c>
      <c r="I124" s="612">
        <v>-14404.668</v>
      </c>
      <c r="J124" s="612">
        <v>-20706.689999999999</v>
      </c>
      <c r="K124" s="612">
        <v>-20706.689999999999</v>
      </c>
      <c r="L124" s="613">
        <v>-13121.316000000001</v>
      </c>
      <c r="M124" s="451"/>
      <c r="N124" t="e">
        <f>VLOOKUP(A124, 'P&amp;L'!A:B,1,FALSE)</f>
        <v>#N/A</v>
      </c>
      <c r="O124" t="e">
        <f>VLOOKUP(A124, KeyData!A:C,1,FALSE)</f>
        <v>#N/A</v>
      </c>
      <c r="P124" s="451"/>
    </row>
    <row r="125" spans="1:16">
      <c r="A125" s="451" t="str">
        <f t="shared" si="1"/>
        <v>122628000_220</v>
      </c>
      <c r="B125" s="1016" t="s">
        <v>1189</v>
      </c>
      <c r="C125" s="810" t="s">
        <v>1190</v>
      </c>
      <c r="D125" s="808" t="s">
        <v>1152</v>
      </c>
      <c r="E125" s="808" t="s">
        <v>1153</v>
      </c>
      <c r="F125" s="612"/>
      <c r="G125" s="612">
        <v>26161.704000000002</v>
      </c>
      <c r="H125" s="612"/>
      <c r="I125" s="612"/>
      <c r="J125" s="612"/>
      <c r="K125" s="612"/>
      <c r="L125" s="613"/>
      <c r="M125" s="451"/>
      <c r="N125" t="e">
        <f>VLOOKUP(A125, 'P&amp;L'!A:B,1,FALSE)</f>
        <v>#N/A</v>
      </c>
      <c r="O125" t="e">
        <f>VLOOKUP(A125, KeyData!A:C,1,FALSE)</f>
        <v>#N/A</v>
      </c>
      <c r="P125" s="451"/>
    </row>
    <row r="126" spans="1:16">
      <c r="A126" s="451" t="str">
        <f t="shared" si="1"/>
        <v>122628000_235</v>
      </c>
      <c r="B126" s="1016" t="s">
        <v>1189</v>
      </c>
      <c r="C126" s="810" t="s">
        <v>1190</v>
      </c>
      <c r="D126" s="808" t="s">
        <v>1175</v>
      </c>
      <c r="E126" s="808" t="s">
        <v>1176</v>
      </c>
      <c r="F126" s="612"/>
      <c r="G126" s="612">
        <v>-1322.5250000000001</v>
      </c>
      <c r="H126" s="612"/>
      <c r="I126" s="612"/>
      <c r="J126" s="612"/>
      <c r="K126" s="612"/>
      <c r="L126" s="613"/>
      <c r="M126" s="451"/>
      <c r="N126" t="e">
        <f>VLOOKUP(A126, 'P&amp;L'!A:B,1,FALSE)</f>
        <v>#N/A</v>
      </c>
      <c r="O126" t="e">
        <f>VLOOKUP(A126, KeyData!A:C,1,FALSE)</f>
        <v>#N/A</v>
      </c>
      <c r="P126" s="451"/>
    </row>
    <row r="127" spans="1:16">
      <c r="A127" s="451" t="str">
        <f t="shared" si="1"/>
        <v>122628000_260</v>
      </c>
      <c r="B127" s="1016" t="s">
        <v>1189</v>
      </c>
      <c r="C127" s="810" t="s">
        <v>1190</v>
      </c>
      <c r="D127" s="808" t="s">
        <v>1155</v>
      </c>
      <c r="E127" s="808" t="s">
        <v>1148</v>
      </c>
      <c r="F127" s="612"/>
      <c r="G127" s="612">
        <v>0</v>
      </c>
      <c r="H127" s="612">
        <v>0</v>
      </c>
      <c r="I127" s="612"/>
      <c r="J127" s="612">
        <v>0</v>
      </c>
      <c r="K127" s="612">
        <v>0</v>
      </c>
      <c r="L127" s="613"/>
      <c r="M127" s="451"/>
      <c r="N127" t="e">
        <f>VLOOKUP(A127, 'P&amp;L'!A:B,1,FALSE)</f>
        <v>#N/A</v>
      </c>
      <c r="O127" t="e">
        <f>VLOOKUP(A127, KeyData!A:C,1,FALSE)</f>
        <v>#N/A</v>
      </c>
      <c r="P127" s="451"/>
    </row>
    <row r="128" spans="1:16">
      <c r="A128" s="451" t="str">
        <f t="shared" si="1"/>
        <v>122628000_Result</v>
      </c>
      <c r="B128" s="1016" t="s">
        <v>1189</v>
      </c>
      <c r="C128" s="810" t="s">
        <v>1190</v>
      </c>
      <c r="D128" s="842" t="s">
        <v>1156</v>
      </c>
      <c r="E128" s="840"/>
      <c r="F128" s="836"/>
      <c r="G128" s="836">
        <v>31547.95</v>
      </c>
      <c r="H128" s="836">
        <v>16012.578</v>
      </c>
      <c r="I128" s="836">
        <v>-39129.502</v>
      </c>
      <c r="J128" s="836">
        <v>1813.5540000000001</v>
      </c>
      <c r="K128" s="836">
        <v>1813.5540000000001</v>
      </c>
      <c r="L128" s="838">
        <v>2526.5329999999999</v>
      </c>
      <c r="M128" s="451"/>
      <c r="N128" t="e">
        <f>VLOOKUP(A128, 'P&amp;L'!A:B,1,FALSE)</f>
        <v>#N/A</v>
      </c>
      <c r="O128" t="e">
        <f>VLOOKUP(A128, KeyData!A:C,1,FALSE)</f>
        <v>#N/A</v>
      </c>
      <c r="P128" s="451"/>
    </row>
    <row r="129" spans="1:16">
      <c r="A129" s="451" t="str">
        <f t="shared" si="1"/>
        <v>122632000_100</v>
      </c>
      <c r="B129" s="1016" t="s">
        <v>1191</v>
      </c>
      <c r="C129" s="810" t="s">
        <v>1192</v>
      </c>
      <c r="D129" s="808" t="s">
        <v>1137</v>
      </c>
      <c r="E129" s="808" t="s">
        <v>1138</v>
      </c>
      <c r="F129" s="612"/>
      <c r="G129" s="612"/>
      <c r="H129" s="612">
        <v>455109.17300000001</v>
      </c>
      <c r="I129" s="612"/>
      <c r="J129" s="612">
        <v>455109.17300000001</v>
      </c>
      <c r="K129" s="612">
        <v>455109.17300000001</v>
      </c>
      <c r="L129" s="613">
        <v>1322272.848</v>
      </c>
      <c r="M129" s="451"/>
      <c r="N129" t="e">
        <f>VLOOKUP(A129, 'P&amp;L'!A:B,1,FALSE)</f>
        <v>#N/A</v>
      </c>
      <c r="O129" t="e">
        <f>VLOOKUP(A129, KeyData!A:C,1,FALSE)</f>
        <v>#N/A</v>
      </c>
      <c r="P129" s="451"/>
    </row>
    <row r="130" spans="1:16">
      <c r="A130" s="451" t="str">
        <f t="shared" si="1"/>
        <v>122632000_110</v>
      </c>
      <c r="B130" s="1016" t="s">
        <v>1191</v>
      </c>
      <c r="C130" s="810" t="s">
        <v>1192</v>
      </c>
      <c r="D130" s="808" t="s">
        <v>1139</v>
      </c>
      <c r="E130" s="808" t="s">
        <v>1140</v>
      </c>
      <c r="F130" s="612"/>
      <c r="G130" s="612">
        <v>504141.77899999998</v>
      </c>
      <c r="H130" s="612">
        <v>570555.24899999995</v>
      </c>
      <c r="I130" s="612"/>
      <c r="J130" s="612"/>
      <c r="K130" s="612"/>
      <c r="L130" s="613"/>
      <c r="M130" s="451"/>
      <c r="N130" t="e">
        <f>VLOOKUP(A130, 'P&amp;L'!A:B,1,FALSE)</f>
        <v>#N/A</v>
      </c>
      <c r="O130" t="str">
        <f>VLOOKUP(A130, KeyData!A:C,1,FALSE)</f>
        <v>122632000_110</v>
      </c>
      <c r="P130" s="451"/>
    </row>
    <row r="131" spans="1:16">
      <c r="A131" s="451" t="str">
        <f t="shared" ref="A131:A194" si="2" xml:space="preserve"> IFERROR(+B131*1,B131)&amp;"_"&amp;IFERROR(+D131*1,D131)</f>
        <v>122632000_130</v>
      </c>
      <c r="B131" s="1016" t="s">
        <v>1191</v>
      </c>
      <c r="C131" s="810" t="s">
        <v>1192</v>
      </c>
      <c r="D131" s="808" t="s">
        <v>1169</v>
      </c>
      <c r="E131" s="808" t="s">
        <v>1170</v>
      </c>
      <c r="F131" s="612"/>
      <c r="G131" s="612"/>
      <c r="H131" s="612">
        <v>-3534.7429999999999</v>
      </c>
      <c r="I131" s="612"/>
      <c r="J131" s="612"/>
      <c r="K131" s="612"/>
      <c r="L131" s="613"/>
      <c r="M131" s="451"/>
      <c r="N131" t="e">
        <f>VLOOKUP(A131, 'P&amp;L'!A:B,1,FALSE)</f>
        <v>#N/A</v>
      </c>
      <c r="O131" t="e">
        <f>VLOOKUP(A131, KeyData!A:C,1,FALSE)</f>
        <v>#N/A</v>
      </c>
      <c r="P131" s="451"/>
    </row>
    <row r="132" spans="1:16">
      <c r="A132" s="451" t="str">
        <f t="shared" si="2"/>
        <v>122632000_135</v>
      </c>
      <c r="B132" s="1016" t="s">
        <v>1191</v>
      </c>
      <c r="C132" s="810" t="s">
        <v>1192</v>
      </c>
      <c r="D132" s="808" t="s">
        <v>1143</v>
      </c>
      <c r="E132" s="808" t="s">
        <v>1144</v>
      </c>
      <c r="F132" s="612"/>
      <c r="G132" s="612"/>
      <c r="H132" s="612">
        <v>-32000</v>
      </c>
      <c r="I132" s="612"/>
      <c r="J132" s="612">
        <v>-32000</v>
      </c>
      <c r="K132" s="612">
        <v>-32000</v>
      </c>
      <c r="L132" s="613"/>
      <c r="M132" s="451"/>
      <c r="N132" t="e">
        <f>VLOOKUP(A132, 'P&amp;L'!A:B,1,FALSE)</f>
        <v>#N/A</v>
      </c>
      <c r="O132" t="e">
        <f>VLOOKUP(A132, KeyData!A:C,1,FALSE)</f>
        <v>#N/A</v>
      </c>
      <c r="P132" s="451"/>
    </row>
    <row r="133" spans="1:16">
      <c r="A133" s="451" t="str">
        <f t="shared" si="2"/>
        <v>122632000_160</v>
      </c>
      <c r="B133" s="1016" t="s">
        <v>1191</v>
      </c>
      <c r="C133" s="810" t="s">
        <v>1192</v>
      </c>
      <c r="D133" s="808" t="s">
        <v>1147</v>
      </c>
      <c r="E133" s="808" t="s">
        <v>1148</v>
      </c>
      <c r="F133" s="612"/>
      <c r="G133" s="612">
        <v>0</v>
      </c>
      <c r="H133" s="612">
        <v>0</v>
      </c>
      <c r="I133" s="612"/>
      <c r="J133" s="612">
        <v>0</v>
      </c>
      <c r="K133" s="612">
        <v>0</v>
      </c>
      <c r="L133" s="613"/>
      <c r="M133" s="451"/>
      <c r="N133" t="e">
        <f>VLOOKUP(A133, 'P&amp;L'!A:B,1,FALSE)</f>
        <v>#N/A</v>
      </c>
      <c r="O133" t="e">
        <f>VLOOKUP(A133, KeyData!A:C,1,FALSE)</f>
        <v>#N/A</v>
      </c>
      <c r="P133" s="451"/>
    </row>
    <row r="134" spans="1:16">
      <c r="A134" s="451" t="str">
        <f t="shared" si="2"/>
        <v>122632000_Result</v>
      </c>
      <c r="B134" s="1016" t="s">
        <v>1191</v>
      </c>
      <c r="C134" s="810" t="s">
        <v>1192</v>
      </c>
      <c r="D134" s="842" t="s">
        <v>1156</v>
      </c>
      <c r="E134" s="840"/>
      <c r="F134" s="836"/>
      <c r="G134" s="836">
        <v>504141.77899999998</v>
      </c>
      <c r="H134" s="836">
        <v>990129.679</v>
      </c>
      <c r="I134" s="836"/>
      <c r="J134" s="836">
        <v>423109.17300000001</v>
      </c>
      <c r="K134" s="836">
        <v>423109.17300000001</v>
      </c>
      <c r="L134" s="838">
        <v>1322272.848</v>
      </c>
      <c r="M134" s="451"/>
      <c r="N134" t="e">
        <f>VLOOKUP(A134, 'P&amp;L'!A:B,1,FALSE)</f>
        <v>#N/A</v>
      </c>
      <c r="O134" t="e">
        <f>VLOOKUP(A134, KeyData!A:C,1,FALSE)</f>
        <v>#N/A</v>
      </c>
      <c r="P134" s="451"/>
    </row>
    <row r="135" spans="1:16">
      <c r="A135" s="451" t="str">
        <f t="shared" si="2"/>
        <v>122637000_100</v>
      </c>
      <c r="B135" s="1016" t="s">
        <v>1193</v>
      </c>
      <c r="C135" s="810" t="s">
        <v>1194</v>
      </c>
      <c r="D135" s="808" t="s">
        <v>1137</v>
      </c>
      <c r="E135" s="808" t="s">
        <v>1138</v>
      </c>
      <c r="F135" s="612"/>
      <c r="G135" s="612">
        <v>4464854.7429999998</v>
      </c>
      <c r="H135" s="612">
        <v>4504306.7240000004</v>
      </c>
      <c r="I135" s="612">
        <v>4762366.6430000002</v>
      </c>
      <c r="J135" s="612">
        <v>4504306.7240000004</v>
      </c>
      <c r="K135" s="612">
        <v>4504306.7240000004</v>
      </c>
      <c r="L135" s="613">
        <v>4504306.7240000004</v>
      </c>
      <c r="M135" s="451"/>
      <c r="N135" t="e">
        <f>VLOOKUP(A135, 'P&amp;L'!A:B,1,FALSE)</f>
        <v>#N/A</v>
      </c>
      <c r="O135" t="e">
        <f>VLOOKUP(A135, KeyData!A:C,1,FALSE)</f>
        <v>#N/A</v>
      </c>
      <c r="P135" s="451"/>
    </row>
    <row r="136" spans="1:16">
      <c r="A136" s="451" t="str">
        <f t="shared" si="2"/>
        <v>122637000_110</v>
      </c>
      <c r="B136" s="1016" t="s">
        <v>1193</v>
      </c>
      <c r="C136" s="810" t="s">
        <v>1194</v>
      </c>
      <c r="D136" s="808" t="s">
        <v>1139</v>
      </c>
      <c r="E136" s="808" t="s">
        <v>1140</v>
      </c>
      <c r="F136" s="612"/>
      <c r="G136" s="612">
        <v>115601.981</v>
      </c>
      <c r="H136" s="612"/>
      <c r="I136" s="612">
        <v>147519</v>
      </c>
      <c r="J136" s="612">
        <v>148734.70000000001</v>
      </c>
      <c r="K136" s="612">
        <v>0</v>
      </c>
      <c r="L136" s="613">
        <v>163903</v>
      </c>
      <c r="M136" s="451"/>
      <c r="N136" t="e">
        <f>VLOOKUP(A136, 'P&amp;L'!A:B,1,FALSE)</f>
        <v>#N/A</v>
      </c>
      <c r="O136" t="str">
        <f>VLOOKUP(A136, KeyData!A:C,1,FALSE)</f>
        <v>122637000_110</v>
      </c>
      <c r="P136" s="451"/>
    </row>
    <row r="137" spans="1:16">
      <c r="A137" s="451" t="str">
        <f t="shared" si="2"/>
        <v>122637000_122</v>
      </c>
      <c r="B137" s="1016" t="s">
        <v>1193</v>
      </c>
      <c r="C137" s="810" t="s">
        <v>1194</v>
      </c>
      <c r="D137" s="808" t="s">
        <v>1167</v>
      </c>
      <c r="E137" s="808" t="s">
        <v>1168</v>
      </c>
      <c r="F137" s="612"/>
      <c r="G137" s="612">
        <v>-76150</v>
      </c>
      <c r="H137" s="612"/>
      <c r="I137" s="612"/>
      <c r="J137" s="612"/>
      <c r="K137" s="612"/>
      <c r="L137" s="613"/>
      <c r="M137" s="451"/>
      <c r="N137" t="e">
        <f>VLOOKUP(A137, 'P&amp;L'!A:B,1,FALSE)</f>
        <v>#N/A</v>
      </c>
      <c r="O137" t="e">
        <f>VLOOKUP(A137, KeyData!A:C,1,FALSE)</f>
        <v>#N/A</v>
      </c>
      <c r="P137" s="451"/>
    </row>
    <row r="138" spans="1:16">
      <c r="A138" s="451" t="str">
        <f t="shared" si="2"/>
        <v>122637000_160</v>
      </c>
      <c r="B138" s="1016" t="s">
        <v>1193</v>
      </c>
      <c r="C138" s="810" t="s">
        <v>1194</v>
      </c>
      <c r="D138" s="808" t="s">
        <v>1147</v>
      </c>
      <c r="E138" s="808" t="s">
        <v>1148</v>
      </c>
      <c r="F138" s="612"/>
      <c r="G138" s="612">
        <v>0</v>
      </c>
      <c r="H138" s="612">
        <v>0</v>
      </c>
      <c r="I138" s="612"/>
      <c r="J138" s="612">
        <v>0</v>
      </c>
      <c r="K138" s="612">
        <v>0</v>
      </c>
      <c r="L138" s="613"/>
      <c r="M138" s="451"/>
      <c r="N138" t="e">
        <f>VLOOKUP(A138, 'P&amp;L'!A:B,1,FALSE)</f>
        <v>#N/A</v>
      </c>
      <c r="O138" t="e">
        <f>VLOOKUP(A138, KeyData!A:C,1,FALSE)</f>
        <v>#N/A</v>
      </c>
      <c r="P138" s="451"/>
    </row>
    <row r="139" spans="1:16">
      <c r="A139" s="451" t="str">
        <f t="shared" si="2"/>
        <v>122637000_200</v>
      </c>
      <c r="B139" s="1016" t="s">
        <v>1193</v>
      </c>
      <c r="C139" s="810" t="s">
        <v>1194</v>
      </c>
      <c r="D139" s="808" t="s">
        <v>1149</v>
      </c>
      <c r="E139" s="808" t="s">
        <v>1138</v>
      </c>
      <c r="F139" s="612"/>
      <c r="G139" s="612">
        <v>-3567196.64</v>
      </c>
      <c r="H139" s="612">
        <v>-4031681.8429999999</v>
      </c>
      <c r="I139" s="612">
        <v>-4117099.844</v>
      </c>
      <c r="J139" s="612">
        <v>-4031681.8429999999</v>
      </c>
      <c r="K139" s="612">
        <v>-4031681.8429999999</v>
      </c>
      <c r="L139" s="613">
        <v>-4340994.0880000005</v>
      </c>
      <c r="M139" s="451"/>
      <c r="N139" t="e">
        <f>VLOOKUP(A139, 'P&amp;L'!A:B,1,FALSE)</f>
        <v>#N/A</v>
      </c>
      <c r="O139" t="e">
        <f>VLOOKUP(A139, KeyData!A:C,1,FALSE)</f>
        <v>#N/A</v>
      </c>
      <c r="P139" s="451"/>
    </row>
    <row r="140" spans="1:16">
      <c r="A140" s="451" t="str">
        <f t="shared" si="2"/>
        <v>122637000_211</v>
      </c>
      <c r="B140" s="1016" t="s">
        <v>1193</v>
      </c>
      <c r="C140" s="810" t="s">
        <v>1194</v>
      </c>
      <c r="D140" s="808" t="s">
        <v>1171</v>
      </c>
      <c r="E140" s="808" t="s">
        <v>1172</v>
      </c>
      <c r="F140" s="612"/>
      <c r="G140" s="612">
        <v>-540635.20299999998</v>
      </c>
      <c r="H140" s="612">
        <v>-192067.70300000001</v>
      </c>
      <c r="I140" s="612">
        <v>-379978.53399999999</v>
      </c>
      <c r="J140" s="612">
        <v>-312410.88500000001</v>
      </c>
      <c r="K140" s="612">
        <v>-309312.245</v>
      </c>
      <c r="L140" s="613">
        <v>-153228.89799999999</v>
      </c>
      <c r="M140" s="451"/>
      <c r="N140" t="e">
        <f>VLOOKUP(A140, 'P&amp;L'!A:B,1,FALSE)</f>
        <v>#N/A</v>
      </c>
      <c r="O140" t="e">
        <f>VLOOKUP(A140, KeyData!A:C,1,FALSE)</f>
        <v>#N/A</v>
      </c>
      <c r="P140" s="451"/>
    </row>
    <row r="141" spans="1:16">
      <c r="A141" s="451" t="str">
        <f t="shared" si="2"/>
        <v>122637000_222</v>
      </c>
      <c r="B141" s="1016" t="s">
        <v>1193</v>
      </c>
      <c r="C141" s="810" t="s">
        <v>1194</v>
      </c>
      <c r="D141" s="808" t="s">
        <v>1173</v>
      </c>
      <c r="E141" s="808" t="s">
        <v>1174</v>
      </c>
      <c r="F141" s="612"/>
      <c r="G141" s="612">
        <v>76150</v>
      </c>
      <c r="H141" s="612"/>
      <c r="I141" s="612"/>
      <c r="J141" s="612"/>
      <c r="K141" s="612"/>
      <c r="L141" s="613"/>
      <c r="M141" s="451"/>
      <c r="N141" t="e">
        <f>VLOOKUP(A141, 'P&amp;L'!A:B,1,FALSE)</f>
        <v>#N/A</v>
      </c>
      <c r="O141" t="e">
        <f>VLOOKUP(A141, KeyData!A:C,1,FALSE)</f>
        <v>#N/A</v>
      </c>
      <c r="P141" s="451"/>
    </row>
    <row r="142" spans="1:16">
      <c r="A142" s="451" t="str">
        <f t="shared" si="2"/>
        <v>122637000_260</v>
      </c>
      <c r="B142" s="1016" t="s">
        <v>1193</v>
      </c>
      <c r="C142" s="810" t="s">
        <v>1194</v>
      </c>
      <c r="D142" s="808" t="s">
        <v>1155</v>
      </c>
      <c r="E142" s="808" t="s">
        <v>1148</v>
      </c>
      <c r="F142" s="612"/>
      <c r="G142" s="612">
        <v>0</v>
      </c>
      <c r="H142" s="612">
        <v>0</v>
      </c>
      <c r="I142" s="612"/>
      <c r="J142" s="612">
        <v>0</v>
      </c>
      <c r="K142" s="612">
        <v>0</v>
      </c>
      <c r="L142" s="613"/>
      <c r="M142" s="451"/>
      <c r="N142" t="e">
        <f>VLOOKUP(A142, 'P&amp;L'!A:B,1,FALSE)</f>
        <v>#N/A</v>
      </c>
      <c r="O142" t="e">
        <f>VLOOKUP(A142, KeyData!A:C,1,FALSE)</f>
        <v>#N/A</v>
      </c>
      <c r="P142" s="451"/>
    </row>
    <row r="143" spans="1:16">
      <c r="A143" s="451" t="str">
        <f t="shared" si="2"/>
        <v>122637000_Result</v>
      </c>
      <c r="B143" s="1016" t="s">
        <v>1193</v>
      </c>
      <c r="C143" s="810" t="s">
        <v>1194</v>
      </c>
      <c r="D143" s="842" t="s">
        <v>1156</v>
      </c>
      <c r="E143" s="840"/>
      <c r="F143" s="836"/>
      <c r="G143" s="836">
        <v>472624.88099999999</v>
      </c>
      <c r="H143" s="836">
        <v>280557.17800000001</v>
      </c>
      <c r="I143" s="836">
        <v>412807.26500000001</v>
      </c>
      <c r="J143" s="836">
        <v>308948.696</v>
      </c>
      <c r="K143" s="836">
        <v>163312.636</v>
      </c>
      <c r="L143" s="838">
        <v>173986.73800000001</v>
      </c>
      <c r="M143" s="451"/>
      <c r="N143" t="e">
        <f>VLOOKUP(A143, 'P&amp;L'!A:B,1,FALSE)</f>
        <v>#N/A</v>
      </c>
      <c r="O143" t="e">
        <f>VLOOKUP(A143, KeyData!A:C,1,FALSE)</f>
        <v>#N/A</v>
      </c>
      <c r="P143" s="451"/>
    </row>
    <row r="144" spans="1:16">
      <c r="A144" s="451" t="str">
        <f t="shared" si="2"/>
        <v>131100000_300</v>
      </c>
      <c r="B144" s="1013" t="s">
        <v>1195</v>
      </c>
      <c r="C144" s="809" t="s">
        <v>678</v>
      </c>
      <c r="D144" s="808" t="s">
        <v>1196</v>
      </c>
      <c r="E144" s="808" t="s">
        <v>1138</v>
      </c>
      <c r="F144" s="612"/>
      <c r="G144" s="612">
        <v>4463193.3260000004</v>
      </c>
      <c r="H144" s="612">
        <v>4925464.05</v>
      </c>
      <c r="I144" s="612">
        <v>3849528.861</v>
      </c>
      <c r="J144" s="612">
        <v>4925464.05</v>
      </c>
      <c r="K144" s="612">
        <v>4925464.05</v>
      </c>
      <c r="L144" s="613">
        <v>5066792.9579999996</v>
      </c>
      <c r="M144" s="451"/>
      <c r="N144" t="e">
        <f>VLOOKUP(A144, 'P&amp;L'!A:B,1,FALSE)</f>
        <v>#N/A</v>
      </c>
      <c r="O144" t="e">
        <f>VLOOKUP(A144, KeyData!A:C,1,FALSE)</f>
        <v>#N/A</v>
      </c>
      <c r="P144" s="451"/>
    </row>
    <row r="145" spans="1:16">
      <c r="A145" s="451" t="str">
        <f t="shared" si="2"/>
        <v>131100000_310</v>
      </c>
      <c r="B145" s="1013" t="s">
        <v>1195</v>
      </c>
      <c r="C145" s="809" t="s">
        <v>678</v>
      </c>
      <c r="D145" s="808" t="s">
        <v>1197</v>
      </c>
      <c r="E145" s="808" t="s">
        <v>1198</v>
      </c>
      <c r="F145" s="612"/>
      <c r="G145" s="612">
        <v>462270.68300000002</v>
      </c>
      <c r="H145" s="612">
        <v>1190546.111</v>
      </c>
      <c r="I145" s="612">
        <v>169779.33900000001</v>
      </c>
      <c r="J145" s="612">
        <v>1501414.5179999999</v>
      </c>
      <c r="K145" s="612">
        <v>141328.908</v>
      </c>
      <c r="L145" s="613">
        <v>-279722.19500000001</v>
      </c>
      <c r="M145" s="451"/>
      <c r="N145" t="e">
        <f>VLOOKUP(A145, 'P&amp;L'!A:B,1,FALSE)</f>
        <v>#N/A</v>
      </c>
      <c r="O145" t="e">
        <f>VLOOKUP(A145, KeyData!A:C,1,FALSE)</f>
        <v>#N/A</v>
      </c>
      <c r="P145" s="451"/>
    </row>
    <row r="146" spans="1:16">
      <c r="A146" s="451" t="str">
        <f t="shared" si="2"/>
        <v>131100000_348</v>
      </c>
      <c r="B146" s="1013" t="s">
        <v>1195</v>
      </c>
      <c r="C146" s="809" t="s">
        <v>678</v>
      </c>
      <c r="D146" s="808" t="s">
        <v>1199</v>
      </c>
      <c r="E146" s="808" t="s">
        <v>1146</v>
      </c>
      <c r="F146" s="612"/>
      <c r="G146" s="612">
        <v>4.1000000000000002E-2</v>
      </c>
      <c r="H146" s="612"/>
      <c r="I146" s="612"/>
      <c r="J146" s="612"/>
      <c r="K146" s="612"/>
      <c r="L146" s="613"/>
      <c r="M146" s="451"/>
      <c r="N146" t="e">
        <f>VLOOKUP(A146, 'P&amp;L'!A:B,1,FALSE)</f>
        <v>#N/A</v>
      </c>
      <c r="O146" t="e">
        <f>VLOOKUP(A146, KeyData!A:C,1,FALSE)</f>
        <v>#N/A</v>
      </c>
      <c r="P146" s="451"/>
    </row>
    <row r="147" spans="1:16">
      <c r="A147" s="451" t="str">
        <f t="shared" si="2"/>
        <v>131100000_360</v>
      </c>
      <c r="B147" s="1013" t="s">
        <v>1195</v>
      </c>
      <c r="C147" s="809" t="s">
        <v>678</v>
      </c>
      <c r="D147" s="808" t="s">
        <v>1200</v>
      </c>
      <c r="E147" s="808" t="s">
        <v>1148</v>
      </c>
      <c r="F147" s="612"/>
      <c r="G147" s="612">
        <v>0</v>
      </c>
      <c r="H147" s="612">
        <v>0</v>
      </c>
      <c r="I147" s="612"/>
      <c r="J147" s="612">
        <v>0</v>
      </c>
      <c r="K147" s="612">
        <v>0</v>
      </c>
      <c r="L147" s="613"/>
      <c r="M147" s="451"/>
      <c r="N147" t="e">
        <f>VLOOKUP(A147, 'P&amp;L'!A:B,1,FALSE)</f>
        <v>#N/A</v>
      </c>
      <c r="O147" t="e">
        <f>VLOOKUP(A147, KeyData!A:C,1,FALSE)</f>
        <v>#N/A</v>
      </c>
      <c r="P147" s="451"/>
    </row>
    <row r="148" spans="1:16">
      <c r="A148" s="451" t="str">
        <f t="shared" si="2"/>
        <v>131100000_400</v>
      </c>
      <c r="B148" s="1013" t="s">
        <v>1195</v>
      </c>
      <c r="C148" s="809" t="s">
        <v>678</v>
      </c>
      <c r="D148" s="808" t="s">
        <v>1201</v>
      </c>
      <c r="E148" s="808" t="s">
        <v>1138</v>
      </c>
      <c r="F148" s="612"/>
      <c r="G148" s="612">
        <v>-186063.758</v>
      </c>
      <c r="H148" s="612">
        <v>-140587.31599999999</v>
      </c>
      <c r="I148" s="612">
        <v>-186063.758</v>
      </c>
      <c r="J148" s="612">
        <v>-140587.31599999999</v>
      </c>
      <c r="K148" s="612">
        <v>-140587.31599999999</v>
      </c>
      <c r="L148" s="613">
        <v>-374630.73499999999</v>
      </c>
      <c r="M148" s="451"/>
      <c r="N148" t="e">
        <f>VLOOKUP(A148, 'P&amp;L'!A:B,1,FALSE)</f>
        <v>#N/A</v>
      </c>
      <c r="O148" t="e">
        <f>VLOOKUP(A148, KeyData!A:C,1,FALSE)</f>
        <v>#N/A</v>
      </c>
      <c r="P148" s="451"/>
    </row>
    <row r="149" spans="1:16">
      <c r="A149" s="451" t="str">
        <f t="shared" si="2"/>
        <v>131100000_410</v>
      </c>
      <c r="B149" s="1013" t="s">
        <v>1195</v>
      </c>
      <c r="C149" s="809" t="s">
        <v>678</v>
      </c>
      <c r="D149" s="808" t="s">
        <v>1202</v>
      </c>
      <c r="E149" s="808" t="s">
        <v>1203</v>
      </c>
      <c r="F149" s="612"/>
      <c r="G149" s="612">
        <v>45476.402999999998</v>
      </c>
      <c r="H149" s="612">
        <v>-234043.41899999999</v>
      </c>
      <c r="I149" s="612"/>
      <c r="J149" s="612"/>
      <c r="K149" s="612">
        <v>-234043.41899999999</v>
      </c>
      <c r="L149" s="613"/>
      <c r="M149" s="451"/>
      <c r="N149" t="e">
        <f>VLOOKUP(A149, 'P&amp;L'!A:B,1,FALSE)</f>
        <v>#N/A</v>
      </c>
      <c r="O149" t="e">
        <f>VLOOKUP(A149, KeyData!A:C,1,FALSE)</f>
        <v>#N/A</v>
      </c>
      <c r="P149" s="451"/>
    </row>
    <row r="150" spans="1:16">
      <c r="A150" s="451" t="str">
        <f t="shared" si="2"/>
        <v>131100000_440</v>
      </c>
      <c r="B150" s="1013" t="s">
        <v>1195</v>
      </c>
      <c r="C150" s="809" t="s">
        <v>678</v>
      </c>
      <c r="D150" s="808" t="s">
        <v>1204</v>
      </c>
      <c r="E150" s="808" t="s">
        <v>1205</v>
      </c>
      <c r="F150" s="612"/>
      <c r="G150" s="612">
        <v>5.742</v>
      </c>
      <c r="H150" s="612"/>
      <c r="I150" s="612"/>
      <c r="J150" s="612"/>
      <c r="K150" s="612"/>
      <c r="L150" s="613"/>
      <c r="M150" s="451"/>
      <c r="N150" t="e">
        <f>VLOOKUP(A150, 'P&amp;L'!A:B,1,FALSE)</f>
        <v>#N/A</v>
      </c>
      <c r="O150" t="e">
        <f>VLOOKUP(A150, KeyData!A:C,1,FALSE)</f>
        <v>#N/A</v>
      </c>
      <c r="P150" s="451"/>
    </row>
    <row r="151" spans="1:16">
      <c r="A151" s="451" t="str">
        <f t="shared" si="2"/>
        <v>131100000_460</v>
      </c>
      <c r="B151" s="1013" t="s">
        <v>1195</v>
      </c>
      <c r="C151" s="809" t="s">
        <v>678</v>
      </c>
      <c r="D151" s="808" t="s">
        <v>1206</v>
      </c>
      <c r="E151" s="808" t="s">
        <v>1148</v>
      </c>
      <c r="F151" s="612"/>
      <c r="G151" s="612">
        <v>0</v>
      </c>
      <c r="H151" s="612">
        <v>0</v>
      </c>
      <c r="I151" s="612"/>
      <c r="J151" s="612">
        <v>0</v>
      </c>
      <c r="K151" s="612">
        <v>0</v>
      </c>
      <c r="L151" s="613"/>
      <c r="M151" s="451"/>
      <c r="N151" t="e">
        <f>VLOOKUP(A151, 'P&amp;L'!A:B,1,FALSE)</f>
        <v>#N/A</v>
      </c>
      <c r="O151" t="e">
        <f>VLOOKUP(A151, KeyData!A:C,1,FALSE)</f>
        <v>#N/A</v>
      </c>
      <c r="P151" s="451"/>
    </row>
    <row r="152" spans="1:16">
      <c r="A152" s="451" t="str">
        <f t="shared" si="2"/>
        <v>131100000_Result</v>
      </c>
      <c r="B152" s="1013" t="s">
        <v>1195</v>
      </c>
      <c r="C152" s="809" t="s">
        <v>678</v>
      </c>
      <c r="D152" s="842" t="s">
        <v>1156</v>
      </c>
      <c r="E152" s="840"/>
      <c r="F152" s="836"/>
      <c r="G152" s="836">
        <v>4784882.4369999999</v>
      </c>
      <c r="H152" s="836">
        <v>5741379.426</v>
      </c>
      <c r="I152" s="836">
        <v>3833244.4419999998</v>
      </c>
      <c r="J152" s="836">
        <v>6286291.2520000003</v>
      </c>
      <c r="K152" s="836">
        <v>4692162.2230000002</v>
      </c>
      <c r="L152" s="838">
        <v>4412440.0279999999</v>
      </c>
      <c r="M152" s="451"/>
      <c r="N152" t="e">
        <f>VLOOKUP(A152, 'P&amp;L'!A:B,1,FALSE)</f>
        <v>#N/A</v>
      </c>
      <c r="O152" t="str">
        <f>VLOOKUP(A152, KeyData!A:C,1,FALSE)</f>
        <v>131100000_Result</v>
      </c>
      <c r="P152" s="451"/>
    </row>
    <row r="153" spans="1:16">
      <c r="A153" s="451" t="str">
        <f t="shared" si="2"/>
        <v>131111000_300</v>
      </c>
      <c r="B153" s="1014" t="s">
        <v>1207</v>
      </c>
      <c r="C153" s="810" t="s">
        <v>1208</v>
      </c>
      <c r="D153" s="808" t="s">
        <v>1196</v>
      </c>
      <c r="E153" s="808" t="s">
        <v>1138</v>
      </c>
      <c r="F153" s="612"/>
      <c r="G153" s="612">
        <v>3194795.58</v>
      </c>
      <c r="H153" s="612">
        <v>3770583.2790000001</v>
      </c>
      <c r="I153" s="612">
        <v>2933737.5589999999</v>
      </c>
      <c r="J153" s="612">
        <v>3770583.2790000001</v>
      </c>
      <c r="K153" s="612">
        <v>3770583.2790000001</v>
      </c>
      <c r="L153" s="613">
        <v>4112649.1579999998</v>
      </c>
      <c r="M153" s="451"/>
      <c r="N153" t="e">
        <f>VLOOKUP(A153, 'P&amp;L'!A:B,1,FALSE)</f>
        <v>#N/A</v>
      </c>
      <c r="O153" t="e">
        <f>VLOOKUP(A153, KeyData!A:C,1,FALSE)</f>
        <v>#N/A</v>
      </c>
      <c r="P153" s="451"/>
    </row>
    <row r="154" spans="1:16">
      <c r="A154" s="451" t="str">
        <f t="shared" si="2"/>
        <v>131111000_310</v>
      </c>
      <c r="B154" s="1014" t="s">
        <v>1207</v>
      </c>
      <c r="C154" s="810" t="s">
        <v>1208</v>
      </c>
      <c r="D154" s="808" t="s">
        <v>1197</v>
      </c>
      <c r="E154" s="808" t="s">
        <v>1198</v>
      </c>
      <c r="F154" s="612"/>
      <c r="G154" s="612">
        <v>575787.69900000002</v>
      </c>
      <c r="H154" s="612">
        <v>1138236.3899999999</v>
      </c>
      <c r="I154" s="612">
        <v>208409.715</v>
      </c>
      <c r="J154" s="612">
        <v>1732327.4820000001</v>
      </c>
      <c r="K154" s="612">
        <v>342065.87900000002</v>
      </c>
      <c r="L154" s="613">
        <v>-90481.282999999996</v>
      </c>
      <c r="M154" s="451"/>
      <c r="N154" t="e">
        <f>VLOOKUP(A154, 'P&amp;L'!A:B,1,FALSE)</f>
        <v>#N/A</v>
      </c>
      <c r="O154" t="e">
        <f>VLOOKUP(A154, KeyData!A:C,1,FALSE)</f>
        <v>#N/A</v>
      </c>
      <c r="P154" s="451"/>
    </row>
    <row r="155" spans="1:16">
      <c r="A155" s="451" t="str">
        <f t="shared" si="2"/>
        <v>131111000_360</v>
      </c>
      <c r="B155" s="1014" t="s">
        <v>1207</v>
      </c>
      <c r="C155" s="810" t="s">
        <v>1208</v>
      </c>
      <c r="D155" s="808" t="s">
        <v>1200</v>
      </c>
      <c r="E155" s="808" t="s">
        <v>1148</v>
      </c>
      <c r="F155" s="612"/>
      <c r="G155" s="612">
        <v>0</v>
      </c>
      <c r="H155" s="612">
        <v>0</v>
      </c>
      <c r="I155" s="612"/>
      <c r="J155" s="612">
        <v>0</v>
      </c>
      <c r="K155" s="612">
        <v>0</v>
      </c>
      <c r="L155" s="613"/>
      <c r="M155" s="451"/>
      <c r="N155" t="e">
        <f>VLOOKUP(A155, 'P&amp;L'!A:B,1,FALSE)</f>
        <v>#N/A</v>
      </c>
      <c r="O155" t="e">
        <f>VLOOKUP(A155, KeyData!A:C,1,FALSE)</f>
        <v>#N/A</v>
      </c>
      <c r="P155" s="451"/>
    </row>
    <row r="156" spans="1:16">
      <c r="A156" s="451" t="str">
        <f t="shared" si="2"/>
        <v>131111000_400</v>
      </c>
      <c r="B156" s="1014" t="s">
        <v>1207</v>
      </c>
      <c r="C156" s="810" t="s">
        <v>1208</v>
      </c>
      <c r="D156" s="808" t="s">
        <v>1201</v>
      </c>
      <c r="E156" s="808" t="s">
        <v>1138</v>
      </c>
      <c r="F156" s="612"/>
      <c r="G156" s="612">
        <v>-145369.21799999999</v>
      </c>
      <c r="H156" s="612">
        <v>-89108.32</v>
      </c>
      <c r="I156" s="612">
        <v>-145369.21799999999</v>
      </c>
      <c r="J156" s="612">
        <v>-89108.32</v>
      </c>
      <c r="K156" s="612">
        <v>-89108.32</v>
      </c>
      <c r="L156" s="613">
        <v>-292975.74599999998</v>
      </c>
      <c r="M156" s="451"/>
      <c r="N156" t="e">
        <f>VLOOKUP(A156, 'P&amp;L'!A:B,1,FALSE)</f>
        <v>#N/A</v>
      </c>
      <c r="O156" t="e">
        <f>VLOOKUP(A156, KeyData!A:C,1,FALSE)</f>
        <v>#N/A</v>
      </c>
      <c r="P156" s="451"/>
    </row>
    <row r="157" spans="1:16">
      <c r="A157" s="451" t="str">
        <f t="shared" si="2"/>
        <v>131111000_410</v>
      </c>
      <c r="B157" s="1014" t="s">
        <v>1207</v>
      </c>
      <c r="C157" s="810" t="s">
        <v>1208</v>
      </c>
      <c r="D157" s="808" t="s">
        <v>1202</v>
      </c>
      <c r="E157" s="808" t="s">
        <v>1203</v>
      </c>
      <c r="F157" s="612"/>
      <c r="G157" s="612">
        <v>56260.898000000001</v>
      </c>
      <c r="H157" s="612">
        <v>-203867.42600000001</v>
      </c>
      <c r="I157" s="612"/>
      <c r="J157" s="612"/>
      <c r="K157" s="612">
        <v>-203867.42600000001</v>
      </c>
      <c r="L157" s="613"/>
      <c r="M157" s="451"/>
      <c r="N157" t="e">
        <f>VLOOKUP(A157, 'P&amp;L'!A:B,1,FALSE)</f>
        <v>#N/A</v>
      </c>
      <c r="O157" t="e">
        <f>VLOOKUP(A157, KeyData!A:C,1,FALSE)</f>
        <v>#N/A</v>
      </c>
      <c r="P157" s="451"/>
    </row>
    <row r="158" spans="1:16">
      <c r="A158" s="451" t="str">
        <f t="shared" si="2"/>
        <v>131111000_460</v>
      </c>
      <c r="B158" s="1014" t="s">
        <v>1207</v>
      </c>
      <c r="C158" s="810" t="s">
        <v>1208</v>
      </c>
      <c r="D158" s="808" t="s">
        <v>1206</v>
      </c>
      <c r="E158" s="808" t="s">
        <v>1148</v>
      </c>
      <c r="F158" s="612"/>
      <c r="G158" s="612">
        <v>0</v>
      </c>
      <c r="H158" s="612">
        <v>0</v>
      </c>
      <c r="I158" s="612"/>
      <c r="J158" s="612">
        <v>0</v>
      </c>
      <c r="K158" s="612">
        <v>0</v>
      </c>
      <c r="L158" s="613"/>
      <c r="M158" s="451"/>
      <c r="N158" t="e">
        <f>VLOOKUP(A158, 'P&amp;L'!A:B,1,FALSE)</f>
        <v>#N/A</v>
      </c>
      <c r="O158" t="e">
        <f>VLOOKUP(A158, KeyData!A:C,1,FALSE)</f>
        <v>#N/A</v>
      </c>
      <c r="P158" s="451"/>
    </row>
    <row r="159" spans="1:16">
      <c r="A159" s="451" t="str">
        <f t="shared" si="2"/>
        <v>131111000_Result</v>
      </c>
      <c r="B159" s="1014" t="s">
        <v>1207</v>
      </c>
      <c r="C159" s="810" t="s">
        <v>1208</v>
      </c>
      <c r="D159" s="842" t="s">
        <v>1156</v>
      </c>
      <c r="E159" s="840"/>
      <c r="F159" s="836"/>
      <c r="G159" s="836">
        <v>3681474.9589999998</v>
      </c>
      <c r="H159" s="836">
        <v>4615843.9230000004</v>
      </c>
      <c r="I159" s="836">
        <v>2996778.0559999999</v>
      </c>
      <c r="J159" s="836">
        <v>5413802.4409999996</v>
      </c>
      <c r="K159" s="836">
        <v>3819673.412</v>
      </c>
      <c r="L159" s="838">
        <v>3729192.1290000002</v>
      </c>
      <c r="M159" s="451"/>
      <c r="N159" t="e">
        <f>VLOOKUP(A159, 'P&amp;L'!A:B,1,FALSE)</f>
        <v>#N/A</v>
      </c>
      <c r="O159" t="str">
        <f>VLOOKUP(A159, KeyData!A:C,1,FALSE)</f>
        <v>131111000_Result</v>
      </c>
      <c r="P159" s="451"/>
    </row>
    <row r="160" spans="1:16">
      <c r="A160" s="451" t="str">
        <f t="shared" si="2"/>
        <v>131111100_300</v>
      </c>
      <c r="B160" s="1015" t="s">
        <v>1209</v>
      </c>
      <c r="C160" s="811" t="s">
        <v>1210</v>
      </c>
      <c r="D160" s="808" t="s">
        <v>1196</v>
      </c>
      <c r="E160" s="808" t="s">
        <v>1138</v>
      </c>
      <c r="F160" s="612"/>
      <c r="G160" s="612">
        <v>3194795.58</v>
      </c>
      <c r="H160" s="612">
        <v>3770583.2790000001</v>
      </c>
      <c r="I160" s="612">
        <v>2933737.5589999999</v>
      </c>
      <c r="J160" s="612">
        <v>3770583.2790000001</v>
      </c>
      <c r="K160" s="612">
        <v>3770583.2790000001</v>
      </c>
      <c r="L160" s="613">
        <v>4112649.1579999998</v>
      </c>
      <c r="M160" s="451"/>
      <c r="N160" t="e">
        <f>VLOOKUP(A160, 'P&amp;L'!A:B,1,FALSE)</f>
        <v>#N/A</v>
      </c>
      <c r="O160" t="e">
        <f>VLOOKUP(A160, KeyData!A:C,1,FALSE)</f>
        <v>#N/A</v>
      </c>
      <c r="P160" s="451"/>
    </row>
    <row r="161" spans="1:16">
      <c r="A161" s="451" t="str">
        <f t="shared" si="2"/>
        <v>131111100_310</v>
      </c>
      <c r="B161" s="1015" t="s">
        <v>1209</v>
      </c>
      <c r="C161" s="811" t="s">
        <v>1210</v>
      </c>
      <c r="D161" s="808" t="s">
        <v>1197</v>
      </c>
      <c r="E161" s="808" t="s">
        <v>1198</v>
      </c>
      <c r="F161" s="612"/>
      <c r="G161" s="612">
        <v>575787.69900000002</v>
      </c>
      <c r="H161" s="612">
        <v>1136976.3899999999</v>
      </c>
      <c r="I161" s="612">
        <v>208409.715</v>
      </c>
      <c r="J161" s="612">
        <v>1732327.4820000001</v>
      </c>
      <c r="K161" s="612">
        <v>342065.87900000002</v>
      </c>
      <c r="L161" s="613">
        <v>-90481.282999999996</v>
      </c>
      <c r="M161" s="451"/>
      <c r="N161" t="e">
        <f>VLOOKUP(A161, 'P&amp;L'!A:B,1,FALSE)</f>
        <v>#N/A</v>
      </c>
      <c r="O161" t="e">
        <f>VLOOKUP(A161, KeyData!A:C,1,FALSE)</f>
        <v>#N/A</v>
      </c>
      <c r="P161" s="451"/>
    </row>
    <row r="162" spans="1:16">
      <c r="A162" s="451" t="str">
        <f t="shared" si="2"/>
        <v>131111100_360</v>
      </c>
      <c r="B162" s="1015" t="s">
        <v>1209</v>
      </c>
      <c r="C162" s="811" t="s">
        <v>1210</v>
      </c>
      <c r="D162" s="808" t="s">
        <v>1200</v>
      </c>
      <c r="E162" s="808" t="s">
        <v>1148</v>
      </c>
      <c r="F162" s="612"/>
      <c r="G162" s="612">
        <v>0</v>
      </c>
      <c r="H162" s="612">
        <v>0</v>
      </c>
      <c r="I162" s="612"/>
      <c r="J162" s="612">
        <v>0</v>
      </c>
      <c r="K162" s="612">
        <v>0</v>
      </c>
      <c r="L162" s="613"/>
      <c r="M162" s="451"/>
      <c r="N162" t="e">
        <f>VLOOKUP(A162, 'P&amp;L'!A:B,1,FALSE)</f>
        <v>#N/A</v>
      </c>
      <c r="O162" t="e">
        <f>VLOOKUP(A162, KeyData!A:C,1,FALSE)</f>
        <v>#N/A</v>
      </c>
      <c r="P162" s="451"/>
    </row>
    <row r="163" spans="1:16">
      <c r="A163" s="451" t="str">
        <f t="shared" si="2"/>
        <v>131111100_400</v>
      </c>
      <c r="B163" s="1015" t="s">
        <v>1209</v>
      </c>
      <c r="C163" s="811" t="s">
        <v>1210</v>
      </c>
      <c r="D163" s="808" t="s">
        <v>1201</v>
      </c>
      <c r="E163" s="808" t="s">
        <v>1138</v>
      </c>
      <c r="F163" s="612"/>
      <c r="G163" s="612">
        <v>-145369.21799999999</v>
      </c>
      <c r="H163" s="612">
        <v>-89108.32</v>
      </c>
      <c r="I163" s="612">
        <v>-145369.21799999999</v>
      </c>
      <c r="J163" s="612">
        <v>-89108.32</v>
      </c>
      <c r="K163" s="612">
        <v>-89108.32</v>
      </c>
      <c r="L163" s="613">
        <v>-292975.74599999998</v>
      </c>
      <c r="M163" s="451"/>
      <c r="N163" t="e">
        <f>VLOOKUP(A163, 'P&amp;L'!A:B,1,FALSE)</f>
        <v>#N/A</v>
      </c>
      <c r="O163" t="e">
        <f>VLOOKUP(A163, KeyData!A:C,1,FALSE)</f>
        <v>#N/A</v>
      </c>
      <c r="P163" s="451"/>
    </row>
    <row r="164" spans="1:16">
      <c r="A164" s="451" t="str">
        <f t="shared" si="2"/>
        <v>131111100_410</v>
      </c>
      <c r="B164" s="1015" t="s">
        <v>1209</v>
      </c>
      <c r="C164" s="811" t="s">
        <v>1210</v>
      </c>
      <c r="D164" s="808" t="s">
        <v>1202</v>
      </c>
      <c r="E164" s="808" t="s">
        <v>1203</v>
      </c>
      <c r="F164" s="612"/>
      <c r="G164" s="612">
        <v>56260.898000000001</v>
      </c>
      <c r="H164" s="612">
        <v>-203867.42600000001</v>
      </c>
      <c r="I164" s="612"/>
      <c r="J164" s="612"/>
      <c r="K164" s="612">
        <v>-203867.42600000001</v>
      </c>
      <c r="L164" s="613"/>
      <c r="M164" s="451"/>
      <c r="N164" t="e">
        <f>VLOOKUP(A164, 'P&amp;L'!A:B,1,FALSE)</f>
        <v>#N/A</v>
      </c>
      <c r="O164" t="e">
        <f>VLOOKUP(A164, KeyData!A:C,1,FALSE)</f>
        <v>#N/A</v>
      </c>
      <c r="P164" s="451"/>
    </row>
    <row r="165" spans="1:16">
      <c r="A165" s="451" t="str">
        <f t="shared" si="2"/>
        <v>131111100_460</v>
      </c>
      <c r="B165" s="1015" t="s">
        <v>1209</v>
      </c>
      <c r="C165" s="811" t="s">
        <v>1210</v>
      </c>
      <c r="D165" s="808" t="s">
        <v>1206</v>
      </c>
      <c r="E165" s="808" t="s">
        <v>1148</v>
      </c>
      <c r="F165" s="612"/>
      <c r="G165" s="612">
        <v>0</v>
      </c>
      <c r="H165" s="612">
        <v>0</v>
      </c>
      <c r="I165" s="612"/>
      <c r="J165" s="612">
        <v>0</v>
      </c>
      <c r="K165" s="612">
        <v>0</v>
      </c>
      <c r="L165" s="613"/>
      <c r="M165" s="451"/>
      <c r="N165" t="e">
        <f>VLOOKUP(A165, 'P&amp;L'!A:B,1,FALSE)</f>
        <v>#N/A</v>
      </c>
      <c r="O165" t="e">
        <f>VLOOKUP(A165, KeyData!A:C,1,FALSE)</f>
        <v>#N/A</v>
      </c>
      <c r="P165" s="451"/>
    </row>
    <row r="166" spans="1:16">
      <c r="A166" s="451" t="str">
        <f t="shared" si="2"/>
        <v>131111100_Result</v>
      </c>
      <c r="B166" s="1015" t="s">
        <v>1209</v>
      </c>
      <c r="C166" s="811" t="s">
        <v>1210</v>
      </c>
      <c r="D166" s="842" t="s">
        <v>1156</v>
      </c>
      <c r="E166" s="840"/>
      <c r="F166" s="836"/>
      <c r="G166" s="836">
        <v>3681474.9589999998</v>
      </c>
      <c r="H166" s="836">
        <v>4614583.9230000004</v>
      </c>
      <c r="I166" s="836">
        <v>2996778.0559999999</v>
      </c>
      <c r="J166" s="836">
        <v>5413802.4409999996</v>
      </c>
      <c r="K166" s="836">
        <v>3819673.412</v>
      </c>
      <c r="L166" s="838">
        <v>3729192.1290000002</v>
      </c>
      <c r="M166" s="451"/>
      <c r="N166" t="e">
        <f>VLOOKUP(A166, 'P&amp;L'!A:B,1,FALSE)</f>
        <v>#N/A</v>
      </c>
      <c r="O166" t="e">
        <f>VLOOKUP(A166, KeyData!A:C,1,FALSE)</f>
        <v>#N/A</v>
      </c>
      <c r="P166" s="451"/>
    </row>
    <row r="167" spans="1:16">
      <c r="A167" s="451" t="str">
        <f t="shared" si="2"/>
        <v>131111300_310</v>
      </c>
      <c r="B167" s="1017" t="s">
        <v>1211</v>
      </c>
      <c r="C167" s="811" t="s">
        <v>1212</v>
      </c>
      <c r="D167" s="808" t="s">
        <v>1197</v>
      </c>
      <c r="E167" s="808" t="s">
        <v>1198</v>
      </c>
      <c r="F167" s="612"/>
      <c r="G167" s="612">
        <v>0</v>
      </c>
      <c r="H167" s="612">
        <v>1260</v>
      </c>
      <c r="I167" s="612"/>
      <c r="J167" s="612"/>
      <c r="K167" s="612"/>
      <c r="L167" s="613"/>
      <c r="M167" s="451"/>
      <c r="N167" t="e">
        <f>VLOOKUP(A167, 'P&amp;L'!A:B,1,FALSE)</f>
        <v>#N/A</v>
      </c>
      <c r="O167" t="e">
        <f>VLOOKUP(A167, KeyData!A:C,1,FALSE)</f>
        <v>#N/A</v>
      </c>
      <c r="P167" s="451"/>
    </row>
    <row r="168" spans="1:16">
      <c r="A168" s="451" t="str">
        <f t="shared" si="2"/>
        <v>131111300_360</v>
      </c>
      <c r="B168" s="1017" t="s">
        <v>1211</v>
      </c>
      <c r="C168" s="811" t="s">
        <v>1212</v>
      </c>
      <c r="D168" s="808" t="s">
        <v>1200</v>
      </c>
      <c r="E168" s="808" t="s">
        <v>1148</v>
      </c>
      <c r="F168" s="612"/>
      <c r="G168" s="612">
        <v>0</v>
      </c>
      <c r="H168" s="612">
        <v>0</v>
      </c>
      <c r="I168" s="612"/>
      <c r="J168" s="612"/>
      <c r="K168" s="612"/>
      <c r="L168" s="613"/>
      <c r="M168" s="451"/>
      <c r="N168" t="e">
        <f>VLOOKUP(A168, 'P&amp;L'!A:B,1,FALSE)</f>
        <v>#N/A</v>
      </c>
      <c r="O168" t="e">
        <f>VLOOKUP(A168, KeyData!A:C,1,FALSE)</f>
        <v>#N/A</v>
      </c>
      <c r="P168" s="451"/>
    </row>
    <row r="169" spans="1:16">
      <c r="A169" s="451" t="str">
        <f t="shared" si="2"/>
        <v>131111300_Result</v>
      </c>
      <c r="B169" s="1017" t="s">
        <v>1211</v>
      </c>
      <c r="C169" s="811" t="s">
        <v>1212</v>
      </c>
      <c r="D169" s="842" t="s">
        <v>1156</v>
      </c>
      <c r="E169" s="840"/>
      <c r="F169" s="836"/>
      <c r="G169" s="836">
        <v>0</v>
      </c>
      <c r="H169" s="836">
        <v>1260</v>
      </c>
      <c r="I169" s="836"/>
      <c r="J169" s="836"/>
      <c r="K169" s="836"/>
      <c r="L169" s="838"/>
      <c r="M169" s="451"/>
      <c r="N169" t="e">
        <f>VLOOKUP(A169, 'P&amp;L'!A:B,1,FALSE)</f>
        <v>#N/A</v>
      </c>
      <c r="O169" t="e">
        <f>VLOOKUP(A169, KeyData!A:C,1,FALSE)</f>
        <v>#N/A</v>
      </c>
      <c r="P169" s="451"/>
    </row>
    <row r="170" spans="1:16">
      <c r="A170" s="451" t="str">
        <f t="shared" si="2"/>
        <v>131111320_310</v>
      </c>
      <c r="B170" s="1018" t="s">
        <v>1213</v>
      </c>
      <c r="C170" s="812" t="s">
        <v>1214</v>
      </c>
      <c r="D170" s="808" t="s">
        <v>1197</v>
      </c>
      <c r="E170" s="808" t="s">
        <v>1198</v>
      </c>
      <c r="F170" s="612"/>
      <c r="G170" s="612">
        <v>0</v>
      </c>
      <c r="H170" s="612">
        <v>1260</v>
      </c>
      <c r="I170" s="612"/>
      <c r="J170" s="612"/>
      <c r="K170" s="612"/>
      <c r="L170" s="613"/>
      <c r="M170" s="451"/>
      <c r="N170" t="e">
        <f>VLOOKUP(A170, 'P&amp;L'!A:B,1,FALSE)</f>
        <v>#N/A</v>
      </c>
      <c r="O170" t="e">
        <f>VLOOKUP(A170, KeyData!A:C,1,FALSE)</f>
        <v>#N/A</v>
      </c>
      <c r="P170" s="451"/>
    </row>
    <row r="171" spans="1:16">
      <c r="A171" s="451" t="str">
        <f t="shared" si="2"/>
        <v>131111320_360</v>
      </c>
      <c r="B171" s="1018" t="s">
        <v>1213</v>
      </c>
      <c r="C171" s="812" t="s">
        <v>1214</v>
      </c>
      <c r="D171" s="808" t="s">
        <v>1200</v>
      </c>
      <c r="E171" s="808" t="s">
        <v>1148</v>
      </c>
      <c r="F171" s="612"/>
      <c r="G171" s="612">
        <v>0</v>
      </c>
      <c r="H171" s="612">
        <v>0</v>
      </c>
      <c r="I171" s="612"/>
      <c r="J171" s="612"/>
      <c r="K171" s="612"/>
      <c r="L171" s="613"/>
      <c r="M171" s="451"/>
      <c r="N171" t="e">
        <f>VLOOKUP(A171, 'P&amp;L'!A:B,1,FALSE)</f>
        <v>#N/A</v>
      </c>
      <c r="O171" t="e">
        <f>VLOOKUP(A171, KeyData!A:C,1,FALSE)</f>
        <v>#N/A</v>
      </c>
      <c r="P171" s="451"/>
    </row>
    <row r="172" spans="1:16">
      <c r="A172" s="451" t="str">
        <f t="shared" si="2"/>
        <v>131111320_Result</v>
      </c>
      <c r="B172" s="1018" t="s">
        <v>1213</v>
      </c>
      <c r="C172" s="812" t="s">
        <v>1214</v>
      </c>
      <c r="D172" s="842" t="s">
        <v>1156</v>
      </c>
      <c r="E172" s="840"/>
      <c r="F172" s="836"/>
      <c r="G172" s="836">
        <v>0</v>
      </c>
      <c r="H172" s="836">
        <v>1260</v>
      </c>
      <c r="I172" s="836"/>
      <c r="J172" s="836"/>
      <c r="K172" s="836"/>
      <c r="L172" s="838"/>
      <c r="M172" s="451"/>
      <c r="N172" t="e">
        <f>VLOOKUP(A172, 'P&amp;L'!A:B,1,FALSE)</f>
        <v>#N/A</v>
      </c>
      <c r="O172" t="e">
        <f>VLOOKUP(A172, KeyData!A:C,1,FALSE)</f>
        <v>#N/A</v>
      </c>
      <c r="P172" s="451"/>
    </row>
    <row r="173" spans="1:16">
      <c r="A173" s="451" t="str">
        <f t="shared" si="2"/>
        <v>131116000_300</v>
      </c>
      <c r="B173" s="1016" t="s">
        <v>1215</v>
      </c>
      <c r="C173" s="810" t="s">
        <v>1216</v>
      </c>
      <c r="D173" s="808" t="s">
        <v>1196</v>
      </c>
      <c r="E173" s="808" t="s">
        <v>1138</v>
      </c>
      <c r="F173" s="612"/>
      <c r="G173" s="612">
        <v>490515.484</v>
      </c>
      <c r="H173" s="612">
        <v>378907.87699999998</v>
      </c>
      <c r="I173" s="612">
        <v>444394.99099999998</v>
      </c>
      <c r="J173" s="612">
        <v>378907.87699999998</v>
      </c>
      <c r="K173" s="612">
        <v>378907.87699999998</v>
      </c>
      <c r="L173" s="613">
        <v>361098.859</v>
      </c>
      <c r="M173" s="451"/>
      <c r="N173" t="e">
        <f>VLOOKUP(A173, 'P&amp;L'!A:B,1,FALSE)</f>
        <v>#N/A</v>
      </c>
      <c r="O173" t="e">
        <f>VLOOKUP(A173, KeyData!A:C,1,FALSE)</f>
        <v>#N/A</v>
      </c>
      <c r="P173" s="451"/>
    </row>
    <row r="174" spans="1:16">
      <c r="A174" s="451" t="str">
        <f t="shared" si="2"/>
        <v>131116000_310</v>
      </c>
      <c r="B174" s="1016" t="s">
        <v>1215</v>
      </c>
      <c r="C174" s="810" t="s">
        <v>1216</v>
      </c>
      <c r="D174" s="808" t="s">
        <v>1197</v>
      </c>
      <c r="E174" s="808" t="s">
        <v>1198</v>
      </c>
      <c r="F174" s="612"/>
      <c r="G174" s="612">
        <v>-111607.609</v>
      </c>
      <c r="H174" s="612">
        <v>224167.913</v>
      </c>
      <c r="I174" s="612">
        <v>-85940.455000000002</v>
      </c>
      <c r="J174" s="612">
        <v>-18491.873</v>
      </c>
      <c r="K174" s="612">
        <v>-17809.018</v>
      </c>
      <c r="L174" s="613">
        <v>-87493.567999999999</v>
      </c>
      <c r="M174" s="451"/>
      <c r="N174" t="e">
        <f>VLOOKUP(A174, 'P&amp;L'!A:B,1,FALSE)</f>
        <v>#N/A</v>
      </c>
      <c r="O174" t="e">
        <f>VLOOKUP(A174, KeyData!A:C,1,FALSE)</f>
        <v>#N/A</v>
      </c>
      <c r="P174" s="451"/>
    </row>
    <row r="175" spans="1:16">
      <c r="A175" s="451" t="str">
        <f t="shared" si="2"/>
        <v>131116000_348</v>
      </c>
      <c r="B175" s="1016" t="s">
        <v>1215</v>
      </c>
      <c r="C175" s="810" t="s">
        <v>1216</v>
      </c>
      <c r="D175" s="808" t="s">
        <v>1199</v>
      </c>
      <c r="E175" s="808" t="s">
        <v>1146</v>
      </c>
      <c r="F175" s="612"/>
      <c r="G175" s="612">
        <v>2E-3</v>
      </c>
      <c r="H175" s="612"/>
      <c r="I175" s="612"/>
      <c r="J175" s="612"/>
      <c r="K175" s="612"/>
      <c r="L175" s="613"/>
      <c r="M175" s="451"/>
      <c r="N175" t="e">
        <f>VLOOKUP(A175, 'P&amp;L'!A:B,1,FALSE)</f>
        <v>#N/A</v>
      </c>
      <c r="O175" t="e">
        <f>VLOOKUP(A175, KeyData!A:C,1,FALSE)</f>
        <v>#N/A</v>
      </c>
      <c r="P175" s="451"/>
    </row>
    <row r="176" spans="1:16">
      <c r="A176" s="451" t="str">
        <f t="shared" si="2"/>
        <v>131116000_360</v>
      </c>
      <c r="B176" s="1016" t="s">
        <v>1215</v>
      </c>
      <c r="C176" s="810" t="s">
        <v>1216</v>
      </c>
      <c r="D176" s="808" t="s">
        <v>1200</v>
      </c>
      <c r="E176" s="808" t="s">
        <v>1148</v>
      </c>
      <c r="F176" s="612"/>
      <c r="G176" s="612">
        <v>0</v>
      </c>
      <c r="H176" s="612">
        <v>0</v>
      </c>
      <c r="I176" s="612"/>
      <c r="J176" s="612">
        <v>0</v>
      </c>
      <c r="K176" s="612">
        <v>0</v>
      </c>
      <c r="L176" s="613"/>
      <c r="M176" s="451"/>
      <c r="N176" t="e">
        <f>VLOOKUP(A176, 'P&amp;L'!A:B,1,FALSE)</f>
        <v>#N/A</v>
      </c>
      <c r="O176" t="e">
        <f>VLOOKUP(A176, KeyData!A:C,1,FALSE)</f>
        <v>#N/A</v>
      </c>
      <c r="P176" s="451"/>
    </row>
    <row r="177" spans="1:16">
      <c r="A177" s="451" t="str">
        <f t="shared" si="2"/>
        <v>131116000_400</v>
      </c>
      <c r="B177" s="1016" t="s">
        <v>1215</v>
      </c>
      <c r="C177" s="810" t="s">
        <v>1216</v>
      </c>
      <c r="D177" s="808" t="s">
        <v>1201</v>
      </c>
      <c r="E177" s="808" t="s">
        <v>1138</v>
      </c>
      <c r="F177" s="612"/>
      <c r="G177" s="612">
        <v>-6054.2690000000002</v>
      </c>
      <c r="H177" s="612">
        <v>-2513.1469999999999</v>
      </c>
      <c r="I177" s="612">
        <v>-6054.2690000000002</v>
      </c>
      <c r="J177" s="612">
        <v>-2513.1469999999999</v>
      </c>
      <c r="K177" s="612">
        <v>-2513.1469999999999</v>
      </c>
      <c r="L177" s="613">
        <v>-3196.002</v>
      </c>
      <c r="M177" s="451"/>
      <c r="N177" t="e">
        <f>VLOOKUP(A177, 'P&amp;L'!A:B,1,FALSE)</f>
        <v>#N/A</v>
      </c>
      <c r="O177" t="e">
        <f>VLOOKUP(A177, KeyData!A:C,1,FALSE)</f>
        <v>#N/A</v>
      </c>
      <c r="P177" s="451"/>
    </row>
    <row r="178" spans="1:16">
      <c r="A178" s="451" t="str">
        <f t="shared" si="2"/>
        <v>131116000_410</v>
      </c>
      <c r="B178" s="1016" t="s">
        <v>1215</v>
      </c>
      <c r="C178" s="810" t="s">
        <v>1216</v>
      </c>
      <c r="D178" s="808" t="s">
        <v>1202</v>
      </c>
      <c r="E178" s="808" t="s">
        <v>1203</v>
      </c>
      <c r="F178" s="612"/>
      <c r="G178" s="612">
        <v>3541.0830000000001</v>
      </c>
      <c r="H178" s="612">
        <v>-682.85500000000002</v>
      </c>
      <c r="I178" s="612"/>
      <c r="J178" s="612"/>
      <c r="K178" s="612">
        <v>-682.85500000000002</v>
      </c>
      <c r="L178" s="613"/>
      <c r="M178" s="451"/>
      <c r="N178" t="e">
        <f>VLOOKUP(A178, 'P&amp;L'!A:B,1,FALSE)</f>
        <v>#N/A</v>
      </c>
      <c r="O178" t="e">
        <f>VLOOKUP(A178, KeyData!A:C,1,FALSE)</f>
        <v>#N/A</v>
      </c>
      <c r="P178" s="451"/>
    </row>
    <row r="179" spans="1:16">
      <c r="A179" s="451" t="str">
        <f t="shared" si="2"/>
        <v>131116000_440</v>
      </c>
      <c r="B179" s="1016" t="s">
        <v>1215</v>
      </c>
      <c r="C179" s="810" t="s">
        <v>1216</v>
      </c>
      <c r="D179" s="808" t="s">
        <v>1204</v>
      </c>
      <c r="E179" s="808" t="s">
        <v>1205</v>
      </c>
      <c r="F179" s="612"/>
      <c r="G179" s="612">
        <v>5.742</v>
      </c>
      <c r="H179" s="612"/>
      <c r="I179" s="612"/>
      <c r="J179" s="612"/>
      <c r="K179" s="612"/>
      <c r="L179" s="613"/>
      <c r="M179" s="451"/>
      <c r="N179" t="e">
        <f>VLOOKUP(A179, 'P&amp;L'!A:B,1,FALSE)</f>
        <v>#N/A</v>
      </c>
      <c r="O179" t="e">
        <f>VLOOKUP(A179, KeyData!A:C,1,FALSE)</f>
        <v>#N/A</v>
      </c>
      <c r="P179" s="451"/>
    </row>
    <row r="180" spans="1:16">
      <c r="A180" s="451" t="str">
        <f t="shared" si="2"/>
        <v>131116000_460</v>
      </c>
      <c r="B180" s="1016" t="s">
        <v>1215</v>
      </c>
      <c r="C180" s="810" t="s">
        <v>1216</v>
      </c>
      <c r="D180" s="808" t="s">
        <v>1206</v>
      </c>
      <c r="E180" s="808" t="s">
        <v>1148</v>
      </c>
      <c r="F180" s="612"/>
      <c r="G180" s="612">
        <v>0</v>
      </c>
      <c r="H180" s="612">
        <v>0</v>
      </c>
      <c r="I180" s="612"/>
      <c r="J180" s="612">
        <v>0</v>
      </c>
      <c r="K180" s="612">
        <v>0</v>
      </c>
      <c r="L180" s="613"/>
      <c r="M180" s="451"/>
      <c r="N180" t="e">
        <f>VLOOKUP(A180, 'P&amp;L'!A:B,1,FALSE)</f>
        <v>#N/A</v>
      </c>
      <c r="O180" t="e">
        <f>VLOOKUP(A180, KeyData!A:C,1,FALSE)</f>
        <v>#N/A</v>
      </c>
      <c r="P180" s="451"/>
    </row>
    <row r="181" spans="1:16">
      <c r="A181" s="451" t="str">
        <f t="shared" si="2"/>
        <v>131116000_Result</v>
      </c>
      <c r="B181" s="1016" t="s">
        <v>1215</v>
      </c>
      <c r="C181" s="810" t="s">
        <v>1216</v>
      </c>
      <c r="D181" s="842" t="s">
        <v>1156</v>
      </c>
      <c r="E181" s="840"/>
      <c r="F181" s="836"/>
      <c r="G181" s="836">
        <v>376400.43300000002</v>
      </c>
      <c r="H181" s="836">
        <v>599879.78799999994</v>
      </c>
      <c r="I181" s="836">
        <v>352400.26699999999</v>
      </c>
      <c r="J181" s="836">
        <v>357902.85700000002</v>
      </c>
      <c r="K181" s="836">
        <v>357902.85700000002</v>
      </c>
      <c r="L181" s="838">
        <v>270409.28899999999</v>
      </c>
      <c r="M181" s="451"/>
      <c r="N181" t="e">
        <f>VLOOKUP(A181, 'P&amp;L'!A:B,1,FALSE)</f>
        <v>#N/A</v>
      </c>
      <c r="O181" t="str">
        <f>VLOOKUP(A181, KeyData!A:C,1,FALSE)</f>
        <v>131116000_Result</v>
      </c>
      <c r="P181" s="451"/>
    </row>
    <row r="182" spans="1:16">
      <c r="A182" s="451" t="str">
        <f t="shared" si="2"/>
        <v>131121000_300</v>
      </c>
      <c r="B182" s="1014" t="s">
        <v>1217</v>
      </c>
      <c r="C182" s="810" t="s">
        <v>1048</v>
      </c>
      <c r="D182" s="808" t="s">
        <v>1196</v>
      </c>
      <c r="E182" s="808" t="s">
        <v>1138</v>
      </c>
      <c r="F182" s="612"/>
      <c r="G182" s="612">
        <v>777882.26199999999</v>
      </c>
      <c r="H182" s="612">
        <v>775972.89399999997</v>
      </c>
      <c r="I182" s="612">
        <v>471396.31099999999</v>
      </c>
      <c r="J182" s="612">
        <v>775972.89399999997</v>
      </c>
      <c r="K182" s="612">
        <v>775972.89399999997</v>
      </c>
      <c r="L182" s="613">
        <v>593044.94099999999</v>
      </c>
      <c r="M182" s="451"/>
      <c r="N182" t="e">
        <f>VLOOKUP(A182, 'P&amp;L'!A:B,1,FALSE)</f>
        <v>#N/A</v>
      </c>
      <c r="O182" t="e">
        <f>VLOOKUP(A182, KeyData!A:C,1,FALSE)</f>
        <v>#N/A</v>
      </c>
      <c r="P182" s="451"/>
    </row>
    <row r="183" spans="1:16">
      <c r="A183" s="451" t="str">
        <f t="shared" si="2"/>
        <v>131121000_310</v>
      </c>
      <c r="B183" s="1014" t="s">
        <v>1217</v>
      </c>
      <c r="C183" s="810" t="s">
        <v>1048</v>
      </c>
      <c r="D183" s="808" t="s">
        <v>1197</v>
      </c>
      <c r="E183" s="808" t="s">
        <v>1198</v>
      </c>
      <c r="F183" s="612"/>
      <c r="G183" s="612">
        <v>-1909.4069999999999</v>
      </c>
      <c r="H183" s="612">
        <v>-171858.19200000001</v>
      </c>
      <c r="I183" s="612">
        <v>47310.078999999998</v>
      </c>
      <c r="J183" s="612">
        <v>-212421.09099999999</v>
      </c>
      <c r="K183" s="612">
        <v>-182927.95300000001</v>
      </c>
      <c r="L183" s="613">
        <v>-101747.344</v>
      </c>
      <c r="M183" s="451"/>
      <c r="N183" t="e">
        <f>VLOOKUP(A183, 'P&amp;L'!A:B,1,FALSE)</f>
        <v>#N/A</v>
      </c>
      <c r="O183" t="e">
        <f>VLOOKUP(A183, KeyData!A:C,1,FALSE)</f>
        <v>#N/A</v>
      </c>
      <c r="P183" s="451"/>
    </row>
    <row r="184" spans="1:16">
      <c r="A184" s="451" t="str">
        <f t="shared" si="2"/>
        <v>131121000_348</v>
      </c>
      <c r="B184" s="1014" t="s">
        <v>1217</v>
      </c>
      <c r="C184" s="810" t="s">
        <v>1048</v>
      </c>
      <c r="D184" s="808" t="s">
        <v>1199</v>
      </c>
      <c r="E184" s="808" t="s">
        <v>1146</v>
      </c>
      <c r="F184" s="612"/>
      <c r="G184" s="612">
        <v>3.9E-2</v>
      </c>
      <c r="H184" s="612"/>
      <c r="I184" s="612"/>
      <c r="J184" s="612"/>
      <c r="K184" s="612"/>
      <c r="L184" s="613"/>
      <c r="M184" s="451"/>
      <c r="N184" t="e">
        <f>VLOOKUP(A184, 'P&amp;L'!A:B,1,FALSE)</f>
        <v>#N/A</v>
      </c>
      <c r="O184" t="e">
        <f>VLOOKUP(A184, KeyData!A:C,1,FALSE)</f>
        <v>#N/A</v>
      </c>
      <c r="P184" s="451"/>
    </row>
    <row r="185" spans="1:16">
      <c r="A185" s="451" t="str">
        <f t="shared" si="2"/>
        <v>131121000_360</v>
      </c>
      <c r="B185" s="1014" t="s">
        <v>1217</v>
      </c>
      <c r="C185" s="810" t="s">
        <v>1048</v>
      </c>
      <c r="D185" s="808" t="s">
        <v>1200</v>
      </c>
      <c r="E185" s="808" t="s">
        <v>1148</v>
      </c>
      <c r="F185" s="612"/>
      <c r="G185" s="612">
        <v>0</v>
      </c>
      <c r="H185" s="612">
        <v>0</v>
      </c>
      <c r="I185" s="612"/>
      <c r="J185" s="612">
        <v>0</v>
      </c>
      <c r="K185" s="612">
        <v>0</v>
      </c>
      <c r="L185" s="613"/>
      <c r="M185" s="451"/>
      <c r="N185" t="e">
        <f>VLOOKUP(A185, 'P&amp;L'!A:B,1,FALSE)</f>
        <v>#N/A</v>
      </c>
      <c r="O185" t="e">
        <f>VLOOKUP(A185, KeyData!A:C,1,FALSE)</f>
        <v>#N/A</v>
      </c>
      <c r="P185" s="451"/>
    </row>
    <row r="186" spans="1:16">
      <c r="A186" s="451" t="str">
        <f t="shared" si="2"/>
        <v>131121000_400</v>
      </c>
      <c r="B186" s="1014" t="s">
        <v>1217</v>
      </c>
      <c r="C186" s="810" t="s">
        <v>1048</v>
      </c>
      <c r="D186" s="808" t="s">
        <v>1201</v>
      </c>
      <c r="E186" s="808" t="s">
        <v>1138</v>
      </c>
      <c r="F186" s="612"/>
      <c r="G186" s="612">
        <v>-34640.271000000001</v>
      </c>
      <c r="H186" s="612">
        <v>-48965.849000000002</v>
      </c>
      <c r="I186" s="612">
        <v>-34640.271000000001</v>
      </c>
      <c r="J186" s="612">
        <v>-48965.849000000002</v>
      </c>
      <c r="K186" s="612">
        <v>-48965.849000000002</v>
      </c>
      <c r="L186" s="613">
        <v>-78458.986999999994</v>
      </c>
      <c r="M186" s="451"/>
      <c r="N186" t="e">
        <f>VLOOKUP(A186, 'P&amp;L'!A:B,1,FALSE)</f>
        <v>#N/A</v>
      </c>
      <c r="O186" t="e">
        <f>VLOOKUP(A186, KeyData!A:C,1,FALSE)</f>
        <v>#N/A</v>
      </c>
      <c r="P186" s="451"/>
    </row>
    <row r="187" spans="1:16">
      <c r="A187" s="451" t="str">
        <f t="shared" si="2"/>
        <v>131121000_410</v>
      </c>
      <c r="B187" s="1014" t="s">
        <v>1217</v>
      </c>
      <c r="C187" s="810" t="s">
        <v>1048</v>
      </c>
      <c r="D187" s="808" t="s">
        <v>1202</v>
      </c>
      <c r="E187" s="808" t="s">
        <v>1203</v>
      </c>
      <c r="F187" s="612"/>
      <c r="G187" s="612">
        <v>-14325.578</v>
      </c>
      <c r="H187" s="612">
        <v>-29493.137999999999</v>
      </c>
      <c r="I187" s="612"/>
      <c r="J187" s="612"/>
      <c r="K187" s="612">
        <v>-29493.137999999999</v>
      </c>
      <c r="L187" s="613"/>
      <c r="M187" s="451"/>
      <c r="N187" t="e">
        <f>VLOOKUP(A187, 'P&amp;L'!A:B,1,FALSE)</f>
        <v>#N/A</v>
      </c>
      <c r="O187" t="e">
        <f>VLOOKUP(A187, KeyData!A:C,1,FALSE)</f>
        <v>#N/A</v>
      </c>
      <c r="P187" s="451"/>
    </row>
    <row r="188" spans="1:16">
      <c r="A188" s="451" t="str">
        <f t="shared" si="2"/>
        <v>131121000_460</v>
      </c>
      <c r="B188" s="1014" t="s">
        <v>1217</v>
      </c>
      <c r="C188" s="810" t="s">
        <v>1048</v>
      </c>
      <c r="D188" s="808" t="s">
        <v>1206</v>
      </c>
      <c r="E188" s="808" t="s">
        <v>1148</v>
      </c>
      <c r="F188" s="612"/>
      <c r="G188" s="612">
        <v>0</v>
      </c>
      <c r="H188" s="612">
        <v>0</v>
      </c>
      <c r="I188" s="612"/>
      <c r="J188" s="612">
        <v>0</v>
      </c>
      <c r="K188" s="612">
        <v>0</v>
      </c>
      <c r="L188" s="613"/>
      <c r="M188" s="451"/>
      <c r="N188" t="e">
        <f>VLOOKUP(A188, 'P&amp;L'!A:B,1,FALSE)</f>
        <v>#N/A</v>
      </c>
      <c r="O188" t="e">
        <f>VLOOKUP(A188, KeyData!A:C,1,FALSE)</f>
        <v>#N/A</v>
      </c>
      <c r="P188" s="451"/>
    </row>
    <row r="189" spans="1:16">
      <c r="A189" s="451" t="str">
        <f t="shared" si="2"/>
        <v>131121000_Result</v>
      </c>
      <c r="B189" s="1014" t="s">
        <v>1217</v>
      </c>
      <c r="C189" s="810" t="s">
        <v>1048</v>
      </c>
      <c r="D189" s="842" t="s">
        <v>1156</v>
      </c>
      <c r="E189" s="840"/>
      <c r="F189" s="836"/>
      <c r="G189" s="836">
        <v>727007.04500000004</v>
      </c>
      <c r="H189" s="836">
        <v>525655.71499999997</v>
      </c>
      <c r="I189" s="836">
        <v>484066.11900000001</v>
      </c>
      <c r="J189" s="836">
        <v>514585.95400000003</v>
      </c>
      <c r="K189" s="836">
        <v>514585.95400000003</v>
      </c>
      <c r="L189" s="838">
        <v>412838.61</v>
      </c>
      <c r="M189" s="451"/>
      <c r="N189" t="e">
        <f>VLOOKUP(A189, 'P&amp;L'!A:B,1,FALSE)</f>
        <v>#N/A</v>
      </c>
      <c r="O189" t="str">
        <f>VLOOKUP(A189, KeyData!A:C,1,FALSE)</f>
        <v>131121000_Result</v>
      </c>
      <c r="P189" s="451"/>
    </row>
    <row r="190" spans="1:16">
      <c r="A190" s="451" t="str">
        <f t="shared" si="2"/>
        <v>131121100_300</v>
      </c>
      <c r="B190" s="1015" t="s">
        <v>1218</v>
      </c>
      <c r="C190" s="811" t="s">
        <v>1219</v>
      </c>
      <c r="D190" s="808" t="s">
        <v>1196</v>
      </c>
      <c r="E190" s="808" t="s">
        <v>1138</v>
      </c>
      <c r="F190" s="612"/>
      <c r="G190" s="612">
        <v>777882.30099999998</v>
      </c>
      <c r="H190" s="612">
        <v>775972.89399999997</v>
      </c>
      <c r="I190" s="612">
        <v>471396.272</v>
      </c>
      <c r="J190" s="612">
        <v>775972.89399999997</v>
      </c>
      <c r="K190" s="612">
        <v>775972.89399999997</v>
      </c>
      <c r="L190" s="613">
        <v>593044.94099999999</v>
      </c>
      <c r="M190" s="451"/>
      <c r="N190" t="e">
        <f>VLOOKUP(A190, 'P&amp;L'!A:B,1,FALSE)</f>
        <v>#N/A</v>
      </c>
      <c r="O190" t="e">
        <f>VLOOKUP(A190, KeyData!A:C,1,FALSE)</f>
        <v>#N/A</v>
      </c>
      <c r="P190" s="451"/>
    </row>
    <row r="191" spans="1:16">
      <c r="A191" s="451" t="str">
        <f t="shared" si="2"/>
        <v>131121100_310</v>
      </c>
      <c r="B191" s="1015" t="s">
        <v>1218</v>
      </c>
      <c r="C191" s="811" t="s">
        <v>1219</v>
      </c>
      <c r="D191" s="808" t="s">
        <v>1197</v>
      </c>
      <c r="E191" s="808" t="s">
        <v>1198</v>
      </c>
      <c r="F191" s="612"/>
      <c r="G191" s="612">
        <v>-1909.4069999999999</v>
      </c>
      <c r="H191" s="612">
        <v>-171858.19200000001</v>
      </c>
      <c r="I191" s="612">
        <v>47310.118000000002</v>
      </c>
      <c r="J191" s="612">
        <v>-212421.09099999999</v>
      </c>
      <c r="K191" s="612">
        <v>-182927.95300000001</v>
      </c>
      <c r="L191" s="613">
        <v>-101747.344</v>
      </c>
      <c r="M191" s="451"/>
      <c r="N191" t="e">
        <f>VLOOKUP(A191, 'P&amp;L'!A:B,1,FALSE)</f>
        <v>#N/A</v>
      </c>
      <c r="O191" t="e">
        <f>VLOOKUP(A191, KeyData!A:C,1,FALSE)</f>
        <v>#N/A</v>
      </c>
      <c r="P191" s="451"/>
    </row>
    <row r="192" spans="1:16">
      <c r="A192" s="451" t="str">
        <f t="shared" si="2"/>
        <v>131121100_360</v>
      </c>
      <c r="B192" s="1015" t="s">
        <v>1218</v>
      </c>
      <c r="C192" s="811" t="s">
        <v>1219</v>
      </c>
      <c r="D192" s="808" t="s">
        <v>1200</v>
      </c>
      <c r="E192" s="808" t="s">
        <v>1148</v>
      </c>
      <c r="F192" s="612"/>
      <c r="G192" s="612">
        <v>0</v>
      </c>
      <c r="H192" s="612">
        <v>0</v>
      </c>
      <c r="I192" s="612"/>
      <c r="J192" s="612">
        <v>0</v>
      </c>
      <c r="K192" s="612">
        <v>0</v>
      </c>
      <c r="L192" s="613"/>
      <c r="M192" s="451"/>
      <c r="N192" t="e">
        <f>VLOOKUP(A192, 'P&amp;L'!A:B,1,FALSE)</f>
        <v>#N/A</v>
      </c>
      <c r="O192" t="e">
        <f>VLOOKUP(A192, KeyData!A:C,1,FALSE)</f>
        <v>#N/A</v>
      </c>
      <c r="P192" s="451"/>
    </row>
    <row r="193" spans="1:16">
      <c r="A193" s="451" t="str">
        <f t="shared" si="2"/>
        <v>131121100_400</v>
      </c>
      <c r="B193" s="1015" t="s">
        <v>1218</v>
      </c>
      <c r="C193" s="811" t="s">
        <v>1219</v>
      </c>
      <c r="D193" s="808" t="s">
        <v>1201</v>
      </c>
      <c r="E193" s="808" t="s">
        <v>1138</v>
      </c>
      <c r="F193" s="612"/>
      <c r="G193" s="612">
        <v>-34640.271000000001</v>
      </c>
      <c r="H193" s="612">
        <v>-48965.849000000002</v>
      </c>
      <c r="I193" s="612">
        <v>-34640.271000000001</v>
      </c>
      <c r="J193" s="612">
        <v>-48965.849000000002</v>
      </c>
      <c r="K193" s="612">
        <v>-48965.849000000002</v>
      </c>
      <c r="L193" s="613">
        <v>-78458.986999999994</v>
      </c>
      <c r="M193" s="451"/>
      <c r="N193" t="e">
        <f>VLOOKUP(A193, 'P&amp;L'!A:B,1,FALSE)</f>
        <v>#N/A</v>
      </c>
      <c r="O193" t="e">
        <f>VLOOKUP(A193, KeyData!A:C,1,FALSE)</f>
        <v>#N/A</v>
      </c>
      <c r="P193" s="451"/>
    </row>
    <row r="194" spans="1:16">
      <c r="A194" s="451" t="str">
        <f t="shared" si="2"/>
        <v>131121100_410</v>
      </c>
      <c r="B194" s="1015" t="s">
        <v>1218</v>
      </c>
      <c r="C194" s="811" t="s">
        <v>1219</v>
      </c>
      <c r="D194" s="808" t="s">
        <v>1202</v>
      </c>
      <c r="E194" s="808" t="s">
        <v>1203</v>
      </c>
      <c r="F194" s="612"/>
      <c r="G194" s="612">
        <v>-14325.578</v>
      </c>
      <c r="H194" s="612">
        <v>-29493.137999999999</v>
      </c>
      <c r="I194" s="612"/>
      <c r="J194" s="612"/>
      <c r="K194" s="612">
        <v>-29493.137999999999</v>
      </c>
      <c r="L194" s="613"/>
      <c r="M194" s="451"/>
      <c r="N194" t="e">
        <f>VLOOKUP(A194, 'P&amp;L'!A:B,1,FALSE)</f>
        <v>#N/A</v>
      </c>
      <c r="O194" t="e">
        <f>VLOOKUP(A194, KeyData!A:C,1,FALSE)</f>
        <v>#N/A</v>
      </c>
      <c r="P194" s="451"/>
    </row>
    <row r="195" spans="1:16">
      <c r="A195" s="451" t="str">
        <f t="shared" ref="A195:A258" si="3" xml:space="preserve"> IFERROR(+B195*1,B195)&amp;"_"&amp;IFERROR(+D195*1,D195)</f>
        <v>131121100_460</v>
      </c>
      <c r="B195" s="1015" t="s">
        <v>1218</v>
      </c>
      <c r="C195" s="811" t="s">
        <v>1219</v>
      </c>
      <c r="D195" s="808" t="s">
        <v>1206</v>
      </c>
      <c r="E195" s="808" t="s">
        <v>1148</v>
      </c>
      <c r="F195" s="612"/>
      <c r="G195" s="612">
        <v>0</v>
      </c>
      <c r="H195" s="612">
        <v>0</v>
      </c>
      <c r="I195" s="612"/>
      <c r="J195" s="612">
        <v>0</v>
      </c>
      <c r="K195" s="612">
        <v>0</v>
      </c>
      <c r="L195" s="613"/>
      <c r="M195" s="451"/>
      <c r="N195" t="e">
        <f>VLOOKUP(A195, 'P&amp;L'!A:B,1,FALSE)</f>
        <v>#N/A</v>
      </c>
      <c r="O195" t="e">
        <f>VLOOKUP(A195, KeyData!A:C,1,FALSE)</f>
        <v>#N/A</v>
      </c>
      <c r="P195" s="451"/>
    </row>
    <row r="196" spans="1:16">
      <c r="A196" s="451" t="str">
        <f t="shared" si="3"/>
        <v>131121100_Result</v>
      </c>
      <c r="B196" s="1015" t="s">
        <v>1218</v>
      </c>
      <c r="C196" s="811" t="s">
        <v>1219</v>
      </c>
      <c r="D196" s="842" t="s">
        <v>1156</v>
      </c>
      <c r="E196" s="840"/>
      <c r="F196" s="836"/>
      <c r="G196" s="836">
        <v>727007.04500000004</v>
      </c>
      <c r="H196" s="836">
        <v>525655.71499999997</v>
      </c>
      <c r="I196" s="836">
        <v>484066.11900000001</v>
      </c>
      <c r="J196" s="836">
        <v>514585.95400000003</v>
      </c>
      <c r="K196" s="836">
        <v>514585.95400000003</v>
      </c>
      <c r="L196" s="838">
        <v>412838.61</v>
      </c>
      <c r="M196" s="451"/>
      <c r="N196" t="e">
        <f>VLOOKUP(A196, 'P&amp;L'!A:B,1,FALSE)</f>
        <v>#N/A</v>
      </c>
      <c r="O196" t="e">
        <f>VLOOKUP(A196, KeyData!A:C,1,FALSE)</f>
        <v>#N/A</v>
      </c>
      <c r="P196" s="451"/>
    </row>
    <row r="197" spans="1:16">
      <c r="A197" s="451" t="str">
        <f t="shared" si="3"/>
        <v>131121300_300</v>
      </c>
      <c r="B197" s="1015" t="s">
        <v>1220</v>
      </c>
      <c r="C197" s="811" t="s">
        <v>1221</v>
      </c>
      <c r="D197" s="808" t="s">
        <v>1196</v>
      </c>
      <c r="E197" s="808" t="s">
        <v>1138</v>
      </c>
      <c r="F197" s="612"/>
      <c r="G197" s="612">
        <v>-3.9E-2</v>
      </c>
      <c r="H197" s="612"/>
      <c r="I197" s="612">
        <v>3.9E-2</v>
      </c>
      <c r="J197" s="612"/>
      <c r="K197" s="612"/>
      <c r="L197" s="613"/>
      <c r="M197" s="451"/>
      <c r="N197" t="e">
        <f>VLOOKUP(A197, 'P&amp;L'!A:B,1,FALSE)</f>
        <v>#N/A</v>
      </c>
      <c r="O197" t="e">
        <f>VLOOKUP(A197, KeyData!A:C,1,FALSE)</f>
        <v>#N/A</v>
      </c>
      <c r="P197" s="451"/>
    </row>
    <row r="198" spans="1:16">
      <c r="A198" s="451" t="str">
        <f t="shared" si="3"/>
        <v>131121300_310</v>
      </c>
      <c r="B198" s="1015" t="s">
        <v>1220</v>
      </c>
      <c r="C198" s="811" t="s">
        <v>1221</v>
      </c>
      <c r="D198" s="808" t="s">
        <v>1197</v>
      </c>
      <c r="E198" s="808" t="s">
        <v>1198</v>
      </c>
      <c r="F198" s="612"/>
      <c r="G198" s="612"/>
      <c r="H198" s="612"/>
      <c r="I198" s="612">
        <v>-3.9E-2</v>
      </c>
      <c r="J198" s="612"/>
      <c r="K198" s="612"/>
      <c r="L198" s="613"/>
      <c r="M198" s="451"/>
      <c r="N198" t="e">
        <f>VLOOKUP(A198, 'P&amp;L'!A:B,1,FALSE)</f>
        <v>#N/A</v>
      </c>
      <c r="O198" t="e">
        <f>VLOOKUP(A198, KeyData!A:C,1,FALSE)</f>
        <v>#N/A</v>
      </c>
      <c r="P198" s="451"/>
    </row>
    <row r="199" spans="1:16">
      <c r="A199" s="451" t="str">
        <f t="shared" si="3"/>
        <v>131121300_348</v>
      </c>
      <c r="B199" s="1015" t="s">
        <v>1220</v>
      </c>
      <c r="C199" s="811" t="s">
        <v>1221</v>
      </c>
      <c r="D199" s="808" t="s">
        <v>1199</v>
      </c>
      <c r="E199" s="808" t="s">
        <v>1146</v>
      </c>
      <c r="F199" s="612"/>
      <c r="G199" s="612">
        <v>3.9E-2</v>
      </c>
      <c r="H199" s="612"/>
      <c r="I199" s="612"/>
      <c r="J199" s="612"/>
      <c r="K199" s="612"/>
      <c r="L199" s="613"/>
      <c r="M199" s="451"/>
      <c r="N199" t="e">
        <f>VLOOKUP(A199, 'P&amp;L'!A:B,1,FALSE)</f>
        <v>#N/A</v>
      </c>
      <c r="O199" t="e">
        <f>VLOOKUP(A199, KeyData!A:C,1,FALSE)</f>
        <v>#N/A</v>
      </c>
      <c r="P199" s="451"/>
    </row>
    <row r="200" spans="1:16">
      <c r="A200" s="451" t="str">
        <f t="shared" si="3"/>
        <v>131121300_Result</v>
      </c>
      <c r="B200" s="1015" t="s">
        <v>1220</v>
      </c>
      <c r="C200" s="811" t="s">
        <v>1221</v>
      </c>
      <c r="D200" s="842" t="s">
        <v>1156</v>
      </c>
      <c r="E200" s="840"/>
      <c r="F200" s="836"/>
      <c r="G200" s="836">
        <v>0</v>
      </c>
      <c r="H200" s="836"/>
      <c r="I200" s="836">
        <v>0</v>
      </c>
      <c r="J200" s="836"/>
      <c r="K200" s="836"/>
      <c r="L200" s="838"/>
      <c r="M200" s="451"/>
      <c r="N200" t="e">
        <f>VLOOKUP(A200, 'P&amp;L'!A:B,1,FALSE)</f>
        <v>#N/A</v>
      </c>
      <c r="O200" t="e">
        <f>VLOOKUP(A200, KeyData!A:C,1,FALSE)</f>
        <v>#N/A</v>
      </c>
      <c r="P200" s="451"/>
    </row>
    <row r="201" spans="1:16">
      <c r="A201" s="451" t="str">
        <f t="shared" si="3"/>
        <v>131600000_300</v>
      </c>
      <c r="B201" s="1013" t="s">
        <v>1222</v>
      </c>
      <c r="C201" s="809" t="s">
        <v>1050</v>
      </c>
      <c r="D201" s="808" t="s">
        <v>1196</v>
      </c>
      <c r="E201" s="808" t="s">
        <v>1138</v>
      </c>
      <c r="F201" s="612"/>
      <c r="G201" s="612">
        <v>22627604.901999999</v>
      </c>
      <c r="H201" s="612">
        <v>21835832.208000001</v>
      </c>
      <c r="I201" s="612">
        <v>19168245.482999999</v>
      </c>
      <c r="J201" s="612">
        <v>21835832.208000001</v>
      </c>
      <c r="K201" s="612">
        <v>21835832.208000001</v>
      </c>
      <c r="L201" s="613">
        <v>25658367.877</v>
      </c>
      <c r="M201" s="451"/>
      <c r="N201" t="e">
        <f>VLOOKUP(A201, 'P&amp;L'!A:B,1,FALSE)</f>
        <v>#N/A</v>
      </c>
      <c r="O201" t="e">
        <f>VLOOKUP(A201, KeyData!A:C,1,FALSE)</f>
        <v>#N/A</v>
      </c>
      <c r="P201" s="451"/>
    </row>
    <row r="202" spans="1:16">
      <c r="A202" s="451" t="str">
        <f t="shared" si="3"/>
        <v>131600000_310</v>
      </c>
      <c r="B202" s="1013" t="s">
        <v>1222</v>
      </c>
      <c r="C202" s="809" t="s">
        <v>1050</v>
      </c>
      <c r="D202" s="808" t="s">
        <v>1197</v>
      </c>
      <c r="E202" s="808" t="s">
        <v>1198</v>
      </c>
      <c r="F202" s="612"/>
      <c r="G202" s="612">
        <v>-788174.31400000001</v>
      </c>
      <c r="H202" s="612">
        <v>9008561.2390000001</v>
      </c>
      <c r="I202" s="612">
        <v>342244.17099999997</v>
      </c>
      <c r="J202" s="612">
        <v>1524836.784</v>
      </c>
      <c r="K202" s="612">
        <v>3822535.6690000002</v>
      </c>
      <c r="L202" s="613">
        <v>-3324609.5589999999</v>
      </c>
      <c r="M202" s="451"/>
      <c r="N202" t="e">
        <f>VLOOKUP(A202, 'P&amp;L'!A:B,1,FALSE)</f>
        <v>#N/A</v>
      </c>
      <c r="O202" t="e">
        <f>VLOOKUP(A202, KeyData!A:C,1,FALSE)</f>
        <v>#N/A</v>
      </c>
      <c r="P202" s="451"/>
    </row>
    <row r="203" spans="1:16">
      <c r="A203" s="451" t="str">
        <f t="shared" si="3"/>
        <v>131600000_348</v>
      </c>
      <c r="B203" s="1013" t="s">
        <v>1222</v>
      </c>
      <c r="C203" s="809" t="s">
        <v>1050</v>
      </c>
      <c r="D203" s="808" t="s">
        <v>1199</v>
      </c>
      <c r="E203" s="808" t="s">
        <v>1146</v>
      </c>
      <c r="F203" s="612"/>
      <c r="G203" s="612">
        <v>0.13100000000000001</v>
      </c>
      <c r="H203" s="612"/>
      <c r="I203" s="612"/>
      <c r="J203" s="612"/>
      <c r="K203" s="612"/>
      <c r="L203" s="613"/>
      <c r="M203" s="451"/>
      <c r="N203" t="e">
        <f>VLOOKUP(A203, 'P&amp;L'!A:B,1,FALSE)</f>
        <v>#N/A</v>
      </c>
      <c r="O203" t="e">
        <f>VLOOKUP(A203, KeyData!A:C,1,FALSE)</f>
        <v>#N/A</v>
      </c>
      <c r="P203" s="451"/>
    </row>
    <row r="204" spans="1:16">
      <c r="A204" s="451" t="str">
        <f t="shared" si="3"/>
        <v>131600000_360</v>
      </c>
      <c r="B204" s="1013" t="s">
        <v>1222</v>
      </c>
      <c r="C204" s="809" t="s">
        <v>1050</v>
      </c>
      <c r="D204" s="808" t="s">
        <v>1200</v>
      </c>
      <c r="E204" s="808" t="s">
        <v>1148</v>
      </c>
      <c r="F204" s="612"/>
      <c r="G204" s="612">
        <v>0</v>
      </c>
      <c r="H204" s="612">
        <v>0</v>
      </c>
      <c r="I204" s="612"/>
      <c r="J204" s="612">
        <v>0</v>
      </c>
      <c r="K204" s="612">
        <v>0</v>
      </c>
      <c r="L204" s="613"/>
      <c r="M204" s="451"/>
      <c r="N204" t="e">
        <f>VLOOKUP(A204, 'P&amp;L'!A:B,1,FALSE)</f>
        <v>#N/A</v>
      </c>
      <c r="O204" t="e">
        <f>VLOOKUP(A204, KeyData!A:C,1,FALSE)</f>
        <v>#N/A</v>
      </c>
      <c r="P204" s="451"/>
    </row>
    <row r="205" spans="1:16">
      <c r="A205" s="451" t="str">
        <f t="shared" si="3"/>
        <v>131600000_400</v>
      </c>
      <c r="B205" s="1013" t="s">
        <v>1222</v>
      </c>
      <c r="C205" s="809" t="s">
        <v>1050</v>
      </c>
      <c r="D205" s="808" t="s">
        <v>1201</v>
      </c>
      <c r="E205" s="808" t="s">
        <v>1138</v>
      </c>
      <c r="F205" s="612"/>
      <c r="G205" s="612">
        <v>-6785.1260000000002</v>
      </c>
      <c r="H205" s="612">
        <v>-32681.828000000001</v>
      </c>
      <c r="I205" s="612">
        <v>-8742.3250000000007</v>
      </c>
      <c r="J205" s="612">
        <v>-32681.828000000001</v>
      </c>
      <c r="K205" s="612">
        <v>-32681.828000000001</v>
      </c>
      <c r="L205" s="613">
        <v>-36287.851999999999</v>
      </c>
      <c r="M205" s="451"/>
      <c r="N205" t="e">
        <f>VLOOKUP(A205, 'P&amp;L'!A:B,1,FALSE)</f>
        <v>#N/A</v>
      </c>
      <c r="O205" t="e">
        <f>VLOOKUP(A205, KeyData!A:C,1,FALSE)</f>
        <v>#N/A</v>
      </c>
      <c r="P205" s="451"/>
    </row>
    <row r="206" spans="1:16">
      <c r="A206" s="451" t="str">
        <f t="shared" si="3"/>
        <v>131600000_410</v>
      </c>
      <c r="B206" s="1013" t="s">
        <v>1222</v>
      </c>
      <c r="C206" s="809" t="s">
        <v>1050</v>
      </c>
      <c r="D206" s="808" t="s">
        <v>1202</v>
      </c>
      <c r="E206" s="808" t="s">
        <v>1203</v>
      </c>
      <c r="F206" s="612"/>
      <c r="G206" s="612"/>
      <c r="H206" s="612"/>
      <c r="I206" s="612"/>
      <c r="J206" s="612">
        <v>0.309</v>
      </c>
      <c r="K206" s="612">
        <v>0.309</v>
      </c>
      <c r="L206" s="613"/>
      <c r="M206" s="451"/>
      <c r="N206" t="e">
        <f>VLOOKUP(A206, 'P&amp;L'!A:B,1,FALSE)</f>
        <v>#N/A</v>
      </c>
      <c r="O206" t="e">
        <f>VLOOKUP(A206, KeyData!A:C,1,FALSE)</f>
        <v>#N/A</v>
      </c>
      <c r="P206" s="451"/>
    </row>
    <row r="207" spans="1:16">
      <c r="A207" s="451" t="str">
        <f t="shared" si="3"/>
        <v>131600000_430</v>
      </c>
      <c r="B207" s="1013" t="s">
        <v>1222</v>
      </c>
      <c r="C207" s="809" t="s">
        <v>1050</v>
      </c>
      <c r="D207" s="808" t="s">
        <v>1223</v>
      </c>
      <c r="E207" s="808" t="s">
        <v>1224</v>
      </c>
      <c r="F207" s="612"/>
      <c r="G207" s="612">
        <v>-33498.883999999998</v>
      </c>
      <c r="H207" s="612">
        <v>-4062.4450000000002</v>
      </c>
      <c r="I207" s="612"/>
      <c r="J207" s="612">
        <v>-3314.1889999999999</v>
      </c>
      <c r="K207" s="612">
        <v>-4062.355</v>
      </c>
      <c r="L207" s="613"/>
      <c r="M207" s="451"/>
      <c r="N207" t="e">
        <f>VLOOKUP(A207, 'P&amp;L'!A:B,1,FALSE)</f>
        <v>#N/A</v>
      </c>
      <c r="O207" t="e">
        <f>VLOOKUP(A207, KeyData!A:C,1,FALSE)</f>
        <v>#N/A</v>
      </c>
      <c r="P207" s="451"/>
    </row>
    <row r="208" spans="1:16">
      <c r="A208" s="451" t="str">
        <f t="shared" si="3"/>
        <v>131600000_435</v>
      </c>
      <c r="B208" s="1013" t="s">
        <v>1222</v>
      </c>
      <c r="C208" s="809" t="s">
        <v>1050</v>
      </c>
      <c r="D208" s="808" t="s">
        <v>1225</v>
      </c>
      <c r="E208" s="808" t="s">
        <v>1226</v>
      </c>
      <c r="F208" s="612"/>
      <c r="G208" s="612">
        <v>4825.5569999999998</v>
      </c>
      <c r="H208" s="612">
        <v>456.11200000000002</v>
      </c>
      <c r="I208" s="612"/>
      <c r="J208" s="612">
        <v>51.27</v>
      </c>
      <c r="K208" s="612">
        <v>456.02199999999999</v>
      </c>
      <c r="L208" s="613"/>
      <c r="M208" s="451"/>
      <c r="N208" t="e">
        <f>VLOOKUP(A208, 'P&amp;L'!A:B,1,FALSE)</f>
        <v>#N/A</v>
      </c>
      <c r="O208" t="e">
        <f>VLOOKUP(A208, KeyData!A:C,1,FALSE)</f>
        <v>#N/A</v>
      </c>
      <c r="P208" s="451"/>
    </row>
    <row r="209" spans="1:16">
      <c r="A209" s="451" t="str">
        <f t="shared" si="3"/>
        <v>131600000_460</v>
      </c>
      <c r="B209" s="1013" t="s">
        <v>1222</v>
      </c>
      <c r="C209" s="809" t="s">
        <v>1050</v>
      </c>
      <c r="D209" s="808" t="s">
        <v>1206</v>
      </c>
      <c r="E209" s="808" t="s">
        <v>1148</v>
      </c>
      <c r="F209" s="612"/>
      <c r="G209" s="612">
        <v>0</v>
      </c>
      <c r="H209" s="612">
        <v>0</v>
      </c>
      <c r="I209" s="612"/>
      <c r="J209" s="612">
        <v>0</v>
      </c>
      <c r="K209" s="612">
        <v>0</v>
      </c>
      <c r="L209" s="613"/>
      <c r="M209" s="451"/>
      <c r="N209" t="e">
        <f>VLOOKUP(A209, 'P&amp;L'!A:B,1,FALSE)</f>
        <v>#N/A</v>
      </c>
      <c r="O209" t="e">
        <f>VLOOKUP(A209, KeyData!A:C,1,FALSE)</f>
        <v>#N/A</v>
      </c>
      <c r="P209" s="451"/>
    </row>
    <row r="210" spans="1:16">
      <c r="A210" s="451" t="str">
        <f t="shared" si="3"/>
        <v>131600000_Result</v>
      </c>
      <c r="B210" s="1013" t="s">
        <v>1222</v>
      </c>
      <c r="C210" s="809" t="s">
        <v>1050</v>
      </c>
      <c r="D210" s="842" t="s">
        <v>1156</v>
      </c>
      <c r="E210" s="840"/>
      <c r="F210" s="836"/>
      <c r="G210" s="836">
        <v>21803972.265999999</v>
      </c>
      <c r="H210" s="836">
        <v>30808105.285999998</v>
      </c>
      <c r="I210" s="836">
        <v>19501747.329</v>
      </c>
      <c r="J210" s="836">
        <v>23324724.554000001</v>
      </c>
      <c r="K210" s="836">
        <v>25622080.024999999</v>
      </c>
      <c r="L210" s="838">
        <v>22297470.465999998</v>
      </c>
      <c r="M210" s="451"/>
      <c r="N210" t="e">
        <f>VLOOKUP(A210, 'P&amp;L'!A:B,1,FALSE)</f>
        <v>#N/A</v>
      </c>
      <c r="O210" t="str">
        <f>VLOOKUP(A210, KeyData!A:C,1,FALSE)</f>
        <v>131600000_Result</v>
      </c>
      <c r="P210" s="451"/>
    </row>
    <row r="211" spans="1:16">
      <c r="A211" s="451" t="str">
        <f t="shared" si="3"/>
        <v>131611000_300</v>
      </c>
      <c r="B211" s="1014" t="s">
        <v>1227</v>
      </c>
      <c r="C211" s="810" t="s">
        <v>1228</v>
      </c>
      <c r="D211" s="808" t="s">
        <v>1196</v>
      </c>
      <c r="E211" s="808" t="s">
        <v>1138</v>
      </c>
      <c r="F211" s="612"/>
      <c r="G211" s="612">
        <v>22627604.901999999</v>
      </c>
      <c r="H211" s="612">
        <v>21835832.208000001</v>
      </c>
      <c r="I211" s="612">
        <v>19168245.482999999</v>
      </c>
      <c r="J211" s="612">
        <v>21835832.208000001</v>
      </c>
      <c r="K211" s="612">
        <v>21835832.208000001</v>
      </c>
      <c r="L211" s="613">
        <v>25658367.877</v>
      </c>
      <c r="M211" s="451"/>
      <c r="N211" t="e">
        <f>VLOOKUP(A211, 'P&amp;L'!A:B,1,FALSE)</f>
        <v>#N/A</v>
      </c>
      <c r="O211" t="e">
        <f>VLOOKUP(A211, KeyData!A:C,1,FALSE)</f>
        <v>#N/A</v>
      </c>
      <c r="P211" s="451"/>
    </row>
    <row r="212" spans="1:16">
      <c r="A212" s="451" t="str">
        <f t="shared" si="3"/>
        <v>131611000_310</v>
      </c>
      <c r="B212" s="1014" t="s">
        <v>1227</v>
      </c>
      <c r="C212" s="810" t="s">
        <v>1228</v>
      </c>
      <c r="D212" s="808" t="s">
        <v>1197</v>
      </c>
      <c r="E212" s="808" t="s">
        <v>1198</v>
      </c>
      <c r="F212" s="612"/>
      <c r="G212" s="612">
        <v>-788174.31400000001</v>
      </c>
      <c r="H212" s="612">
        <v>9008561.2390000001</v>
      </c>
      <c r="I212" s="612">
        <v>342244.17099999997</v>
      </c>
      <c r="J212" s="612">
        <v>1524836.784</v>
      </c>
      <c r="K212" s="612">
        <v>3822535.6690000002</v>
      </c>
      <c r="L212" s="613">
        <v>-3324609.5589999999</v>
      </c>
      <c r="M212" s="451"/>
      <c r="N212" t="e">
        <f>VLOOKUP(A212, 'P&amp;L'!A:B,1,FALSE)</f>
        <v>#N/A</v>
      </c>
      <c r="O212" t="e">
        <f>VLOOKUP(A212, KeyData!A:C,1,FALSE)</f>
        <v>#N/A</v>
      </c>
      <c r="P212" s="451"/>
    </row>
    <row r="213" spans="1:16">
      <c r="A213" s="451" t="str">
        <f t="shared" si="3"/>
        <v>131611000_348</v>
      </c>
      <c r="B213" s="1014" t="s">
        <v>1227</v>
      </c>
      <c r="C213" s="810" t="s">
        <v>1228</v>
      </c>
      <c r="D213" s="808" t="s">
        <v>1199</v>
      </c>
      <c r="E213" s="808" t="s">
        <v>1146</v>
      </c>
      <c r="F213" s="612"/>
      <c r="G213" s="612">
        <v>0.13100000000000001</v>
      </c>
      <c r="H213" s="612"/>
      <c r="I213" s="612"/>
      <c r="J213" s="612"/>
      <c r="K213" s="612"/>
      <c r="L213" s="613"/>
      <c r="M213" s="451"/>
      <c r="N213" t="e">
        <f>VLOOKUP(A213, 'P&amp;L'!A:B,1,FALSE)</f>
        <v>#N/A</v>
      </c>
      <c r="O213" t="e">
        <f>VLOOKUP(A213, KeyData!A:C,1,FALSE)</f>
        <v>#N/A</v>
      </c>
      <c r="P213" s="451"/>
    </row>
    <row r="214" spans="1:16">
      <c r="A214" s="451" t="str">
        <f t="shared" si="3"/>
        <v>131611000_360</v>
      </c>
      <c r="B214" s="1014" t="s">
        <v>1227</v>
      </c>
      <c r="C214" s="810" t="s">
        <v>1228</v>
      </c>
      <c r="D214" s="808" t="s">
        <v>1200</v>
      </c>
      <c r="E214" s="808" t="s">
        <v>1148</v>
      </c>
      <c r="F214" s="612"/>
      <c r="G214" s="612">
        <v>0</v>
      </c>
      <c r="H214" s="612">
        <v>0</v>
      </c>
      <c r="I214" s="612"/>
      <c r="J214" s="612">
        <v>0</v>
      </c>
      <c r="K214" s="612">
        <v>0</v>
      </c>
      <c r="L214" s="613"/>
      <c r="M214" s="451"/>
      <c r="N214" t="e">
        <f>VLOOKUP(A214, 'P&amp;L'!A:B,1,FALSE)</f>
        <v>#N/A</v>
      </c>
      <c r="O214" t="e">
        <f>VLOOKUP(A214, KeyData!A:C,1,FALSE)</f>
        <v>#N/A</v>
      </c>
      <c r="P214" s="451"/>
    </row>
    <row r="215" spans="1:16">
      <c r="A215" s="451" t="str">
        <f t="shared" si="3"/>
        <v>131611000_400</v>
      </c>
      <c r="B215" s="1014" t="s">
        <v>1227</v>
      </c>
      <c r="C215" s="810" t="s">
        <v>1228</v>
      </c>
      <c r="D215" s="808" t="s">
        <v>1201</v>
      </c>
      <c r="E215" s="808" t="s">
        <v>1138</v>
      </c>
      <c r="F215" s="612"/>
      <c r="G215" s="612">
        <v>-6785.1260000000002</v>
      </c>
      <c r="H215" s="612">
        <v>-32681.828000000001</v>
      </c>
      <c r="I215" s="612">
        <v>-8742.3250000000007</v>
      </c>
      <c r="J215" s="612">
        <v>-32681.828000000001</v>
      </c>
      <c r="K215" s="612">
        <v>-32681.828000000001</v>
      </c>
      <c r="L215" s="613">
        <v>-36287.851999999999</v>
      </c>
      <c r="M215" s="451"/>
      <c r="N215" t="e">
        <f>VLOOKUP(A215, 'P&amp;L'!A:B,1,FALSE)</f>
        <v>#N/A</v>
      </c>
      <c r="O215" t="e">
        <f>VLOOKUP(A215, KeyData!A:C,1,FALSE)</f>
        <v>#N/A</v>
      </c>
      <c r="P215" s="451"/>
    </row>
    <row r="216" spans="1:16">
      <c r="A216" s="451" t="str">
        <f t="shared" si="3"/>
        <v>131611000_410</v>
      </c>
      <c r="B216" s="1014" t="s">
        <v>1227</v>
      </c>
      <c r="C216" s="810" t="s">
        <v>1228</v>
      </c>
      <c r="D216" s="808" t="s">
        <v>1202</v>
      </c>
      <c r="E216" s="808" t="s">
        <v>1203</v>
      </c>
      <c r="F216" s="612"/>
      <c r="G216" s="612"/>
      <c r="H216" s="612"/>
      <c r="I216" s="612"/>
      <c r="J216" s="612">
        <v>0.309</v>
      </c>
      <c r="K216" s="612">
        <v>0.309</v>
      </c>
      <c r="L216" s="613"/>
      <c r="M216" s="451"/>
      <c r="N216" t="e">
        <f>VLOOKUP(A216, 'P&amp;L'!A:B,1,FALSE)</f>
        <v>#N/A</v>
      </c>
      <c r="O216" t="e">
        <f>VLOOKUP(A216, KeyData!A:C,1,FALSE)</f>
        <v>#N/A</v>
      </c>
      <c r="P216" s="451"/>
    </row>
    <row r="217" spans="1:16">
      <c r="A217" s="451" t="str">
        <f t="shared" si="3"/>
        <v>131611000_430</v>
      </c>
      <c r="B217" s="1014" t="s">
        <v>1227</v>
      </c>
      <c r="C217" s="810" t="s">
        <v>1228</v>
      </c>
      <c r="D217" s="808" t="s">
        <v>1223</v>
      </c>
      <c r="E217" s="808" t="s">
        <v>1224</v>
      </c>
      <c r="F217" s="612"/>
      <c r="G217" s="612">
        <v>-33498.883999999998</v>
      </c>
      <c r="H217" s="612">
        <v>-4062.4450000000002</v>
      </c>
      <c r="I217" s="612"/>
      <c r="J217" s="612">
        <v>-3314.1889999999999</v>
      </c>
      <c r="K217" s="612">
        <v>-4062.355</v>
      </c>
      <c r="L217" s="613"/>
      <c r="M217" s="451"/>
      <c r="N217" t="e">
        <f>VLOOKUP(A217, 'P&amp;L'!A:B,1,FALSE)</f>
        <v>#N/A</v>
      </c>
      <c r="O217" t="e">
        <f>VLOOKUP(A217, KeyData!A:C,1,FALSE)</f>
        <v>#N/A</v>
      </c>
      <c r="P217" s="451"/>
    </row>
    <row r="218" spans="1:16">
      <c r="A218" s="451" t="str">
        <f t="shared" si="3"/>
        <v>131611000_435</v>
      </c>
      <c r="B218" s="1014" t="s">
        <v>1227</v>
      </c>
      <c r="C218" s="810" t="s">
        <v>1228</v>
      </c>
      <c r="D218" s="808" t="s">
        <v>1225</v>
      </c>
      <c r="E218" s="808" t="s">
        <v>1226</v>
      </c>
      <c r="F218" s="612"/>
      <c r="G218" s="612">
        <v>4825.5569999999998</v>
      </c>
      <c r="H218" s="612">
        <v>456.11200000000002</v>
      </c>
      <c r="I218" s="612"/>
      <c r="J218" s="612">
        <v>51.27</v>
      </c>
      <c r="K218" s="612">
        <v>456.02199999999999</v>
      </c>
      <c r="L218" s="613"/>
      <c r="M218" s="451"/>
      <c r="N218" t="e">
        <f>VLOOKUP(A218, 'P&amp;L'!A:B,1,FALSE)</f>
        <v>#N/A</v>
      </c>
      <c r="O218" t="e">
        <f>VLOOKUP(A218, KeyData!A:C,1,FALSE)</f>
        <v>#N/A</v>
      </c>
      <c r="P218" s="451"/>
    </row>
    <row r="219" spans="1:16">
      <c r="A219" s="451" t="str">
        <f t="shared" si="3"/>
        <v>131611000_460</v>
      </c>
      <c r="B219" s="1014" t="s">
        <v>1227</v>
      </c>
      <c r="C219" s="810" t="s">
        <v>1228</v>
      </c>
      <c r="D219" s="808" t="s">
        <v>1206</v>
      </c>
      <c r="E219" s="808" t="s">
        <v>1148</v>
      </c>
      <c r="F219" s="612"/>
      <c r="G219" s="612">
        <v>0</v>
      </c>
      <c r="H219" s="612">
        <v>0</v>
      </c>
      <c r="I219" s="612"/>
      <c r="J219" s="612">
        <v>0</v>
      </c>
      <c r="K219" s="612">
        <v>0</v>
      </c>
      <c r="L219" s="613"/>
      <c r="M219" s="451"/>
      <c r="N219" t="e">
        <f>VLOOKUP(A219, 'P&amp;L'!A:B,1,FALSE)</f>
        <v>#N/A</v>
      </c>
      <c r="O219" t="e">
        <f>VLOOKUP(A219, KeyData!A:C,1,FALSE)</f>
        <v>#N/A</v>
      </c>
      <c r="P219" s="451"/>
    </row>
    <row r="220" spans="1:16">
      <c r="A220" s="451" t="str">
        <f t="shared" si="3"/>
        <v>131611000_Result</v>
      </c>
      <c r="B220" s="1014" t="s">
        <v>1227</v>
      </c>
      <c r="C220" s="810" t="s">
        <v>1228</v>
      </c>
      <c r="D220" s="842" t="s">
        <v>1156</v>
      </c>
      <c r="E220" s="840"/>
      <c r="F220" s="836"/>
      <c r="G220" s="836">
        <v>21803972.265999999</v>
      </c>
      <c r="H220" s="836">
        <v>30808105.285999998</v>
      </c>
      <c r="I220" s="836">
        <v>19501747.329</v>
      </c>
      <c r="J220" s="836">
        <v>23324724.554000001</v>
      </c>
      <c r="K220" s="836">
        <v>25622080.024999999</v>
      </c>
      <c r="L220" s="838">
        <v>22297470.465999998</v>
      </c>
      <c r="M220" s="451"/>
      <c r="N220" t="e">
        <f>VLOOKUP(A220, 'P&amp;L'!A:B,1,FALSE)</f>
        <v>#N/A</v>
      </c>
      <c r="O220" t="e">
        <f>VLOOKUP(A220, KeyData!A:C,1,FALSE)</f>
        <v>#N/A</v>
      </c>
      <c r="P220" s="451"/>
    </row>
    <row r="221" spans="1:16">
      <c r="A221" s="451" t="str">
        <f t="shared" si="3"/>
        <v>131611110_300</v>
      </c>
      <c r="B221" s="1015" t="s">
        <v>1229</v>
      </c>
      <c r="C221" s="811" t="s">
        <v>1228</v>
      </c>
      <c r="D221" s="808" t="s">
        <v>1196</v>
      </c>
      <c r="E221" s="808" t="s">
        <v>1138</v>
      </c>
      <c r="F221" s="612"/>
      <c r="G221" s="612">
        <v>22609372.646000002</v>
      </c>
      <c r="H221" s="612">
        <v>21798400.555</v>
      </c>
      <c r="I221" s="612">
        <v>19168243.201000001</v>
      </c>
      <c r="J221" s="612">
        <v>21798400.555</v>
      </c>
      <c r="K221" s="612">
        <v>21798400.555</v>
      </c>
      <c r="L221" s="613">
        <v>25634405.673</v>
      </c>
      <c r="M221" s="451"/>
      <c r="N221" t="e">
        <f>VLOOKUP(A221, 'P&amp;L'!A:B,1,FALSE)</f>
        <v>#N/A</v>
      </c>
      <c r="O221" t="e">
        <f>VLOOKUP(A221, KeyData!A:C,1,FALSE)</f>
        <v>#N/A</v>
      </c>
      <c r="P221" s="451"/>
    </row>
    <row r="222" spans="1:16">
      <c r="A222" s="451" t="str">
        <f t="shared" si="3"/>
        <v>131611110_310</v>
      </c>
      <c r="B222" s="1015" t="s">
        <v>1229</v>
      </c>
      <c r="C222" s="811" t="s">
        <v>1228</v>
      </c>
      <c r="D222" s="808" t="s">
        <v>1197</v>
      </c>
      <c r="E222" s="808" t="s">
        <v>1198</v>
      </c>
      <c r="F222" s="612"/>
      <c r="G222" s="612">
        <v>-810983.35900000005</v>
      </c>
      <c r="H222" s="612">
        <v>9015200.9309999999</v>
      </c>
      <c r="I222" s="612">
        <v>342244.17099999997</v>
      </c>
      <c r="J222" s="612">
        <v>1538306.274</v>
      </c>
      <c r="K222" s="612">
        <v>3836005.1179999998</v>
      </c>
      <c r="L222" s="613">
        <v>-3324609.5589999999</v>
      </c>
      <c r="M222" s="451"/>
      <c r="N222" t="e">
        <f>VLOOKUP(A222, 'P&amp;L'!A:B,1,FALSE)</f>
        <v>#N/A</v>
      </c>
      <c r="O222" t="e">
        <f>VLOOKUP(A222, KeyData!A:C,1,FALSE)</f>
        <v>#N/A</v>
      </c>
      <c r="P222" s="451"/>
    </row>
    <row r="223" spans="1:16">
      <c r="A223" s="451" t="str">
        <f t="shared" si="3"/>
        <v>131611110_348</v>
      </c>
      <c r="B223" s="1015" t="s">
        <v>1229</v>
      </c>
      <c r="C223" s="811" t="s">
        <v>1228</v>
      </c>
      <c r="D223" s="808" t="s">
        <v>1199</v>
      </c>
      <c r="E223" s="808" t="s">
        <v>1146</v>
      </c>
      <c r="F223" s="612"/>
      <c r="G223" s="612">
        <v>0.13100000000000001</v>
      </c>
      <c r="H223" s="612"/>
      <c r="I223" s="612"/>
      <c r="J223" s="612"/>
      <c r="K223" s="612"/>
      <c r="L223" s="613"/>
      <c r="M223" s="451"/>
      <c r="N223" t="e">
        <f>VLOOKUP(A223, 'P&amp;L'!A:B,1,FALSE)</f>
        <v>#N/A</v>
      </c>
      <c r="O223" t="e">
        <f>VLOOKUP(A223, KeyData!A:C,1,FALSE)</f>
        <v>#N/A</v>
      </c>
      <c r="P223" s="451"/>
    </row>
    <row r="224" spans="1:16">
      <c r="A224" s="451" t="str">
        <f t="shared" si="3"/>
        <v>131611110_360</v>
      </c>
      <c r="B224" s="1015" t="s">
        <v>1229</v>
      </c>
      <c r="C224" s="811" t="s">
        <v>1228</v>
      </c>
      <c r="D224" s="808" t="s">
        <v>1200</v>
      </c>
      <c r="E224" s="808" t="s">
        <v>1148</v>
      </c>
      <c r="F224" s="612"/>
      <c r="G224" s="612">
        <v>0</v>
      </c>
      <c r="H224" s="612">
        <v>0</v>
      </c>
      <c r="I224" s="612"/>
      <c r="J224" s="612">
        <v>0</v>
      </c>
      <c r="K224" s="612">
        <v>0</v>
      </c>
      <c r="L224" s="613"/>
      <c r="M224" s="451"/>
      <c r="N224" t="e">
        <f>VLOOKUP(A224, 'P&amp;L'!A:B,1,FALSE)</f>
        <v>#N/A</v>
      </c>
      <c r="O224" t="e">
        <f>VLOOKUP(A224, KeyData!A:C,1,FALSE)</f>
        <v>#N/A</v>
      </c>
      <c r="P224" s="451"/>
    </row>
    <row r="225" spans="1:16">
      <c r="A225" s="451" t="str">
        <f t="shared" si="3"/>
        <v>131611110_400</v>
      </c>
      <c r="B225" s="1015" t="s">
        <v>1229</v>
      </c>
      <c r="C225" s="811" t="s">
        <v>1228</v>
      </c>
      <c r="D225" s="808" t="s">
        <v>1201</v>
      </c>
      <c r="E225" s="808" t="s">
        <v>1138</v>
      </c>
      <c r="F225" s="612"/>
      <c r="G225" s="612">
        <v>-6782.8440000000001</v>
      </c>
      <c r="H225" s="612">
        <v>-8719.3559999999998</v>
      </c>
      <c r="I225" s="612">
        <v>-8740.0429999999997</v>
      </c>
      <c r="J225" s="612">
        <v>-8719.3559999999998</v>
      </c>
      <c r="K225" s="612">
        <v>-8719.3559999999998</v>
      </c>
      <c r="L225" s="613">
        <v>-12325.647999999999</v>
      </c>
      <c r="M225" s="451"/>
      <c r="N225" t="e">
        <f>VLOOKUP(A225, 'P&amp;L'!A:B,1,FALSE)</f>
        <v>#N/A</v>
      </c>
      <c r="O225" t="e">
        <f>VLOOKUP(A225, KeyData!A:C,1,FALSE)</f>
        <v>#N/A</v>
      </c>
      <c r="P225" s="451"/>
    </row>
    <row r="226" spans="1:16">
      <c r="A226" s="451" t="str">
        <f t="shared" si="3"/>
        <v>131611110_430</v>
      </c>
      <c r="B226" s="1015" t="s">
        <v>1229</v>
      </c>
      <c r="C226" s="811" t="s">
        <v>1228</v>
      </c>
      <c r="D226" s="808" t="s">
        <v>1223</v>
      </c>
      <c r="E226" s="808" t="s">
        <v>1224</v>
      </c>
      <c r="F226" s="612"/>
      <c r="G226" s="612">
        <v>-6756.7690000000002</v>
      </c>
      <c r="H226" s="612">
        <v>-4060.43</v>
      </c>
      <c r="I226" s="612"/>
      <c r="J226" s="612">
        <v>-3312.4760000000001</v>
      </c>
      <c r="K226" s="612">
        <v>-4060.6419999999998</v>
      </c>
      <c r="L226" s="613"/>
      <c r="M226" s="451"/>
      <c r="N226" t="e">
        <f>VLOOKUP(A226, 'P&amp;L'!A:B,1,FALSE)</f>
        <v>#N/A</v>
      </c>
      <c r="O226" t="e">
        <f>VLOOKUP(A226, KeyData!A:C,1,FALSE)</f>
        <v>#N/A</v>
      </c>
      <c r="P226" s="451"/>
    </row>
    <row r="227" spans="1:16">
      <c r="A227" s="451" t="str">
        <f t="shared" si="3"/>
        <v>131611110_435</v>
      </c>
      <c r="B227" s="1015" t="s">
        <v>1229</v>
      </c>
      <c r="C227" s="811" t="s">
        <v>1228</v>
      </c>
      <c r="D227" s="808" t="s">
        <v>1225</v>
      </c>
      <c r="E227" s="808" t="s">
        <v>1226</v>
      </c>
      <c r="F227" s="612"/>
      <c r="G227" s="612">
        <v>4820.2569999999996</v>
      </c>
      <c r="H227" s="612">
        <v>454.35</v>
      </c>
      <c r="I227" s="612"/>
      <c r="J227" s="612">
        <v>49.597999999999999</v>
      </c>
      <c r="K227" s="612">
        <v>454.35</v>
      </c>
      <c r="L227" s="613"/>
      <c r="M227" s="451"/>
      <c r="N227" t="e">
        <f>VLOOKUP(A227, 'P&amp;L'!A:B,1,FALSE)</f>
        <v>#N/A</v>
      </c>
      <c r="O227" t="e">
        <f>VLOOKUP(A227, KeyData!A:C,1,FALSE)</f>
        <v>#N/A</v>
      </c>
      <c r="P227" s="451"/>
    </row>
    <row r="228" spans="1:16">
      <c r="A228" s="451" t="str">
        <f t="shared" si="3"/>
        <v>131611110_460</v>
      </c>
      <c r="B228" s="1015" t="s">
        <v>1229</v>
      </c>
      <c r="C228" s="811" t="s">
        <v>1228</v>
      </c>
      <c r="D228" s="808" t="s">
        <v>1206</v>
      </c>
      <c r="E228" s="808" t="s">
        <v>1148</v>
      </c>
      <c r="F228" s="612"/>
      <c r="G228" s="612">
        <v>0</v>
      </c>
      <c r="H228" s="612">
        <v>0</v>
      </c>
      <c r="I228" s="612"/>
      <c r="J228" s="612">
        <v>0</v>
      </c>
      <c r="K228" s="612">
        <v>0</v>
      </c>
      <c r="L228" s="613"/>
      <c r="M228" s="451"/>
      <c r="N228" t="e">
        <f>VLOOKUP(A228, 'P&amp;L'!A:B,1,FALSE)</f>
        <v>#N/A</v>
      </c>
      <c r="O228" t="e">
        <f>VLOOKUP(A228, KeyData!A:C,1,FALSE)</f>
        <v>#N/A</v>
      </c>
      <c r="P228" s="451"/>
    </row>
    <row r="229" spans="1:16">
      <c r="A229" s="451" t="str">
        <f t="shared" si="3"/>
        <v>131611110_Result</v>
      </c>
      <c r="B229" s="1015" t="s">
        <v>1229</v>
      </c>
      <c r="C229" s="811" t="s">
        <v>1228</v>
      </c>
      <c r="D229" s="842" t="s">
        <v>1156</v>
      </c>
      <c r="E229" s="840"/>
      <c r="F229" s="836"/>
      <c r="G229" s="836">
        <v>21789670.061999999</v>
      </c>
      <c r="H229" s="836">
        <v>30801276.050000001</v>
      </c>
      <c r="I229" s="836">
        <v>19501747.329</v>
      </c>
      <c r="J229" s="836">
        <v>23324724.594999999</v>
      </c>
      <c r="K229" s="836">
        <v>25622080.024999999</v>
      </c>
      <c r="L229" s="838">
        <v>22297470.465999998</v>
      </c>
      <c r="M229" s="451"/>
      <c r="N229" t="e">
        <f>VLOOKUP(A229, 'P&amp;L'!A:B,1,FALSE)</f>
        <v>#N/A</v>
      </c>
      <c r="O229" t="e">
        <f>VLOOKUP(A229, KeyData!A:C,1,FALSE)</f>
        <v>#N/A</v>
      </c>
      <c r="P229" s="451"/>
    </row>
    <row r="230" spans="1:16">
      <c r="A230" s="451" t="str">
        <f t="shared" si="3"/>
        <v>131611500_300</v>
      </c>
      <c r="B230" s="1015" t="s">
        <v>1230</v>
      </c>
      <c r="C230" s="811" t="s">
        <v>1231</v>
      </c>
      <c r="D230" s="808" t="s">
        <v>1196</v>
      </c>
      <c r="E230" s="808" t="s">
        <v>1138</v>
      </c>
      <c r="F230" s="612"/>
      <c r="G230" s="612">
        <v>6887.4669999999996</v>
      </c>
      <c r="H230" s="612">
        <v>5936.4849999999997</v>
      </c>
      <c r="I230" s="612">
        <v>2.282</v>
      </c>
      <c r="J230" s="612">
        <v>5936.4849999999997</v>
      </c>
      <c r="K230" s="612">
        <v>5936.4849999999997</v>
      </c>
      <c r="L230" s="613">
        <v>2.323</v>
      </c>
      <c r="M230" s="451"/>
      <c r="N230" t="e">
        <f>VLOOKUP(A230, 'P&amp;L'!A:B,1,FALSE)</f>
        <v>#N/A</v>
      </c>
      <c r="O230" t="e">
        <f>VLOOKUP(A230, KeyData!A:C,1,FALSE)</f>
        <v>#N/A</v>
      </c>
      <c r="P230" s="451"/>
    </row>
    <row r="231" spans="1:16">
      <c r="A231" s="451" t="str">
        <f t="shared" si="3"/>
        <v>131611500_310</v>
      </c>
      <c r="B231" s="1015" t="s">
        <v>1230</v>
      </c>
      <c r="C231" s="811" t="s">
        <v>1231</v>
      </c>
      <c r="D231" s="808" t="s">
        <v>1197</v>
      </c>
      <c r="E231" s="808" t="s">
        <v>1198</v>
      </c>
      <c r="F231" s="612"/>
      <c r="G231" s="612">
        <v>-950.98299999999995</v>
      </c>
      <c r="H231" s="612">
        <v>633.17499999999995</v>
      </c>
      <c r="I231" s="612"/>
      <c r="J231" s="612">
        <v>-5934.2030000000004</v>
      </c>
      <c r="K231" s="612">
        <v>-5934.1620000000003</v>
      </c>
      <c r="L231" s="613"/>
      <c r="M231" s="451"/>
      <c r="N231" t="e">
        <f>VLOOKUP(A231, 'P&amp;L'!A:B,1,FALSE)</f>
        <v>#N/A</v>
      </c>
      <c r="O231" t="e">
        <f>VLOOKUP(A231, KeyData!A:C,1,FALSE)</f>
        <v>#N/A</v>
      </c>
      <c r="P231" s="451"/>
    </row>
    <row r="232" spans="1:16">
      <c r="A232" s="451" t="str">
        <f t="shared" si="3"/>
        <v>131611500_360</v>
      </c>
      <c r="B232" s="1015" t="s">
        <v>1230</v>
      </c>
      <c r="C232" s="811" t="s">
        <v>1231</v>
      </c>
      <c r="D232" s="808" t="s">
        <v>1200</v>
      </c>
      <c r="E232" s="808" t="s">
        <v>1148</v>
      </c>
      <c r="F232" s="612"/>
      <c r="G232" s="612">
        <v>0</v>
      </c>
      <c r="H232" s="612">
        <v>0</v>
      </c>
      <c r="I232" s="612"/>
      <c r="J232" s="612">
        <v>0</v>
      </c>
      <c r="K232" s="612">
        <v>0</v>
      </c>
      <c r="L232" s="613"/>
      <c r="M232" s="451"/>
      <c r="N232" t="e">
        <f>VLOOKUP(A232, 'P&amp;L'!A:B,1,FALSE)</f>
        <v>#N/A</v>
      </c>
      <c r="O232" t="e">
        <f>VLOOKUP(A232, KeyData!A:C,1,FALSE)</f>
        <v>#N/A</v>
      </c>
      <c r="P232" s="451"/>
    </row>
    <row r="233" spans="1:16">
      <c r="A233" s="451" t="str">
        <f t="shared" si="3"/>
        <v>131611500_400</v>
      </c>
      <c r="B233" s="1015" t="s">
        <v>1230</v>
      </c>
      <c r="C233" s="811" t="s">
        <v>1231</v>
      </c>
      <c r="D233" s="808" t="s">
        <v>1201</v>
      </c>
      <c r="E233" s="808" t="s">
        <v>1138</v>
      </c>
      <c r="F233" s="612"/>
      <c r="G233" s="612">
        <v>-2.282</v>
      </c>
      <c r="H233" s="612">
        <v>-2.5910000000000002</v>
      </c>
      <c r="I233" s="612">
        <v>-2.282</v>
      </c>
      <c r="J233" s="612">
        <v>-2.5910000000000002</v>
      </c>
      <c r="K233" s="612">
        <v>-2.5910000000000002</v>
      </c>
      <c r="L233" s="613">
        <v>-2.323</v>
      </c>
      <c r="M233" s="451"/>
      <c r="N233" t="e">
        <f>VLOOKUP(A233, 'P&amp;L'!A:B,1,FALSE)</f>
        <v>#N/A</v>
      </c>
      <c r="O233" t="e">
        <f>VLOOKUP(A233, KeyData!A:C,1,FALSE)</f>
        <v>#N/A</v>
      </c>
      <c r="P233" s="451"/>
    </row>
    <row r="234" spans="1:16">
      <c r="A234" s="451" t="str">
        <f t="shared" si="3"/>
        <v>131611500_410</v>
      </c>
      <c r="B234" s="1015" t="s">
        <v>1230</v>
      </c>
      <c r="C234" s="811" t="s">
        <v>1231</v>
      </c>
      <c r="D234" s="808" t="s">
        <v>1202</v>
      </c>
      <c r="E234" s="808" t="s">
        <v>1203</v>
      </c>
      <c r="F234" s="612"/>
      <c r="G234" s="612"/>
      <c r="H234" s="612"/>
      <c r="I234" s="612"/>
      <c r="J234" s="612">
        <v>0.309</v>
      </c>
      <c r="K234" s="612">
        <v>0.309</v>
      </c>
      <c r="L234" s="613"/>
      <c r="M234" s="451"/>
      <c r="N234" t="e">
        <f>VLOOKUP(A234, 'P&amp;L'!A:B,1,FALSE)</f>
        <v>#N/A</v>
      </c>
      <c r="O234" t="e">
        <f>VLOOKUP(A234, KeyData!A:C,1,FALSE)</f>
        <v>#N/A</v>
      </c>
      <c r="P234" s="451"/>
    </row>
    <row r="235" spans="1:16">
      <c r="A235" s="451" t="str">
        <f t="shared" si="3"/>
        <v>131611500_430</v>
      </c>
      <c r="B235" s="1015" t="s">
        <v>1230</v>
      </c>
      <c r="C235" s="811" t="s">
        <v>1231</v>
      </c>
      <c r="D235" s="808" t="s">
        <v>1223</v>
      </c>
      <c r="E235" s="808" t="s">
        <v>1224</v>
      </c>
      <c r="F235" s="612"/>
      <c r="G235" s="612">
        <v>-5.609</v>
      </c>
      <c r="H235" s="612">
        <v>-2.0150000000000001</v>
      </c>
      <c r="I235" s="612"/>
      <c r="J235" s="612">
        <v>-1.7130000000000001</v>
      </c>
      <c r="K235" s="612">
        <v>-1.7130000000000001</v>
      </c>
      <c r="L235" s="613"/>
      <c r="M235" s="451"/>
      <c r="N235" t="e">
        <f>VLOOKUP(A235, 'P&amp;L'!A:B,1,FALSE)</f>
        <v>#N/A</v>
      </c>
      <c r="O235" t="e">
        <f>VLOOKUP(A235, KeyData!A:C,1,FALSE)</f>
        <v>#N/A</v>
      </c>
      <c r="P235" s="451"/>
    </row>
    <row r="236" spans="1:16">
      <c r="A236" s="451" t="str">
        <f t="shared" si="3"/>
        <v>131611500_435</v>
      </c>
      <c r="B236" s="1015" t="s">
        <v>1230</v>
      </c>
      <c r="C236" s="811" t="s">
        <v>1231</v>
      </c>
      <c r="D236" s="808" t="s">
        <v>1225</v>
      </c>
      <c r="E236" s="808" t="s">
        <v>1226</v>
      </c>
      <c r="F236" s="612"/>
      <c r="G236" s="612">
        <v>5.3</v>
      </c>
      <c r="H236" s="612">
        <v>1.762</v>
      </c>
      <c r="I236" s="612"/>
      <c r="J236" s="612">
        <v>1.6719999999999999</v>
      </c>
      <c r="K236" s="612">
        <v>1.6719999999999999</v>
      </c>
      <c r="L236" s="613"/>
      <c r="M236" s="451"/>
      <c r="N236" t="e">
        <f>VLOOKUP(A236, 'P&amp;L'!A:B,1,FALSE)</f>
        <v>#N/A</v>
      </c>
      <c r="O236" t="e">
        <f>VLOOKUP(A236, KeyData!A:C,1,FALSE)</f>
        <v>#N/A</v>
      </c>
      <c r="P236" s="451"/>
    </row>
    <row r="237" spans="1:16">
      <c r="A237" s="451" t="str">
        <f t="shared" si="3"/>
        <v>131611500_460</v>
      </c>
      <c r="B237" s="1015" t="s">
        <v>1230</v>
      </c>
      <c r="C237" s="811" t="s">
        <v>1231</v>
      </c>
      <c r="D237" s="808" t="s">
        <v>1206</v>
      </c>
      <c r="E237" s="808" t="s">
        <v>1148</v>
      </c>
      <c r="F237" s="612"/>
      <c r="G237" s="612">
        <v>0</v>
      </c>
      <c r="H237" s="612">
        <v>0</v>
      </c>
      <c r="I237" s="612"/>
      <c r="J237" s="612">
        <v>0</v>
      </c>
      <c r="K237" s="612">
        <v>0</v>
      </c>
      <c r="L237" s="613"/>
      <c r="M237" s="451"/>
      <c r="N237" t="e">
        <f>VLOOKUP(A237, 'P&amp;L'!A:B,1,FALSE)</f>
        <v>#N/A</v>
      </c>
      <c r="O237" t="e">
        <f>VLOOKUP(A237, KeyData!A:C,1,FALSE)</f>
        <v>#N/A</v>
      </c>
      <c r="P237" s="451"/>
    </row>
    <row r="238" spans="1:16">
      <c r="A238" s="451" t="str">
        <f t="shared" si="3"/>
        <v>131611500_Result</v>
      </c>
      <c r="B238" s="1015" t="s">
        <v>1230</v>
      </c>
      <c r="C238" s="811" t="s">
        <v>1231</v>
      </c>
      <c r="D238" s="842" t="s">
        <v>1156</v>
      </c>
      <c r="E238" s="840"/>
      <c r="F238" s="836"/>
      <c r="G238" s="836">
        <v>5933.893</v>
      </c>
      <c r="H238" s="836">
        <v>6566.8159999999998</v>
      </c>
      <c r="I238" s="836">
        <v>0</v>
      </c>
      <c r="J238" s="836">
        <v>-4.1000000000000002E-2</v>
      </c>
      <c r="K238" s="836">
        <v>0</v>
      </c>
      <c r="L238" s="838">
        <v>0</v>
      </c>
      <c r="M238" s="451"/>
      <c r="N238" t="e">
        <f>VLOOKUP(A238, 'P&amp;L'!A:B,1,FALSE)</f>
        <v>#N/A</v>
      </c>
      <c r="O238" t="e">
        <f>VLOOKUP(A238, KeyData!A:C,1,FALSE)</f>
        <v>#N/A</v>
      </c>
      <c r="P238" s="451"/>
    </row>
    <row r="239" spans="1:16">
      <c r="A239" s="451" t="str">
        <f t="shared" si="3"/>
        <v>131611900_300</v>
      </c>
      <c r="B239" s="1015" t="s">
        <v>1232</v>
      </c>
      <c r="C239" s="811" t="s">
        <v>1233</v>
      </c>
      <c r="D239" s="808" t="s">
        <v>1196</v>
      </c>
      <c r="E239" s="808" t="s">
        <v>1138</v>
      </c>
      <c r="F239" s="612"/>
      <c r="G239" s="612">
        <v>11344.789000000001</v>
      </c>
      <c r="H239" s="612">
        <v>31495.168000000001</v>
      </c>
      <c r="I239" s="612"/>
      <c r="J239" s="612">
        <v>31495.168000000001</v>
      </c>
      <c r="K239" s="612">
        <v>31495.168000000001</v>
      </c>
      <c r="L239" s="613">
        <v>23959.881000000001</v>
      </c>
      <c r="M239" s="451"/>
      <c r="N239" t="e">
        <f>VLOOKUP(A239, 'P&amp;L'!A:B,1,FALSE)</f>
        <v>#N/A</v>
      </c>
      <c r="O239" t="e">
        <f>VLOOKUP(A239, KeyData!A:C,1,FALSE)</f>
        <v>#N/A</v>
      </c>
      <c r="P239" s="451"/>
    </row>
    <row r="240" spans="1:16">
      <c r="A240" s="451" t="str">
        <f t="shared" si="3"/>
        <v>131611900_310</v>
      </c>
      <c r="B240" s="1015" t="s">
        <v>1232</v>
      </c>
      <c r="C240" s="811" t="s">
        <v>1233</v>
      </c>
      <c r="D240" s="808" t="s">
        <v>1197</v>
      </c>
      <c r="E240" s="808" t="s">
        <v>1198</v>
      </c>
      <c r="F240" s="612"/>
      <c r="G240" s="612">
        <v>23760.027999999998</v>
      </c>
      <c r="H240" s="612">
        <v>-7272.8670000000002</v>
      </c>
      <c r="I240" s="612"/>
      <c r="J240" s="612">
        <v>-7535.2870000000003</v>
      </c>
      <c r="K240" s="612">
        <v>-7535.2870000000003</v>
      </c>
      <c r="L240" s="613"/>
      <c r="M240" s="451"/>
      <c r="N240" t="e">
        <f>VLOOKUP(A240, 'P&amp;L'!A:B,1,FALSE)</f>
        <v>#N/A</v>
      </c>
      <c r="O240" t="e">
        <f>VLOOKUP(A240, KeyData!A:C,1,FALSE)</f>
        <v>#N/A</v>
      </c>
      <c r="P240" s="451"/>
    </row>
    <row r="241" spans="1:16">
      <c r="A241" s="451" t="str">
        <f t="shared" si="3"/>
        <v>131611900_360</v>
      </c>
      <c r="B241" s="1015" t="s">
        <v>1232</v>
      </c>
      <c r="C241" s="811" t="s">
        <v>1233</v>
      </c>
      <c r="D241" s="808" t="s">
        <v>1200</v>
      </c>
      <c r="E241" s="808" t="s">
        <v>1148</v>
      </c>
      <c r="F241" s="612"/>
      <c r="G241" s="612">
        <v>0</v>
      </c>
      <c r="H241" s="612">
        <v>0</v>
      </c>
      <c r="I241" s="612"/>
      <c r="J241" s="612">
        <v>0</v>
      </c>
      <c r="K241" s="612">
        <v>0</v>
      </c>
      <c r="L241" s="613"/>
      <c r="M241" s="451"/>
      <c r="N241" t="e">
        <f>VLOOKUP(A241, 'P&amp;L'!A:B,1,FALSE)</f>
        <v>#N/A</v>
      </c>
      <c r="O241" t="e">
        <f>VLOOKUP(A241, KeyData!A:C,1,FALSE)</f>
        <v>#N/A</v>
      </c>
      <c r="P241" s="451"/>
    </row>
    <row r="242" spans="1:16">
      <c r="A242" s="451" t="str">
        <f t="shared" si="3"/>
        <v>131611900_400</v>
      </c>
      <c r="B242" s="1015" t="s">
        <v>1232</v>
      </c>
      <c r="C242" s="811" t="s">
        <v>1233</v>
      </c>
      <c r="D242" s="808" t="s">
        <v>1201</v>
      </c>
      <c r="E242" s="808" t="s">
        <v>1138</v>
      </c>
      <c r="F242" s="612"/>
      <c r="G242" s="612"/>
      <c r="H242" s="612">
        <v>-23959.881000000001</v>
      </c>
      <c r="I242" s="612"/>
      <c r="J242" s="612">
        <v>-23959.881000000001</v>
      </c>
      <c r="K242" s="612">
        <v>-23959.881000000001</v>
      </c>
      <c r="L242" s="613">
        <v>-23959.881000000001</v>
      </c>
      <c r="M242" s="451"/>
      <c r="N242" t="e">
        <f>VLOOKUP(A242, 'P&amp;L'!A:B,1,FALSE)</f>
        <v>#N/A</v>
      </c>
      <c r="O242" t="e">
        <f>VLOOKUP(A242, KeyData!A:C,1,FALSE)</f>
        <v>#N/A</v>
      </c>
      <c r="P242" s="451"/>
    </row>
    <row r="243" spans="1:16">
      <c r="A243" s="451" t="str">
        <f t="shared" si="3"/>
        <v>131611900_430</v>
      </c>
      <c r="B243" s="1015" t="s">
        <v>1232</v>
      </c>
      <c r="C243" s="811" t="s">
        <v>1233</v>
      </c>
      <c r="D243" s="808" t="s">
        <v>1223</v>
      </c>
      <c r="E243" s="808" t="s">
        <v>1224</v>
      </c>
      <c r="F243" s="612"/>
      <c r="G243" s="612">
        <v>-26736.506000000001</v>
      </c>
      <c r="H243" s="612"/>
      <c r="I243" s="612"/>
      <c r="J243" s="612"/>
      <c r="K243" s="612"/>
      <c r="L243" s="613"/>
      <c r="M243" s="451"/>
      <c r="N243" t="e">
        <f>VLOOKUP(A243, 'P&amp;L'!A:B,1,FALSE)</f>
        <v>#N/A</v>
      </c>
      <c r="O243" t="e">
        <f>VLOOKUP(A243, KeyData!A:C,1,FALSE)</f>
        <v>#N/A</v>
      </c>
      <c r="P243" s="451"/>
    </row>
    <row r="244" spans="1:16">
      <c r="A244" s="451" t="str">
        <f t="shared" si="3"/>
        <v>131611900_460</v>
      </c>
      <c r="B244" s="1015" t="s">
        <v>1232</v>
      </c>
      <c r="C244" s="811" t="s">
        <v>1233</v>
      </c>
      <c r="D244" s="808" t="s">
        <v>1206</v>
      </c>
      <c r="E244" s="808" t="s">
        <v>1148</v>
      </c>
      <c r="F244" s="612"/>
      <c r="G244" s="612">
        <v>0</v>
      </c>
      <c r="H244" s="612">
        <v>0</v>
      </c>
      <c r="I244" s="612"/>
      <c r="J244" s="612">
        <v>0</v>
      </c>
      <c r="K244" s="612">
        <v>0</v>
      </c>
      <c r="L244" s="613"/>
      <c r="M244" s="451"/>
      <c r="N244" t="e">
        <f>VLOOKUP(A244, 'P&amp;L'!A:B,1,FALSE)</f>
        <v>#N/A</v>
      </c>
      <c r="O244" t="e">
        <f>VLOOKUP(A244, KeyData!A:C,1,FALSE)</f>
        <v>#N/A</v>
      </c>
      <c r="P244" s="451"/>
    </row>
    <row r="245" spans="1:16">
      <c r="A245" s="451" t="str">
        <f t="shared" si="3"/>
        <v>131611900_Result</v>
      </c>
      <c r="B245" s="1015" t="s">
        <v>1232</v>
      </c>
      <c r="C245" s="811" t="s">
        <v>1233</v>
      </c>
      <c r="D245" s="842" t="s">
        <v>1156</v>
      </c>
      <c r="E245" s="840"/>
      <c r="F245" s="836"/>
      <c r="G245" s="836">
        <v>8368.3109999999997</v>
      </c>
      <c r="H245" s="836">
        <v>262.42</v>
      </c>
      <c r="I245" s="836"/>
      <c r="J245" s="836">
        <v>0</v>
      </c>
      <c r="K245" s="836">
        <v>0</v>
      </c>
      <c r="L245" s="838">
        <v>0</v>
      </c>
      <c r="M245" s="451"/>
      <c r="N245" t="e">
        <f>VLOOKUP(A245, 'P&amp;L'!A:B,1,FALSE)</f>
        <v>#N/A</v>
      </c>
      <c r="O245" t="e">
        <f>VLOOKUP(A245, KeyData!A:C,1,FALSE)</f>
        <v>#N/A</v>
      </c>
      <c r="P245" s="451"/>
    </row>
    <row r="246" spans="1:16">
      <c r="A246" s="451" t="str">
        <f t="shared" si="3"/>
        <v>231100000_700</v>
      </c>
      <c r="B246" s="1013" t="s">
        <v>1234</v>
      </c>
      <c r="C246" s="809" t="s">
        <v>1235</v>
      </c>
      <c r="D246" s="808" t="s">
        <v>1236</v>
      </c>
      <c r="E246" s="808" t="s">
        <v>1138</v>
      </c>
      <c r="F246" s="612"/>
      <c r="G246" s="612">
        <v>13096821.369000001</v>
      </c>
      <c r="H246" s="612">
        <v>14701533.469000001</v>
      </c>
      <c r="I246" s="612">
        <v>11384068.669</v>
      </c>
      <c r="J246" s="612">
        <v>14701533.469000001</v>
      </c>
      <c r="K246" s="612">
        <v>14701533.469000001</v>
      </c>
      <c r="L246" s="613">
        <v>15663757.57</v>
      </c>
      <c r="M246" s="451"/>
      <c r="N246" t="e">
        <f>VLOOKUP(A246, 'P&amp;L'!A:B,1,FALSE)</f>
        <v>#N/A</v>
      </c>
      <c r="O246" t="e">
        <f>VLOOKUP(A246, KeyData!A:C,1,FALSE)</f>
        <v>#N/A</v>
      </c>
      <c r="P246" s="451"/>
    </row>
    <row r="247" spans="1:16">
      <c r="A247" s="451" t="str">
        <f t="shared" si="3"/>
        <v>231100000_710</v>
      </c>
      <c r="B247" s="1013" t="s">
        <v>1234</v>
      </c>
      <c r="C247" s="809" t="s">
        <v>1235</v>
      </c>
      <c r="D247" s="808" t="s">
        <v>1237</v>
      </c>
      <c r="E247" s="808" t="s">
        <v>1198</v>
      </c>
      <c r="F247" s="612"/>
      <c r="G247" s="612">
        <v>1808697.16</v>
      </c>
      <c r="H247" s="612">
        <v>104635.69899999999</v>
      </c>
      <c r="I247" s="612">
        <v>-290729.78999999998</v>
      </c>
      <c r="J247" s="612">
        <v>4494.4790000000003</v>
      </c>
      <c r="K247" s="612">
        <v>840886.08900000004</v>
      </c>
      <c r="L247" s="613">
        <v>-1345066.5349999999</v>
      </c>
      <c r="M247" s="451"/>
      <c r="N247" t="e">
        <f>VLOOKUP(A247, 'P&amp;L'!A:B,1,FALSE)</f>
        <v>#N/A</v>
      </c>
      <c r="O247" t="e">
        <f>VLOOKUP(A247, KeyData!A:C,1,FALSE)</f>
        <v>#N/A</v>
      </c>
      <c r="P247" s="451"/>
    </row>
    <row r="248" spans="1:16">
      <c r="A248" s="451" t="str">
        <f t="shared" si="3"/>
        <v>231100000_740</v>
      </c>
      <c r="B248" s="1013" t="s">
        <v>1234</v>
      </c>
      <c r="C248" s="809" t="s">
        <v>1235</v>
      </c>
      <c r="D248" s="808" t="s">
        <v>1238</v>
      </c>
      <c r="E248" s="808" t="s">
        <v>1144</v>
      </c>
      <c r="F248" s="612"/>
      <c r="G248" s="612">
        <v>-18851.863000000001</v>
      </c>
      <c r="H248" s="612">
        <v>121338.012</v>
      </c>
      <c r="I248" s="612"/>
      <c r="J248" s="612">
        <v>121338.012</v>
      </c>
      <c r="K248" s="612">
        <v>121338.012</v>
      </c>
      <c r="L248" s="613"/>
      <c r="M248" s="451"/>
      <c r="N248" t="e">
        <f>VLOOKUP(A248, 'P&amp;L'!A:B,1,FALSE)</f>
        <v>#N/A</v>
      </c>
      <c r="O248" t="e">
        <f>VLOOKUP(A248, KeyData!A:C,1,FALSE)</f>
        <v>#N/A</v>
      </c>
      <c r="P248" s="451"/>
    </row>
    <row r="249" spans="1:16">
      <c r="A249" s="451" t="str">
        <f t="shared" si="3"/>
        <v>231100000_748</v>
      </c>
      <c r="B249" s="1013" t="s">
        <v>1234</v>
      </c>
      <c r="C249" s="809" t="s">
        <v>1235</v>
      </c>
      <c r="D249" s="808" t="s">
        <v>1239</v>
      </c>
      <c r="E249" s="808" t="s">
        <v>1146</v>
      </c>
      <c r="F249" s="612"/>
      <c r="G249" s="612">
        <v>121.47</v>
      </c>
      <c r="H249" s="612"/>
      <c r="I249" s="612"/>
      <c r="J249" s="612"/>
      <c r="K249" s="612"/>
      <c r="L249" s="613"/>
      <c r="M249" s="451"/>
      <c r="N249" t="e">
        <f>VLOOKUP(A249, 'P&amp;L'!A:B,1,FALSE)</f>
        <v>#N/A</v>
      </c>
      <c r="O249" t="e">
        <f>VLOOKUP(A249, KeyData!A:C,1,FALSE)</f>
        <v>#N/A</v>
      </c>
      <c r="P249" s="451"/>
    </row>
    <row r="250" spans="1:16">
      <c r="A250" s="451" t="str">
        <f t="shared" si="3"/>
        <v>231100000_760</v>
      </c>
      <c r="B250" s="1013" t="s">
        <v>1234</v>
      </c>
      <c r="C250" s="809" t="s">
        <v>1235</v>
      </c>
      <c r="D250" s="808" t="s">
        <v>1240</v>
      </c>
      <c r="E250" s="808" t="s">
        <v>1148</v>
      </c>
      <c r="F250" s="612"/>
      <c r="G250" s="612">
        <v>0</v>
      </c>
      <c r="H250" s="612">
        <v>0</v>
      </c>
      <c r="I250" s="612"/>
      <c r="J250" s="612">
        <v>0</v>
      </c>
      <c r="K250" s="612">
        <v>0</v>
      </c>
      <c r="L250" s="613"/>
      <c r="M250" s="451"/>
      <c r="N250" t="e">
        <f>VLOOKUP(A250, 'P&amp;L'!A:B,1,FALSE)</f>
        <v>#N/A</v>
      </c>
      <c r="O250" t="e">
        <f>VLOOKUP(A250, KeyData!A:C,1,FALSE)</f>
        <v>#N/A</v>
      </c>
      <c r="P250" s="451"/>
    </row>
    <row r="251" spans="1:16">
      <c r="A251" s="451" t="str">
        <f t="shared" si="3"/>
        <v>231100000_Result</v>
      </c>
      <c r="B251" s="1013" t="s">
        <v>1234</v>
      </c>
      <c r="C251" s="809" t="s">
        <v>1235</v>
      </c>
      <c r="D251" s="842" t="s">
        <v>1156</v>
      </c>
      <c r="E251" s="840"/>
      <c r="F251" s="836"/>
      <c r="G251" s="836">
        <v>14886788.136</v>
      </c>
      <c r="H251" s="836">
        <v>14927507.18</v>
      </c>
      <c r="I251" s="836">
        <v>11093338.879000001</v>
      </c>
      <c r="J251" s="836">
        <v>14827365.960000001</v>
      </c>
      <c r="K251" s="836">
        <v>15663757.57</v>
      </c>
      <c r="L251" s="838">
        <v>14318691.035</v>
      </c>
      <c r="M251" s="451"/>
      <c r="N251" t="e">
        <f>VLOOKUP(A251, 'P&amp;L'!A:B,1,FALSE)</f>
        <v>#N/A</v>
      </c>
      <c r="O251" t="str">
        <f>VLOOKUP(A251, KeyData!A:C,1,FALSE)</f>
        <v>231100000_Result</v>
      </c>
      <c r="P251" s="451"/>
    </row>
    <row r="252" spans="1:16">
      <c r="A252" s="451" t="str">
        <f t="shared" si="3"/>
        <v>231111000_700</v>
      </c>
      <c r="B252" s="1016" t="s">
        <v>1241</v>
      </c>
      <c r="C252" s="810" t="s">
        <v>1242</v>
      </c>
      <c r="D252" s="808" t="s">
        <v>1236</v>
      </c>
      <c r="E252" s="808" t="s">
        <v>1138</v>
      </c>
      <c r="F252" s="612"/>
      <c r="G252" s="612">
        <v>11815817.414999999</v>
      </c>
      <c r="H252" s="612">
        <v>13757170.138</v>
      </c>
      <c r="I252" s="612">
        <v>10334543.768999999</v>
      </c>
      <c r="J252" s="612">
        <v>13757170.138</v>
      </c>
      <c r="K252" s="612">
        <v>13757170.138</v>
      </c>
      <c r="L252" s="613">
        <v>14911238.27</v>
      </c>
      <c r="M252" s="451"/>
      <c r="N252" t="e">
        <f>VLOOKUP(A252, 'P&amp;L'!A:B,1,FALSE)</f>
        <v>#N/A</v>
      </c>
      <c r="O252" t="e">
        <f>VLOOKUP(A252, KeyData!A:C,1,FALSE)</f>
        <v>#N/A</v>
      </c>
      <c r="P252" s="451"/>
    </row>
    <row r="253" spans="1:16">
      <c r="A253" s="451" t="str">
        <f t="shared" si="3"/>
        <v>231111000_710</v>
      </c>
      <c r="B253" s="1016" t="s">
        <v>1241</v>
      </c>
      <c r="C253" s="810" t="s">
        <v>1242</v>
      </c>
      <c r="D253" s="808" t="s">
        <v>1237</v>
      </c>
      <c r="E253" s="808" t="s">
        <v>1198</v>
      </c>
      <c r="F253" s="612"/>
      <c r="G253" s="612">
        <v>1946405.68</v>
      </c>
      <c r="H253" s="612">
        <v>385158.30300000001</v>
      </c>
      <c r="I253" s="612">
        <v>-28051.79</v>
      </c>
      <c r="J253" s="612">
        <v>523610.00699999998</v>
      </c>
      <c r="K253" s="612">
        <v>1154068.132</v>
      </c>
      <c r="L253" s="613">
        <v>-912748.5</v>
      </c>
      <c r="M253" s="451"/>
      <c r="N253" t="e">
        <f>VLOOKUP(A253, 'P&amp;L'!A:B,1,FALSE)</f>
        <v>#N/A</v>
      </c>
      <c r="O253" t="e">
        <f>VLOOKUP(A253, KeyData!A:C,1,FALSE)</f>
        <v>#N/A</v>
      </c>
      <c r="P253" s="451"/>
    </row>
    <row r="254" spans="1:16">
      <c r="A254" s="451" t="str">
        <f t="shared" si="3"/>
        <v>231111000_748</v>
      </c>
      <c r="B254" s="1016" t="s">
        <v>1241</v>
      </c>
      <c r="C254" s="810" t="s">
        <v>1242</v>
      </c>
      <c r="D254" s="808" t="s">
        <v>1239</v>
      </c>
      <c r="E254" s="808" t="s">
        <v>1146</v>
      </c>
      <c r="F254" s="612"/>
      <c r="G254" s="612">
        <v>121.47</v>
      </c>
      <c r="H254" s="612"/>
      <c r="I254" s="612"/>
      <c r="J254" s="612"/>
      <c r="K254" s="612"/>
      <c r="L254" s="613"/>
      <c r="M254" s="451"/>
      <c r="N254" t="e">
        <f>VLOOKUP(A254, 'P&amp;L'!A:B,1,FALSE)</f>
        <v>#N/A</v>
      </c>
      <c r="O254" t="e">
        <f>VLOOKUP(A254, KeyData!A:C,1,FALSE)</f>
        <v>#N/A</v>
      </c>
      <c r="P254" s="451"/>
    </row>
    <row r="255" spans="1:16">
      <c r="A255" s="451" t="str">
        <f t="shared" si="3"/>
        <v>231111000_760</v>
      </c>
      <c r="B255" s="1016" t="s">
        <v>1241</v>
      </c>
      <c r="C255" s="810" t="s">
        <v>1242</v>
      </c>
      <c r="D255" s="808" t="s">
        <v>1240</v>
      </c>
      <c r="E255" s="808" t="s">
        <v>1148</v>
      </c>
      <c r="F255" s="612"/>
      <c r="G255" s="612">
        <v>0</v>
      </c>
      <c r="H255" s="612">
        <v>0</v>
      </c>
      <c r="I255" s="612"/>
      <c r="J255" s="612">
        <v>0</v>
      </c>
      <c r="K255" s="612">
        <v>0</v>
      </c>
      <c r="L255" s="613"/>
      <c r="M255" s="451"/>
      <c r="N255" t="e">
        <f>VLOOKUP(A255, 'P&amp;L'!A:B,1,FALSE)</f>
        <v>#N/A</v>
      </c>
      <c r="O255" t="e">
        <f>VLOOKUP(A255, KeyData!A:C,1,FALSE)</f>
        <v>#N/A</v>
      </c>
      <c r="P255" s="451"/>
    </row>
    <row r="256" spans="1:16">
      <c r="A256" s="451" t="str">
        <f t="shared" si="3"/>
        <v>231111000_Result</v>
      </c>
      <c r="B256" s="1016" t="s">
        <v>1241</v>
      </c>
      <c r="C256" s="810" t="s">
        <v>1242</v>
      </c>
      <c r="D256" s="842" t="s">
        <v>1156</v>
      </c>
      <c r="E256" s="840"/>
      <c r="F256" s="836"/>
      <c r="G256" s="836">
        <v>13762344.564999999</v>
      </c>
      <c r="H256" s="836">
        <v>14142328.441</v>
      </c>
      <c r="I256" s="836">
        <v>10306491.979</v>
      </c>
      <c r="J256" s="836">
        <v>14280780.145</v>
      </c>
      <c r="K256" s="836">
        <v>14911238.27</v>
      </c>
      <c r="L256" s="838">
        <v>13998489.77</v>
      </c>
      <c r="M256" s="451"/>
      <c r="N256" t="e">
        <f>VLOOKUP(A256, 'P&amp;L'!A:B,1,FALSE)</f>
        <v>#N/A</v>
      </c>
      <c r="O256" t="e">
        <f>VLOOKUP(A256, KeyData!A:C,1,FALSE)</f>
        <v>#N/A</v>
      </c>
      <c r="P256" s="451"/>
    </row>
    <row r="257" spans="1:16">
      <c r="A257" s="451" t="str">
        <f t="shared" si="3"/>
        <v>231116000_700</v>
      </c>
      <c r="B257" s="1016" t="s">
        <v>1243</v>
      </c>
      <c r="C257" s="810" t="s">
        <v>1244</v>
      </c>
      <c r="D257" s="808" t="s">
        <v>1236</v>
      </c>
      <c r="E257" s="808" t="s">
        <v>1138</v>
      </c>
      <c r="F257" s="612"/>
      <c r="G257" s="612">
        <v>1379616.1810000001</v>
      </c>
      <c r="H257" s="612">
        <v>1036277.542</v>
      </c>
      <c r="I257" s="612">
        <v>1049524.8999999999</v>
      </c>
      <c r="J257" s="612">
        <v>1036277.542</v>
      </c>
      <c r="K257" s="612">
        <v>1036277.542</v>
      </c>
      <c r="L257" s="613">
        <v>752519.3</v>
      </c>
      <c r="M257" s="451"/>
      <c r="N257" t="e">
        <f>VLOOKUP(A257, 'P&amp;L'!A:B,1,FALSE)</f>
        <v>#N/A</v>
      </c>
      <c r="O257" t="e">
        <f>VLOOKUP(A257, KeyData!A:C,1,FALSE)</f>
        <v>#N/A</v>
      </c>
      <c r="P257" s="451"/>
    </row>
    <row r="258" spans="1:16">
      <c r="A258" s="451" t="str">
        <f t="shared" si="3"/>
        <v>231116000_710</v>
      </c>
      <c r="B258" s="1016" t="s">
        <v>1243</v>
      </c>
      <c r="C258" s="810" t="s">
        <v>1244</v>
      </c>
      <c r="D258" s="808" t="s">
        <v>1237</v>
      </c>
      <c r="E258" s="808" t="s">
        <v>1198</v>
      </c>
      <c r="F258" s="612"/>
      <c r="G258" s="612">
        <v>-284839.01199999999</v>
      </c>
      <c r="H258" s="612">
        <v>-333607.23100000003</v>
      </c>
      <c r="I258" s="612">
        <v>-262678</v>
      </c>
      <c r="J258" s="612">
        <v>-489113.04200000002</v>
      </c>
      <c r="K258" s="612">
        <v>-283758.24200000003</v>
      </c>
      <c r="L258" s="613">
        <v>-432318.03499999997</v>
      </c>
      <c r="M258" s="451"/>
      <c r="N258" t="e">
        <f>VLOOKUP(A258, 'P&amp;L'!A:B,1,FALSE)</f>
        <v>#N/A</v>
      </c>
      <c r="O258" t="e">
        <f>VLOOKUP(A258, KeyData!A:C,1,FALSE)</f>
        <v>#N/A</v>
      </c>
      <c r="P258" s="451"/>
    </row>
    <row r="259" spans="1:16">
      <c r="A259" s="451" t="str">
        <f t="shared" ref="A259:A322" si="4" xml:space="preserve"> IFERROR(+B259*1,B259)&amp;"_"&amp;IFERROR(+D259*1,D259)</f>
        <v>231116000_760</v>
      </c>
      <c r="B259" s="1016" t="s">
        <v>1243</v>
      </c>
      <c r="C259" s="810" t="s">
        <v>1244</v>
      </c>
      <c r="D259" s="808" t="s">
        <v>1240</v>
      </c>
      <c r="E259" s="808" t="s">
        <v>1148</v>
      </c>
      <c r="F259" s="612"/>
      <c r="G259" s="612">
        <v>0</v>
      </c>
      <c r="H259" s="612">
        <v>0</v>
      </c>
      <c r="I259" s="612"/>
      <c r="J259" s="612">
        <v>0</v>
      </c>
      <c r="K259" s="612">
        <v>0</v>
      </c>
      <c r="L259" s="613"/>
      <c r="M259" s="451"/>
      <c r="N259" t="e">
        <f>VLOOKUP(A259, 'P&amp;L'!A:B,1,FALSE)</f>
        <v>#N/A</v>
      </c>
      <c r="O259" t="e">
        <f>VLOOKUP(A259, KeyData!A:C,1,FALSE)</f>
        <v>#N/A</v>
      </c>
      <c r="P259" s="451"/>
    </row>
    <row r="260" spans="1:16">
      <c r="A260" s="451" t="str">
        <f t="shared" si="4"/>
        <v>231116000_Result</v>
      </c>
      <c r="B260" s="1016" t="s">
        <v>1243</v>
      </c>
      <c r="C260" s="810" t="s">
        <v>1244</v>
      </c>
      <c r="D260" s="842" t="s">
        <v>1156</v>
      </c>
      <c r="E260" s="840"/>
      <c r="F260" s="836"/>
      <c r="G260" s="836">
        <v>1094777.169</v>
      </c>
      <c r="H260" s="836">
        <v>702670.31099999999</v>
      </c>
      <c r="I260" s="836">
        <v>786846.9</v>
      </c>
      <c r="J260" s="836">
        <v>547164.5</v>
      </c>
      <c r="K260" s="836">
        <v>752519.3</v>
      </c>
      <c r="L260" s="838">
        <v>320201.26500000001</v>
      </c>
      <c r="M260" s="451"/>
      <c r="N260" t="e">
        <f>VLOOKUP(A260, 'P&amp;L'!A:B,1,FALSE)</f>
        <v>#N/A</v>
      </c>
      <c r="O260" t="e">
        <f>VLOOKUP(A260, KeyData!A:C,1,FALSE)</f>
        <v>#N/A</v>
      </c>
      <c r="P260" s="451"/>
    </row>
    <row r="261" spans="1:16">
      <c r="A261" s="451" t="str">
        <f t="shared" si="4"/>
        <v>231117000_700</v>
      </c>
      <c r="B261" s="1016" t="s">
        <v>1245</v>
      </c>
      <c r="C261" s="810" t="s">
        <v>1246</v>
      </c>
      <c r="D261" s="808" t="s">
        <v>1236</v>
      </c>
      <c r="E261" s="808" t="s">
        <v>1138</v>
      </c>
      <c r="F261" s="612"/>
      <c r="G261" s="612">
        <v>-122868.554</v>
      </c>
      <c r="H261" s="612">
        <v>-122064.553</v>
      </c>
      <c r="I261" s="612"/>
      <c r="J261" s="612">
        <v>-122064.553</v>
      </c>
      <c r="K261" s="612">
        <v>-122064.553</v>
      </c>
      <c r="L261" s="613">
        <v>0</v>
      </c>
      <c r="M261" s="451"/>
      <c r="N261" t="e">
        <f>VLOOKUP(A261, 'P&amp;L'!A:B,1,FALSE)</f>
        <v>#N/A</v>
      </c>
      <c r="O261" t="e">
        <f>VLOOKUP(A261, KeyData!A:C,1,FALSE)</f>
        <v>#N/A</v>
      </c>
      <c r="P261" s="451"/>
    </row>
    <row r="262" spans="1:16">
      <c r="A262" s="451" t="str">
        <f t="shared" si="4"/>
        <v>231117000_710</v>
      </c>
      <c r="B262" s="1016" t="s">
        <v>1245</v>
      </c>
      <c r="C262" s="810" t="s">
        <v>1246</v>
      </c>
      <c r="D262" s="808" t="s">
        <v>1237</v>
      </c>
      <c r="E262" s="808" t="s">
        <v>1198</v>
      </c>
      <c r="F262" s="612"/>
      <c r="G262" s="612">
        <v>122905.37699999999</v>
      </c>
      <c r="H262" s="612">
        <v>11494.697</v>
      </c>
      <c r="I262" s="612"/>
      <c r="J262" s="612">
        <v>147.85599999999999</v>
      </c>
      <c r="K262" s="612">
        <v>-36.823</v>
      </c>
      <c r="L262" s="613">
        <v>0</v>
      </c>
      <c r="M262" s="451"/>
      <c r="N262" t="e">
        <f>VLOOKUP(A262, 'P&amp;L'!A:B,1,FALSE)</f>
        <v>#N/A</v>
      </c>
      <c r="O262" t="e">
        <f>VLOOKUP(A262, KeyData!A:C,1,FALSE)</f>
        <v>#N/A</v>
      </c>
      <c r="P262" s="451"/>
    </row>
    <row r="263" spans="1:16">
      <c r="A263" s="451" t="str">
        <f t="shared" si="4"/>
        <v>231117000_740</v>
      </c>
      <c r="B263" s="1016" t="s">
        <v>1245</v>
      </c>
      <c r="C263" s="810" t="s">
        <v>1246</v>
      </c>
      <c r="D263" s="808" t="s">
        <v>1238</v>
      </c>
      <c r="E263" s="808" t="s">
        <v>1144</v>
      </c>
      <c r="F263" s="612"/>
      <c r="G263" s="612"/>
      <c r="H263" s="612">
        <v>122101.376</v>
      </c>
      <c r="I263" s="612"/>
      <c r="J263" s="612">
        <v>122101.376</v>
      </c>
      <c r="K263" s="612">
        <v>122101.376</v>
      </c>
      <c r="L263" s="613"/>
      <c r="M263" s="451"/>
      <c r="N263" t="e">
        <f>VLOOKUP(A263, 'P&amp;L'!A:B,1,FALSE)</f>
        <v>#N/A</v>
      </c>
      <c r="O263" t="e">
        <f>VLOOKUP(A263, KeyData!A:C,1,FALSE)</f>
        <v>#N/A</v>
      </c>
      <c r="P263" s="451"/>
    </row>
    <row r="264" spans="1:16">
      <c r="A264" s="451" t="str">
        <f t="shared" si="4"/>
        <v>231117000_760</v>
      </c>
      <c r="B264" s="1016" t="s">
        <v>1245</v>
      </c>
      <c r="C264" s="810" t="s">
        <v>1246</v>
      </c>
      <c r="D264" s="808" t="s">
        <v>1240</v>
      </c>
      <c r="E264" s="808" t="s">
        <v>1148</v>
      </c>
      <c r="F264" s="612"/>
      <c r="G264" s="612">
        <v>0</v>
      </c>
      <c r="H264" s="612">
        <v>0</v>
      </c>
      <c r="I264" s="612"/>
      <c r="J264" s="612">
        <v>0</v>
      </c>
      <c r="K264" s="612">
        <v>0</v>
      </c>
      <c r="L264" s="613"/>
      <c r="M264" s="451"/>
      <c r="N264" t="e">
        <f>VLOOKUP(A264, 'P&amp;L'!A:B,1,FALSE)</f>
        <v>#N/A</v>
      </c>
      <c r="O264" t="e">
        <f>VLOOKUP(A264, KeyData!A:C,1,FALSE)</f>
        <v>#N/A</v>
      </c>
      <c r="P264" s="451"/>
    </row>
    <row r="265" spans="1:16">
      <c r="A265" s="451" t="str">
        <f t="shared" si="4"/>
        <v>231117000_Result</v>
      </c>
      <c r="B265" s="1016" t="s">
        <v>1245</v>
      </c>
      <c r="C265" s="810" t="s">
        <v>1246</v>
      </c>
      <c r="D265" s="842" t="s">
        <v>1156</v>
      </c>
      <c r="E265" s="840"/>
      <c r="F265" s="836"/>
      <c r="G265" s="836">
        <v>36.823</v>
      </c>
      <c r="H265" s="836">
        <v>11531.52</v>
      </c>
      <c r="I265" s="836"/>
      <c r="J265" s="836">
        <v>184.679</v>
      </c>
      <c r="K265" s="836">
        <v>0</v>
      </c>
      <c r="L265" s="838">
        <v>0</v>
      </c>
      <c r="M265" s="451"/>
      <c r="N265" t="e">
        <f>VLOOKUP(A265, 'P&amp;L'!A:B,1,FALSE)</f>
        <v>#N/A</v>
      </c>
      <c r="O265" t="e">
        <f>VLOOKUP(A265, KeyData!A:C,1,FALSE)</f>
        <v>#N/A</v>
      </c>
      <c r="P265" s="451"/>
    </row>
    <row r="266" spans="1:16">
      <c r="A266" s="451" t="str">
        <f t="shared" si="4"/>
        <v>231121000_700</v>
      </c>
      <c r="B266" s="1016" t="s">
        <v>1247</v>
      </c>
      <c r="C266" s="810" t="s">
        <v>1248</v>
      </c>
      <c r="D266" s="808" t="s">
        <v>1236</v>
      </c>
      <c r="E266" s="808" t="s">
        <v>1138</v>
      </c>
      <c r="F266" s="612"/>
      <c r="G266" s="612">
        <v>24256.327000000001</v>
      </c>
      <c r="H266" s="612">
        <v>30150.342000000001</v>
      </c>
      <c r="I266" s="612"/>
      <c r="J266" s="612">
        <v>30150.342000000001</v>
      </c>
      <c r="K266" s="612">
        <v>30150.342000000001</v>
      </c>
      <c r="L266" s="613"/>
      <c r="M266" s="451"/>
      <c r="N266" t="e">
        <f>VLOOKUP(A266, 'P&amp;L'!A:B,1,FALSE)</f>
        <v>#N/A</v>
      </c>
      <c r="O266" t="e">
        <f>VLOOKUP(A266, KeyData!A:C,1,FALSE)</f>
        <v>#N/A</v>
      </c>
      <c r="P266" s="451"/>
    </row>
    <row r="267" spans="1:16">
      <c r="A267" s="451" t="str">
        <f t="shared" si="4"/>
        <v>231121000_710</v>
      </c>
      <c r="B267" s="1016" t="s">
        <v>1247</v>
      </c>
      <c r="C267" s="810" t="s">
        <v>1248</v>
      </c>
      <c r="D267" s="808" t="s">
        <v>1237</v>
      </c>
      <c r="E267" s="808" t="s">
        <v>1198</v>
      </c>
      <c r="F267" s="612"/>
      <c r="G267" s="612">
        <v>24225.115000000002</v>
      </c>
      <c r="H267" s="612">
        <v>41589.93</v>
      </c>
      <c r="I267" s="612"/>
      <c r="J267" s="612">
        <v>-30150.342000000001</v>
      </c>
      <c r="K267" s="612">
        <v>-29386.977999999999</v>
      </c>
      <c r="L267" s="613"/>
      <c r="M267" s="451"/>
      <c r="N267" t="e">
        <f>VLOOKUP(A267, 'P&amp;L'!A:B,1,FALSE)</f>
        <v>#N/A</v>
      </c>
      <c r="O267" t="e">
        <f>VLOOKUP(A267, KeyData!A:C,1,FALSE)</f>
        <v>#N/A</v>
      </c>
      <c r="P267" s="451"/>
    </row>
    <row r="268" spans="1:16">
      <c r="A268" s="451" t="str">
        <f t="shared" si="4"/>
        <v>231121000_740</v>
      </c>
      <c r="B268" s="1016" t="s">
        <v>1247</v>
      </c>
      <c r="C268" s="810" t="s">
        <v>1248</v>
      </c>
      <c r="D268" s="808" t="s">
        <v>1238</v>
      </c>
      <c r="E268" s="808" t="s">
        <v>1144</v>
      </c>
      <c r="F268" s="612"/>
      <c r="G268" s="612">
        <v>-18851.863000000001</v>
      </c>
      <c r="H268" s="612">
        <v>-763.36400000000003</v>
      </c>
      <c r="I268" s="612"/>
      <c r="J268" s="612">
        <v>-763.36400000000003</v>
      </c>
      <c r="K268" s="612">
        <v>-763.36400000000003</v>
      </c>
      <c r="L268" s="613"/>
      <c r="M268" s="451"/>
      <c r="N268" t="e">
        <f>VLOOKUP(A268, 'P&amp;L'!A:B,1,FALSE)</f>
        <v>#N/A</v>
      </c>
      <c r="O268" t="e">
        <f>VLOOKUP(A268, KeyData!A:C,1,FALSE)</f>
        <v>#N/A</v>
      </c>
      <c r="P268" s="451"/>
    </row>
    <row r="269" spans="1:16">
      <c r="A269" s="451" t="str">
        <f t="shared" si="4"/>
        <v>231121000_760</v>
      </c>
      <c r="B269" s="1016" t="s">
        <v>1247</v>
      </c>
      <c r="C269" s="810" t="s">
        <v>1248</v>
      </c>
      <c r="D269" s="808" t="s">
        <v>1240</v>
      </c>
      <c r="E269" s="808" t="s">
        <v>1148</v>
      </c>
      <c r="F269" s="612"/>
      <c r="G269" s="612">
        <v>0</v>
      </c>
      <c r="H269" s="612">
        <v>0</v>
      </c>
      <c r="I269" s="612"/>
      <c r="J269" s="612">
        <v>0</v>
      </c>
      <c r="K269" s="612">
        <v>0</v>
      </c>
      <c r="L269" s="613"/>
      <c r="M269" s="451"/>
      <c r="N269" t="e">
        <f>VLOOKUP(A269, 'P&amp;L'!A:B,1,FALSE)</f>
        <v>#N/A</v>
      </c>
      <c r="O269" t="e">
        <f>VLOOKUP(A269, KeyData!A:C,1,FALSE)</f>
        <v>#N/A</v>
      </c>
      <c r="P269" s="451"/>
    </row>
    <row r="270" spans="1:16">
      <c r="A270" s="451" t="str">
        <f t="shared" si="4"/>
        <v>231121000_Result</v>
      </c>
      <c r="B270" s="1016" t="s">
        <v>1247</v>
      </c>
      <c r="C270" s="810" t="s">
        <v>1248</v>
      </c>
      <c r="D270" s="842" t="s">
        <v>1156</v>
      </c>
      <c r="E270" s="840"/>
      <c r="F270" s="836"/>
      <c r="G270" s="836">
        <v>29629.579000000002</v>
      </c>
      <c r="H270" s="836">
        <v>70976.907999999996</v>
      </c>
      <c r="I270" s="836"/>
      <c r="J270" s="836">
        <v>-763.36400000000003</v>
      </c>
      <c r="K270" s="836">
        <v>0</v>
      </c>
      <c r="L270" s="838"/>
      <c r="M270" s="451"/>
      <c r="N270" t="e">
        <f>VLOOKUP(A270, 'P&amp;L'!A:B,1,FALSE)</f>
        <v>#N/A</v>
      </c>
      <c r="O270" t="e">
        <f>VLOOKUP(A270, KeyData!A:C,1,FALSE)</f>
        <v>#N/A</v>
      </c>
      <c r="P270" s="451"/>
    </row>
    <row r="271" spans="1:16">
      <c r="A271" s="451" t="str">
        <f t="shared" si="4"/>
        <v>302500000_#</v>
      </c>
      <c r="B271" s="1013" t="s">
        <v>1249</v>
      </c>
      <c r="C271" s="809" t="s">
        <v>207</v>
      </c>
      <c r="D271" s="808" t="s">
        <v>1250</v>
      </c>
      <c r="E271" s="808" t="s">
        <v>1251</v>
      </c>
      <c r="F271" s="612"/>
      <c r="G271" s="612">
        <v>14646558.763</v>
      </c>
      <c r="H271" s="612">
        <v>8243048.3760000002</v>
      </c>
      <c r="I271" s="612">
        <v>-663453.43200000003</v>
      </c>
      <c r="J271" s="612">
        <v>11744872.282</v>
      </c>
      <c r="K271" s="612">
        <v>13628625.573999999</v>
      </c>
      <c r="L271" s="613">
        <v>5938360.6279999996</v>
      </c>
      <c r="M271" s="451"/>
      <c r="N271" t="e">
        <f>VLOOKUP(A271, 'P&amp;L'!A:B,1,FALSE)</f>
        <v>#N/A</v>
      </c>
      <c r="O271" t="e">
        <f>VLOOKUP(A271, KeyData!A:C,1,FALSE)</f>
        <v>#N/A</v>
      </c>
      <c r="P271" s="451"/>
    </row>
    <row r="272" spans="1:16">
      <c r="A272" s="451" t="str">
        <f t="shared" si="4"/>
        <v>302500000_Result</v>
      </c>
      <c r="B272" s="1013" t="s">
        <v>1249</v>
      </c>
      <c r="C272" s="809" t="s">
        <v>207</v>
      </c>
      <c r="D272" s="842" t="s">
        <v>1156</v>
      </c>
      <c r="E272" s="840"/>
      <c r="F272" s="836"/>
      <c r="G272" s="836">
        <v>14646558.763</v>
      </c>
      <c r="H272" s="836">
        <v>8243048.3760000002</v>
      </c>
      <c r="I272" s="836">
        <v>-663453.43200000003</v>
      </c>
      <c r="J272" s="836">
        <v>11744872.282</v>
      </c>
      <c r="K272" s="836">
        <v>13628625.573999999</v>
      </c>
      <c r="L272" s="838">
        <v>5938360.6279999996</v>
      </c>
      <c r="M272" s="451"/>
      <c r="N272" t="str">
        <f>VLOOKUP(A272, 'P&amp;L'!A:B,1,FALSE)</f>
        <v>302500000_Result</v>
      </c>
      <c r="O272" t="e">
        <f>VLOOKUP(A272, KeyData!A:C,1,FALSE)</f>
        <v>#N/A</v>
      </c>
      <c r="P272" s="451"/>
    </row>
    <row r="273" spans="1:16">
      <c r="A273" s="451" t="str">
        <f t="shared" si="4"/>
        <v>303000000_#</v>
      </c>
      <c r="B273" s="1014" t="s">
        <v>1252</v>
      </c>
      <c r="C273" s="810" t="s">
        <v>1253</v>
      </c>
      <c r="D273" s="808" t="s">
        <v>1250</v>
      </c>
      <c r="E273" s="808" t="s">
        <v>1251</v>
      </c>
      <c r="F273" s="612"/>
      <c r="G273" s="612">
        <v>14646558.763</v>
      </c>
      <c r="H273" s="612">
        <v>8243048.3760000002</v>
      </c>
      <c r="I273" s="612">
        <v>-663453.43200000003</v>
      </c>
      <c r="J273" s="612">
        <v>11744872.282</v>
      </c>
      <c r="K273" s="612">
        <v>13628625.573999999</v>
      </c>
      <c r="L273" s="613">
        <v>5938360.6279999996</v>
      </c>
      <c r="M273" s="451"/>
      <c r="N273" t="e">
        <f>VLOOKUP(A273, 'P&amp;L'!A:B,1,FALSE)</f>
        <v>#N/A</v>
      </c>
      <c r="O273" t="e">
        <f>VLOOKUP(A273, KeyData!A:C,1,FALSE)</f>
        <v>#N/A</v>
      </c>
      <c r="P273" s="451"/>
    </row>
    <row r="274" spans="1:16">
      <c r="A274" s="451" t="str">
        <f t="shared" si="4"/>
        <v>303000000_Result</v>
      </c>
      <c r="B274" s="1014" t="s">
        <v>1252</v>
      </c>
      <c r="C274" s="810" t="s">
        <v>1253</v>
      </c>
      <c r="D274" s="842" t="s">
        <v>1156</v>
      </c>
      <c r="E274" s="840"/>
      <c r="F274" s="836"/>
      <c r="G274" s="836">
        <v>14646558.763</v>
      </c>
      <c r="H274" s="836">
        <v>8243048.3760000002</v>
      </c>
      <c r="I274" s="836">
        <v>-663453.43200000003</v>
      </c>
      <c r="J274" s="836">
        <v>11744872.282</v>
      </c>
      <c r="K274" s="836">
        <v>13628625.573999999</v>
      </c>
      <c r="L274" s="838">
        <v>5938360.6279999996</v>
      </c>
      <c r="M274" s="451"/>
      <c r="N274" t="str">
        <f>VLOOKUP(A274, 'P&amp;L'!A:B,1,FALSE)</f>
        <v>303000000_Result</v>
      </c>
      <c r="O274" t="e">
        <f>VLOOKUP(A274, KeyData!A:C,1,FALSE)</f>
        <v>#N/A</v>
      </c>
      <c r="P274" s="451"/>
    </row>
    <row r="275" spans="1:16">
      <c r="A275" s="451" t="str">
        <f t="shared" si="4"/>
        <v>303500000_#</v>
      </c>
      <c r="B275" s="1017" t="s">
        <v>1254</v>
      </c>
      <c r="C275" s="811" t="s">
        <v>874</v>
      </c>
      <c r="D275" s="808" t="s">
        <v>1250</v>
      </c>
      <c r="E275" s="808" t="s">
        <v>1251</v>
      </c>
      <c r="F275" s="612"/>
      <c r="G275" s="612">
        <v>21059177.335999999</v>
      </c>
      <c r="H275" s="612">
        <v>15092507.33</v>
      </c>
      <c r="I275" s="612">
        <v>15520009.015000001</v>
      </c>
      <c r="J275" s="612">
        <v>25944540.925999999</v>
      </c>
      <c r="K275" s="612">
        <v>27157265.511</v>
      </c>
      <c r="L275" s="613">
        <v>21490314.881999999</v>
      </c>
      <c r="M275" s="451"/>
      <c r="N275" t="e">
        <f>VLOOKUP(A275, 'P&amp;L'!A:B,1,FALSE)</f>
        <v>#N/A</v>
      </c>
      <c r="O275" t="e">
        <f>VLOOKUP(A275, KeyData!A:C,1,FALSE)</f>
        <v>#N/A</v>
      </c>
      <c r="P275" s="451"/>
    </row>
    <row r="276" spans="1:16">
      <c r="A276" s="451" t="str">
        <f t="shared" si="4"/>
        <v>303500000_Result</v>
      </c>
      <c r="B276" s="1017" t="s">
        <v>1254</v>
      </c>
      <c r="C276" s="811" t="s">
        <v>874</v>
      </c>
      <c r="D276" s="842" t="s">
        <v>1156</v>
      </c>
      <c r="E276" s="840"/>
      <c r="F276" s="836"/>
      <c r="G276" s="836">
        <v>21059177.335999999</v>
      </c>
      <c r="H276" s="836">
        <v>15092507.33</v>
      </c>
      <c r="I276" s="836">
        <v>15520009.015000001</v>
      </c>
      <c r="J276" s="836">
        <v>25944540.925999999</v>
      </c>
      <c r="K276" s="836">
        <v>27157265.511</v>
      </c>
      <c r="L276" s="838">
        <v>21490314.881999999</v>
      </c>
      <c r="M276" s="451"/>
      <c r="N276" t="str">
        <f>VLOOKUP(A276, 'P&amp;L'!A:B,1,FALSE)</f>
        <v>303500000_Result</v>
      </c>
      <c r="O276" t="e">
        <f>VLOOKUP(A276, KeyData!A:C,1,FALSE)</f>
        <v>#N/A</v>
      </c>
      <c r="P276" s="451"/>
    </row>
    <row r="277" spans="1:16">
      <c r="A277" s="451" t="str">
        <f t="shared" si="4"/>
        <v>304000000_#</v>
      </c>
      <c r="B277" s="1019" t="s">
        <v>1255</v>
      </c>
      <c r="C277" s="812" t="s">
        <v>1256</v>
      </c>
      <c r="D277" s="808" t="s">
        <v>1250</v>
      </c>
      <c r="E277" s="808" t="s">
        <v>1251</v>
      </c>
      <c r="F277" s="612"/>
      <c r="G277" s="612">
        <v>42913529.822999999</v>
      </c>
      <c r="H277" s="612">
        <v>26711946.092999998</v>
      </c>
      <c r="I277" s="612">
        <v>35714093.902999997</v>
      </c>
      <c r="J277" s="612">
        <v>47795356.034999996</v>
      </c>
      <c r="K277" s="612">
        <v>49189994.707999997</v>
      </c>
      <c r="L277" s="613">
        <v>41994787.987000003</v>
      </c>
      <c r="M277" s="451"/>
      <c r="N277" t="e">
        <f>VLOOKUP(A277, 'P&amp;L'!A:B,1,FALSE)</f>
        <v>#N/A</v>
      </c>
      <c r="O277" t="e">
        <f>VLOOKUP(A277, KeyData!A:C,1,FALSE)</f>
        <v>#N/A</v>
      </c>
      <c r="P277" s="451"/>
    </row>
    <row r="278" spans="1:16">
      <c r="A278" s="451" t="str">
        <f t="shared" si="4"/>
        <v>304000000_Result</v>
      </c>
      <c r="B278" s="1019" t="s">
        <v>1255</v>
      </c>
      <c r="C278" s="812" t="s">
        <v>1256</v>
      </c>
      <c r="D278" s="842" t="s">
        <v>1156</v>
      </c>
      <c r="E278" s="840"/>
      <c r="F278" s="836"/>
      <c r="G278" s="836">
        <v>42913529.822999999</v>
      </c>
      <c r="H278" s="836">
        <v>26711946.092999998</v>
      </c>
      <c r="I278" s="836">
        <v>35714093.902999997</v>
      </c>
      <c r="J278" s="836">
        <v>47795356.034999996</v>
      </c>
      <c r="K278" s="836">
        <v>49189994.707999997</v>
      </c>
      <c r="L278" s="838">
        <v>41994787.987000003</v>
      </c>
      <c r="M278" s="451"/>
      <c r="N278" t="str">
        <f>VLOOKUP(A278, 'P&amp;L'!A:B,1,FALSE)</f>
        <v>304000000_Result</v>
      </c>
      <c r="O278" t="e">
        <f>VLOOKUP(A278, KeyData!A:C,1,FALSE)</f>
        <v>#N/A</v>
      </c>
      <c r="P278" s="451"/>
    </row>
    <row r="279" spans="1:16">
      <c r="A279" s="451" t="str">
        <f t="shared" si="4"/>
        <v>304500000_#</v>
      </c>
      <c r="B279" s="614" t="s">
        <v>1257</v>
      </c>
      <c r="C279" s="843" t="s">
        <v>195</v>
      </c>
      <c r="D279" s="808" t="s">
        <v>1250</v>
      </c>
      <c r="E279" s="808" t="s">
        <v>1251</v>
      </c>
      <c r="F279" s="612"/>
      <c r="G279" s="612">
        <v>125697705.465</v>
      </c>
      <c r="H279" s="612">
        <v>78052717.702999994</v>
      </c>
      <c r="I279" s="612">
        <v>122276397.866</v>
      </c>
      <c r="J279" s="612">
        <v>139131840.68099999</v>
      </c>
      <c r="K279" s="612">
        <v>140545930.37400001</v>
      </c>
      <c r="L279" s="613">
        <v>127417506.756</v>
      </c>
      <c r="M279" s="451"/>
      <c r="N279" t="e">
        <f>VLOOKUP(A279, 'P&amp;L'!A:B,1,FALSE)</f>
        <v>#N/A</v>
      </c>
      <c r="O279" t="e">
        <f>VLOOKUP(A279, KeyData!A:C,1,FALSE)</f>
        <v>#N/A</v>
      </c>
      <c r="P279" s="451"/>
    </row>
    <row r="280" spans="1:16">
      <c r="A280" s="451" t="str">
        <f t="shared" si="4"/>
        <v>304500000_Result</v>
      </c>
      <c r="B280" s="614" t="s">
        <v>1257</v>
      </c>
      <c r="C280" s="843" t="s">
        <v>195</v>
      </c>
      <c r="D280" s="842" t="s">
        <v>1156</v>
      </c>
      <c r="E280" s="840"/>
      <c r="F280" s="836"/>
      <c r="G280" s="836">
        <v>125697705.465</v>
      </c>
      <c r="H280" s="836">
        <v>78052717.702999994</v>
      </c>
      <c r="I280" s="836">
        <v>122276397.866</v>
      </c>
      <c r="J280" s="836">
        <v>139131840.68099999</v>
      </c>
      <c r="K280" s="836">
        <v>140545930.37400001</v>
      </c>
      <c r="L280" s="838">
        <v>127417506.756</v>
      </c>
      <c r="M280" s="451"/>
      <c r="N280" t="str">
        <f>VLOOKUP(A280, 'P&amp;L'!A:B,1,FALSE)</f>
        <v>304500000_Result</v>
      </c>
      <c r="O280" t="e">
        <f>VLOOKUP(A280, KeyData!A:C,1,FALSE)</f>
        <v>#N/A</v>
      </c>
      <c r="P280" s="451"/>
    </row>
    <row r="281" spans="1:16">
      <c r="A281" s="451" t="str">
        <f t="shared" si="4"/>
        <v>305000000_#</v>
      </c>
      <c r="B281" s="813" t="s">
        <v>1258</v>
      </c>
      <c r="C281" s="813" t="s">
        <v>767</v>
      </c>
      <c r="D281" s="808" t="s">
        <v>1250</v>
      </c>
      <c r="E281" s="808" t="s">
        <v>1251</v>
      </c>
      <c r="F281" s="612"/>
      <c r="G281" s="612">
        <v>127108928.64300001</v>
      </c>
      <c r="H281" s="612">
        <v>78052717.702999994</v>
      </c>
      <c r="I281" s="612">
        <v>122276397.866</v>
      </c>
      <c r="J281" s="612">
        <v>139131840.68099999</v>
      </c>
      <c r="K281" s="612">
        <v>140545930.37400001</v>
      </c>
      <c r="L281" s="613">
        <v>127417506.756</v>
      </c>
      <c r="M281" s="451"/>
      <c r="N281" t="e">
        <f>VLOOKUP(A281, 'P&amp;L'!A:B,1,FALSE)</f>
        <v>#N/A</v>
      </c>
      <c r="O281" t="e">
        <f>VLOOKUP(A281, KeyData!A:C,1,FALSE)</f>
        <v>#N/A</v>
      </c>
      <c r="P281" s="451"/>
    </row>
    <row r="282" spans="1:16">
      <c r="A282" s="451" t="str">
        <f t="shared" si="4"/>
        <v>305000000_Result</v>
      </c>
      <c r="B282" s="813" t="s">
        <v>1258</v>
      </c>
      <c r="C282" s="813" t="s">
        <v>767</v>
      </c>
      <c r="D282" s="842" t="s">
        <v>1156</v>
      </c>
      <c r="E282" s="840"/>
      <c r="F282" s="836"/>
      <c r="G282" s="836">
        <v>127108928.64300001</v>
      </c>
      <c r="H282" s="836">
        <v>78052717.702999994</v>
      </c>
      <c r="I282" s="836">
        <v>122276397.866</v>
      </c>
      <c r="J282" s="836">
        <v>139131840.68099999</v>
      </c>
      <c r="K282" s="836">
        <v>140545930.37400001</v>
      </c>
      <c r="L282" s="838">
        <v>127417506.756</v>
      </c>
      <c r="M282" s="451"/>
      <c r="N282" t="str">
        <f>VLOOKUP(A282, 'P&amp;L'!A:B,1,FALSE)</f>
        <v>305000000_Result</v>
      </c>
      <c r="O282" t="e">
        <f>VLOOKUP(A282, KeyData!A:C,1,FALSE)</f>
        <v>#N/A</v>
      </c>
      <c r="P282" s="451"/>
    </row>
    <row r="283" spans="1:16">
      <c r="A283" s="451" t="str">
        <f t="shared" si="4"/>
        <v>305001600_#</v>
      </c>
      <c r="B283" s="1020" t="s">
        <v>1259</v>
      </c>
      <c r="C283" s="814" t="s">
        <v>771</v>
      </c>
      <c r="D283" s="808" t="s">
        <v>1250</v>
      </c>
      <c r="E283" s="808" t="s">
        <v>1251</v>
      </c>
      <c r="F283" s="612"/>
      <c r="G283" s="612">
        <v>31635.350999999999</v>
      </c>
      <c r="H283" s="612">
        <v>36714.991999999998</v>
      </c>
      <c r="I283" s="612"/>
      <c r="J283" s="612">
        <v>35975.514999999999</v>
      </c>
      <c r="K283" s="612">
        <v>36714.991999999998</v>
      </c>
      <c r="L283" s="613"/>
      <c r="M283" s="451"/>
      <c r="N283" t="e">
        <f>VLOOKUP(A283, 'P&amp;L'!A:B,1,FALSE)</f>
        <v>#N/A</v>
      </c>
      <c r="O283" t="e">
        <f>VLOOKUP(A283, KeyData!A:C,1,FALSE)</f>
        <v>#N/A</v>
      </c>
      <c r="P283" s="451"/>
    </row>
    <row r="284" spans="1:16">
      <c r="A284" s="451" t="str">
        <f t="shared" si="4"/>
        <v>305001600_Result</v>
      </c>
      <c r="B284" s="1020" t="s">
        <v>1259</v>
      </c>
      <c r="C284" s="814" t="s">
        <v>771</v>
      </c>
      <c r="D284" s="842" t="s">
        <v>1156</v>
      </c>
      <c r="E284" s="840"/>
      <c r="F284" s="836"/>
      <c r="G284" s="836">
        <v>31635.350999999999</v>
      </c>
      <c r="H284" s="836">
        <v>36714.991999999998</v>
      </c>
      <c r="I284" s="836"/>
      <c r="J284" s="836">
        <v>35975.514999999999</v>
      </c>
      <c r="K284" s="836">
        <v>36714.991999999998</v>
      </c>
      <c r="L284" s="838"/>
      <c r="M284" s="451"/>
      <c r="N284" t="str">
        <f>VLOOKUP(A284, 'P&amp;L'!A:B,1,FALSE)</f>
        <v>305001600_Result</v>
      </c>
      <c r="O284" t="e">
        <f>VLOOKUP(A284, KeyData!A:C,1,FALSE)</f>
        <v>#N/A</v>
      </c>
      <c r="P284" s="451"/>
    </row>
    <row r="285" spans="1:16">
      <c r="A285" s="451" t="str">
        <f t="shared" si="4"/>
        <v>305001700_#</v>
      </c>
      <c r="B285" s="1020" t="s">
        <v>1260</v>
      </c>
      <c r="C285" s="814" t="s">
        <v>1261</v>
      </c>
      <c r="D285" s="808" t="s">
        <v>1250</v>
      </c>
      <c r="E285" s="808" t="s">
        <v>1251</v>
      </c>
      <c r="F285" s="612"/>
      <c r="G285" s="612">
        <v>1616.5550000000001</v>
      </c>
      <c r="H285" s="612">
        <v>875</v>
      </c>
      <c r="I285" s="612"/>
      <c r="J285" s="612">
        <v>875</v>
      </c>
      <c r="K285" s="612">
        <v>875</v>
      </c>
      <c r="L285" s="613"/>
      <c r="M285" s="451"/>
      <c r="N285" t="e">
        <f>VLOOKUP(A285, 'P&amp;L'!A:B,1,FALSE)</f>
        <v>#N/A</v>
      </c>
      <c r="O285" t="e">
        <f>VLOOKUP(A285, KeyData!A:C,1,FALSE)</f>
        <v>#N/A</v>
      </c>
      <c r="P285" s="451"/>
    </row>
    <row r="286" spans="1:16">
      <c r="A286" s="451" t="str">
        <f t="shared" si="4"/>
        <v>305001700_Result</v>
      </c>
      <c r="B286" s="1020" t="s">
        <v>1260</v>
      </c>
      <c r="C286" s="814" t="s">
        <v>1261</v>
      </c>
      <c r="D286" s="842" t="s">
        <v>1156</v>
      </c>
      <c r="E286" s="840"/>
      <c r="F286" s="836"/>
      <c r="G286" s="836">
        <v>1616.5550000000001</v>
      </c>
      <c r="H286" s="836">
        <v>875</v>
      </c>
      <c r="I286" s="836"/>
      <c r="J286" s="836">
        <v>875</v>
      </c>
      <c r="K286" s="836">
        <v>875</v>
      </c>
      <c r="L286" s="838"/>
      <c r="M286" s="451"/>
      <c r="N286" t="str">
        <f>VLOOKUP(A286, 'P&amp;L'!A:B,1,FALSE)</f>
        <v>305001700_Result</v>
      </c>
      <c r="O286" t="e">
        <f>VLOOKUP(A286, KeyData!A:C,1,FALSE)</f>
        <v>#N/A</v>
      </c>
      <c r="P286" s="451"/>
    </row>
    <row r="287" spans="1:16">
      <c r="A287" s="451" t="str">
        <f t="shared" si="4"/>
        <v>305002100_#</v>
      </c>
      <c r="B287" s="1020" t="s">
        <v>1262</v>
      </c>
      <c r="C287" s="814" t="s">
        <v>775</v>
      </c>
      <c r="D287" s="808" t="s">
        <v>1250</v>
      </c>
      <c r="E287" s="808" t="s">
        <v>1251</v>
      </c>
      <c r="F287" s="612"/>
      <c r="G287" s="612">
        <v>127075676.737</v>
      </c>
      <c r="H287" s="612">
        <v>78015127.710999995</v>
      </c>
      <c r="I287" s="612">
        <v>122276397.866</v>
      </c>
      <c r="J287" s="612">
        <v>139094990.16600001</v>
      </c>
      <c r="K287" s="612">
        <v>140508340.382</v>
      </c>
      <c r="L287" s="613">
        <v>127417506.756</v>
      </c>
      <c r="M287" s="451"/>
      <c r="N287" t="e">
        <f>VLOOKUP(A287, 'P&amp;L'!A:B,1,FALSE)</f>
        <v>#N/A</v>
      </c>
      <c r="O287" t="e">
        <f>VLOOKUP(A287, KeyData!A:C,1,FALSE)</f>
        <v>#N/A</v>
      </c>
      <c r="P287" s="451"/>
    </row>
    <row r="288" spans="1:16">
      <c r="A288" s="451" t="str">
        <f t="shared" si="4"/>
        <v>305002100_Result</v>
      </c>
      <c r="B288" s="1020" t="s">
        <v>1262</v>
      </c>
      <c r="C288" s="814" t="s">
        <v>775</v>
      </c>
      <c r="D288" s="842" t="s">
        <v>1156</v>
      </c>
      <c r="E288" s="840"/>
      <c r="F288" s="836"/>
      <c r="G288" s="836">
        <v>127075676.737</v>
      </c>
      <c r="H288" s="836">
        <v>78015127.710999995</v>
      </c>
      <c r="I288" s="836">
        <v>122276397.866</v>
      </c>
      <c r="J288" s="836">
        <v>139094990.16600001</v>
      </c>
      <c r="K288" s="836">
        <v>140508340.382</v>
      </c>
      <c r="L288" s="838">
        <v>127417506.756</v>
      </c>
      <c r="M288" s="451"/>
      <c r="N288" t="str">
        <f>VLOOKUP(A288, 'P&amp;L'!A:B,1,FALSE)</f>
        <v>305002100_Result</v>
      </c>
      <c r="O288" t="e">
        <f>VLOOKUP(A288, KeyData!A:C,1,FALSE)</f>
        <v>#N/A</v>
      </c>
      <c r="P288" s="451"/>
    </row>
    <row r="289" spans="1:16">
      <c r="A289" s="451" t="str">
        <f t="shared" si="4"/>
        <v>305500000_#</v>
      </c>
      <c r="B289" s="813" t="s">
        <v>1263</v>
      </c>
      <c r="C289" s="813" t="s">
        <v>777</v>
      </c>
      <c r="D289" s="808" t="s">
        <v>1250</v>
      </c>
      <c r="E289" s="808" t="s">
        <v>1251</v>
      </c>
      <c r="F289" s="612"/>
      <c r="G289" s="612">
        <v>-1411223.1780000001</v>
      </c>
      <c r="H289" s="612"/>
      <c r="I289" s="612"/>
      <c r="J289" s="612"/>
      <c r="K289" s="612"/>
      <c r="L289" s="613"/>
      <c r="M289" s="451"/>
      <c r="N289" t="e">
        <f>VLOOKUP(A289, 'P&amp;L'!A:B,1,FALSE)</f>
        <v>#N/A</v>
      </c>
      <c r="O289" t="e">
        <f>VLOOKUP(A289, KeyData!A:C,1,FALSE)</f>
        <v>#N/A</v>
      </c>
      <c r="P289" s="451"/>
    </row>
    <row r="290" spans="1:16">
      <c r="A290" s="451" t="str">
        <f t="shared" si="4"/>
        <v>305500000_Result</v>
      </c>
      <c r="B290" s="813" t="s">
        <v>1263</v>
      </c>
      <c r="C290" s="813" t="s">
        <v>777</v>
      </c>
      <c r="D290" s="842" t="s">
        <v>1156</v>
      </c>
      <c r="E290" s="840"/>
      <c r="F290" s="836"/>
      <c r="G290" s="836">
        <v>-1411223.1780000001</v>
      </c>
      <c r="H290" s="836"/>
      <c r="I290" s="836"/>
      <c r="J290" s="836"/>
      <c r="K290" s="836"/>
      <c r="L290" s="838"/>
      <c r="M290" s="451"/>
      <c r="N290" t="str">
        <f>VLOOKUP(A290, 'P&amp;L'!A:B,1,FALSE)</f>
        <v>305500000_Result</v>
      </c>
      <c r="O290" t="e">
        <f>VLOOKUP(A290, KeyData!A:C,1,FALSE)</f>
        <v>#N/A</v>
      </c>
      <c r="P290" s="451"/>
    </row>
    <row r="291" spans="1:16">
      <c r="A291" s="451" t="str">
        <f t="shared" si="4"/>
        <v>305502200_#</v>
      </c>
      <c r="B291" s="1020" t="s">
        <v>1264</v>
      </c>
      <c r="C291" s="814" t="s">
        <v>1265</v>
      </c>
      <c r="D291" s="808" t="s">
        <v>1250</v>
      </c>
      <c r="E291" s="808" t="s">
        <v>1251</v>
      </c>
      <c r="F291" s="612"/>
      <c r="G291" s="612">
        <v>-1411223.1780000001</v>
      </c>
      <c r="H291" s="612"/>
      <c r="I291" s="612"/>
      <c r="J291" s="612"/>
      <c r="K291" s="612"/>
      <c r="L291" s="613"/>
      <c r="M291" s="451"/>
      <c r="N291" t="e">
        <f>VLOOKUP(A291, 'P&amp;L'!A:B,1,FALSE)</f>
        <v>#N/A</v>
      </c>
      <c r="O291" t="e">
        <f>VLOOKUP(A291, KeyData!A:C,1,FALSE)</f>
        <v>#N/A</v>
      </c>
      <c r="P291" s="451"/>
    </row>
    <row r="292" spans="1:16">
      <c r="A292" s="451" t="str">
        <f t="shared" si="4"/>
        <v>305502200_Result</v>
      </c>
      <c r="B292" s="1020" t="s">
        <v>1264</v>
      </c>
      <c r="C292" s="814" t="s">
        <v>1265</v>
      </c>
      <c r="D292" s="842" t="s">
        <v>1156</v>
      </c>
      <c r="E292" s="840"/>
      <c r="F292" s="836"/>
      <c r="G292" s="836">
        <v>-1411223.1780000001</v>
      </c>
      <c r="H292" s="836"/>
      <c r="I292" s="836"/>
      <c r="J292" s="836"/>
      <c r="K292" s="836"/>
      <c r="L292" s="838"/>
      <c r="M292" s="451"/>
      <c r="N292" t="str">
        <f>VLOOKUP(A292, 'P&amp;L'!A:B,1,FALSE)</f>
        <v>305502200_Result</v>
      </c>
      <c r="O292" t="e">
        <f>VLOOKUP(A292, KeyData!A:C,1,FALSE)</f>
        <v>#N/A</v>
      </c>
      <c r="P292" s="451"/>
    </row>
    <row r="293" spans="1:16">
      <c r="A293" s="451" t="str">
        <f t="shared" si="4"/>
        <v>306000000_#</v>
      </c>
      <c r="B293" s="614" t="s">
        <v>1266</v>
      </c>
      <c r="C293" s="843" t="s">
        <v>783</v>
      </c>
      <c r="D293" s="808" t="s">
        <v>1250</v>
      </c>
      <c r="E293" s="808" t="s">
        <v>1251</v>
      </c>
      <c r="F293" s="612"/>
      <c r="G293" s="612">
        <v>-82784175.642000005</v>
      </c>
      <c r="H293" s="612">
        <v>-51340771.609999999</v>
      </c>
      <c r="I293" s="612">
        <v>-86562303.963</v>
      </c>
      <c r="J293" s="612">
        <v>-91336484.645999998</v>
      </c>
      <c r="K293" s="612">
        <v>-91355935.665999994</v>
      </c>
      <c r="L293" s="613">
        <v>-85422718.768999994</v>
      </c>
      <c r="M293" s="451"/>
      <c r="N293" t="e">
        <f>VLOOKUP(A293, 'P&amp;L'!A:B,1,FALSE)</f>
        <v>#N/A</v>
      </c>
      <c r="O293" t="e">
        <f>VLOOKUP(A293, KeyData!A:C,1,FALSE)</f>
        <v>#N/A</v>
      </c>
      <c r="P293" s="451"/>
    </row>
    <row r="294" spans="1:16">
      <c r="A294" s="451" t="str">
        <f t="shared" si="4"/>
        <v>306000000_Result</v>
      </c>
      <c r="B294" s="614" t="s">
        <v>1266</v>
      </c>
      <c r="C294" s="843" t="s">
        <v>783</v>
      </c>
      <c r="D294" s="842" t="s">
        <v>1156</v>
      </c>
      <c r="E294" s="840"/>
      <c r="F294" s="836"/>
      <c r="G294" s="836">
        <v>-82784175.642000005</v>
      </c>
      <c r="H294" s="836">
        <v>-51340771.609999999</v>
      </c>
      <c r="I294" s="836">
        <v>-86562303.963</v>
      </c>
      <c r="J294" s="836">
        <v>-91336484.645999998</v>
      </c>
      <c r="K294" s="836">
        <v>-91355935.665999994</v>
      </c>
      <c r="L294" s="838">
        <v>-85422718.768999994</v>
      </c>
      <c r="M294" s="451"/>
      <c r="N294" t="str">
        <f>VLOOKUP(A294, 'P&amp;L'!A:B,1,FALSE)</f>
        <v>306000000_Result</v>
      </c>
      <c r="O294" t="e">
        <f>VLOOKUP(A294, KeyData!A:C,1,FALSE)</f>
        <v>#N/A</v>
      </c>
      <c r="P294" s="451"/>
    </row>
    <row r="295" spans="1:16">
      <c r="A295" s="451" t="str">
        <f t="shared" si="4"/>
        <v>306500000_#</v>
      </c>
      <c r="B295" s="813" t="s">
        <v>1267</v>
      </c>
      <c r="C295" s="813" t="s">
        <v>1268</v>
      </c>
      <c r="D295" s="808" t="s">
        <v>1250</v>
      </c>
      <c r="E295" s="808" t="s">
        <v>1251</v>
      </c>
      <c r="F295" s="612"/>
      <c r="G295" s="612">
        <v>-73801774.355000004</v>
      </c>
      <c r="H295" s="612">
        <v>-46029321.993000001</v>
      </c>
      <c r="I295" s="612">
        <v>-85767507.178000003</v>
      </c>
      <c r="J295" s="612">
        <v>-84376608.747999996</v>
      </c>
      <c r="K295" s="612">
        <v>-83509262.899000004</v>
      </c>
      <c r="L295" s="613">
        <v>-84639256.966999993</v>
      </c>
      <c r="M295" s="451"/>
      <c r="N295" t="e">
        <f>VLOOKUP(A295, 'P&amp;L'!A:B,1,FALSE)</f>
        <v>#N/A</v>
      </c>
      <c r="O295" t="e">
        <f>VLOOKUP(A295, KeyData!A:C,1,FALSE)</f>
        <v>#N/A</v>
      </c>
      <c r="P295" s="451"/>
    </row>
    <row r="296" spans="1:16">
      <c r="A296" s="451" t="str">
        <f t="shared" si="4"/>
        <v>306500000_Result</v>
      </c>
      <c r="B296" s="813" t="s">
        <v>1267</v>
      </c>
      <c r="C296" s="813" t="s">
        <v>1268</v>
      </c>
      <c r="D296" s="842" t="s">
        <v>1156</v>
      </c>
      <c r="E296" s="840"/>
      <c r="F296" s="836"/>
      <c r="G296" s="836">
        <v>-73801774.355000004</v>
      </c>
      <c r="H296" s="836">
        <v>-46029321.993000001</v>
      </c>
      <c r="I296" s="836">
        <v>-85767507.178000003</v>
      </c>
      <c r="J296" s="836">
        <v>-84376608.747999996</v>
      </c>
      <c r="K296" s="836">
        <v>-83509262.899000004</v>
      </c>
      <c r="L296" s="838">
        <v>-84639256.966999993</v>
      </c>
      <c r="M296" s="451"/>
      <c r="N296" t="str">
        <f>VLOOKUP(A296, 'P&amp;L'!A:B,1,FALSE)</f>
        <v>306500000_Result</v>
      </c>
      <c r="O296" t="e">
        <f>VLOOKUP(A296, KeyData!A:C,1,FALSE)</f>
        <v>#N/A</v>
      </c>
      <c r="P296" s="451"/>
    </row>
    <row r="297" spans="1:16">
      <c r="A297" s="451" t="str">
        <f t="shared" si="4"/>
        <v>306501100_#</v>
      </c>
      <c r="B297" s="1020" t="s">
        <v>1269</v>
      </c>
      <c r="C297" s="814" t="s">
        <v>787</v>
      </c>
      <c r="D297" s="808" t="s">
        <v>1250</v>
      </c>
      <c r="E297" s="808" t="s">
        <v>1251</v>
      </c>
      <c r="F297" s="612"/>
      <c r="G297" s="612">
        <v>-19670.065999999999</v>
      </c>
      <c r="H297" s="612">
        <v>-29341.127</v>
      </c>
      <c r="I297" s="612"/>
      <c r="J297" s="612">
        <v>-28656.488000000001</v>
      </c>
      <c r="K297" s="612">
        <v>-29341.127</v>
      </c>
      <c r="L297" s="613"/>
      <c r="M297" s="451"/>
      <c r="N297" t="e">
        <f>VLOOKUP(A297, 'P&amp;L'!A:B,1,FALSE)</f>
        <v>#N/A</v>
      </c>
      <c r="O297" t="e">
        <f>VLOOKUP(A297, KeyData!A:C,1,FALSE)</f>
        <v>#N/A</v>
      </c>
      <c r="P297" s="451"/>
    </row>
    <row r="298" spans="1:16">
      <c r="A298" s="451" t="str">
        <f t="shared" si="4"/>
        <v>306501100_Result</v>
      </c>
      <c r="B298" s="1020" t="s">
        <v>1269</v>
      </c>
      <c r="C298" s="814" t="s">
        <v>787</v>
      </c>
      <c r="D298" s="842" t="s">
        <v>1156</v>
      </c>
      <c r="E298" s="840"/>
      <c r="F298" s="836"/>
      <c r="G298" s="836">
        <v>-19670.065999999999</v>
      </c>
      <c r="H298" s="836">
        <v>-29341.127</v>
      </c>
      <c r="I298" s="836"/>
      <c r="J298" s="836">
        <v>-28656.488000000001</v>
      </c>
      <c r="K298" s="836">
        <v>-29341.127</v>
      </c>
      <c r="L298" s="838"/>
      <c r="M298" s="451"/>
      <c r="N298" t="str">
        <f>VLOOKUP(A298, 'P&amp;L'!A:B,1,FALSE)</f>
        <v>306501100_Result</v>
      </c>
      <c r="O298" t="e">
        <f>VLOOKUP(A298, KeyData!A:C,1,FALSE)</f>
        <v>#N/A</v>
      </c>
      <c r="P298" s="451"/>
    </row>
    <row r="299" spans="1:16">
      <c r="A299" s="451" t="str">
        <f t="shared" si="4"/>
        <v>306501600_#</v>
      </c>
      <c r="B299" s="1020" t="s">
        <v>1270</v>
      </c>
      <c r="C299" s="814" t="s">
        <v>1271</v>
      </c>
      <c r="D299" s="808" t="s">
        <v>1250</v>
      </c>
      <c r="E299" s="808" t="s">
        <v>1251</v>
      </c>
      <c r="F299" s="612"/>
      <c r="G299" s="612">
        <v>-72510873.439999998</v>
      </c>
      <c r="H299" s="612">
        <v>-45457751.611000001</v>
      </c>
      <c r="I299" s="612">
        <v>-84722828.355000004</v>
      </c>
      <c r="J299" s="612">
        <v>-83322213.256999999</v>
      </c>
      <c r="K299" s="612">
        <v>-82279350.706</v>
      </c>
      <c r="L299" s="613">
        <v>-83503629.902999997</v>
      </c>
      <c r="M299" s="451"/>
      <c r="N299" t="e">
        <f>VLOOKUP(A299, 'P&amp;L'!A:B,1,FALSE)</f>
        <v>#N/A</v>
      </c>
      <c r="O299" t="e">
        <f>VLOOKUP(A299, KeyData!A:C,1,FALSE)</f>
        <v>#N/A</v>
      </c>
      <c r="P299" s="451"/>
    </row>
    <row r="300" spans="1:16">
      <c r="A300" s="451" t="str">
        <f t="shared" si="4"/>
        <v>306501600_Result</v>
      </c>
      <c r="B300" s="1020" t="s">
        <v>1270</v>
      </c>
      <c r="C300" s="814" t="s">
        <v>1271</v>
      </c>
      <c r="D300" s="842" t="s">
        <v>1156</v>
      </c>
      <c r="E300" s="840"/>
      <c r="F300" s="836"/>
      <c r="G300" s="836">
        <v>-72510873.439999998</v>
      </c>
      <c r="H300" s="836">
        <v>-45457751.611000001</v>
      </c>
      <c r="I300" s="836">
        <v>-84722828.355000004</v>
      </c>
      <c r="J300" s="836">
        <v>-83322213.256999999</v>
      </c>
      <c r="K300" s="836">
        <v>-82279350.706</v>
      </c>
      <c r="L300" s="838">
        <v>-83503629.902999997</v>
      </c>
      <c r="M300" s="451"/>
      <c r="N300" t="str">
        <f>VLOOKUP(A300, 'P&amp;L'!A:B,1,FALSE)</f>
        <v>306501600_Result</v>
      </c>
      <c r="O300" t="e">
        <f>VLOOKUP(A300, KeyData!A:C,1,FALSE)</f>
        <v>#N/A</v>
      </c>
      <c r="P300" s="451"/>
    </row>
    <row r="301" spans="1:16">
      <c r="A301" s="451" t="str">
        <f t="shared" si="4"/>
        <v>307000000_#</v>
      </c>
      <c r="B301" s="1021" t="s">
        <v>1272</v>
      </c>
      <c r="C301" s="814" t="s">
        <v>1273</v>
      </c>
      <c r="D301" s="808" t="s">
        <v>1250</v>
      </c>
      <c r="E301" s="808" t="s">
        <v>1251</v>
      </c>
      <c r="F301" s="612"/>
      <c r="G301" s="612">
        <v>-1271230.8489999999</v>
      </c>
      <c r="H301" s="612">
        <v>-542229.255</v>
      </c>
      <c r="I301" s="612">
        <v>-1044678.823</v>
      </c>
      <c r="J301" s="612">
        <v>-1025739.003</v>
      </c>
      <c r="K301" s="612">
        <v>-1200571.0660000001</v>
      </c>
      <c r="L301" s="613">
        <v>-1135627.064</v>
      </c>
      <c r="M301" s="451"/>
      <c r="N301" t="e">
        <f>VLOOKUP(A301, 'P&amp;L'!A:B,1,FALSE)</f>
        <v>#N/A</v>
      </c>
      <c r="O301" t="e">
        <f>VLOOKUP(A301, KeyData!A:C,1,FALSE)</f>
        <v>#N/A</v>
      </c>
      <c r="P301" s="451"/>
    </row>
    <row r="302" spans="1:16">
      <c r="A302" s="451" t="str">
        <f t="shared" si="4"/>
        <v>307000000_Result</v>
      </c>
      <c r="B302" s="1021" t="s">
        <v>1272</v>
      </c>
      <c r="C302" s="814" t="s">
        <v>1273</v>
      </c>
      <c r="D302" s="842" t="s">
        <v>1156</v>
      </c>
      <c r="E302" s="840"/>
      <c r="F302" s="836"/>
      <c r="G302" s="836">
        <v>-1271230.8489999999</v>
      </c>
      <c r="H302" s="836">
        <v>-542229.255</v>
      </c>
      <c r="I302" s="836">
        <v>-1044678.823</v>
      </c>
      <c r="J302" s="836">
        <v>-1025739.003</v>
      </c>
      <c r="K302" s="836">
        <v>-1200571.0660000001</v>
      </c>
      <c r="L302" s="838">
        <v>-1135627.064</v>
      </c>
      <c r="M302" s="451"/>
      <c r="N302" t="str">
        <f>VLOOKUP(A302, 'P&amp;L'!A:B,1,FALSE)</f>
        <v>307000000_Result</v>
      </c>
      <c r="O302" t="e">
        <f>VLOOKUP(A302, KeyData!A:C,1,FALSE)</f>
        <v>#N/A</v>
      </c>
      <c r="P302" s="451"/>
    </row>
    <row r="303" spans="1:16">
      <c r="A303" s="451" t="str">
        <f t="shared" si="4"/>
        <v>307001600_#</v>
      </c>
      <c r="B303" s="1022" t="s">
        <v>1274</v>
      </c>
      <c r="C303" s="814" t="s">
        <v>793</v>
      </c>
      <c r="D303" s="808" t="s">
        <v>1250</v>
      </c>
      <c r="E303" s="808" t="s">
        <v>1251</v>
      </c>
      <c r="F303" s="612"/>
      <c r="G303" s="612">
        <v>-482035.60200000001</v>
      </c>
      <c r="H303" s="612">
        <v>-225269.86799999999</v>
      </c>
      <c r="I303" s="612">
        <v>-410177.489</v>
      </c>
      <c r="J303" s="612">
        <v>-418433.46600000001</v>
      </c>
      <c r="K303" s="612">
        <v>-471462.82500000001</v>
      </c>
      <c r="L303" s="613">
        <v>-402623.19900000002</v>
      </c>
      <c r="M303" s="451"/>
      <c r="N303" t="e">
        <f>VLOOKUP(A303, 'P&amp;L'!A:B,1,FALSE)</f>
        <v>#N/A</v>
      </c>
      <c r="O303" t="e">
        <f>VLOOKUP(A303, KeyData!A:C,1,FALSE)</f>
        <v>#N/A</v>
      </c>
      <c r="P303" s="451"/>
    </row>
    <row r="304" spans="1:16">
      <c r="A304" s="451" t="str">
        <f t="shared" si="4"/>
        <v>307001600_Result</v>
      </c>
      <c r="B304" s="1022" t="s">
        <v>1274</v>
      </c>
      <c r="C304" s="814" t="s">
        <v>793</v>
      </c>
      <c r="D304" s="842" t="s">
        <v>1156</v>
      </c>
      <c r="E304" s="840"/>
      <c r="F304" s="836"/>
      <c r="G304" s="836">
        <v>-482035.60200000001</v>
      </c>
      <c r="H304" s="836">
        <v>-225269.86799999999</v>
      </c>
      <c r="I304" s="836">
        <v>-410177.489</v>
      </c>
      <c r="J304" s="836">
        <v>-418433.46600000001</v>
      </c>
      <c r="K304" s="836">
        <v>-471462.82500000001</v>
      </c>
      <c r="L304" s="838">
        <v>-402623.19900000002</v>
      </c>
      <c r="M304" s="451"/>
      <c r="N304" t="str">
        <f>VLOOKUP(A304, 'P&amp;L'!A:B,1,FALSE)</f>
        <v>307001600_Result</v>
      </c>
      <c r="O304" t="e">
        <f>VLOOKUP(A304, KeyData!A:C,1,FALSE)</f>
        <v>#N/A</v>
      </c>
      <c r="P304" s="451"/>
    </row>
    <row r="305" spans="1:16">
      <c r="A305" s="451" t="str">
        <f t="shared" si="4"/>
        <v>307002100_#</v>
      </c>
      <c r="B305" s="1022" t="s">
        <v>1275</v>
      </c>
      <c r="C305" s="814" t="s">
        <v>795</v>
      </c>
      <c r="D305" s="808" t="s">
        <v>1250</v>
      </c>
      <c r="E305" s="808" t="s">
        <v>1251</v>
      </c>
      <c r="F305" s="612"/>
      <c r="G305" s="612">
        <v>-789195.24699999997</v>
      </c>
      <c r="H305" s="612">
        <v>-316959.38699999999</v>
      </c>
      <c r="I305" s="612">
        <v>-634501.33400000003</v>
      </c>
      <c r="J305" s="612">
        <v>-607305.53700000001</v>
      </c>
      <c r="K305" s="612">
        <v>-729108.24100000004</v>
      </c>
      <c r="L305" s="613">
        <v>-733003.86499999999</v>
      </c>
      <c r="M305" s="451"/>
      <c r="N305" t="e">
        <f>VLOOKUP(A305, 'P&amp;L'!A:B,1,FALSE)</f>
        <v>#N/A</v>
      </c>
      <c r="O305" t="e">
        <f>VLOOKUP(A305, KeyData!A:C,1,FALSE)</f>
        <v>#N/A</v>
      </c>
      <c r="P305" s="451"/>
    </row>
    <row r="306" spans="1:16">
      <c r="A306" s="451" t="str">
        <f t="shared" si="4"/>
        <v>307002100_Result</v>
      </c>
      <c r="B306" s="1022" t="s">
        <v>1275</v>
      </c>
      <c r="C306" s="814" t="s">
        <v>795</v>
      </c>
      <c r="D306" s="842" t="s">
        <v>1156</v>
      </c>
      <c r="E306" s="840"/>
      <c r="F306" s="836"/>
      <c r="G306" s="836">
        <v>-789195.24699999997</v>
      </c>
      <c r="H306" s="836">
        <v>-316959.38699999999</v>
      </c>
      <c r="I306" s="836">
        <v>-634501.33400000003</v>
      </c>
      <c r="J306" s="836">
        <v>-607305.53700000001</v>
      </c>
      <c r="K306" s="836">
        <v>-729108.24100000004</v>
      </c>
      <c r="L306" s="838">
        <v>-733003.86499999999</v>
      </c>
      <c r="M306" s="451"/>
      <c r="N306" t="str">
        <f>VLOOKUP(A306, 'P&amp;L'!A:B,1,FALSE)</f>
        <v>307002100_Result</v>
      </c>
      <c r="O306" t="e">
        <f>VLOOKUP(A306, KeyData!A:C,1,FALSE)</f>
        <v>#N/A</v>
      </c>
      <c r="P306" s="451"/>
    </row>
    <row r="307" spans="1:16">
      <c r="A307" s="451" t="str">
        <f t="shared" si="4"/>
        <v>307500000_#</v>
      </c>
      <c r="B307" s="813" t="s">
        <v>1276</v>
      </c>
      <c r="C307" s="813" t="s">
        <v>799</v>
      </c>
      <c r="D307" s="808" t="s">
        <v>1250</v>
      </c>
      <c r="E307" s="808" t="s">
        <v>1251</v>
      </c>
      <c r="F307" s="612"/>
      <c r="G307" s="612">
        <v>-8982401.2870000005</v>
      </c>
      <c r="H307" s="612">
        <v>-5311449.6169999996</v>
      </c>
      <c r="I307" s="612">
        <v>-794796.78500000003</v>
      </c>
      <c r="J307" s="612">
        <v>-6959875.898</v>
      </c>
      <c r="K307" s="612">
        <v>-7846672.767</v>
      </c>
      <c r="L307" s="613">
        <v>-783461.80200000003</v>
      </c>
      <c r="M307" s="451"/>
      <c r="N307" t="e">
        <f>VLOOKUP(A307, 'P&amp;L'!A:B,1,FALSE)</f>
        <v>#N/A</v>
      </c>
      <c r="O307" t="e">
        <f>VLOOKUP(A307, KeyData!A:C,1,FALSE)</f>
        <v>#N/A</v>
      </c>
      <c r="P307" s="451"/>
    </row>
    <row r="308" spans="1:16">
      <c r="A308" s="451" t="str">
        <f t="shared" si="4"/>
        <v>307500000_Result</v>
      </c>
      <c r="B308" s="813" t="s">
        <v>1276</v>
      </c>
      <c r="C308" s="813" t="s">
        <v>799</v>
      </c>
      <c r="D308" s="842" t="s">
        <v>1156</v>
      </c>
      <c r="E308" s="840"/>
      <c r="F308" s="836"/>
      <c r="G308" s="836">
        <v>-8982401.2870000005</v>
      </c>
      <c r="H308" s="836">
        <v>-5311449.6169999996</v>
      </c>
      <c r="I308" s="836">
        <v>-794796.78500000003</v>
      </c>
      <c r="J308" s="836">
        <v>-6959875.898</v>
      </c>
      <c r="K308" s="836">
        <v>-7846672.767</v>
      </c>
      <c r="L308" s="838">
        <v>-783461.80200000003</v>
      </c>
      <c r="M308" s="451"/>
      <c r="N308" t="str">
        <f>VLOOKUP(A308, 'P&amp;L'!A:B,1,FALSE)</f>
        <v>307500000_Result</v>
      </c>
      <c r="O308" t="e">
        <f>VLOOKUP(A308, KeyData!A:C,1,FALSE)</f>
        <v>#N/A</v>
      </c>
      <c r="P308" s="451"/>
    </row>
    <row r="309" spans="1:16">
      <c r="A309" s="451" t="str">
        <f t="shared" si="4"/>
        <v>308000000_#</v>
      </c>
      <c r="B309" s="1021" t="s">
        <v>1277</v>
      </c>
      <c r="C309" s="814" t="s">
        <v>1278</v>
      </c>
      <c r="D309" s="808" t="s">
        <v>1250</v>
      </c>
      <c r="E309" s="808" t="s">
        <v>1251</v>
      </c>
      <c r="F309" s="612"/>
      <c r="G309" s="612">
        <v>-7336430.8380000005</v>
      </c>
      <c r="H309" s="612">
        <v>-4717507.3590000002</v>
      </c>
      <c r="I309" s="612"/>
      <c r="J309" s="612">
        <v>-5623722.2589999996</v>
      </c>
      <c r="K309" s="612">
        <v>-6523231.5599999996</v>
      </c>
      <c r="L309" s="613"/>
      <c r="M309" s="451"/>
      <c r="N309" t="e">
        <f>VLOOKUP(A309, 'P&amp;L'!A:B,1,FALSE)</f>
        <v>#N/A</v>
      </c>
      <c r="O309" t="e">
        <f>VLOOKUP(A309, KeyData!A:C,1,FALSE)</f>
        <v>#N/A</v>
      </c>
      <c r="P309" s="451"/>
    </row>
    <row r="310" spans="1:16">
      <c r="A310" s="451" t="str">
        <f t="shared" si="4"/>
        <v>308000000_Result</v>
      </c>
      <c r="B310" s="1021" t="s">
        <v>1277</v>
      </c>
      <c r="C310" s="814" t="s">
        <v>1278</v>
      </c>
      <c r="D310" s="842" t="s">
        <v>1156</v>
      </c>
      <c r="E310" s="840"/>
      <c r="F310" s="836"/>
      <c r="G310" s="836">
        <v>-7336430.8380000005</v>
      </c>
      <c r="H310" s="836">
        <v>-4717507.3590000002</v>
      </c>
      <c r="I310" s="836"/>
      <c r="J310" s="836">
        <v>-5623722.2589999996</v>
      </c>
      <c r="K310" s="836">
        <v>-6523231.5599999996</v>
      </c>
      <c r="L310" s="838"/>
      <c r="M310" s="451"/>
      <c r="N310" t="str">
        <f>VLOOKUP(A310, 'P&amp;L'!A:B,1,FALSE)</f>
        <v>308000000_Result</v>
      </c>
      <c r="O310" t="e">
        <f>VLOOKUP(A310, KeyData!A:C,1,FALSE)</f>
        <v>#N/A</v>
      </c>
      <c r="P310" s="451"/>
    </row>
    <row r="311" spans="1:16">
      <c r="A311" s="451" t="str">
        <f t="shared" si="4"/>
        <v>308001200_#</v>
      </c>
      <c r="B311" s="1023" t="s">
        <v>1279</v>
      </c>
      <c r="C311" s="814" t="s">
        <v>1280</v>
      </c>
      <c r="D311" s="808" t="s">
        <v>1250</v>
      </c>
      <c r="E311" s="808" t="s">
        <v>1251</v>
      </c>
      <c r="F311" s="612"/>
      <c r="G311" s="612">
        <v>-7539928.9119999995</v>
      </c>
      <c r="H311" s="612">
        <v>-5574537.9060000004</v>
      </c>
      <c r="I311" s="612"/>
      <c r="J311" s="612">
        <v>-6110654.4800000004</v>
      </c>
      <c r="K311" s="612">
        <v>-7238496.6859999998</v>
      </c>
      <c r="L311" s="613"/>
      <c r="M311" s="451"/>
      <c r="N311" t="e">
        <f>VLOOKUP(A311, 'P&amp;L'!A:B,1,FALSE)</f>
        <v>#N/A</v>
      </c>
      <c r="O311" t="e">
        <f>VLOOKUP(A311, KeyData!A:C,1,FALSE)</f>
        <v>#N/A</v>
      </c>
      <c r="P311" s="451"/>
    </row>
    <row r="312" spans="1:16">
      <c r="A312" s="451" t="str">
        <f t="shared" si="4"/>
        <v>308001200_Result</v>
      </c>
      <c r="B312" s="1023" t="s">
        <v>1279</v>
      </c>
      <c r="C312" s="814" t="s">
        <v>1280</v>
      </c>
      <c r="D312" s="842" t="s">
        <v>1156</v>
      </c>
      <c r="E312" s="840"/>
      <c r="F312" s="836"/>
      <c r="G312" s="836">
        <v>-7539928.9119999995</v>
      </c>
      <c r="H312" s="836">
        <v>-5574537.9060000004</v>
      </c>
      <c r="I312" s="836"/>
      <c r="J312" s="836">
        <v>-6110654.4800000004</v>
      </c>
      <c r="K312" s="836">
        <v>-7238496.6859999998</v>
      </c>
      <c r="L312" s="838"/>
      <c r="M312" s="451"/>
      <c r="N312" t="str">
        <f>VLOOKUP(A312, 'P&amp;L'!A:B,1,FALSE)</f>
        <v>308001200_Result</v>
      </c>
      <c r="O312" t="e">
        <f>VLOOKUP(A312, KeyData!A:C,1,FALSE)</f>
        <v>#N/A</v>
      </c>
      <c r="P312" s="451"/>
    </row>
    <row r="313" spans="1:16">
      <c r="A313" s="451" t="str">
        <f t="shared" si="4"/>
        <v>308001210_#</v>
      </c>
      <c r="B313" s="1024" t="s">
        <v>1281</v>
      </c>
      <c r="C313" s="814" t="s">
        <v>1282</v>
      </c>
      <c r="D313" s="808" t="s">
        <v>1250</v>
      </c>
      <c r="E313" s="808" t="s">
        <v>1251</v>
      </c>
      <c r="F313" s="612"/>
      <c r="G313" s="612">
        <v>-3968002.8640000001</v>
      </c>
      <c r="H313" s="612">
        <v>-4016936.4580000001</v>
      </c>
      <c r="I313" s="612"/>
      <c r="J313" s="612">
        <v>-3641692.0789999999</v>
      </c>
      <c r="K313" s="612">
        <v>-4223977.5039999997</v>
      </c>
      <c r="L313" s="613"/>
      <c r="M313" s="451"/>
      <c r="N313" t="e">
        <f>VLOOKUP(A313, 'P&amp;L'!A:B,1,FALSE)</f>
        <v>#N/A</v>
      </c>
      <c r="O313" t="e">
        <f>VLOOKUP(A313, KeyData!A:C,1,FALSE)</f>
        <v>#N/A</v>
      </c>
      <c r="P313" s="451"/>
    </row>
    <row r="314" spans="1:16">
      <c r="A314" s="451" t="str">
        <f t="shared" si="4"/>
        <v>308001210_Result</v>
      </c>
      <c r="B314" s="1024" t="s">
        <v>1281</v>
      </c>
      <c r="C314" s="814" t="s">
        <v>1282</v>
      </c>
      <c r="D314" s="842" t="s">
        <v>1156</v>
      </c>
      <c r="E314" s="840"/>
      <c r="F314" s="836"/>
      <c r="G314" s="836">
        <v>-3968002.8640000001</v>
      </c>
      <c r="H314" s="836">
        <v>-4016936.4580000001</v>
      </c>
      <c r="I314" s="836"/>
      <c r="J314" s="836">
        <v>-3641692.0789999999</v>
      </c>
      <c r="K314" s="836">
        <v>-4223977.5039999997</v>
      </c>
      <c r="L314" s="838"/>
      <c r="M314" s="451"/>
      <c r="N314" t="e">
        <f>VLOOKUP(A314, 'P&amp;L'!A:B,1,FALSE)</f>
        <v>#N/A</v>
      </c>
      <c r="O314" t="e">
        <f>VLOOKUP(A314, KeyData!A:C,1,FALSE)</f>
        <v>#N/A</v>
      </c>
      <c r="P314" s="451"/>
    </row>
    <row r="315" spans="1:16">
      <c r="A315" s="451" t="str">
        <f t="shared" si="4"/>
        <v>308001250_#</v>
      </c>
      <c r="B315" s="1024" t="s">
        <v>1283</v>
      </c>
      <c r="C315" s="814" t="s">
        <v>1284</v>
      </c>
      <c r="D315" s="808" t="s">
        <v>1250</v>
      </c>
      <c r="E315" s="808" t="s">
        <v>1251</v>
      </c>
      <c r="F315" s="612"/>
      <c r="G315" s="612">
        <v>-3571926.048</v>
      </c>
      <c r="H315" s="612">
        <v>-1557601.4480000001</v>
      </c>
      <c r="I315" s="612"/>
      <c r="J315" s="612">
        <v>-2468962.4010000001</v>
      </c>
      <c r="K315" s="612">
        <v>-3014519.182</v>
      </c>
      <c r="L315" s="613"/>
      <c r="M315" s="451"/>
      <c r="N315" t="e">
        <f>VLOOKUP(A315, 'P&amp;L'!A:B,1,FALSE)</f>
        <v>#N/A</v>
      </c>
      <c r="O315" t="e">
        <f>VLOOKUP(A315, KeyData!A:C,1,FALSE)</f>
        <v>#N/A</v>
      </c>
      <c r="P315" s="451"/>
    </row>
    <row r="316" spans="1:16">
      <c r="A316" s="451" t="str">
        <f t="shared" si="4"/>
        <v>308001250_Result</v>
      </c>
      <c r="B316" s="1024" t="s">
        <v>1283</v>
      </c>
      <c r="C316" s="814" t="s">
        <v>1284</v>
      </c>
      <c r="D316" s="842" t="s">
        <v>1156</v>
      </c>
      <c r="E316" s="840"/>
      <c r="F316" s="836"/>
      <c r="G316" s="836">
        <v>-3571926.048</v>
      </c>
      <c r="H316" s="836">
        <v>-1557601.4480000001</v>
      </c>
      <c r="I316" s="836"/>
      <c r="J316" s="836">
        <v>-2468962.4010000001</v>
      </c>
      <c r="K316" s="836">
        <v>-3014519.182</v>
      </c>
      <c r="L316" s="838"/>
      <c r="M316" s="451"/>
      <c r="N316" t="e">
        <f>VLOOKUP(A316, 'P&amp;L'!A:B,1,FALSE)</f>
        <v>#N/A</v>
      </c>
      <c r="O316" t="e">
        <f>VLOOKUP(A316, KeyData!A:C,1,FALSE)</f>
        <v>#N/A</v>
      </c>
      <c r="P316" s="451"/>
    </row>
    <row r="317" spans="1:16">
      <c r="A317" s="451" t="str">
        <f t="shared" si="4"/>
        <v>308001600_#</v>
      </c>
      <c r="B317" s="1022" t="s">
        <v>1285</v>
      </c>
      <c r="C317" s="814" t="s">
        <v>1286</v>
      </c>
      <c r="D317" s="808" t="s">
        <v>1250</v>
      </c>
      <c r="E317" s="808" t="s">
        <v>1251</v>
      </c>
      <c r="F317" s="612"/>
      <c r="G317" s="612">
        <v>379797.43900000001</v>
      </c>
      <c r="H317" s="612">
        <v>860115.12600000005</v>
      </c>
      <c r="I317" s="612"/>
      <c r="J317" s="612">
        <v>633121.72</v>
      </c>
      <c r="K317" s="612">
        <v>860115.12600000005</v>
      </c>
      <c r="L317" s="613"/>
      <c r="M317" s="451"/>
      <c r="N317" t="e">
        <f>VLOOKUP(A317, 'P&amp;L'!A:B,1,FALSE)</f>
        <v>#N/A</v>
      </c>
      <c r="O317" t="e">
        <f>VLOOKUP(A317, KeyData!A:C,1,FALSE)</f>
        <v>#N/A</v>
      </c>
      <c r="P317" s="451"/>
    </row>
    <row r="318" spans="1:16">
      <c r="A318" s="451" t="str">
        <f t="shared" si="4"/>
        <v>308001600_Result</v>
      </c>
      <c r="B318" s="1022" t="s">
        <v>1285</v>
      </c>
      <c r="C318" s="814" t="s">
        <v>1286</v>
      </c>
      <c r="D318" s="842" t="s">
        <v>1156</v>
      </c>
      <c r="E318" s="840"/>
      <c r="F318" s="836"/>
      <c r="G318" s="836">
        <v>379797.43900000001</v>
      </c>
      <c r="H318" s="836">
        <v>860115.12600000005</v>
      </c>
      <c r="I318" s="836"/>
      <c r="J318" s="836">
        <v>633121.72</v>
      </c>
      <c r="K318" s="836">
        <v>860115.12600000005</v>
      </c>
      <c r="L318" s="838"/>
      <c r="M318" s="451"/>
      <c r="N318" t="str">
        <f>VLOOKUP(A318, 'P&amp;L'!A:B,1,FALSE)</f>
        <v>308001600_Result</v>
      </c>
      <c r="O318" t="e">
        <f>VLOOKUP(A318, KeyData!A:C,1,FALSE)</f>
        <v>#N/A</v>
      </c>
      <c r="P318" s="451"/>
    </row>
    <row r="319" spans="1:16">
      <c r="A319" s="451" t="str">
        <f t="shared" si="4"/>
        <v>308002100_#</v>
      </c>
      <c r="B319" s="1022" t="s">
        <v>1287</v>
      </c>
      <c r="C319" s="814" t="s">
        <v>1288</v>
      </c>
      <c r="D319" s="808" t="s">
        <v>1250</v>
      </c>
      <c r="E319" s="808" t="s">
        <v>1251</v>
      </c>
      <c r="F319" s="612"/>
      <c r="G319" s="612">
        <v>-176299.36499999999</v>
      </c>
      <c r="H319" s="612">
        <v>-3084.5790000000002</v>
      </c>
      <c r="I319" s="612"/>
      <c r="J319" s="612">
        <v>-146189.49900000001</v>
      </c>
      <c r="K319" s="612">
        <v>-144850</v>
      </c>
      <c r="L319" s="613"/>
      <c r="M319" s="451"/>
      <c r="N319" t="e">
        <f>VLOOKUP(A319, 'P&amp;L'!A:B,1,FALSE)</f>
        <v>#N/A</v>
      </c>
      <c r="O319" t="e">
        <f>VLOOKUP(A319, KeyData!A:C,1,FALSE)</f>
        <v>#N/A</v>
      </c>
      <c r="P319" s="451"/>
    </row>
    <row r="320" spans="1:16">
      <c r="A320" s="451" t="str">
        <f t="shared" si="4"/>
        <v>308002100_Result</v>
      </c>
      <c r="B320" s="1022" t="s">
        <v>1287</v>
      </c>
      <c r="C320" s="814" t="s">
        <v>1288</v>
      </c>
      <c r="D320" s="842" t="s">
        <v>1156</v>
      </c>
      <c r="E320" s="840"/>
      <c r="F320" s="836"/>
      <c r="G320" s="836">
        <v>-176299.36499999999</v>
      </c>
      <c r="H320" s="836">
        <v>-3084.5790000000002</v>
      </c>
      <c r="I320" s="836"/>
      <c r="J320" s="836">
        <v>-146189.49900000001</v>
      </c>
      <c r="K320" s="836">
        <v>-144850</v>
      </c>
      <c r="L320" s="838"/>
      <c r="M320" s="451"/>
      <c r="N320" t="str">
        <f>VLOOKUP(A320, 'P&amp;L'!A:B,1,FALSE)</f>
        <v>308002100_Result</v>
      </c>
      <c r="O320" t="e">
        <f>VLOOKUP(A320, KeyData!A:C,1,FALSE)</f>
        <v>#N/A</v>
      </c>
      <c r="P320" s="451"/>
    </row>
    <row r="321" spans="1:16">
      <c r="A321" s="451" t="str">
        <f t="shared" si="4"/>
        <v>308500000_#</v>
      </c>
      <c r="B321" s="1021" t="s">
        <v>1289</v>
      </c>
      <c r="C321" s="814" t="s">
        <v>1290</v>
      </c>
      <c r="D321" s="808" t="s">
        <v>1250</v>
      </c>
      <c r="E321" s="808" t="s">
        <v>1251</v>
      </c>
      <c r="F321" s="612"/>
      <c r="G321" s="612">
        <v>-1374721.858</v>
      </c>
      <c r="H321" s="612">
        <v>-98835.148000000001</v>
      </c>
      <c r="I321" s="612">
        <v>-183414.796</v>
      </c>
      <c r="J321" s="612">
        <v>-463681.50099999999</v>
      </c>
      <c r="K321" s="612">
        <v>-295755.21899999998</v>
      </c>
      <c r="L321" s="613">
        <v>-151637.76800000001</v>
      </c>
      <c r="M321" s="451"/>
      <c r="N321" t="e">
        <f>VLOOKUP(A321, 'P&amp;L'!A:B,1,FALSE)</f>
        <v>#N/A</v>
      </c>
      <c r="O321" t="e">
        <f>VLOOKUP(A321, KeyData!A:C,1,FALSE)</f>
        <v>#N/A</v>
      </c>
      <c r="P321" s="451"/>
    </row>
    <row r="322" spans="1:16">
      <c r="A322" s="451" t="str">
        <f t="shared" si="4"/>
        <v>308500000_Result</v>
      </c>
      <c r="B322" s="1021" t="s">
        <v>1289</v>
      </c>
      <c r="C322" s="814" t="s">
        <v>1290</v>
      </c>
      <c r="D322" s="842" t="s">
        <v>1156</v>
      </c>
      <c r="E322" s="840"/>
      <c r="F322" s="836"/>
      <c r="G322" s="836">
        <v>-1374721.858</v>
      </c>
      <c r="H322" s="836">
        <v>-98835.148000000001</v>
      </c>
      <c r="I322" s="836">
        <v>-183414.796</v>
      </c>
      <c r="J322" s="836">
        <v>-463681.50099999999</v>
      </c>
      <c r="K322" s="836">
        <v>-295755.21899999998</v>
      </c>
      <c r="L322" s="838">
        <v>-151637.76800000001</v>
      </c>
      <c r="M322" s="451"/>
      <c r="N322" t="str">
        <f>VLOOKUP(A322, 'P&amp;L'!A:B,1,FALSE)</f>
        <v>308500000_Result</v>
      </c>
      <c r="O322" t="e">
        <f>VLOOKUP(A322, KeyData!A:C,1,FALSE)</f>
        <v>#N/A</v>
      </c>
      <c r="P322" s="451"/>
    </row>
    <row r="323" spans="1:16">
      <c r="A323" s="451" t="str">
        <f t="shared" ref="A323:A386" si="5" xml:space="preserve"> IFERROR(+B323*1,B323)&amp;"_"&amp;IFERROR(+D323*1,D323)</f>
        <v>309500000_#</v>
      </c>
      <c r="B323" s="1023" t="s">
        <v>1291</v>
      </c>
      <c r="C323" s="814" t="s">
        <v>1292</v>
      </c>
      <c r="D323" s="808" t="s">
        <v>1250</v>
      </c>
      <c r="E323" s="808" t="s">
        <v>1251</v>
      </c>
      <c r="F323" s="612"/>
      <c r="G323" s="612">
        <v>-1374721.858</v>
      </c>
      <c r="H323" s="612">
        <v>-98835.148000000001</v>
      </c>
      <c r="I323" s="612">
        <v>-183414.796</v>
      </c>
      <c r="J323" s="612">
        <v>-463681.50099999999</v>
      </c>
      <c r="K323" s="612">
        <v>-295755.21899999998</v>
      </c>
      <c r="L323" s="613">
        <v>-151637.76800000001</v>
      </c>
      <c r="M323" s="451"/>
      <c r="N323" t="e">
        <f>VLOOKUP(A323, 'P&amp;L'!A:B,1,FALSE)</f>
        <v>#N/A</v>
      </c>
      <c r="O323" t="e">
        <f>VLOOKUP(A323, KeyData!A:C,1,FALSE)</f>
        <v>#N/A</v>
      </c>
      <c r="P323" s="451"/>
    </row>
    <row r="324" spans="1:16">
      <c r="A324" s="451" t="str">
        <f t="shared" si="5"/>
        <v>309500000_Result</v>
      </c>
      <c r="B324" s="1023" t="s">
        <v>1291</v>
      </c>
      <c r="C324" s="814" t="s">
        <v>1292</v>
      </c>
      <c r="D324" s="842" t="s">
        <v>1156</v>
      </c>
      <c r="E324" s="840"/>
      <c r="F324" s="836"/>
      <c r="G324" s="836">
        <v>-1374721.858</v>
      </c>
      <c r="H324" s="836">
        <v>-98835.148000000001</v>
      </c>
      <c r="I324" s="836">
        <v>-183414.796</v>
      </c>
      <c r="J324" s="836">
        <v>-463681.50099999999</v>
      </c>
      <c r="K324" s="836">
        <v>-295755.21899999998</v>
      </c>
      <c r="L324" s="838">
        <v>-151637.76800000001</v>
      </c>
      <c r="M324" s="451"/>
      <c r="N324" t="e">
        <f>VLOOKUP(A324, 'P&amp;L'!A:B,1,FALSE)</f>
        <v>#N/A</v>
      </c>
      <c r="O324" t="e">
        <f>VLOOKUP(A324, KeyData!A:C,1,FALSE)</f>
        <v>#N/A</v>
      </c>
      <c r="P324" s="451"/>
    </row>
    <row r="325" spans="1:16">
      <c r="A325" s="451" t="str">
        <f t="shared" si="5"/>
        <v>309501110_#</v>
      </c>
      <c r="B325" s="1024" t="s">
        <v>1293</v>
      </c>
      <c r="C325" s="814" t="s">
        <v>1294</v>
      </c>
      <c r="D325" s="808" t="s">
        <v>1250</v>
      </c>
      <c r="E325" s="808" t="s">
        <v>1251</v>
      </c>
      <c r="F325" s="612"/>
      <c r="G325" s="612">
        <v>-12311.682000000001</v>
      </c>
      <c r="H325" s="612">
        <v>-21346.51</v>
      </c>
      <c r="I325" s="612"/>
      <c r="J325" s="612">
        <v>-8641.3019999999997</v>
      </c>
      <c r="K325" s="612">
        <v>-42672.317999999999</v>
      </c>
      <c r="L325" s="613"/>
      <c r="M325" s="451"/>
      <c r="N325" t="e">
        <f>VLOOKUP(A325, 'P&amp;L'!A:B,1,FALSE)</f>
        <v>#N/A</v>
      </c>
      <c r="O325" t="e">
        <f>VLOOKUP(A325, KeyData!A:C,1,FALSE)</f>
        <v>#N/A</v>
      </c>
      <c r="P325" s="451"/>
    </row>
    <row r="326" spans="1:16">
      <c r="A326" s="451" t="str">
        <f t="shared" si="5"/>
        <v>309501110_Result</v>
      </c>
      <c r="B326" s="1024" t="s">
        <v>1293</v>
      </c>
      <c r="C326" s="814" t="s">
        <v>1294</v>
      </c>
      <c r="D326" s="842" t="s">
        <v>1156</v>
      </c>
      <c r="E326" s="840"/>
      <c r="F326" s="836"/>
      <c r="G326" s="836">
        <v>-12311.682000000001</v>
      </c>
      <c r="H326" s="836">
        <v>-21346.51</v>
      </c>
      <c r="I326" s="836"/>
      <c r="J326" s="836">
        <v>-8641.3019999999997</v>
      </c>
      <c r="K326" s="836">
        <v>-42672.317999999999</v>
      </c>
      <c r="L326" s="838"/>
      <c r="M326" s="451"/>
      <c r="N326" t="str">
        <f>VLOOKUP(A326, 'P&amp;L'!A:B,1,FALSE)</f>
        <v>309501110_Result</v>
      </c>
      <c r="O326" t="e">
        <f>VLOOKUP(A326, KeyData!A:C,1,FALSE)</f>
        <v>#N/A</v>
      </c>
      <c r="P326" s="451"/>
    </row>
    <row r="327" spans="1:16">
      <c r="A327" s="451" t="str">
        <f t="shared" si="5"/>
        <v>309501120_#</v>
      </c>
      <c r="B327" s="1024" t="s">
        <v>1295</v>
      </c>
      <c r="C327" s="814" t="s">
        <v>1294</v>
      </c>
      <c r="D327" s="808" t="s">
        <v>1250</v>
      </c>
      <c r="E327" s="808" t="s">
        <v>1251</v>
      </c>
      <c r="F327" s="612"/>
      <c r="G327" s="612">
        <v>-11727.326999999999</v>
      </c>
      <c r="H327" s="612">
        <v>10974.884</v>
      </c>
      <c r="I327" s="612"/>
      <c r="J327" s="612">
        <v>11330.34</v>
      </c>
      <c r="K327" s="612">
        <v>21939.124</v>
      </c>
      <c r="L327" s="613"/>
      <c r="M327" s="451"/>
      <c r="N327" t="e">
        <f>VLOOKUP(A327, 'P&amp;L'!A:B,1,FALSE)</f>
        <v>#N/A</v>
      </c>
      <c r="O327" t="e">
        <f>VLOOKUP(A327, KeyData!A:C,1,FALSE)</f>
        <v>#N/A</v>
      </c>
      <c r="P327" s="451"/>
    </row>
    <row r="328" spans="1:16">
      <c r="A328" s="451" t="str">
        <f t="shared" si="5"/>
        <v>309501120_Result</v>
      </c>
      <c r="B328" s="1024" t="s">
        <v>1295</v>
      </c>
      <c r="C328" s="814" t="s">
        <v>1294</v>
      </c>
      <c r="D328" s="842" t="s">
        <v>1156</v>
      </c>
      <c r="E328" s="840"/>
      <c r="F328" s="836"/>
      <c r="G328" s="836">
        <v>-11727.326999999999</v>
      </c>
      <c r="H328" s="836">
        <v>10974.884</v>
      </c>
      <c r="I328" s="836"/>
      <c r="J328" s="836">
        <v>11330.34</v>
      </c>
      <c r="K328" s="836">
        <v>21939.124</v>
      </c>
      <c r="L328" s="838"/>
      <c r="M328" s="451"/>
      <c r="N328" t="str">
        <f>VLOOKUP(A328, 'P&amp;L'!A:B,1,FALSE)</f>
        <v>309501120_Result</v>
      </c>
      <c r="O328" t="e">
        <f>VLOOKUP(A328, KeyData!A:C,1,FALSE)</f>
        <v>#N/A</v>
      </c>
      <c r="P328" s="451"/>
    </row>
    <row r="329" spans="1:16">
      <c r="A329" s="451" t="str">
        <f t="shared" si="5"/>
        <v>309501610_#</v>
      </c>
      <c r="B329" s="1024" t="s">
        <v>1296</v>
      </c>
      <c r="C329" s="814" t="s">
        <v>1297</v>
      </c>
      <c r="D329" s="808" t="s">
        <v>1250</v>
      </c>
      <c r="E329" s="808" t="s">
        <v>1251</v>
      </c>
      <c r="F329" s="612"/>
      <c r="G329" s="612">
        <v>-368256.13400000002</v>
      </c>
      <c r="H329" s="612">
        <v>-53573.186999999998</v>
      </c>
      <c r="I329" s="612"/>
      <c r="J329" s="612">
        <v>-23217.277999999998</v>
      </c>
      <c r="K329" s="612">
        <v>-106950.696</v>
      </c>
      <c r="L329" s="613"/>
      <c r="M329" s="451"/>
      <c r="N329" t="e">
        <f>VLOOKUP(A329, 'P&amp;L'!A:B,1,FALSE)</f>
        <v>#N/A</v>
      </c>
      <c r="O329" t="e">
        <f>VLOOKUP(A329, KeyData!A:C,1,FALSE)</f>
        <v>#N/A</v>
      </c>
      <c r="P329" s="451"/>
    </row>
    <row r="330" spans="1:16">
      <c r="A330" s="451" t="str">
        <f t="shared" si="5"/>
        <v>309501610_Result</v>
      </c>
      <c r="B330" s="1024" t="s">
        <v>1296</v>
      </c>
      <c r="C330" s="814" t="s">
        <v>1297</v>
      </c>
      <c r="D330" s="842" t="s">
        <v>1156</v>
      </c>
      <c r="E330" s="840"/>
      <c r="F330" s="836"/>
      <c r="G330" s="836">
        <v>-368256.13400000002</v>
      </c>
      <c r="H330" s="836">
        <v>-53573.186999999998</v>
      </c>
      <c r="I330" s="836"/>
      <c r="J330" s="836">
        <v>-23217.277999999998</v>
      </c>
      <c r="K330" s="836">
        <v>-106950.696</v>
      </c>
      <c r="L330" s="838"/>
      <c r="M330" s="451"/>
      <c r="N330" t="str">
        <f>VLOOKUP(A330, 'P&amp;L'!A:B,1,FALSE)</f>
        <v>309501610_Result</v>
      </c>
      <c r="O330" t="e">
        <f>VLOOKUP(A330, KeyData!A:C,1,FALSE)</f>
        <v>#N/A</v>
      </c>
      <c r="P330" s="451"/>
    </row>
    <row r="331" spans="1:16">
      <c r="A331" s="451" t="str">
        <f t="shared" si="5"/>
        <v>309501620_#</v>
      </c>
      <c r="B331" s="1024" t="s">
        <v>1298</v>
      </c>
      <c r="C331" s="814" t="s">
        <v>1299</v>
      </c>
      <c r="D331" s="808" t="s">
        <v>1250</v>
      </c>
      <c r="E331" s="808" t="s">
        <v>1251</v>
      </c>
      <c r="F331" s="612"/>
      <c r="G331" s="612">
        <v>-99875.926000000007</v>
      </c>
      <c r="H331" s="612">
        <v>189362.83300000001</v>
      </c>
      <c r="I331" s="612"/>
      <c r="J331" s="612">
        <v>-95433.885999999999</v>
      </c>
      <c r="K331" s="612">
        <v>298736.28700000001</v>
      </c>
      <c r="L331" s="613"/>
      <c r="M331" s="451"/>
      <c r="N331" t="e">
        <f>VLOOKUP(A331, 'P&amp;L'!A:B,1,FALSE)</f>
        <v>#N/A</v>
      </c>
      <c r="O331" t="e">
        <f>VLOOKUP(A331, KeyData!A:C,1,FALSE)</f>
        <v>#N/A</v>
      </c>
      <c r="P331" s="451"/>
    </row>
    <row r="332" spans="1:16">
      <c r="A332" s="451" t="str">
        <f t="shared" si="5"/>
        <v>309501620_Result</v>
      </c>
      <c r="B332" s="1024" t="s">
        <v>1298</v>
      </c>
      <c r="C332" s="814" t="s">
        <v>1299</v>
      </c>
      <c r="D332" s="842" t="s">
        <v>1156</v>
      </c>
      <c r="E332" s="840"/>
      <c r="F332" s="836"/>
      <c r="G332" s="836">
        <v>-99875.926000000007</v>
      </c>
      <c r="H332" s="836">
        <v>189362.83300000001</v>
      </c>
      <c r="I332" s="836"/>
      <c r="J332" s="836">
        <v>-95433.885999999999</v>
      </c>
      <c r="K332" s="836">
        <v>298736.28700000001</v>
      </c>
      <c r="L332" s="838"/>
      <c r="M332" s="451"/>
      <c r="N332" t="str">
        <f>VLOOKUP(A332, 'P&amp;L'!A:B,1,FALSE)</f>
        <v>309501620_Result</v>
      </c>
      <c r="O332" t="e">
        <f>VLOOKUP(A332, KeyData!A:C,1,FALSE)</f>
        <v>#N/A</v>
      </c>
      <c r="P332" s="451"/>
    </row>
    <row r="333" spans="1:16">
      <c r="A333" s="451" t="str">
        <f t="shared" si="5"/>
        <v>309501630_#</v>
      </c>
      <c r="B333" s="1024" t="s">
        <v>1300</v>
      </c>
      <c r="C333" s="814" t="s">
        <v>1301</v>
      </c>
      <c r="D333" s="808" t="s">
        <v>1250</v>
      </c>
      <c r="E333" s="808" t="s">
        <v>1251</v>
      </c>
      <c r="F333" s="612"/>
      <c r="G333" s="612">
        <v>-21013.937000000002</v>
      </c>
      <c r="H333" s="612">
        <v>19443.904999999999</v>
      </c>
      <c r="I333" s="612"/>
      <c r="J333" s="612">
        <v>19442.746999999999</v>
      </c>
      <c r="K333" s="612">
        <v>19443.904999999999</v>
      </c>
      <c r="L333" s="613"/>
      <c r="M333" s="451"/>
      <c r="N333" t="e">
        <f>VLOOKUP(A333, 'P&amp;L'!A:B,1,FALSE)</f>
        <v>#N/A</v>
      </c>
      <c r="O333" t="e">
        <f>VLOOKUP(A333, KeyData!A:C,1,FALSE)</f>
        <v>#N/A</v>
      </c>
      <c r="P333" s="451"/>
    </row>
    <row r="334" spans="1:16">
      <c r="A334" s="451" t="str">
        <f t="shared" si="5"/>
        <v>309501630_Result</v>
      </c>
      <c r="B334" s="1024" t="s">
        <v>1300</v>
      </c>
      <c r="C334" s="814" t="s">
        <v>1301</v>
      </c>
      <c r="D334" s="842" t="s">
        <v>1156</v>
      </c>
      <c r="E334" s="840"/>
      <c r="F334" s="836"/>
      <c r="G334" s="836">
        <v>-21013.937000000002</v>
      </c>
      <c r="H334" s="836">
        <v>19443.904999999999</v>
      </c>
      <c r="I334" s="836"/>
      <c r="J334" s="836">
        <v>19442.746999999999</v>
      </c>
      <c r="K334" s="836">
        <v>19443.904999999999</v>
      </c>
      <c r="L334" s="838"/>
      <c r="M334" s="451"/>
      <c r="N334" t="str">
        <f>VLOOKUP(A334, 'P&amp;L'!A:B,1,FALSE)</f>
        <v>309501630_Result</v>
      </c>
      <c r="O334" t="e">
        <f>VLOOKUP(A334, KeyData!A:C,1,FALSE)</f>
        <v>#N/A</v>
      </c>
      <c r="P334" s="451"/>
    </row>
    <row r="335" spans="1:16">
      <c r="A335" s="451" t="str">
        <f t="shared" si="5"/>
        <v>309501640_#</v>
      </c>
      <c r="B335" s="1024" t="s">
        <v>1302</v>
      </c>
      <c r="C335" s="814" t="s">
        <v>1303</v>
      </c>
      <c r="D335" s="808" t="s">
        <v>1250</v>
      </c>
      <c r="E335" s="808" t="s">
        <v>1251</v>
      </c>
      <c r="F335" s="612"/>
      <c r="G335" s="612">
        <v>-1364605.713</v>
      </c>
      <c r="H335" s="612">
        <v>-121154.274</v>
      </c>
      <c r="I335" s="612"/>
      <c r="J335" s="612">
        <v>-263888.37300000002</v>
      </c>
      <c r="K335" s="612">
        <v>-395898</v>
      </c>
      <c r="L335" s="613"/>
      <c r="M335" s="451"/>
      <c r="N335" t="e">
        <f>VLOOKUP(A335, 'P&amp;L'!A:B,1,FALSE)</f>
        <v>#N/A</v>
      </c>
      <c r="O335" t="e">
        <f>VLOOKUP(A335, KeyData!A:C,1,FALSE)</f>
        <v>#N/A</v>
      </c>
      <c r="P335" s="451"/>
    </row>
    <row r="336" spans="1:16">
      <c r="A336" s="451" t="str">
        <f t="shared" si="5"/>
        <v>309501640_Result</v>
      </c>
      <c r="B336" s="1024" t="s">
        <v>1302</v>
      </c>
      <c r="C336" s="814" t="s">
        <v>1303</v>
      </c>
      <c r="D336" s="842" t="s">
        <v>1156</v>
      </c>
      <c r="E336" s="840"/>
      <c r="F336" s="836"/>
      <c r="G336" s="836">
        <v>-1364605.713</v>
      </c>
      <c r="H336" s="836">
        <v>-121154.274</v>
      </c>
      <c r="I336" s="836"/>
      <c r="J336" s="836">
        <v>-263888.37300000002</v>
      </c>
      <c r="K336" s="836">
        <v>-395898</v>
      </c>
      <c r="L336" s="838"/>
      <c r="M336" s="451"/>
      <c r="N336" t="str">
        <f>VLOOKUP(A336, 'P&amp;L'!A:B,1,FALSE)</f>
        <v>309501640_Result</v>
      </c>
      <c r="O336" t="e">
        <f>VLOOKUP(A336, KeyData!A:C,1,FALSE)</f>
        <v>#N/A</v>
      </c>
      <c r="P336" s="451"/>
    </row>
    <row r="337" spans="1:16">
      <c r="A337" s="451" t="str">
        <f t="shared" si="5"/>
        <v>309501650_#</v>
      </c>
      <c r="B337" s="1024" t="s">
        <v>1304</v>
      </c>
      <c r="C337" s="814" t="s">
        <v>1305</v>
      </c>
      <c r="D337" s="808" t="s">
        <v>1250</v>
      </c>
      <c r="E337" s="808" t="s">
        <v>1251</v>
      </c>
      <c r="F337" s="612"/>
      <c r="G337" s="612">
        <v>11117.516</v>
      </c>
      <c r="H337" s="612">
        <v>-161743.32199999999</v>
      </c>
      <c r="I337" s="612"/>
      <c r="J337" s="612"/>
      <c r="K337" s="612"/>
      <c r="L337" s="613"/>
      <c r="M337" s="451"/>
      <c r="N337" t="e">
        <f>VLOOKUP(A337, 'P&amp;L'!A:B,1,FALSE)</f>
        <v>#N/A</v>
      </c>
      <c r="O337" t="e">
        <f>VLOOKUP(A337, KeyData!A:C,1,FALSE)</f>
        <v>#N/A</v>
      </c>
      <c r="P337" s="451"/>
    </row>
    <row r="338" spans="1:16">
      <c r="A338" s="451" t="str">
        <f t="shared" si="5"/>
        <v>309501650_Result</v>
      </c>
      <c r="B338" s="1024" t="s">
        <v>1304</v>
      </c>
      <c r="C338" s="814" t="s">
        <v>1305</v>
      </c>
      <c r="D338" s="842" t="s">
        <v>1156</v>
      </c>
      <c r="E338" s="840"/>
      <c r="F338" s="836"/>
      <c r="G338" s="836">
        <v>11117.516</v>
      </c>
      <c r="H338" s="836">
        <v>-161743.32199999999</v>
      </c>
      <c r="I338" s="836"/>
      <c r="J338" s="836"/>
      <c r="K338" s="836"/>
      <c r="L338" s="838"/>
      <c r="M338" s="451"/>
      <c r="N338" t="str">
        <f>VLOOKUP(A338, 'P&amp;L'!A:B,1,FALSE)</f>
        <v>309501650_Result</v>
      </c>
      <c r="O338" t="e">
        <f>VLOOKUP(A338, KeyData!A:C,1,FALSE)</f>
        <v>#N/A</v>
      </c>
      <c r="P338" s="451"/>
    </row>
    <row r="339" spans="1:16">
      <c r="A339" s="451" t="str">
        <f t="shared" si="5"/>
        <v>309502100_#</v>
      </c>
      <c r="B339" s="1024" t="s">
        <v>1306</v>
      </c>
      <c r="C339" s="814" t="s">
        <v>1307</v>
      </c>
      <c r="D339" s="808" t="s">
        <v>1250</v>
      </c>
      <c r="E339" s="808" t="s">
        <v>1251</v>
      </c>
      <c r="F339" s="612"/>
      <c r="G339" s="612">
        <v>205127.459</v>
      </c>
      <c r="H339" s="612">
        <v>-14636.941000000001</v>
      </c>
      <c r="I339" s="612"/>
      <c r="J339" s="612">
        <v>-14636.941000000001</v>
      </c>
      <c r="K339" s="612">
        <v>-14636.941000000001</v>
      </c>
      <c r="L339" s="613"/>
      <c r="M339" s="451"/>
      <c r="N339" t="e">
        <f>VLOOKUP(A339, 'P&amp;L'!A:B,1,FALSE)</f>
        <v>#N/A</v>
      </c>
      <c r="O339" t="e">
        <f>VLOOKUP(A339, KeyData!A:C,1,FALSE)</f>
        <v>#N/A</v>
      </c>
      <c r="P339" s="451"/>
    </row>
    <row r="340" spans="1:16">
      <c r="A340" s="451" t="str">
        <f t="shared" si="5"/>
        <v>309502100_Result</v>
      </c>
      <c r="B340" s="1024" t="s">
        <v>1306</v>
      </c>
      <c r="C340" s="814" t="s">
        <v>1307</v>
      </c>
      <c r="D340" s="842" t="s">
        <v>1156</v>
      </c>
      <c r="E340" s="840"/>
      <c r="F340" s="836"/>
      <c r="G340" s="836">
        <v>205127.459</v>
      </c>
      <c r="H340" s="836">
        <v>-14636.941000000001</v>
      </c>
      <c r="I340" s="836"/>
      <c r="J340" s="836">
        <v>-14636.941000000001</v>
      </c>
      <c r="K340" s="836">
        <v>-14636.941000000001</v>
      </c>
      <c r="L340" s="838"/>
      <c r="M340" s="451"/>
      <c r="N340" t="str">
        <f>VLOOKUP(A340, 'P&amp;L'!A:B,1,FALSE)</f>
        <v>309502100_Result</v>
      </c>
      <c r="O340" t="e">
        <f>VLOOKUP(A340, KeyData!A:C,1,FALSE)</f>
        <v>#N/A</v>
      </c>
      <c r="P340" s="451"/>
    </row>
    <row r="341" spans="1:16">
      <c r="A341" s="451" t="str">
        <f t="shared" si="5"/>
        <v>309503100_#</v>
      </c>
      <c r="B341" s="1024" t="s">
        <v>1308</v>
      </c>
      <c r="C341" s="814" t="s">
        <v>1309</v>
      </c>
      <c r="D341" s="808" t="s">
        <v>1250</v>
      </c>
      <c r="E341" s="808" t="s">
        <v>1251</v>
      </c>
      <c r="F341" s="612"/>
      <c r="G341" s="612">
        <v>-13717.183999999999</v>
      </c>
      <c r="H341" s="612">
        <v>-39055.754000000001</v>
      </c>
      <c r="I341" s="612">
        <v>-183414.796</v>
      </c>
      <c r="J341" s="612">
        <v>-142184.35</v>
      </c>
      <c r="K341" s="612">
        <v>-168609.79800000001</v>
      </c>
      <c r="L341" s="613">
        <v>-151637.76800000001</v>
      </c>
      <c r="M341" s="451"/>
      <c r="N341" t="e">
        <f>VLOOKUP(A341, 'P&amp;L'!A:B,1,FALSE)</f>
        <v>#N/A</v>
      </c>
      <c r="O341" t="e">
        <f>VLOOKUP(A341, KeyData!A:C,1,FALSE)</f>
        <v>#N/A</v>
      </c>
      <c r="P341" s="451"/>
    </row>
    <row r="342" spans="1:16">
      <c r="A342" s="451" t="str">
        <f t="shared" si="5"/>
        <v>309503100_Result</v>
      </c>
      <c r="B342" s="1024" t="s">
        <v>1308</v>
      </c>
      <c r="C342" s="814" t="s">
        <v>1309</v>
      </c>
      <c r="D342" s="842" t="s">
        <v>1156</v>
      </c>
      <c r="E342" s="840"/>
      <c r="F342" s="836"/>
      <c r="G342" s="836">
        <v>-13717.183999999999</v>
      </c>
      <c r="H342" s="836">
        <v>-39055.754000000001</v>
      </c>
      <c r="I342" s="836">
        <v>-183414.796</v>
      </c>
      <c r="J342" s="836">
        <v>-142184.35</v>
      </c>
      <c r="K342" s="836">
        <v>-168609.79800000001</v>
      </c>
      <c r="L342" s="838">
        <v>-151637.76800000001</v>
      </c>
      <c r="M342" s="451"/>
      <c r="N342" t="str">
        <f>VLOOKUP(A342, 'P&amp;L'!A:B,1,FALSE)</f>
        <v>309503100_Result</v>
      </c>
      <c r="O342" t="e">
        <f>VLOOKUP(A342, KeyData!A:C,1,FALSE)</f>
        <v>#N/A</v>
      </c>
      <c r="P342" s="451"/>
    </row>
    <row r="343" spans="1:16">
      <c r="A343" s="451" t="str">
        <f t="shared" si="5"/>
        <v>309503600_#</v>
      </c>
      <c r="B343" s="1024" t="s">
        <v>1310</v>
      </c>
      <c r="C343" s="814" t="s">
        <v>1311</v>
      </c>
      <c r="D343" s="808" t="s">
        <v>1250</v>
      </c>
      <c r="E343" s="808" t="s">
        <v>1251</v>
      </c>
      <c r="F343" s="612"/>
      <c r="G343" s="612">
        <v>300749.12199999997</v>
      </c>
      <c r="H343" s="612">
        <v>92893.217999999993</v>
      </c>
      <c r="I343" s="612"/>
      <c r="J343" s="612">
        <v>53547.542000000001</v>
      </c>
      <c r="K343" s="612">
        <v>92893.217999999993</v>
      </c>
      <c r="L343" s="613"/>
      <c r="M343" s="451"/>
      <c r="N343" t="e">
        <f>VLOOKUP(A343, 'P&amp;L'!A:B,1,FALSE)</f>
        <v>#N/A</v>
      </c>
      <c r="O343" t="e">
        <f>VLOOKUP(A343, KeyData!A:C,1,FALSE)</f>
        <v>#N/A</v>
      </c>
      <c r="P343" s="451"/>
    </row>
    <row r="344" spans="1:16">
      <c r="A344" s="451" t="str">
        <f t="shared" si="5"/>
        <v>309503600_Result</v>
      </c>
      <c r="B344" s="1024" t="s">
        <v>1310</v>
      </c>
      <c r="C344" s="814" t="s">
        <v>1311</v>
      </c>
      <c r="D344" s="842" t="s">
        <v>1156</v>
      </c>
      <c r="E344" s="840"/>
      <c r="F344" s="836"/>
      <c r="G344" s="836">
        <v>300749.12199999997</v>
      </c>
      <c r="H344" s="836">
        <v>92893.217999999993</v>
      </c>
      <c r="I344" s="836"/>
      <c r="J344" s="836">
        <v>53547.542000000001</v>
      </c>
      <c r="K344" s="836">
        <v>92893.217999999993</v>
      </c>
      <c r="L344" s="838"/>
      <c r="M344" s="451"/>
      <c r="N344" t="str">
        <f>VLOOKUP(A344, 'P&amp;L'!A:B,1,FALSE)</f>
        <v>309503600_Result</v>
      </c>
      <c r="O344" t="e">
        <f>VLOOKUP(A344, KeyData!A:C,1,FALSE)</f>
        <v>#N/A</v>
      </c>
      <c r="P344" s="451"/>
    </row>
    <row r="345" spans="1:16">
      <c r="A345" s="451" t="str">
        <f t="shared" si="5"/>
        <v>309504100_#</v>
      </c>
      <c r="B345" s="1024" t="s">
        <v>1312</v>
      </c>
      <c r="C345" s="814" t="s">
        <v>1313</v>
      </c>
      <c r="D345" s="808" t="s">
        <v>1250</v>
      </c>
      <c r="E345" s="808" t="s">
        <v>1251</v>
      </c>
      <c r="F345" s="612"/>
      <c r="G345" s="612">
        <v>-208.05199999999999</v>
      </c>
      <c r="H345" s="612"/>
      <c r="I345" s="612"/>
      <c r="J345" s="612"/>
      <c r="K345" s="612"/>
      <c r="L345" s="613"/>
      <c r="M345" s="451"/>
      <c r="N345" t="e">
        <f>VLOOKUP(A345, 'P&amp;L'!A:B,1,FALSE)</f>
        <v>#N/A</v>
      </c>
      <c r="O345" t="e">
        <f>VLOOKUP(A345, KeyData!A:C,1,FALSE)</f>
        <v>#N/A</v>
      </c>
      <c r="P345" s="451"/>
    </row>
    <row r="346" spans="1:16">
      <c r="A346" s="451" t="str">
        <f t="shared" si="5"/>
        <v>309504100_Result</v>
      </c>
      <c r="B346" s="1024" t="s">
        <v>1312</v>
      </c>
      <c r="C346" s="814" t="s">
        <v>1313</v>
      </c>
      <c r="D346" s="842" t="s">
        <v>1156</v>
      </c>
      <c r="E346" s="840"/>
      <c r="F346" s="836"/>
      <c r="G346" s="836">
        <v>-208.05199999999999</v>
      </c>
      <c r="H346" s="836"/>
      <c r="I346" s="836"/>
      <c r="J346" s="836"/>
      <c r="K346" s="836"/>
      <c r="L346" s="838"/>
      <c r="M346" s="451"/>
      <c r="N346" t="str">
        <f>VLOOKUP(A346, 'P&amp;L'!A:B,1,FALSE)</f>
        <v>309504100_Result</v>
      </c>
      <c r="O346" t="e">
        <f>VLOOKUP(A346, KeyData!A:C,1,FALSE)</f>
        <v>#N/A</v>
      </c>
      <c r="P346" s="451"/>
    </row>
    <row r="347" spans="1:16">
      <c r="A347" s="451" t="str">
        <f t="shared" si="5"/>
        <v>310000000_#</v>
      </c>
      <c r="B347" s="1021" t="s">
        <v>1314</v>
      </c>
      <c r="C347" s="814" t="s">
        <v>1315</v>
      </c>
      <c r="D347" s="808" t="s">
        <v>1250</v>
      </c>
      <c r="E347" s="808" t="s">
        <v>1251</v>
      </c>
      <c r="F347" s="612"/>
      <c r="G347" s="612">
        <v>-271248.59100000001</v>
      </c>
      <c r="H347" s="612">
        <v>-495107.11</v>
      </c>
      <c r="I347" s="612">
        <v>-611381.98899999994</v>
      </c>
      <c r="J347" s="612">
        <v>-872472.13800000004</v>
      </c>
      <c r="K347" s="612">
        <v>-1027685.988</v>
      </c>
      <c r="L347" s="613">
        <v>-631824.03399999999</v>
      </c>
      <c r="M347" s="451"/>
      <c r="N347" t="e">
        <f>VLOOKUP(A347, 'P&amp;L'!A:B,1,FALSE)</f>
        <v>#N/A</v>
      </c>
      <c r="O347" t="e">
        <f>VLOOKUP(A347, KeyData!A:C,1,FALSE)</f>
        <v>#N/A</v>
      </c>
      <c r="P347" s="451"/>
    </row>
    <row r="348" spans="1:16">
      <c r="A348" s="451" t="str">
        <f t="shared" si="5"/>
        <v>310000000_Result</v>
      </c>
      <c r="B348" s="1021" t="s">
        <v>1314</v>
      </c>
      <c r="C348" s="814" t="s">
        <v>1315</v>
      </c>
      <c r="D348" s="842" t="s">
        <v>1156</v>
      </c>
      <c r="E348" s="840"/>
      <c r="F348" s="836"/>
      <c r="G348" s="836">
        <v>-271248.59100000001</v>
      </c>
      <c r="H348" s="836">
        <v>-495107.11</v>
      </c>
      <c r="I348" s="836">
        <v>-611381.98899999994</v>
      </c>
      <c r="J348" s="836">
        <v>-872472.13800000004</v>
      </c>
      <c r="K348" s="836">
        <v>-1027685.988</v>
      </c>
      <c r="L348" s="838">
        <v>-631824.03399999999</v>
      </c>
      <c r="M348" s="451"/>
      <c r="N348" t="str">
        <f>VLOOKUP(A348, 'P&amp;L'!A:B,1,FALSE)</f>
        <v>310000000_Result</v>
      </c>
      <c r="O348" t="e">
        <f>VLOOKUP(A348, KeyData!A:C,1,FALSE)</f>
        <v>#N/A</v>
      </c>
      <c r="P348" s="451"/>
    </row>
    <row r="349" spans="1:16">
      <c r="A349" s="451" t="str">
        <f t="shared" si="5"/>
        <v>310003100_#</v>
      </c>
      <c r="B349" s="1022" t="s">
        <v>1316</v>
      </c>
      <c r="C349" s="814" t="s">
        <v>1317</v>
      </c>
      <c r="D349" s="808" t="s">
        <v>1250</v>
      </c>
      <c r="E349" s="808" t="s">
        <v>1251</v>
      </c>
      <c r="F349" s="612"/>
      <c r="G349" s="612">
        <v>-161508.23300000001</v>
      </c>
      <c r="H349" s="612">
        <v>-250091.71100000001</v>
      </c>
      <c r="I349" s="612">
        <v>-611381.98899999994</v>
      </c>
      <c r="J349" s="612">
        <v>-695360.43900000001</v>
      </c>
      <c r="K349" s="612">
        <v>-702541.70200000005</v>
      </c>
      <c r="L349" s="613">
        <v>-631824.03399999999</v>
      </c>
      <c r="M349" s="451"/>
      <c r="N349" t="e">
        <f>VLOOKUP(A349, 'P&amp;L'!A:B,1,FALSE)</f>
        <v>#N/A</v>
      </c>
      <c r="O349" t="e">
        <f>VLOOKUP(A349, KeyData!A:C,1,FALSE)</f>
        <v>#N/A</v>
      </c>
      <c r="P349" s="451"/>
    </row>
    <row r="350" spans="1:16">
      <c r="A350" s="451" t="str">
        <f t="shared" si="5"/>
        <v>310003100_Result</v>
      </c>
      <c r="B350" s="1022" t="s">
        <v>1316</v>
      </c>
      <c r="C350" s="814" t="s">
        <v>1317</v>
      </c>
      <c r="D350" s="842" t="s">
        <v>1156</v>
      </c>
      <c r="E350" s="840"/>
      <c r="F350" s="836"/>
      <c r="G350" s="836">
        <v>-161508.23300000001</v>
      </c>
      <c r="H350" s="836">
        <v>-250091.71100000001</v>
      </c>
      <c r="I350" s="836">
        <v>-611381.98899999994</v>
      </c>
      <c r="J350" s="836">
        <v>-695360.43900000001</v>
      </c>
      <c r="K350" s="836">
        <v>-702541.70200000005</v>
      </c>
      <c r="L350" s="838">
        <v>-631824.03399999999</v>
      </c>
      <c r="M350" s="451"/>
      <c r="N350" t="str">
        <f>VLOOKUP(A350, 'P&amp;L'!A:B,1,FALSE)</f>
        <v>310003100_Result</v>
      </c>
      <c r="O350" t="e">
        <f>VLOOKUP(A350, KeyData!A:C,1,FALSE)</f>
        <v>#N/A</v>
      </c>
      <c r="P350" s="451"/>
    </row>
    <row r="351" spans="1:16">
      <c r="A351" s="451" t="str">
        <f t="shared" si="5"/>
        <v>310003600_#</v>
      </c>
      <c r="B351" s="1022" t="s">
        <v>1318</v>
      </c>
      <c r="C351" s="814" t="s">
        <v>1319</v>
      </c>
      <c r="D351" s="808" t="s">
        <v>1250</v>
      </c>
      <c r="E351" s="808" t="s">
        <v>1251</v>
      </c>
      <c r="F351" s="612"/>
      <c r="G351" s="612">
        <v>75739.039000000004</v>
      </c>
      <c r="H351" s="612">
        <v>2794.7440000000001</v>
      </c>
      <c r="I351" s="612"/>
      <c r="J351" s="612">
        <v>15838.128000000001</v>
      </c>
      <c r="K351" s="612">
        <v>10502.575999999999</v>
      </c>
      <c r="L351" s="613"/>
      <c r="M351" s="451"/>
      <c r="N351" t="e">
        <f>VLOOKUP(A351, 'P&amp;L'!A:B,1,FALSE)</f>
        <v>#N/A</v>
      </c>
      <c r="O351" t="e">
        <f>VLOOKUP(A351, KeyData!A:C,1,FALSE)</f>
        <v>#N/A</v>
      </c>
      <c r="P351" s="451"/>
    </row>
    <row r="352" spans="1:16">
      <c r="A352" s="451" t="str">
        <f t="shared" si="5"/>
        <v>310003600_Result</v>
      </c>
      <c r="B352" s="1022" t="s">
        <v>1318</v>
      </c>
      <c r="C352" s="814" t="s">
        <v>1319</v>
      </c>
      <c r="D352" s="842" t="s">
        <v>1156</v>
      </c>
      <c r="E352" s="840"/>
      <c r="F352" s="836"/>
      <c r="G352" s="836">
        <v>75739.039000000004</v>
      </c>
      <c r="H352" s="836">
        <v>2794.7440000000001</v>
      </c>
      <c r="I352" s="836"/>
      <c r="J352" s="836">
        <v>15838.128000000001</v>
      </c>
      <c r="K352" s="836">
        <v>10502.575999999999</v>
      </c>
      <c r="L352" s="838"/>
      <c r="M352" s="451"/>
      <c r="N352" t="str">
        <f>VLOOKUP(A352, 'P&amp;L'!A:B,1,FALSE)</f>
        <v>310003600_Result</v>
      </c>
      <c r="O352" t="e">
        <f>VLOOKUP(A352, KeyData!A:C,1,FALSE)</f>
        <v>#N/A</v>
      </c>
      <c r="P352" s="451"/>
    </row>
    <row r="353" spans="1:16">
      <c r="A353" s="451" t="str">
        <f t="shared" si="5"/>
        <v>310004100_#</v>
      </c>
      <c r="B353" s="1022" t="s">
        <v>1320</v>
      </c>
      <c r="C353" s="814" t="s">
        <v>1321</v>
      </c>
      <c r="D353" s="808" t="s">
        <v>1250</v>
      </c>
      <c r="E353" s="808" t="s">
        <v>1251</v>
      </c>
      <c r="F353" s="612"/>
      <c r="G353" s="612">
        <v>-185747.68100000001</v>
      </c>
      <c r="H353" s="612">
        <v>-248629.72</v>
      </c>
      <c r="I353" s="612"/>
      <c r="J353" s="612">
        <v>-192949.82699999999</v>
      </c>
      <c r="K353" s="612">
        <v>-336466.43900000001</v>
      </c>
      <c r="L353" s="613"/>
      <c r="M353" s="451"/>
      <c r="N353" t="e">
        <f>VLOOKUP(A353, 'P&amp;L'!A:B,1,FALSE)</f>
        <v>#N/A</v>
      </c>
      <c r="O353" t="e">
        <f>VLOOKUP(A353, KeyData!A:C,1,FALSE)</f>
        <v>#N/A</v>
      </c>
      <c r="P353" s="451"/>
    </row>
    <row r="354" spans="1:16">
      <c r="A354" s="451" t="str">
        <f t="shared" si="5"/>
        <v>310004100_Result</v>
      </c>
      <c r="B354" s="1022" t="s">
        <v>1320</v>
      </c>
      <c r="C354" s="814" t="s">
        <v>1321</v>
      </c>
      <c r="D354" s="842" t="s">
        <v>1156</v>
      </c>
      <c r="E354" s="840"/>
      <c r="F354" s="836"/>
      <c r="G354" s="836">
        <v>-185747.68100000001</v>
      </c>
      <c r="H354" s="836">
        <v>-248629.72</v>
      </c>
      <c r="I354" s="836"/>
      <c r="J354" s="836">
        <v>-192949.82699999999</v>
      </c>
      <c r="K354" s="836">
        <v>-336466.43900000001</v>
      </c>
      <c r="L354" s="838"/>
      <c r="M354" s="451"/>
      <c r="N354" t="str">
        <f>VLOOKUP(A354, 'P&amp;L'!A:B,1,FALSE)</f>
        <v>310004100_Result</v>
      </c>
      <c r="O354" t="e">
        <f>VLOOKUP(A354, KeyData!A:C,1,FALSE)</f>
        <v>#N/A</v>
      </c>
      <c r="P354" s="451"/>
    </row>
    <row r="355" spans="1:16">
      <c r="A355" s="451" t="str">
        <f t="shared" si="5"/>
        <v>310006600_#</v>
      </c>
      <c r="B355" s="1022" t="s">
        <v>1322</v>
      </c>
      <c r="C355" s="814" t="s">
        <v>1323</v>
      </c>
      <c r="D355" s="808" t="s">
        <v>1250</v>
      </c>
      <c r="E355" s="808" t="s">
        <v>1251</v>
      </c>
      <c r="F355" s="612"/>
      <c r="G355" s="612">
        <v>268.28399999999999</v>
      </c>
      <c r="H355" s="612">
        <v>819.577</v>
      </c>
      <c r="I355" s="612"/>
      <c r="J355" s="612"/>
      <c r="K355" s="612">
        <v>819.577</v>
      </c>
      <c r="L355" s="613"/>
      <c r="M355" s="451"/>
      <c r="N355" t="e">
        <f>VLOOKUP(A355, 'P&amp;L'!A:B,1,FALSE)</f>
        <v>#N/A</v>
      </c>
      <c r="O355" t="e">
        <f>VLOOKUP(A355, KeyData!A:C,1,FALSE)</f>
        <v>#N/A</v>
      </c>
      <c r="P355" s="451"/>
    </row>
    <row r="356" spans="1:16">
      <c r="A356" s="451" t="str">
        <f t="shared" si="5"/>
        <v>310006600_Result</v>
      </c>
      <c r="B356" s="1022" t="s">
        <v>1322</v>
      </c>
      <c r="C356" s="814" t="s">
        <v>1323</v>
      </c>
      <c r="D356" s="842" t="s">
        <v>1156</v>
      </c>
      <c r="E356" s="840"/>
      <c r="F356" s="836"/>
      <c r="G356" s="836">
        <v>268.28399999999999</v>
      </c>
      <c r="H356" s="836">
        <v>819.577</v>
      </c>
      <c r="I356" s="836"/>
      <c r="J356" s="836"/>
      <c r="K356" s="836">
        <v>819.577</v>
      </c>
      <c r="L356" s="838"/>
      <c r="M356" s="451"/>
      <c r="N356" t="str">
        <f>VLOOKUP(A356, 'P&amp;L'!A:B,1,FALSE)</f>
        <v>310006600_Result</v>
      </c>
      <c r="O356" t="e">
        <f>VLOOKUP(A356, KeyData!A:C,1,FALSE)</f>
        <v>#N/A</v>
      </c>
      <c r="P356" s="451"/>
    </row>
    <row r="357" spans="1:16">
      <c r="A357" s="451" t="str">
        <f t="shared" si="5"/>
        <v>310500000_#</v>
      </c>
      <c r="B357" s="1019" t="s">
        <v>1324</v>
      </c>
      <c r="C357" s="812" t="s">
        <v>1325</v>
      </c>
      <c r="D357" s="808" t="s">
        <v>1250</v>
      </c>
      <c r="E357" s="808" t="s">
        <v>1251</v>
      </c>
      <c r="F357" s="612"/>
      <c r="G357" s="612">
        <v>-21794510.965</v>
      </c>
      <c r="H357" s="612">
        <v>-11591043.421</v>
      </c>
      <c r="I357" s="612">
        <v>-20194084.888</v>
      </c>
      <c r="J357" s="612">
        <v>-21866567.717</v>
      </c>
      <c r="K357" s="612">
        <v>-22004333.855</v>
      </c>
      <c r="L357" s="613">
        <v>-20504473.105</v>
      </c>
      <c r="M357" s="451"/>
      <c r="N357" t="e">
        <f>VLOOKUP(A357, 'P&amp;L'!A:B,1,FALSE)</f>
        <v>#N/A</v>
      </c>
      <c r="O357" t="e">
        <f>VLOOKUP(A357, KeyData!A:C,1,FALSE)</f>
        <v>#N/A</v>
      </c>
      <c r="P357" s="451"/>
    </row>
    <row r="358" spans="1:16">
      <c r="A358" s="451" t="str">
        <f t="shared" si="5"/>
        <v>310500000_Result</v>
      </c>
      <c r="B358" s="1019" t="s">
        <v>1324</v>
      </c>
      <c r="C358" s="812" t="s">
        <v>1325</v>
      </c>
      <c r="D358" s="842" t="s">
        <v>1156</v>
      </c>
      <c r="E358" s="840"/>
      <c r="F358" s="836"/>
      <c r="G358" s="836">
        <v>-21794510.965</v>
      </c>
      <c r="H358" s="836">
        <v>-11591043.421</v>
      </c>
      <c r="I358" s="836">
        <v>-20194084.888</v>
      </c>
      <c r="J358" s="836">
        <v>-21866567.717</v>
      </c>
      <c r="K358" s="836">
        <v>-22004333.855</v>
      </c>
      <c r="L358" s="838">
        <v>-20504473.105</v>
      </c>
      <c r="M358" s="451"/>
      <c r="N358" t="str">
        <f>VLOOKUP(A358, 'P&amp;L'!A:B,1,FALSE)</f>
        <v>310500000_Result</v>
      </c>
      <c r="O358" t="e">
        <f>VLOOKUP(A358, KeyData!A:C,1,FALSE)</f>
        <v>#N/A</v>
      </c>
      <c r="P358" s="451"/>
    </row>
    <row r="359" spans="1:16">
      <c r="A359" s="451" t="str">
        <f t="shared" si="5"/>
        <v>310501100_#</v>
      </c>
      <c r="B359" s="615" t="s">
        <v>1326</v>
      </c>
      <c r="C359" s="843" t="s">
        <v>858</v>
      </c>
      <c r="D359" s="808" t="s">
        <v>1250</v>
      </c>
      <c r="E359" s="808" t="s">
        <v>1251</v>
      </c>
      <c r="F359" s="612"/>
      <c r="G359" s="612">
        <v>-12749084.193</v>
      </c>
      <c r="H359" s="612">
        <v>-6254983.0669999998</v>
      </c>
      <c r="I359" s="612">
        <v>-12532236.005000001</v>
      </c>
      <c r="J359" s="612">
        <v>-12184201.431</v>
      </c>
      <c r="K359" s="612">
        <v>-12188192.732000001</v>
      </c>
      <c r="L359" s="613">
        <v>-11781290.247</v>
      </c>
      <c r="M359" s="451"/>
      <c r="N359" t="e">
        <f>VLOOKUP(A359, 'P&amp;L'!A:B,1,FALSE)</f>
        <v>#N/A</v>
      </c>
      <c r="O359" t="e">
        <f>VLOOKUP(A359, KeyData!A:C,1,FALSE)</f>
        <v>#N/A</v>
      </c>
      <c r="P359" s="451"/>
    </row>
    <row r="360" spans="1:16">
      <c r="A360" s="451" t="str">
        <f t="shared" si="5"/>
        <v>310501100_Result</v>
      </c>
      <c r="B360" s="615" t="s">
        <v>1326</v>
      </c>
      <c r="C360" s="843" t="s">
        <v>858</v>
      </c>
      <c r="D360" s="842" t="s">
        <v>1156</v>
      </c>
      <c r="E360" s="840"/>
      <c r="F360" s="836"/>
      <c r="G360" s="836">
        <v>-12749084.193</v>
      </c>
      <c r="H360" s="836">
        <v>-6254983.0669999998</v>
      </c>
      <c r="I360" s="836">
        <v>-12532236.005000001</v>
      </c>
      <c r="J360" s="836">
        <v>-12184201.431</v>
      </c>
      <c r="K360" s="836">
        <v>-12188192.732000001</v>
      </c>
      <c r="L360" s="838">
        <v>-11781290.247</v>
      </c>
      <c r="M360" s="451"/>
      <c r="N360" t="str">
        <f>VLOOKUP(A360, 'P&amp;L'!A:B,1,FALSE)</f>
        <v>310501100_Result</v>
      </c>
      <c r="O360" t="e">
        <f>VLOOKUP(A360, KeyData!A:C,1,FALSE)</f>
        <v>#N/A</v>
      </c>
      <c r="P360" s="451"/>
    </row>
    <row r="361" spans="1:16">
      <c r="A361" s="451" t="str">
        <f t="shared" si="5"/>
        <v>310501600_#</v>
      </c>
      <c r="B361" s="615" t="s">
        <v>1327</v>
      </c>
      <c r="C361" s="843" t="s">
        <v>1328</v>
      </c>
      <c r="D361" s="808" t="s">
        <v>1250</v>
      </c>
      <c r="E361" s="808" t="s">
        <v>1251</v>
      </c>
      <c r="F361" s="612"/>
      <c r="G361" s="612">
        <v>-1539757.2279999999</v>
      </c>
      <c r="H361" s="612">
        <v>-1102468.416</v>
      </c>
      <c r="I361" s="612">
        <v>-2133642.3029999998</v>
      </c>
      <c r="J361" s="612">
        <v>-2207421.8590000002</v>
      </c>
      <c r="K361" s="612">
        <v>-2211335.9789999998</v>
      </c>
      <c r="L361" s="613">
        <v>-2251211.96</v>
      </c>
      <c r="M361" s="451"/>
      <c r="N361" t="e">
        <f>VLOOKUP(A361, 'P&amp;L'!A:B,1,FALSE)</f>
        <v>#N/A</v>
      </c>
      <c r="O361" t="e">
        <f>VLOOKUP(A361, KeyData!A:C,1,FALSE)</f>
        <v>#N/A</v>
      </c>
      <c r="P361" s="451"/>
    </row>
    <row r="362" spans="1:16">
      <c r="A362" s="451" t="str">
        <f t="shared" si="5"/>
        <v>310501600_Result</v>
      </c>
      <c r="B362" s="615" t="s">
        <v>1327</v>
      </c>
      <c r="C362" s="843" t="s">
        <v>1328</v>
      </c>
      <c r="D362" s="842" t="s">
        <v>1156</v>
      </c>
      <c r="E362" s="840"/>
      <c r="F362" s="836"/>
      <c r="G362" s="836">
        <v>-1539757.2279999999</v>
      </c>
      <c r="H362" s="836">
        <v>-1102468.416</v>
      </c>
      <c r="I362" s="836">
        <v>-2133642.3029999998</v>
      </c>
      <c r="J362" s="836">
        <v>-2207421.8590000002</v>
      </c>
      <c r="K362" s="836">
        <v>-2211335.9789999998</v>
      </c>
      <c r="L362" s="838">
        <v>-2251211.96</v>
      </c>
      <c r="M362" s="451"/>
      <c r="N362" t="str">
        <f>VLOOKUP(A362, 'P&amp;L'!A:B,1,FALSE)</f>
        <v>310501600_Result</v>
      </c>
      <c r="O362" t="e">
        <f>VLOOKUP(A362, KeyData!A:C,1,FALSE)</f>
        <v>#N/A</v>
      </c>
      <c r="P362" s="451"/>
    </row>
    <row r="363" spans="1:16">
      <c r="A363" s="451" t="str">
        <f t="shared" si="5"/>
        <v>310502100_#</v>
      </c>
      <c r="B363" s="615" t="s">
        <v>1329</v>
      </c>
      <c r="C363" s="843" t="s">
        <v>1330</v>
      </c>
      <c r="D363" s="808" t="s">
        <v>1250</v>
      </c>
      <c r="E363" s="808" t="s">
        <v>1251</v>
      </c>
      <c r="F363" s="612"/>
      <c r="G363" s="612">
        <v>-837537.09299999999</v>
      </c>
      <c r="H363" s="612">
        <v>-372757.75</v>
      </c>
      <c r="I363" s="612">
        <v>-793531.61800000002</v>
      </c>
      <c r="J363" s="612">
        <v>-770269.46400000004</v>
      </c>
      <c r="K363" s="612">
        <v>-762340.4</v>
      </c>
      <c r="L363" s="613">
        <v>-596636.80700000003</v>
      </c>
      <c r="M363" s="451"/>
      <c r="N363" t="e">
        <f>VLOOKUP(A363, 'P&amp;L'!A:B,1,FALSE)</f>
        <v>#N/A</v>
      </c>
      <c r="O363" t="e">
        <f>VLOOKUP(A363, KeyData!A:C,1,FALSE)</f>
        <v>#N/A</v>
      </c>
      <c r="P363" s="451"/>
    </row>
    <row r="364" spans="1:16">
      <c r="A364" s="451" t="str">
        <f t="shared" si="5"/>
        <v>310502100_Result</v>
      </c>
      <c r="B364" s="615" t="s">
        <v>1329</v>
      </c>
      <c r="C364" s="843" t="s">
        <v>1330</v>
      </c>
      <c r="D364" s="842" t="s">
        <v>1156</v>
      </c>
      <c r="E364" s="840"/>
      <c r="F364" s="836"/>
      <c r="G364" s="836">
        <v>-837537.09299999999</v>
      </c>
      <c r="H364" s="836">
        <v>-372757.75</v>
      </c>
      <c r="I364" s="836">
        <v>-793531.61800000002</v>
      </c>
      <c r="J364" s="836">
        <v>-770269.46400000004</v>
      </c>
      <c r="K364" s="836">
        <v>-762340.4</v>
      </c>
      <c r="L364" s="838">
        <v>-596636.80700000003</v>
      </c>
      <c r="M364" s="451"/>
      <c r="N364" t="str">
        <f>VLOOKUP(A364, 'P&amp;L'!A:B,1,FALSE)</f>
        <v>310502100_Result</v>
      </c>
      <c r="O364" t="e">
        <f>VLOOKUP(A364, KeyData!A:C,1,FALSE)</f>
        <v>#N/A</v>
      </c>
      <c r="P364" s="451"/>
    </row>
    <row r="365" spans="1:16">
      <c r="A365" s="451" t="str">
        <f t="shared" si="5"/>
        <v>310503100_#</v>
      </c>
      <c r="B365" s="615" t="s">
        <v>1331</v>
      </c>
      <c r="C365" s="843" t="s">
        <v>473</v>
      </c>
      <c r="D365" s="808" t="s">
        <v>1250</v>
      </c>
      <c r="E365" s="808" t="s">
        <v>1251</v>
      </c>
      <c r="F365" s="612"/>
      <c r="G365" s="612">
        <v>-6668132.4510000004</v>
      </c>
      <c r="H365" s="612">
        <v>-3860834.1880000001</v>
      </c>
      <c r="I365" s="612">
        <v>-4734674.9620000003</v>
      </c>
      <c r="J365" s="612">
        <v>-6704674.9630000005</v>
      </c>
      <c r="K365" s="612">
        <v>-6842464.7439999999</v>
      </c>
      <c r="L365" s="613">
        <v>-5875334.091</v>
      </c>
      <c r="M365" s="451"/>
      <c r="N365" t="e">
        <f>VLOOKUP(A365, 'P&amp;L'!A:B,1,FALSE)</f>
        <v>#N/A</v>
      </c>
      <c r="O365" t="e">
        <f>VLOOKUP(A365, KeyData!A:C,1,FALSE)</f>
        <v>#N/A</v>
      </c>
      <c r="P365" s="451"/>
    </row>
    <row r="366" spans="1:16">
      <c r="A366" s="451" t="str">
        <f t="shared" si="5"/>
        <v>310503100_Result</v>
      </c>
      <c r="B366" s="615" t="s">
        <v>1331</v>
      </c>
      <c r="C366" s="843" t="s">
        <v>473</v>
      </c>
      <c r="D366" s="842" t="s">
        <v>1156</v>
      </c>
      <c r="E366" s="840"/>
      <c r="F366" s="836"/>
      <c r="G366" s="836">
        <v>-6668132.4510000004</v>
      </c>
      <c r="H366" s="836">
        <v>-3860834.1880000001</v>
      </c>
      <c r="I366" s="836">
        <v>-4734674.9620000003</v>
      </c>
      <c r="J366" s="836">
        <v>-6704674.9630000005</v>
      </c>
      <c r="K366" s="836">
        <v>-6842464.7439999999</v>
      </c>
      <c r="L366" s="838">
        <v>-5875334.091</v>
      </c>
      <c r="M366" s="451"/>
      <c r="N366" t="str">
        <f>VLOOKUP(A366, 'P&amp;L'!A:B,1,FALSE)</f>
        <v>310503100_Result</v>
      </c>
      <c r="O366" t="e">
        <f>VLOOKUP(A366, KeyData!A:C,1,FALSE)</f>
        <v>#N/A</v>
      </c>
      <c r="P366" s="451"/>
    </row>
    <row r="367" spans="1:16">
      <c r="A367" s="451" t="str">
        <f t="shared" si="5"/>
        <v>311000000_#</v>
      </c>
      <c r="B367" s="1019" t="s">
        <v>1332</v>
      </c>
      <c r="C367" s="812" t="s">
        <v>1333</v>
      </c>
      <c r="D367" s="808" t="s">
        <v>1250</v>
      </c>
      <c r="E367" s="808" t="s">
        <v>1251</v>
      </c>
      <c r="F367" s="612"/>
      <c r="G367" s="612">
        <v>-59841.521999999997</v>
      </c>
      <c r="H367" s="612">
        <v>-28395.342000000001</v>
      </c>
      <c r="I367" s="612"/>
      <c r="J367" s="612">
        <v>15752.608</v>
      </c>
      <c r="K367" s="612">
        <v>-28395.342000000001</v>
      </c>
      <c r="L367" s="613"/>
      <c r="M367" s="451"/>
      <c r="N367" t="e">
        <f>VLOOKUP(A367, 'P&amp;L'!A:B,1,FALSE)</f>
        <v>#N/A</v>
      </c>
      <c r="O367" t="e">
        <f>VLOOKUP(A367, KeyData!A:C,1,FALSE)</f>
        <v>#N/A</v>
      </c>
      <c r="P367" s="451"/>
    </row>
    <row r="368" spans="1:16">
      <c r="A368" s="451" t="str">
        <f t="shared" si="5"/>
        <v>311000000_Result</v>
      </c>
      <c r="B368" s="1019" t="s">
        <v>1332</v>
      </c>
      <c r="C368" s="812" t="s">
        <v>1333</v>
      </c>
      <c r="D368" s="842" t="s">
        <v>1156</v>
      </c>
      <c r="E368" s="840"/>
      <c r="F368" s="836"/>
      <c r="G368" s="836">
        <v>-59841.521999999997</v>
      </c>
      <c r="H368" s="836">
        <v>-28395.342000000001</v>
      </c>
      <c r="I368" s="836"/>
      <c r="J368" s="836">
        <v>15752.608</v>
      </c>
      <c r="K368" s="836">
        <v>-28395.342000000001</v>
      </c>
      <c r="L368" s="838"/>
      <c r="M368" s="451"/>
      <c r="N368" t="str">
        <f>VLOOKUP(A368, 'P&amp;L'!A:B,1,FALSE)</f>
        <v>311000000_Result</v>
      </c>
      <c r="O368" t="e">
        <f>VLOOKUP(A368, KeyData!A:C,1,FALSE)</f>
        <v>#N/A</v>
      </c>
      <c r="P368" s="451"/>
    </row>
    <row r="369" spans="1:16">
      <c r="A369" s="451" t="str">
        <f t="shared" si="5"/>
        <v>311001100_#</v>
      </c>
      <c r="B369" s="615" t="s">
        <v>1334</v>
      </c>
      <c r="C369" s="843" t="s">
        <v>1335</v>
      </c>
      <c r="D369" s="808" t="s">
        <v>1250</v>
      </c>
      <c r="E369" s="808" t="s">
        <v>1251</v>
      </c>
      <c r="F369" s="612"/>
      <c r="G369" s="612">
        <v>-18056.243999999999</v>
      </c>
      <c r="H369" s="612">
        <v>-1510.865</v>
      </c>
      <c r="I369" s="612"/>
      <c r="J369" s="612"/>
      <c r="K369" s="612">
        <v>-1510.865</v>
      </c>
      <c r="L369" s="613"/>
      <c r="M369" s="451"/>
      <c r="N369" t="e">
        <f>VLOOKUP(A369, 'P&amp;L'!A:B,1,FALSE)</f>
        <v>#N/A</v>
      </c>
      <c r="O369" t="e">
        <f>VLOOKUP(A369, KeyData!A:C,1,FALSE)</f>
        <v>#N/A</v>
      </c>
      <c r="P369" s="451"/>
    </row>
    <row r="370" spans="1:16">
      <c r="A370" s="451" t="str">
        <f t="shared" si="5"/>
        <v>311001100_Result</v>
      </c>
      <c r="B370" s="615" t="s">
        <v>1334</v>
      </c>
      <c r="C370" s="843" t="s">
        <v>1335</v>
      </c>
      <c r="D370" s="842" t="s">
        <v>1156</v>
      </c>
      <c r="E370" s="840"/>
      <c r="F370" s="836"/>
      <c r="G370" s="836">
        <v>-18056.243999999999</v>
      </c>
      <c r="H370" s="836">
        <v>-1510.865</v>
      </c>
      <c r="I370" s="836"/>
      <c r="J370" s="836"/>
      <c r="K370" s="836">
        <v>-1510.865</v>
      </c>
      <c r="L370" s="838"/>
      <c r="M370" s="451"/>
      <c r="N370" t="str">
        <f>VLOOKUP(A370, 'P&amp;L'!A:B,1,FALSE)</f>
        <v>311001100_Result</v>
      </c>
      <c r="O370" t="e">
        <f>VLOOKUP(A370, KeyData!A:C,1,FALSE)</f>
        <v>#N/A</v>
      </c>
      <c r="P370" s="451"/>
    </row>
    <row r="371" spans="1:16">
      <c r="A371" s="451" t="str">
        <f t="shared" si="5"/>
        <v>311001600_#</v>
      </c>
      <c r="B371" s="615" t="s">
        <v>1336</v>
      </c>
      <c r="C371" s="843" t="s">
        <v>1337</v>
      </c>
      <c r="D371" s="808" t="s">
        <v>1250</v>
      </c>
      <c r="E371" s="808" t="s">
        <v>1251</v>
      </c>
      <c r="F371" s="612"/>
      <c r="G371" s="612">
        <v>81137.785999999993</v>
      </c>
      <c r="H371" s="612">
        <v>49586.987000000001</v>
      </c>
      <c r="I371" s="612"/>
      <c r="J371" s="612">
        <v>-27498.563999999998</v>
      </c>
      <c r="K371" s="612">
        <v>49586.987000000001</v>
      </c>
      <c r="L371" s="613"/>
      <c r="M371" s="451"/>
      <c r="N371" t="e">
        <f>VLOOKUP(A371, 'P&amp;L'!A:B,1,FALSE)</f>
        <v>#N/A</v>
      </c>
      <c r="O371" t="e">
        <f>VLOOKUP(A371, KeyData!A:C,1,FALSE)</f>
        <v>#N/A</v>
      </c>
      <c r="P371" s="451"/>
    </row>
    <row r="372" spans="1:16">
      <c r="A372" s="451" t="str">
        <f t="shared" si="5"/>
        <v>311001600_Result</v>
      </c>
      <c r="B372" s="615" t="s">
        <v>1336</v>
      </c>
      <c r="C372" s="843" t="s">
        <v>1337</v>
      </c>
      <c r="D372" s="842" t="s">
        <v>1156</v>
      </c>
      <c r="E372" s="840"/>
      <c r="F372" s="836"/>
      <c r="G372" s="836">
        <v>81137.785999999993</v>
      </c>
      <c r="H372" s="836">
        <v>49586.987000000001</v>
      </c>
      <c r="I372" s="836"/>
      <c r="J372" s="836">
        <v>-27498.563999999998</v>
      </c>
      <c r="K372" s="836">
        <v>49586.987000000001</v>
      </c>
      <c r="L372" s="838"/>
      <c r="M372" s="451"/>
      <c r="N372" t="str">
        <f>VLOOKUP(A372, 'P&amp;L'!A:B,1,FALSE)</f>
        <v>311001600_Result</v>
      </c>
      <c r="O372" t="e">
        <f>VLOOKUP(A372, KeyData!A:C,1,FALSE)</f>
        <v>#N/A</v>
      </c>
      <c r="P372" s="451"/>
    </row>
    <row r="373" spans="1:16">
      <c r="A373" s="451" t="str">
        <f t="shared" si="5"/>
        <v>311001700_#</v>
      </c>
      <c r="B373" s="615" t="s">
        <v>1338</v>
      </c>
      <c r="C373" s="843" t="s">
        <v>1337</v>
      </c>
      <c r="D373" s="808" t="s">
        <v>1250</v>
      </c>
      <c r="E373" s="808" t="s">
        <v>1251</v>
      </c>
      <c r="F373" s="612"/>
      <c r="G373" s="612">
        <v>-122923.064</v>
      </c>
      <c r="H373" s="612">
        <v>-76471.464000000007</v>
      </c>
      <c r="I373" s="612"/>
      <c r="J373" s="612">
        <v>43251.171999999999</v>
      </c>
      <c r="K373" s="612">
        <v>-76471.464000000007</v>
      </c>
      <c r="L373" s="613"/>
      <c r="M373" s="451"/>
      <c r="N373" t="e">
        <f>VLOOKUP(A373, 'P&amp;L'!A:B,1,FALSE)</f>
        <v>#N/A</v>
      </c>
      <c r="O373" t="e">
        <f>VLOOKUP(A373, KeyData!A:C,1,FALSE)</f>
        <v>#N/A</v>
      </c>
      <c r="P373" s="451"/>
    </row>
    <row r="374" spans="1:16">
      <c r="A374" s="451" t="str">
        <f t="shared" si="5"/>
        <v>311001700_Result</v>
      </c>
      <c r="B374" s="615" t="s">
        <v>1338</v>
      </c>
      <c r="C374" s="843" t="s">
        <v>1337</v>
      </c>
      <c r="D374" s="842" t="s">
        <v>1156</v>
      </c>
      <c r="E374" s="840"/>
      <c r="F374" s="836"/>
      <c r="G374" s="836">
        <v>-122923.064</v>
      </c>
      <c r="H374" s="836">
        <v>-76471.464000000007</v>
      </c>
      <c r="I374" s="836"/>
      <c r="J374" s="836">
        <v>43251.171999999999</v>
      </c>
      <c r="K374" s="836">
        <v>-76471.464000000007</v>
      </c>
      <c r="L374" s="838"/>
      <c r="M374" s="451"/>
      <c r="N374" t="str">
        <f>VLOOKUP(A374, 'P&amp;L'!A:B,1,FALSE)</f>
        <v>311001700_Result</v>
      </c>
      <c r="O374" t="e">
        <f>VLOOKUP(A374, KeyData!A:C,1,FALSE)</f>
        <v>#N/A</v>
      </c>
      <c r="P374" s="451"/>
    </row>
    <row r="375" spans="1:16">
      <c r="A375" s="451" t="str">
        <f t="shared" si="5"/>
        <v>311500000_#</v>
      </c>
      <c r="B375" s="1017" t="s">
        <v>1339</v>
      </c>
      <c r="C375" s="811" t="s">
        <v>876</v>
      </c>
      <c r="D375" s="808" t="s">
        <v>1250</v>
      </c>
      <c r="E375" s="808" t="s">
        <v>1251</v>
      </c>
      <c r="F375" s="612"/>
      <c r="G375" s="612">
        <v>-6980426.7850000001</v>
      </c>
      <c r="H375" s="612">
        <v>-5028863.3739999998</v>
      </c>
      <c r="I375" s="612">
        <v>-11645610.437000001</v>
      </c>
      <c r="J375" s="612">
        <v>-10226978.114</v>
      </c>
      <c r="K375" s="612">
        <v>-10226978.114</v>
      </c>
      <c r="L375" s="613">
        <v>-10864045.464</v>
      </c>
      <c r="M375" s="451"/>
      <c r="N375" t="e">
        <f>VLOOKUP(A375, 'P&amp;L'!A:B,1,FALSE)</f>
        <v>#N/A</v>
      </c>
      <c r="O375" t="e">
        <f>VLOOKUP(A375, KeyData!A:C,1,FALSE)</f>
        <v>#N/A</v>
      </c>
      <c r="P375" s="451"/>
    </row>
    <row r="376" spans="1:16">
      <c r="A376" s="451" t="str">
        <f t="shared" si="5"/>
        <v>311500000_Result</v>
      </c>
      <c r="B376" s="1017" t="s">
        <v>1339</v>
      </c>
      <c r="C376" s="811" t="s">
        <v>876</v>
      </c>
      <c r="D376" s="842" t="s">
        <v>1156</v>
      </c>
      <c r="E376" s="840"/>
      <c r="F376" s="836"/>
      <c r="G376" s="836">
        <v>-6980426.7850000001</v>
      </c>
      <c r="H376" s="836">
        <v>-5028863.3739999998</v>
      </c>
      <c r="I376" s="836">
        <v>-11645610.437000001</v>
      </c>
      <c r="J376" s="836">
        <v>-10226978.114</v>
      </c>
      <c r="K376" s="836">
        <v>-10226978.114</v>
      </c>
      <c r="L376" s="838">
        <v>-10864045.464</v>
      </c>
      <c r="M376" s="451"/>
      <c r="N376" t="str">
        <f>VLOOKUP(A376, 'P&amp;L'!A:B,1,FALSE)</f>
        <v>311500000_Result</v>
      </c>
      <c r="O376" t="e">
        <f>VLOOKUP(A376, KeyData!A:C,1,FALSE)</f>
        <v>#N/A</v>
      </c>
      <c r="P376" s="451"/>
    </row>
    <row r="377" spans="1:16">
      <c r="A377" s="451" t="str">
        <f t="shared" si="5"/>
        <v>311503100_#</v>
      </c>
      <c r="B377" s="1018" t="s">
        <v>1340</v>
      </c>
      <c r="C377" s="812" t="s">
        <v>1341</v>
      </c>
      <c r="D377" s="808" t="s">
        <v>1250</v>
      </c>
      <c r="E377" s="808" t="s">
        <v>1251</v>
      </c>
      <c r="F377" s="612"/>
      <c r="G377" s="612">
        <v>-8199899.5899999999</v>
      </c>
      <c r="H377" s="612">
        <v>-5884606.1210000003</v>
      </c>
      <c r="I377" s="612">
        <v>-11645610.437000001</v>
      </c>
      <c r="J377" s="612">
        <v>-11082720.861</v>
      </c>
      <c r="K377" s="612">
        <v>-11082720.861</v>
      </c>
      <c r="L377" s="613">
        <v>-10864045.464</v>
      </c>
      <c r="M377" s="451"/>
      <c r="N377" t="e">
        <f>VLOOKUP(A377, 'P&amp;L'!A:B,1,FALSE)</f>
        <v>#N/A</v>
      </c>
      <c r="O377" t="e">
        <f>VLOOKUP(A377, KeyData!A:C,1,FALSE)</f>
        <v>#N/A</v>
      </c>
      <c r="P377" s="451"/>
    </row>
    <row r="378" spans="1:16">
      <c r="A378" s="451" t="str">
        <f t="shared" si="5"/>
        <v>311503100_Result</v>
      </c>
      <c r="B378" s="1018" t="s">
        <v>1340</v>
      </c>
      <c r="C378" s="812" t="s">
        <v>1341</v>
      </c>
      <c r="D378" s="842" t="s">
        <v>1156</v>
      </c>
      <c r="E378" s="840"/>
      <c r="F378" s="836"/>
      <c r="G378" s="836">
        <v>-8199899.5899999999</v>
      </c>
      <c r="H378" s="836">
        <v>-5884606.1210000003</v>
      </c>
      <c r="I378" s="836">
        <v>-11645610.437000001</v>
      </c>
      <c r="J378" s="836">
        <v>-11082720.861</v>
      </c>
      <c r="K378" s="836">
        <v>-11082720.861</v>
      </c>
      <c r="L378" s="838">
        <v>-10864045.464</v>
      </c>
      <c r="M378" s="451"/>
      <c r="N378" t="str">
        <f>VLOOKUP(A378, 'P&amp;L'!A:B,1,FALSE)</f>
        <v>311503100_Result</v>
      </c>
      <c r="O378" t="e">
        <f>VLOOKUP(A378, KeyData!A:C,1,FALSE)</f>
        <v>#N/A</v>
      </c>
      <c r="P378" s="451"/>
    </row>
    <row r="379" spans="1:16">
      <c r="A379" s="451" t="str">
        <f t="shared" si="5"/>
        <v>311504100_#</v>
      </c>
      <c r="B379" s="1018" t="s">
        <v>1342</v>
      </c>
      <c r="C379" s="812" t="s">
        <v>904</v>
      </c>
      <c r="D379" s="808" t="s">
        <v>1250</v>
      </c>
      <c r="E379" s="808" t="s">
        <v>1251</v>
      </c>
      <c r="F379" s="612"/>
      <c r="G379" s="612">
        <v>1219472.8049999999</v>
      </c>
      <c r="H379" s="612">
        <v>855742.74699999997</v>
      </c>
      <c r="I379" s="612"/>
      <c r="J379" s="612">
        <v>855742.74699999997</v>
      </c>
      <c r="K379" s="612">
        <v>855742.74699999997</v>
      </c>
      <c r="L379" s="613"/>
      <c r="M379" s="451"/>
      <c r="N379" t="e">
        <f>VLOOKUP(A379, 'P&amp;L'!A:B,1,FALSE)</f>
        <v>#N/A</v>
      </c>
      <c r="O379" t="e">
        <f>VLOOKUP(A379, KeyData!A:C,1,FALSE)</f>
        <v>#N/A</v>
      </c>
      <c r="P379" s="451"/>
    </row>
    <row r="380" spans="1:16">
      <c r="A380" s="451" t="str">
        <f t="shared" si="5"/>
        <v>311504100_Result</v>
      </c>
      <c r="B380" s="1018" t="s">
        <v>1342</v>
      </c>
      <c r="C380" s="812" t="s">
        <v>904</v>
      </c>
      <c r="D380" s="842" t="s">
        <v>1156</v>
      </c>
      <c r="E380" s="840"/>
      <c r="F380" s="836"/>
      <c r="G380" s="836">
        <v>1219472.8049999999</v>
      </c>
      <c r="H380" s="836">
        <v>855742.74699999997</v>
      </c>
      <c r="I380" s="836"/>
      <c r="J380" s="836">
        <v>855742.74699999997</v>
      </c>
      <c r="K380" s="836">
        <v>855742.74699999997</v>
      </c>
      <c r="L380" s="838"/>
      <c r="M380" s="451"/>
      <c r="N380" t="str">
        <f>VLOOKUP(A380, 'P&amp;L'!A:B,1,FALSE)</f>
        <v>311504100_Result</v>
      </c>
      <c r="O380" t="e">
        <f>VLOOKUP(A380, KeyData!A:C,1,FALSE)</f>
        <v>#N/A</v>
      </c>
      <c r="P380" s="451"/>
    </row>
    <row r="381" spans="1:16">
      <c r="A381" s="451" t="str">
        <f t="shared" si="5"/>
        <v>312000000_#</v>
      </c>
      <c r="B381" s="1017" t="s">
        <v>1343</v>
      </c>
      <c r="C381" s="811" t="s">
        <v>1344</v>
      </c>
      <c r="D381" s="808" t="s">
        <v>1250</v>
      </c>
      <c r="E381" s="808" t="s">
        <v>1251</v>
      </c>
      <c r="F381" s="612"/>
      <c r="G381" s="612">
        <v>-2146940.6749999998</v>
      </c>
      <c r="H381" s="612">
        <v>-1124756.716</v>
      </c>
      <c r="I381" s="612">
        <v>-2059788.915</v>
      </c>
      <c r="J381" s="612">
        <v>-2071510.189</v>
      </c>
      <c r="K381" s="612">
        <v>-2086981.879</v>
      </c>
      <c r="L381" s="613">
        <v>-2104653.8650000002</v>
      </c>
      <c r="M381" s="451"/>
      <c r="N381" t="e">
        <f>VLOOKUP(A381, 'P&amp;L'!A:B,1,FALSE)</f>
        <v>#N/A</v>
      </c>
      <c r="O381" t="e">
        <f>VLOOKUP(A381, KeyData!A:C,1,FALSE)</f>
        <v>#N/A</v>
      </c>
      <c r="P381" s="451"/>
    </row>
    <row r="382" spans="1:16">
      <c r="A382" s="451" t="str">
        <f t="shared" si="5"/>
        <v>312000000_Result</v>
      </c>
      <c r="B382" s="1017" t="s">
        <v>1343</v>
      </c>
      <c r="C382" s="811" t="s">
        <v>1344</v>
      </c>
      <c r="D382" s="842" t="s">
        <v>1156</v>
      </c>
      <c r="E382" s="840"/>
      <c r="F382" s="836"/>
      <c r="G382" s="836">
        <v>-2146940.6749999998</v>
      </c>
      <c r="H382" s="836">
        <v>-1124756.716</v>
      </c>
      <c r="I382" s="836">
        <v>-2059788.915</v>
      </c>
      <c r="J382" s="836">
        <v>-2071510.189</v>
      </c>
      <c r="K382" s="836">
        <v>-2086981.879</v>
      </c>
      <c r="L382" s="838">
        <v>-2104653.8650000002</v>
      </c>
      <c r="M382" s="451"/>
      <c r="N382" t="str">
        <f>VLOOKUP(A382, 'P&amp;L'!A:B,1,FALSE)</f>
        <v>312000000_Result</v>
      </c>
      <c r="O382" t="e">
        <f>VLOOKUP(A382, KeyData!A:C,1,FALSE)</f>
        <v>#N/A</v>
      </c>
      <c r="P382" s="451"/>
    </row>
    <row r="383" spans="1:16">
      <c r="A383" s="451" t="str">
        <f t="shared" si="5"/>
        <v>312001100_#</v>
      </c>
      <c r="B383" s="1018" t="s">
        <v>1345</v>
      </c>
      <c r="C383" s="812" t="s">
        <v>908</v>
      </c>
      <c r="D383" s="808" t="s">
        <v>1250</v>
      </c>
      <c r="E383" s="808" t="s">
        <v>1251</v>
      </c>
      <c r="F383" s="612"/>
      <c r="G383" s="612">
        <v>-1482797.9040000001</v>
      </c>
      <c r="H383" s="612">
        <v>-680264.67099999997</v>
      </c>
      <c r="I383" s="612">
        <v>-1290758.679</v>
      </c>
      <c r="J383" s="612">
        <v>-1238976.8970000001</v>
      </c>
      <c r="K383" s="612">
        <v>-1238976.895</v>
      </c>
      <c r="L383" s="613">
        <v>-1395944.2320000001</v>
      </c>
      <c r="M383" s="451"/>
      <c r="N383" t="e">
        <f>VLOOKUP(A383, 'P&amp;L'!A:B,1,FALSE)</f>
        <v>#N/A</v>
      </c>
      <c r="O383" t="e">
        <f>VLOOKUP(A383, KeyData!A:C,1,FALSE)</f>
        <v>#N/A</v>
      </c>
      <c r="P383" s="451"/>
    </row>
    <row r="384" spans="1:16">
      <c r="A384" s="451" t="str">
        <f t="shared" si="5"/>
        <v>312001100_Result</v>
      </c>
      <c r="B384" s="1018" t="s">
        <v>1345</v>
      </c>
      <c r="C384" s="812" t="s">
        <v>908</v>
      </c>
      <c r="D384" s="842" t="s">
        <v>1156</v>
      </c>
      <c r="E384" s="840"/>
      <c r="F384" s="836"/>
      <c r="G384" s="836">
        <v>-1482797.9040000001</v>
      </c>
      <c r="H384" s="836">
        <v>-680264.67099999997</v>
      </c>
      <c r="I384" s="836">
        <v>-1290758.679</v>
      </c>
      <c r="J384" s="836">
        <v>-1238976.8970000001</v>
      </c>
      <c r="K384" s="836">
        <v>-1238976.895</v>
      </c>
      <c r="L384" s="838">
        <v>-1395944.2320000001</v>
      </c>
      <c r="M384" s="451"/>
      <c r="N384" t="str">
        <f>VLOOKUP(A384, 'P&amp;L'!A:B,1,FALSE)</f>
        <v>312001100_Result</v>
      </c>
      <c r="O384" t="e">
        <f>VLOOKUP(A384, KeyData!A:C,1,FALSE)</f>
        <v>#N/A</v>
      </c>
      <c r="P384" s="451"/>
    </row>
    <row r="385" spans="1:16">
      <c r="A385" s="451" t="str">
        <f t="shared" si="5"/>
        <v>312001600_#</v>
      </c>
      <c r="B385" s="1018" t="s">
        <v>1346</v>
      </c>
      <c r="C385" s="812" t="s">
        <v>910</v>
      </c>
      <c r="D385" s="808" t="s">
        <v>1250</v>
      </c>
      <c r="E385" s="808" t="s">
        <v>1251</v>
      </c>
      <c r="F385" s="612"/>
      <c r="G385" s="612">
        <v>-61455.082000000002</v>
      </c>
      <c r="H385" s="612">
        <v>-30283.614000000001</v>
      </c>
      <c r="I385" s="612">
        <v>-57461.296999999999</v>
      </c>
      <c r="J385" s="612">
        <v>-65013.116999999998</v>
      </c>
      <c r="K385" s="612">
        <v>-65013.114000000001</v>
      </c>
      <c r="L385" s="613">
        <v>-58781.663999999997</v>
      </c>
      <c r="M385" s="451"/>
      <c r="N385" t="e">
        <f>VLOOKUP(A385, 'P&amp;L'!A:B,1,FALSE)</f>
        <v>#N/A</v>
      </c>
      <c r="O385" t="e">
        <f>VLOOKUP(A385, KeyData!A:C,1,FALSE)</f>
        <v>#N/A</v>
      </c>
      <c r="P385" s="451"/>
    </row>
    <row r="386" spans="1:16">
      <c r="A386" s="451" t="str">
        <f t="shared" si="5"/>
        <v>312001600_Result</v>
      </c>
      <c r="B386" s="1018" t="s">
        <v>1346</v>
      </c>
      <c r="C386" s="812" t="s">
        <v>910</v>
      </c>
      <c r="D386" s="842" t="s">
        <v>1156</v>
      </c>
      <c r="E386" s="840"/>
      <c r="F386" s="836"/>
      <c r="G386" s="836">
        <v>-61455.082000000002</v>
      </c>
      <c r="H386" s="836">
        <v>-30283.614000000001</v>
      </c>
      <c r="I386" s="836">
        <v>-57461.296999999999</v>
      </c>
      <c r="J386" s="836">
        <v>-65013.116999999998</v>
      </c>
      <c r="K386" s="836">
        <v>-65013.114000000001</v>
      </c>
      <c r="L386" s="838">
        <v>-58781.663999999997</v>
      </c>
      <c r="M386" s="451"/>
      <c r="N386" t="str">
        <f>VLOOKUP(A386, 'P&amp;L'!A:B,1,FALSE)</f>
        <v>312001600_Result</v>
      </c>
      <c r="O386" t="e">
        <f>VLOOKUP(A386, KeyData!A:C,1,FALSE)</f>
        <v>#N/A</v>
      </c>
      <c r="P386" s="451"/>
    </row>
    <row r="387" spans="1:16">
      <c r="A387" s="451" t="str">
        <f t="shared" ref="A387:A450" si="6" xml:space="preserve"> IFERROR(+B387*1,B387)&amp;"_"&amp;IFERROR(+D387*1,D387)</f>
        <v>312002100_#</v>
      </c>
      <c r="B387" s="1018" t="s">
        <v>1347</v>
      </c>
      <c r="C387" s="812" t="s">
        <v>484</v>
      </c>
      <c r="D387" s="808" t="s">
        <v>1250</v>
      </c>
      <c r="E387" s="808" t="s">
        <v>1251</v>
      </c>
      <c r="F387" s="612"/>
      <c r="G387" s="612">
        <v>-602687.68900000001</v>
      </c>
      <c r="H387" s="612">
        <v>-414208.43099999998</v>
      </c>
      <c r="I387" s="612">
        <v>-711568.93900000001</v>
      </c>
      <c r="J387" s="612">
        <v>-767520.17500000005</v>
      </c>
      <c r="K387" s="612">
        <v>-782991.87</v>
      </c>
      <c r="L387" s="613">
        <v>-649927.96900000004</v>
      </c>
      <c r="M387" s="451"/>
      <c r="N387" t="e">
        <f>VLOOKUP(A387, 'P&amp;L'!A:B,1,FALSE)</f>
        <v>#N/A</v>
      </c>
      <c r="O387" t="e">
        <f>VLOOKUP(A387, KeyData!A:C,1,FALSE)</f>
        <v>#N/A</v>
      </c>
      <c r="P387" s="451"/>
    </row>
    <row r="388" spans="1:16">
      <c r="A388" s="451" t="str">
        <f t="shared" si="6"/>
        <v>312002100_Result</v>
      </c>
      <c r="B388" s="1018" t="s">
        <v>1347</v>
      </c>
      <c r="C388" s="812" t="s">
        <v>484</v>
      </c>
      <c r="D388" s="842" t="s">
        <v>1156</v>
      </c>
      <c r="E388" s="840"/>
      <c r="F388" s="836"/>
      <c r="G388" s="836">
        <v>-602687.68900000001</v>
      </c>
      <c r="H388" s="836">
        <v>-414208.43099999998</v>
      </c>
      <c r="I388" s="836">
        <v>-711568.93900000001</v>
      </c>
      <c r="J388" s="836">
        <v>-767520.17500000005</v>
      </c>
      <c r="K388" s="836">
        <v>-782991.87</v>
      </c>
      <c r="L388" s="838">
        <v>-649927.96900000004</v>
      </c>
      <c r="M388" s="451"/>
      <c r="N388" t="str">
        <f>VLOOKUP(A388, 'P&amp;L'!A:B,1,FALSE)</f>
        <v>312002100_Result</v>
      </c>
      <c r="O388" t="e">
        <f>VLOOKUP(A388, KeyData!A:C,1,FALSE)</f>
        <v>#N/A</v>
      </c>
      <c r="P388" s="451"/>
    </row>
    <row r="389" spans="1:16">
      <c r="A389" s="451" t="str">
        <f t="shared" si="6"/>
        <v>312200000_#</v>
      </c>
      <c r="B389" s="1017" t="s">
        <v>1348</v>
      </c>
      <c r="C389" s="811" t="s">
        <v>1349</v>
      </c>
      <c r="D389" s="808" t="s">
        <v>1250</v>
      </c>
      <c r="E389" s="808" t="s">
        <v>1251</v>
      </c>
      <c r="F389" s="612"/>
      <c r="G389" s="612">
        <v>-1283494.683</v>
      </c>
      <c r="H389" s="612">
        <v>-1295507.0649999999</v>
      </c>
      <c r="I389" s="612">
        <v>-2478063.0950000002</v>
      </c>
      <c r="J389" s="612">
        <v>-2498090.852</v>
      </c>
      <c r="K389" s="612">
        <v>-2489984.6329999999</v>
      </c>
      <c r="L389" s="613">
        <v>-2583254.9249999998</v>
      </c>
      <c r="M389" s="451"/>
      <c r="N389" t="e">
        <f>VLOOKUP(A389, 'P&amp;L'!A:B,1,FALSE)</f>
        <v>#N/A</v>
      </c>
      <c r="O389" t="e">
        <f>VLOOKUP(A389, KeyData!A:C,1,FALSE)</f>
        <v>#N/A</v>
      </c>
      <c r="P389" s="451"/>
    </row>
    <row r="390" spans="1:16">
      <c r="A390" s="451" t="str">
        <f t="shared" si="6"/>
        <v>312200000_Result</v>
      </c>
      <c r="B390" s="1017" t="s">
        <v>1348</v>
      </c>
      <c r="C390" s="811" t="s">
        <v>1349</v>
      </c>
      <c r="D390" s="842" t="s">
        <v>1156</v>
      </c>
      <c r="E390" s="840"/>
      <c r="F390" s="836"/>
      <c r="G390" s="836">
        <v>-1283494.683</v>
      </c>
      <c r="H390" s="836">
        <v>-1295507.0649999999</v>
      </c>
      <c r="I390" s="836">
        <v>-2478063.0950000002</v>
      </c>
      <c r="J390" s="836">
        <v>-2498090.852</v>
      </c>
      <c r="K390" s="836">
        <v>-2489984.6329999999</v>
      </c>
      <c r="L390" s="838">
        <v>-2583254.9249999998</v>
      </c>
      <c r="M390" s="451"/>
      <c r="N390" t="str">
        <f>VLOOKUP(A390, 'P&amp;L'!A:B,1,FALSE)</f>
        <v>312200000_Result</v>
      </c>
      <c r="O390" t="e">
        <f>VLOOKUP(A390, KeyData!A:C,1,FALSE)</f>
        <v>#N/A</v>
      </c>
      <c r="P390" s="451"/>
    </row>
    <row r="391" spans="1:16">
      <c r="A391" s="451" t="str">
        <f t="shared" si="6"/>
        <v>312201100_#</v>
      </c>
      <c r="B391" s="1018" t="s">
        <v>1350</v>
      </c>
      <c r="C391" s="812" t="s">
        <v>1351</v>
      </c>
      <c r="D391" s="808" t="s">
        <v>1250</v>
      </c>
      <c r="E391" s="808" t="s">
        <v>1251</v>
      </c>
      <c r="F391" s="612"/>
      <c r="G391" s="612">
        <v>-1283494.683</v>
      </c>
      <c r="H391" s="612">
        <v>-1295507.0649999999</v>
      </c>
      <c r="I391" s="612">
        <v>-2478063.0950000002</v>
      </c>
      <c r="J391" s="612">
        <v>-2498090.852</v>
      </c>
      <c r="K391" s="612">
        <v>-2489984.6329999999</v>
      </c>
      <c r="L391" s="613">
        <v>-2583254.9249999998</v>
      </c>
      <c r="M391" s="451"/>
      <c r="N391" t="e">
        <f>VLOOKUP(A391, 'P&amp;L'!A:B,1,FALSE)</f>
        <v>#N/A</v>
      </c>
      <c r="O391" t="e">
        <f>VLOOKUP(A391, KeyData!A:C,1,FALSE)</f>
        <v>#N/A</v>
      </c>
      <c r="P391" s="451"/>
    </row>
    <row r="392" spans="1:16">
      <c r="A392" s="451" t="str">
        <f t="shared" si="6"/>
        <v>312201100_Result</v>
      </c>
      <c r="B392" s="1018" t="s">
        <v>1350</v>
      </c>
      <c r="C392" s="812" t="s">
        <v>1351</v>
      </c>
      <c r="D392" s="842" t="s">
        <v>1156</v>
      </c>
      <c r="E392" s="840"/>
      <c r="F392" s="836"/>
      <c r="G392" s="836">
        <v>-1283494.683</v>
      </c>
      <c r="H392" s="836">
        <v>-1295507.0649999999</v>
      </c>
      <c r="I392" s="836">
        <v>-2478063.0950000002</v>
      </c>
      <c r="J392" s="836">
        <v>-2498090.852</v>
      </c>
      <c r="K392" s="836">
        <v>-2489984.6329999999</v>
      </c>
      <c r="L392" s="838">
        <v>-2583254.9249999998</v>
      </c>
      <c r="M392" s="451"/>
      <c r="N392" t="str">
        <f>VLOOKUP(A392, 'P&amp;L'!A:B,1,FALSE)</f>
        <v>312201100_Result</v>
      </c>
      <c r="O392" t="e">
        <f>VLOOKUP(A392, KeyData!A:C,1,FALSE)</f>
        <v>#N/A</v>
      </c>
      <c r="P392" s="451"/>
    </row>
    <row r="393" spans="1:16">
      <c r="A393" s="451" t="str">
        <f t="shared" si="6"/>
        <v>312500000_#</v>
      </c>
      <c r="B393" s="1017" t="s">
        <v>1352</v>
      </c>
      <c r="C393" s="811" t="s">
        <v>1353</v>
      </c>
      <c r="D393" s="808" t="s">
        <v>1250</v>
      </c>
      <c r="E393" s="808" t="s">
        <v>1251</v>
      </c>
      <c r="F393" s="612"/>
      <c r="G393" s="612">
        <v>3998243.57</v>
      </c>
      <c r="H393" s="612">
        <v>599668.201</v>
      </c>
      <c r="I393" s="612"/>
      <c r="J393" s="612">
        <v>596910.51100000006</v>
      </c>
      <c r="K393" s="612">
        <v>1275304.689</v>
      </c>
      <c r="L393" s="613"/>
      <c r="M393" s="451"/>
      <c r="N393" t="e">
        <f>VLOOKUP(A393, 'P&amp;L'!A:B,1,FALSE)</f>
        <v>#N/A</v>
      </c>
      <c r="O393" t="e">
        <f>VLOOKUP(A393, KeyData!A:C,1,FALSE)</f>
        <v>#N/A</v>
      </c>
      <c r="P393" s="451"/>
    </row>
    <row r="394" spans="1:16">
      <c r="A394" s="451" t="str">
        <f t="shared" si="6"/>
        <v>312500000_Result</v>
      </c>
      <c r="B394" s="1017" t="s">
        <v>1352</v>
      </c>
      <c r="C394" s="811" t="s">
        <v>1353</v>
      </c>
      <c r="D394" s="842" t="s">
        <v>1156</v>
      </c>
      <c r="E394" s="840"/>
      <c r="F394" s="836"/>
      <c r="G394" s="836">
        <v>3998243.57</v>
      </c>
      <c r="H394" s="836">
        <v>599668.201</v>
      </c>
      <c r="I394" s="836"/>
      <c r="J394" s="836">
        <v>596910.51100000006</v>
      </c>
      <c r="K394" s="836">
        <v>1275304.689</v>
      </c>
      <c r="L394" s="838"/>
      <c r="M394" s="451"/>
      <c r="N394" t="str">
        <f>VLOOKUP(A394, 'P&amp;L'!A:B,1,FALSE)</f>
        <v>312500000_Result</v>
      </c>
      <c r="O394" t="e">
        <f>VLOOKUP(A394, KeyData!A:C,1,FALSE)</f>
        <v>#N/A</v>
      </c>
      <c r="P394" s="451"/>
    </row>
    <row r="395" spans="1:16">
      <c r="A395" s="451" t="str">
        <f t="shared" si="6"/>
        <v>312501600_#</v>
      </c>
      <c r="B395" s="1018" t="s">
        <v>1354</v>
      </c>
      <c r="C395" s="812" t="s">
        <v>1355</v>
      </c>
      <c r="D395" s="808" t="s">
        <v>1250</v>
      </c>
      <c r="E395" s="808" t="s">
        <v>1251</v>
      </c>
      <c r="F395" s="612"/>
      <c r="G395" s="612">
        <v>-28673.327000000001</v>
      </c>
      <c r="H395" s="612">
        <v>-3606.3330000000001</v>
      </c>
      <c r="I395" s="612"/>
      <c r="J395" s="612">
        <v>-3262.9189999999999</v>
      </c>
      <c r="K395" s="612">
        <v>-3606.3330000000001</v>
      </c>
      <c r="L395" s="613"/>
      <c r="M395" s="451"/>
      <c r="N395" t="e">
        <f>VLOOKUP(A395, 'P&amp;L'!A:B,1,FALSE)</f>
        <v>#N/A</v>
      </c>
      <c r="O395" t="e">
        <f>VLOOKUP(A395, KeyData!A:C,1,FALSE)</f>
        <v>#N/A</v>
      </c>
      <c r="P395" s="451"/>
    </row>
    <row r="396" spans="1:16">
      <c r="A396" s="451" t="str">
        <f t="shared" si="6"/>
        <v>312501600_Result</v>
      </c>
      <c r="B396" s="1018" t="s">
        <v>1354</v>
      </c>
      <c r="C396" s="812" t="s">
        <v>1355</v>
      </c>
      <c r="D396" s="842" t="s">
        <v>1156</v>
      </c>
      <c r="E396" s="840"/>
      <c r="F396" s="836"/>
      <c r="G396" s="836">
        <v>-28673.327000000001</v>
      </c>
      <c r="H396" s="836">
        <v>-3606.3330000000001</v>
      </c>
      <c r="I396" s="836"/>
      <c r="J396" s="836">
        <v>-3262.9189999999999</v>
      </c>
      <c r="K396" s="836">
        <v>-3606.3330000000001</v>
      </c>
      <c r="L396" s="838"/>
      <c r="M396" s="451"/>
      <c r="N396" t="str">
        <f>VLOOKUP(A396, 'P&amp;L'!A:B,1,FALSE)</f>
        <v>312501600_Result</v>
      </c>
      <c r="O396" t="e">
        <f>VLOOKUP(A396, KeyData!A:C,1,FALSE)</f>
        <v>#N/A</v>
      </c>
      <c r="P396" s="451"/>
    </row>
    <row r="397" spans="1:16">
      <c r="A397" s="451" t="str">
        <f t="shared" si="6"/>
        <v>312503300_#</v>
      </c>
      <c r="B397" s="1019" t="s">
        <v>1356</v>
      </c>
      <c r="C397" s="812" t="s">
        <v>1357</v>
      </c>
      <c r="D397" s="808" t="s">
        <v>1250</v>
      </c>
      <c r="E397" s="808" t="s">
        <v>1251</v>
      </c>
      <c r="F397" s="612"/>
      <c r="G397" s="612">
        <v>-447481.09399999998</v>
      </c>
      <c r="H397" s="612">
        <v>-728597.16200000001</v>
      </c>
      <c r="I397" s="612"/>
      <c r="J397" s="612">
        <v>-728597.16200000001</v>
      </c>
      <c r="K397" s="612">
        <v>-52960.673999999999</v>
      </c>
      <c r="L397" s="613"/>
      <c r="M397" s="451"/>
      <c r="N397" t="e">
        <f>VLOOKUP(A397, 'P&amp;L'!A:B,1,FALSE)</f>
        <v>#N/A</v>
      </c>
      <c r="O397" t="e">
        <f>VLOOKUP(A397, KeyData!A:C,1,FALSE)</f>
        <v>#N/A</v>
      </c>
      <c r="P397" s="451"/>
    </row>
    <row r="398" spans="1:16">
      <c r="A398" s="451" t="str">
        <f t="shared" si="6"/>
        <v>312503300_Result</v>
      </c>
      <c r="B398" s="1019" t="s">
        <v>1356</v>
      </c>
      <c r="C398" s="812" t="s">
        <v>1357</v>
      </c>
      <c r="D398" s="842" t="s">
        <v>1156</v>
      </c>
      <c r="E398" s="840"/>
      <c r="F398" s="836"/>
      <c r="G398" s="836">
        <v>-447481.09399999998</v>
      </c>
      <c r="H398" s="836">
        <v>-728597.16200000001</v>
      </c>
      <c r="I398" s="836"/>
      <c r="J398" s="836">
        <v>-728597.16200000001</v>
      </c>
      <c r="K398" s="836">
        <v>-52960.673999999999</v>
      </c>
      <c r="L398" s="838"/>
      <c r="M398" s="451"/>
      <c r="N398" t="str">
        <f>VLOOKUP(A398, 'P&amp;L'!A:B,1,FALSE)</f>
        <v>312503300_Result</v>
      </c>
      <c r="O398" t="e">
        <f>VLOOKUP(A398, KeyData!A:C,1,FALSE)</f>
        <v>#N/A</v>
      </c>
      <c r="P398" s="451"/>
    </row>
    <row r="399" spans="1:16">
      <c r="A399" s="451" t="str">
        <f t="shared" si="6"/>
        <v>312503311_#</v>
      </c>
      <c r="B399" s="615" t="s">
        <v>1358</v>
      </c>
      <c r="C399" s="843" t="s">
        <v>947</v>
      </c>
      <c r="D399" s="808" t="s">
        <v>1250</v>
      </c>
      <c r="E399" s="808" t="s">
        <v>1251</v>
      </c>
      <c r="F399" s="612"/>
      <c r="G399" s="612">
        <v>-447481.09399999998</v>
      </c>
      <c r="H399" s="612">
        <v>-728597.16200000001</v>
      </c>
      <c r="I399" s="612"/>
      <c r="J399" s="612">
        <v>-728597.16200000001</v>
      </c>
      <c r="K399" s="612">
        <v>-52960.673999999999</v>
      </c>
      <c r="L399" s="613"/>
      <c r="M399" s="451"/>
      <c r="N399" t="e">
        <f>VLOOKUP(A399, 'P&amp;L'!A:B,1,FALSE)</f>
        <v>#N/A</v>
      </c>
      <c r="O399" t="e">
        <f>VLOOKUP(A399, KeyData!A:C,1,FALSE)</f>
        <v>#N/A</v>
      </c>
      <c r="P399" s="451"/>
    </row>
    <row r="400" spans="1:16">
      <c r="A400" s="451" t="str">
        <f t="shared" si="6"/>
        <v>312503311_Result</v>
      </c>
      <c r="B400" s="615" t="s">
        <v>1358</v>
      </c>
      <c r="C400" s="843" t="s">
        <v>947</v>
      </c>
      <c r="D400" s="842" t="s">
        <v>1156</v>
      </c>
      <c r="E400" s="840"/>
      <c r="F400" s="836"/>
      <c r="G400" s="836">
        <v>-447481.09399999998</v>
      </c>
      <c r="H400" s="836">
        <v>-728597.16200000001</v>
      </c>
      <c r="I400" s="836"/>
      <c r="J400" s="836">
        <v>-728597.16200000001</v>
      </c>
      <c r="K400" s="836">
        <v>-52960.673999999999</v>
      </c>
      <c r="L400" s="838"/>
      <c r="M400" s="451"/>
      <c r="N400" t="str">
        <f>VLOOKUP(A400, 'P&amp;L'!A:B,1,FALSE)</f>
        <v>312503311_Result</v>
      </c>
      <c r="O400" t="e">
        <f>VLOOKUP(A400, KeyData!A:C,1,FALSE)</f>
        <v>#N/A</v>
      </c>
      <c r="P400" s="451"/>
    </row>
    <row r="401" spans="1:16">
      <c r="A401" s="451" t="str">
        <f t="shared" si="6"/>
        <v>312503400_#</v>
      </c>
      <c r="B401" s="1019" t="s">
        <v>1359</v>
      </c>
      <c r="C401" s="812" t="s">
        <v>953</v>
      </c>
      <c r="D401" s="808" t="s">
        <v>1250</v>
      </c>
      <c r="E401" s="808" t="s">
        <v>1251</v>
      </c>
      <c r="F401" s="612"/>
      <c r="G401" s="612">
        <v>-3055.6489999999999</v>
      </c>
      <c r="H401" s="612"/>
      <c r="I401" s="612"/>
      <c r="J401" s="612"/>
      <c r="K401" s="612"/>
      <c r="L401" s="613"/>
      <c r="M401" s="451"/>
      <c r="N401" t="e">
        <f>VLOOKUP(A401, 'P&amp;L'!A:B,1,FALSE)</f>
        <v>#N/A</v>
      </c>
      <c r="O401" t="e">
        <f>VLOOKUP(A401, KeyData!A:C,1,FALSE)</f>
        <v>#N/A</v>
      </c>
      <c r="P401" s="451"/>
    </row>
    <row r="402" spans="1:16">
      <c r="A402" s="451" t="str">
        <f t="shared" si="6"/>
        <v>312503400_Result</v>
      </c>
      <c r="B402" s="1019" t="s">
        <v>1359</v>
      </c>
      <c r="C402" s="812" t="s">
        <v>953</v>
      </c>
      <c r="D402" s="842" t="s">
        <v>1156</v>
      </c>
      <c r="E402" s="840"/>
      <c r="F402" s="836"/>
      <c r="G402" s="836">
        <v>-3055.6489999999999</v>
      </c>
      <c r="H402" s="836"/>
      <c r="I402" s="836"/>
      <c r="J402" s="836"/>
      <c r="K402" s="836"/>
      <c r="L402" s="838"/>
      <c r="M402" s="451"/>
      <c r="N402" t="str">
        <f>VLOOKUP(A402, 'P&amp;L'!A:B,1,FALSE)</f>
        <v>312503400_Result</v>
      </c>
      <c r="O402" t="e">
        <f>VLOOKUP(A402, KeyData!A:C,1,FALSE)</f>
        <v>#N/A</v>
      </c>
      <c r="P402" s="451"/>
    </row>
    <row r="403" spans="1:16">
      <c r="A403" s="451" t="str">
        <f t="shared" si="6"/>
        <v>312503421_#</v>
      </c>
      <c r="B403" s="615" t="s">
        <v>1360</v>
      </c>
      <c r="C403" s="843" t="s">
        <v>955</v>
      </c>
      <c r="D403" s="808" t="s">
        <v>1250</v>
      </c>
      <c r="E403" s="808" t="s">
        <v>1251</v>
      </c>
      <c r="F403" s="612"/>
      <c r="G403" s="612">
        <v>-3534.2190000000001</v>
      </c>
      <c r="H403" s="612"/>
      <c r="I403" s="612"/>
      <c r="J403" s="612"/>
      <c r="K403" s="612"/>
      <c r="L403" s="613"/>
      <c r="M403" s="451"/>
      <c r="N403" t="e">
        <f>VLOOKUP(A403, 'P&amp;L'!A:B,1,FALSE)</f>
        <v>#N/A</v>
      </c>
      <c r="O403" t="e">
        <f>VLOOKUP(A403, KeyData!A:C,1,FALSE)</f>
        <v>#N/A</v>
      </c>
      <c r="P403" s="451"/>
    </row>
    <row r="404" spans="1:16">
      <c r="A404" s="451" t="str">
        <f t="shared" si="6"/>
        <v>312503421_Result</v>
      </c>
      <c r="B404" s="615" t="s">
        <v>1360</v>
      </c>
      <c r="C404" s="843" t="s">
        <v>955</v>
      </c>
      <c r="D404" s="842" t="s">
        <v>1156</v>
      </c>
      <c r="E404" s="840"/>
      <c r="F404" s="836"/>
      <c r="G404" s="836">
        <v>-3534.2190000000001</v>
      </c>
      <c r="H404" s="836"/>
      <c r="I404" s="836"/>
      <c r="J404" s="836"/>
      <c r="K404" s="836"/>
      <c r="L404" s="838"/>
      <c r="M404" s="451"/>
      <c r="N404" t="str">
        <f>VLOOKUP(A404, 'P&amp;L'!A:B,1,FALSE)</f>
        <v>312503421_Result</v>
      </c>
      <c r="O404" t="e">
        <f>VLOOKUP(A404, KeyData!A:C,1,FALSE)</f>
        <v>#N/A</v>
      </c>
      <c r="P404" s="451"/>
    </row>
    <row r="405" spans="1:16">
      <c r="A405" s="451" t="str">
        <f t="shared" si="6"/>
        <v>312503433_#</v>
      </c>
      <c r="B405" s="615" t="s">
        <v>1361</v>
      </c>
      <c r="C405" s="843" t="s">
        <v>971</v>
      </c>
      <c r="D405" s="808" t="s">
        <v>1250</v>
      </c>
      <c r="E405" s="808" t="s">
        <v>1251</v>
      </c>
      <c r="F405" s="612"/>
      <c r="G405" s="612">
        <v>436.2</v>
      </c>
      <c r="H405" s="612"/>
      <c r="I405" s="612"/>
      <c r="J405" s="612"/>
      <c r="K405" s="612"/>
      <c r="L405" s="613"/>
      <c r="M405" s="451"/>
      <c r="N405" t="e">
        <f>VLOOKUP(A405, 'P&amp;L'!A:B,1,FALSE)</f>
        <v>#N/A</v>
      </c>
      <c r="O405" t="e">
        <f>VLOOKUP(A405, KeyData!A:C,1,FALSE)</f>
        <v>#N/A</v>
      </c>
      <c r="P405" s="451"/>
    </row>
    <row r="406" spans="1:16">
      <c r="A406" s="451" t="str">
        <f t="shared" si="6"/>
        <v>312503433_Result</v>
      </c>
      <c r="B406" s="615" t="s">
        <v>1361</v>
      </c>
      <c r="C406" s="843" t="s">
        <v>971</v>
      </c>
      <c r="D406" s="842" t="s">
        <v>1156</v>
      </c>
      <c r="E406" s="840"/>
      <c r="F406" s="836"/>
      <c r="G406" s="836">
        <v>436.2</v>
      </c>
      <c r="H406" s="836"/>
      <c r="I406" s="836"/>
      <c r="J406" s="836"/>
      <c r="K406" s="836"/>
      <c r="L406" s="838"/>
      <c r="M406" s="451"/>
      <c r="N406" t="str">
        <f>VLOOKUP(A406, 'P&amp;L'!A:B,1,FALSE)</f>
        <v>312503433_Result</v>
      </c>
      <c r="O406" t="e">
        <f>VLOOKUP(A406, KeyData!A:C,1,FALSE)</f>
        <v>#N/A</v>
      </c>
      <c r="P406" s="451"/>
    </row>
    <row r="407" spans="1:16">
      <c r="A407" s="451" t="str">
        <f t="shared" si="6"/>
        <v>312503434_#</v>
      </c>
      <c r="B407" s="615" t="s">
        <v>1362</v>
      </c>
      <c r="C407" s="843" t="s">
        <v>973</v>
      </c>
      <c r="D407" s="808" t="s">
        <v>1250</v>
      </c>
      <c r="E407" s="808" t="s">
        <v>1251</v>
      </c>
      <c r="F407" s="612"/>
      <c r="G407" s="612">
        <v>42.37</v>
      </c>
      <c r="H407" s="612"/>
      <c r="I407" s="612"/>
      <c r="J407" s="612"/>
      <c r="K407" s="612"/>
      <c r="L407" s="613"/>
      <c r="M407" s="451"/>
      <c r="N407" t="e">
        <f>VLOOKUP(A407, 'P&amp;L'!A:B,1,FALSE)</f>
        <v>#N/A</v>
      </c>
      <c r="O407" t="e">
        <f>VLOOKUP(A407, KeyData!A:C,1,FALSE)</f>
        <v>#N/A</v>
      </c>
      <c r="P407" s="451"/>
    </row>
    <row r="408" spans="1:16">
      <c r="A408" s="451" t="str">
        <f t="shared" si="6"/>
        <v>312503434_Result</v>
      </c>
      <c r="B408" s="615" t="s">
        <v>1362</v>
      </c>
      <c r="C408" s="843" t="s">
        <v>973</v>
      </c>
      <c r="D408" s="842" t="s">
        <v>1156</v>
      </c>
      <c r="E408" s="840"/>
      <c r="F408" s="836"/>
      <c r="G408" s="836">
        <v>42.37</v>
      </c>
      <c r="H408" s="836"/>
      <c r="I408" s="836"/>
      <c r="J408" s="836"/>
      <c r="K408" s="836"/>
      <c r="L408" s="838"/>
      <c r="M408" s="451"/>
      <c r="N408" t="str">
        <f>VLOOKUP(A408, 'P&amp;L'!A:B,1,FALSE)</f>
        <v>312503434_Result</v>
      </c>
      <c r="O408" t="e">
        <f>VLOOKUP(A408, KeyData!A:C,1,FALSE)</f>
        <v>#N/A</v>
      </c>
      <c r="P408" s="451"/>
    </row>
    <row r="409" spans="1:16">
      <c r="A409" s="451" t="str">
        <f t="shared" si="6"/>
        <v>312504000_#</v>
      </c>
      <c r="B409" s="1019" t="s">
        <v>1363</v>
      </c>
      <c r="C409" s="812" t="s">
        <v>1364</v>
      </c>
      <c r="D409" s="808" t="s">
        <v>1250</v>
      </c>
      <c r="E409" s="808" t="s">
        <v>1251</v>
      </c>
      <c r="F409" s="612"/>
      <c r="G409" s="612">
        <v>426123.85399999999</v>
      </c>
      <c r="H409" s="612">
        <v>1327894.9609999999</v>
      </c>
      <c r="I409" s="612"/>
      <c r="J409" s="612">
        <v>1327894.9609999999</v>
      </c>
      <c r="K409" s="612">
        <v>1327894.9609999999</v>
      </c>
      <c r="L409" s="613"/>
      <c r="M409" s="451"/>
      <c r="N409" t="e">
        <f>VLOOKUP(A409, 'P&amp;L'!A:B,1,FALSE)</f>
        <v>#N/A</v>
      </c>
      <c r="O409" t="e">
        <f>VLOOKUP(A409, KeyData!A:C,1,FALSE)</f>
        <v>#N/A</v>
      </c>
      <c r="P409" s="451"/>
    </row>
    <row r="410" spans="1:16">
      <c r="A410" s="451" t="str">
        <f t="shared" si="6"/>
        <v>312504000_Result</v>
      </c>
      <c r="B410" s="1019" t="s">
        <v>1363</v>
      </c>
      <c r="C410" s="812" t="s">
        <v>1364</v>
      </c>
      <c r="D410" s="842" t="s">
        <v>1156</v>
      </c>
      <c r="E410" s="840"/>
      <c r="F410" s="836"/>
      <c r="G410" s="836">
        <v>426123.85399999999</v>
      </c>
      <c r="H410" s="836">
        <v>1327894.9609999999</v>
      </c>
      <c r="I410" s="836"/>
      <c r="J410" s="836">
        <v>1327894.9609999999</v>
      </c>
      <c r="K410" s="836">
        <v>1327894.9609999999</v>
      </c>
      <c r="L410" s="838"/>
      <c r="M410" s="451"/>
      <c r="N410" t="str">
        <f>VLOOKUP(A410, 'P&amp;L'!A:B,1,FALSE)</f>
        <v>312504000_Result</v>
      </c>
      <c r="O410" t="e">
        <f>VLOOKUP(A410, KeyData!A:C,1,FALSE)</f>
        <v>#N/A</v>
      </c>
      <c r="P410" s="451"/>
    </row>
    <row r="411" spans="1:16">
      <c r="A411" s="451" t="str">
        <f t="shared" si="6"/>
        <v>312504500_#</v>
      </c>
      <c r="B411" s="615" t="s">
        <v>1365</v>
      </c>
      <c r="C411" s="843" t="s">
        <v>1366</v>
      </c>
      <c r="D411" s="808" t="s">
        <v>1250</v>
      </c>
      <c r="E411" s="808" t="s">
        <v>1251</v>
      </c>
      <c r="F411" s="612"/>
      <c r="G411" s="612">
        <v>426123.85399999999</v>
      </c>
      <c r="H411" s="612">
        <v>1327894.9609999999</v>
      </c>
      <c r="I411" s="612"/>
      <c r="J411" s="612">
        <v>1327894.9609999999</v>
      </c>
      <c r="K411" s="612">
        <v>1327894.9609999999</v>
      </c>
      <c r="L411" s="613"/>
      <c r="M411" s="451"/>
      <c r="N411" t="e">
        <f>VLOOKUP(A411, 'P&amp;L'!A:B,1,FALSE)</f>
        <v>#N/A</v>
      </c>
      <c r="O411" t="e">
        <f>VLOOKUP(A411, KeyData!A:C,1,FALSE)</f>
        <v>#N/A</v>
      </c>
      <c r="P411" s="451"/>
    </row>
    <row r="412" spans="1:16">
      <c r="A412" s="451" t="str">
        <f t="shared" si="6"/>
        <v>312504500_Result</v>
      </c>
      <c r="B412" s="615" t="s">
        <v>1365</v>
      </c>
      <c r="C412" s="843" t="s">
        <v>1366</v>
      </c>
      <c r="D412" s="842" t="s">
        <v>1156</v>
      </c>
      <c r="E412" s="840"/>
      <c r="F412" s="836"/>
      <c r="G412" s="836">
        <v>426123.85399999999</v>
      </c>
      <c r="H412" s="836">
        <v>1327894.9609999999</v>
      </c>
      <c r="I412" s="836"/>
      <c r="J412" s="836">
        <v>1327894.9609999999</v>
      </c>
      <c r="K412" s="836">
        <v>1327894.9609999999</v>
      </c>
      <c r="L412" s="838"/>
      <c r="M412" s="451"/>
      <c r="N412" t="str">
        <f>VLOOKUP(A412, 'P&amp;L'!A:B,1,FALSE)</f>
        <v>312504500_Result</v>
      </c>
      <c r="O412" t="e">
        <f>VLOOKUP(A412, KeyData!A:C,1,FALSE)</f>
        <v>#N/A</v>
      </c>
      <c r="P412" s="451"/>
    </row>
    <row r="413" spans="1:16">
      <c r="A413" s="451" t="str">
        <f t="shared" si="6"/>
        <v>312507000_#</v>
      </c>
      <c r="B413" s="1019" t="s">
        <v>1367</v>
      </c>
      <c r="C413" s="812" t="s">
        <v>1368</v>
      </c>
      <c r="D413" s="808" t="s">
        <v>1250</v>
      </c>
      <c r="E413" s="808" t="s">
        <v>1251</v>
      </c>
      <c r="F413" s="612"/>
      <c r="G413" s="612">
        <v>4051329.7859999998</v>
      </c>
      <c r="H413" s="612">
        <v>3976.7350000000001</v>
      </c>
      <c r="I413" s="612"/>
      <c r="J413" s="612">
        <v>875.63099999999997</v>
      </c>
      <c r="K413" s="612">
        <v>3976.7350000000001</v>
      </c>
      <c r="L413" s="613"/>
      <c r="M413" s="451"/>
      <c r="N413" t="e">
        <f>VLOOKUP(A413, 'P&amp;L'!A:B,1,FALSE)</f>
        <v>#N/A</v>
      </c>
      <c r="O413" t="e">
        <f>VLOOKUP(A413, KeyData!A:C,1,FALSE)</f>
        <v>#N/A</v>
      </c>
      <c r="P413" s="451"/>
    </row>
    <row r="414" spans="1:16">
      <c r="A414" s="451" t="str">
        <f t="shared" si="6"/>
        <v>312507000_Result</v>
      </c>
      <c r="B414" s="1019" t="s">
        <v>1367</v>
      </c>
      <c r="C414" s="812" t="s">
        <v>1368</v>
      </c>
      <c r="D414" s="842" t="s">
        <v>1156</v>
      </c>
      <c r="E414" s="840"/>
      <c r="F414" s="836"/>
      <c r="G414" s="836">
        <v>4051329.7859999998</v>
      </c>
      <c r="H414" s="836">
        <v>3976.7350000000001</v>
      </c>
      <c r="I414" s="836"/>
      <c r="J414" s="836">
        <v>875.63099999999997</v>
      </c>
      <c r="K414" s="836">
        <v>3976.7350000000001</v>
      </c>
      <c r="L414" s="838"/>
      <c r="M414" s="451"/>
      <c r="N414" t="str">
        <f>VLOOKUP(A414, 'P&amp;L'!A:B,1,FALSE)</f>
        <v>312507000_Result</v>
      </c>
      <c r="O414" t="e">
        <f>VLOOKUP(A414, KeyData!A:C,1,FALSE)</f>
        <v>#N/A</v>
      </c>
      <c r="P414" s="451"/>
    </row>
    <row r="415" spans="1:16">
      <c r="A415" s="451" t="str">
        <f t="shared" si="6"/>
        <v>312507600_#</v>
      </c>
      <c r="B415" s="615" t="s">
        <v>1369</v>
      </c>
      <c r="C415" s="843" t="s">
        <v>1370</v>
      </c>
      <c r="D415" s="808" t="s">
        <v>1250</v>
      </c>
      <c r="E415" s="808" t="s">
        <v>1251</v>
      </c>
      <c r="F415" s="612"/>
      <c r="G415" s="612">
        <v>-63927.105000000003</v>
      </c>
      <c r="H415" s="612">
        <v>-353.654</v>
      </c>
      <c r="I415" s="612"/>
      <c r="J415" s="612">
        <v>-325.62299999999999</v>
      </c>
      <c r="K415" s="612">
        <v>-353.654</v>
      </c>
      <c r="L415" s="613"/>
      <c r="M415" s="451"/>
      <c r="N415" t="e">
        <f>VLOOKUP(A415, 'P&amp;L'!A:B,1,FALSE)</f>
        <v>#N/A</v>
      </c>
      <c r="O415" t="e">
        <f>VLOOKUP(A415, KeyData!A:C,1,FALSE)</f>
        <v>#N/A</v>
      </c>
      <c r="P415" s="451"/>
    </row>
    <row r="416" spans="1:16">
      <c r="A416" s="451" t="str">
        <f t="shared" si="6"/>
        <v>312507600_Result</v>
      </c>
      <c r="B416" s="615" t="s">
        <v>1369</v>
      </c>
      <c r="C416" s="843" t="s">
        <v>1370</v>
      </c>
      <c r="D416" s="842" t="s">
        <v>1156</v>
      </c>
      <c r="E416" s="840"/>
      <c r="F416" s="836"/>
      <c r="G416" s="836">
        <v>-63927.105000000003</v>
      </c>
      <c r="H416" s="836">
        <v>-353.654</v>
      </c>
      <c r="I416" s="836"/>
      <c r="J416" s="836">
        <v>-325.62299999999999</v>
      </c>
      <c r="K416" s="836">
        <v>-353.654</v>
      </c>
      <c r="L416" s="838"/>
      <c r="M416" s="451"/>
      <c r="N416" t="str">
        <f>VLOOKUP(A416, 'P&amp;L'!A:B,1,FALSE)</f>
        <v>312507600_Result</v>
      </c>
      <c r="O416" t="e">
        <f>VLOOKUP(A416, KeyData!A:C,1,FALSE)</f>
        <v>#N/A</v>
      </c>
      <c r="P416" s="451"/>
    </row>
    <row r="417" spans="1:16">
      <c r="A417" s="451" t="str">
        <f t="shared" si="6"/>
        <v>312508100_#</v>
      </c>
      <c r="B417" s="615" t="s">
        <v>1371</v>
      </c>
      <c r="C417" s="843" t="s">
        <v>1372</v>
      </c>
      <c r="D417" s="808" t="s">
        <v>1250</v>
      </c>
      <c r="E417" s="808" t="s">
        <v>1251</v>
      </c>
      <c r="F417" s="612"/>
      <c r="G417" s="612">
        <v>4004757.3530000001</v>
      </c>
      <c r="H417" s="612">
        <v>2899.0010000000002</v>
      </c>
      <c r="I417" s="612"/>
      <c r="J417" s="612">
        <v>246.99600000000001</v>
      </c>
      <c r="K417" s="612">
        <v>2899.0010000000002</v>
      </c>
      <c r="L417" s="613"/>
      <c r="M417" s="451"/>
      <c r="N417" t="e">
        <f>VLOOKUP(A417, 'P&amp;L'!A:B,1,FALSE)</f>
        <v>#N/A</v>
      </c>
      <c r="O417" t="e">
        <f>VLOOKUP(A417, KeyData!A:C,1,FALSE)</f>
        <v>#N/A</v>
      </c>
      <c r="P417" s="451"/>
    </row>
    <row r="418" spans="1:16">
      <c r="A418" s="451" t="str">
        <f t="shared" si="6"/>
        <v>312508100_Result</v>
      </c>
      <c r="B418" s="615" t="s">
        <v>1371</v>
      </c>
      <c r="C418" s="843" t="s">
        <v>1372</v>
      </c>
      <c r="D418" s="842" t="s">
        <v>1156</v>
      </c>
      <c r="E418" s="840"/>
      <c r="F418" s="836"/>
      <c r="G418" s="836">
        <v>4004757.3530000001</v>
      </c>
      <c r="H418" s="836">
        <v>2899.0010000000002</v>
      </c>
      <c r="I418" s="836"/>
      <c r="J418" s="836">
        <v>246.99600000000001</v>
      </c>
      <c r="K418" s="836">
        <v>2899.0010000000002</v>
      </c>
      <c r="L418" s="838"/>
      <c r="M418" s="451"/>
      <c r="N418" t="str">
        <f>VLOOKUP(A418, 'P&amp;L'!A:B,1,FALSE)</f>
        <v>312508100_Result</v>
      </c>
      <c r="O418" t="e">
        <f>VLOOKUP(A418, KeyData!A:C,1,FALSE)</f>
        <v>#N/A</v>
      </c>
      <c r="P418" s="451"/>
    </row>
    <row r="419" spans="1:16">
      <c r="A419" s="451" t="str">
        <f t="shared" si="6"/>
        <v>312508300_#</v>
      </c>
      <c r="B419" s="615" t="s">
        <v>1373</v>
      </c>
      <c r="C419" s="843" t="s">
        <v>1374</v>
      </c>
      <c r="D419" s="808" t="s">
        <v>1250</v>
      </c>
      <c r="E419" s="808" t="s">
        <v>1251</v>
      </c>
      <c r="F419" s="612"/>
      <c r="G419" s="612">
        <v>110499.538</v>
      </c>
      <c r="H419" s="612">
        <v>1431.3879999999999</v>
      </c>
      <c r="I419" s="612"/>
      <c r="J419" s="612">
        <v>954.25800000000004</v>
      </c>
      <c r="K419" s="612">
        <v>1431.3879999999999</v>
      </c>
      <c r="L419" s="613"/>
      <c r="M419" s="451"/>
      <c r="N419" t="e">
        <f>VLOOKUP(A419, 'P&amp;L'!A:B,1,FALSE)</f>
        <v>#N/A</v>
      </c>
      <c r="O419" t="e">
        <f>VLOOKUP(A419, KeyData!A:C,1,FALSE)</f>
        <v>#N/A</v>
      </c>
      <c r="P419" s="451"/>
    </row>
    <row r="420" spans="1:16">
      <c r="A420" s="451" t="str">
        <f t="shared" si="6"/>
        <v>312508300_Result</v>
      </c>
      <c r="B420" s="615" t="s">
        <v>1373</v>
      </c>
      <c r="C420" s="843" t="s">
        <v>1374</v>
      </c>
      <c r="D420" s="842" t="s">
        <v>1156</v>
      </c>
      <c r="E420" s="840"/>
      <c r="F420" s="836"/>
      <c r="G420" s="836">
        <v>110499.538</v>
      </c>
      <c r="H420" s="836">
        <v>1431.3879999999999</v>
      </c>
      <c r="I420" s="836"/>
      <c r="J420" s="836">
        <v>954.25800000000004</v>
      </c>
      <c r="K420" s="836">
        <v>1431.3879999999999</v>
      </c>
      <c r="L420" s="838"/>
      <c r="M420" s="451"/>
      <c r="N420" t="str">
        <f>VLOOKUP(A420, 'P&amp;L'!A:B,1,FALSE)</f>
        <v>312508300_Result</v>
      </c>
      <c r="O420" t="e">
        <f>VLOOKUP(A420, KeyData!A:C,1,FALSE)</f>
        <v>#N/A</v>
      </c>
      <c r="P420" s="451"/>
    </row>
    <row r="421" spans="1:16">
      <c r="A421" s="451" t="str">
        <f t="shared" si="6"/>
        <v>CO-010000000_#</v>
      </c>
      <c r="B421" s="1013" t="s">
        <v>1375</v>
      </c>
      <c r="C421" s="809" t="s">
        <v>1376</v>
      </c>
      <c r="D421" s="808" t="s">
        <v>1250</v>
      </c>
      <c r="E421" s="808" t="s">
        <v>1251</v>
      </c>
      <c r="F421" s="612"/>
      <c r="G421" s="612">
        <v>68</v>
      </c>
      <c r="H421" s="612">
        <v>73</v>
      </c>
      <c r="I421" s="612">
        <v>72</v>
      </c>
      <c r="J421" s="612">
        <v>75</v>
      </c>
      <c r="K421" s="612">
        <v>77</v>
      </c>
      <c r="L421" s="613">
        <v>73</v>
      </c>
      <c r="M421" s="451"/>
      <c r="N421" t="e">
        <f>VLOOKUP(A421, 'P&amp;L'!A:B,1,FALSE)</f>
        <v>#N/A</v>
      </c>
      <c r="O421" t="e">
        <f>VLOOKUP(A421, KeyData!A:C,1,FALSE)</f>
        <v>#N/A</v>
      </c>
      <c r="P421" s="451"/>
    </row>
    <row r="422" spans="1:16">
      <c r="A422" s="451" t="str">
        <f t="shared" si="6"/>
        <v>CO-010000000_Result</v>
      </c>
      <c r="B422" s="1013" t="s">
        <v>1375</v>
      </c>
      <c r="C422" s="809" t="s">
        <v>1376</v>
      </c>
      <c r="D422" s="842" t="s">
        <v>1156</v>
      </c>
      <c r="E422" s="840"/>
      <c r="F422" s="836"/>
      <c r="G422" s="836">
        <v>68</v>
      </c>
      <c r="H422" s="836">
        <v>73</v>
      </c>
      <c r="I422" s="836">
        <v>72</v>
      </c>
      <c r="J422" s="836">
        <v>75</v>
      </c>
      <c r="K422" s="836">
        <v>77</v>
      </c>
      <c r="L422" s="838">
        <v>73</v>
      </c>
      <c r="M422" s="451"/>
      <c r="N422" t="e">
        <f>VLOOKUP(A422, 'P&amp;L'!A:B,1,FALSE)</f>
        <v>#N/A</v>
      </c>
      <c r="O422" t="e">
        <f>VLOOKUP(A422, KeyData!A:C,1,FALSE)</f>
        <v>#N/A</v>
      </c>
      <c r="P422" s="451"/>
    </row>
    <row r="423" spans="1:16">
      <c r="A423" s="451" t="str">
        <f t="shared" si="6"/>
        <v>CO-010100000_#</v>
      </c>
      <c r="B423" s="1014" t="s">
        <v>1377</v>
      </c>
      <c r="C423" s="810" t="s">
        <v>1071</v>
      </c>
      <c r="D423" s="808" t="s">
        <v>1250</v>
      </c>
      <c r="E423" s="808" t="s">
        <v>1251</v>
      </c>
      <c r="F423" s="612"/>
      <c r="G423" s="612">
        <v>68</v>
      </c>
      <c r="H423" s="612">
        <v>73</v>
      </c>
      <c r="I423" s="612">
        <v>72</v>
      </c>
      <c r="J423" s="612">
        <v>75</v>
      </c>
      <c r="K423" s="612">
        <v>77</v>
      </c>
      <c r="L423" s="613">
        <v>73</v>
      </c>
      <c r="M423" s="451"/>
      <c r="N423" t="e">
        <f>VLOOKUP(A423, 'P&amp;L'!A:B,1,FALSE)</f>
        <v>#N/A</v>
      </c>
      <c r="O423" t="e">
        <f>VLOOKUP(A423, KeyData!A:C,1,FALSE)</f>
        <v>#N/A</v>
      </c>
      <c r="P423" s="451"/>
    </row>
    <row r="424" spans="1:16">
      <c r="A424" s="451" t="str">
        <f t="shared" si="6"/>
        <v>CO-010100000_Result</v>
      </c>
      <c r="B424" s="1014" t="s">
        <v>1377</v>
      </c>
      <c r="C424" s="810" t="s">
        <v>1071</v>
      </c>
      <c r="D424" s="842" t="s">
        <v>1156</v>
      </c>
      <c r="E424" s="840"/>
      <c r="F424" s="836"/>
      <c r="G424" s="836">
        <v>68</v>
      </c>
      <c r="H424" s="836">
        <v>73</v>
      </c>
      <c r="I424" s="836">
        <v>72</v>
      </c>
      <c r="J424" s="836">
        <v>75</v>
      </c>
      <c r="K424" s="836">
        <v>77</v>
      </c>
      <c r="L424" s="838">
        <v>73</v>
      </c>
      <c r="M424" s="451"/>
      <c r="N424" t="e">
        <f>VLOOKUP(A424, 'P&amp;L'!A:B,1,FALSE)</f>
        <v>#N/A</v>
      </c>
      <c r="O424" t="str">
        <f>VLOOKUP(A424, KeyData!A:C,1,FALSE)</f>
        <v>CO-010100000_Result</v>
      </c>
      <c r="P424" s="451"/>
    </row>
    <row r="425" spans="1:16">
      <c r="A425" s="451" t="str">
        <f t="shared" si="6"/>
        <v>CO-010101000_#</v>
      </c>
      <c r="B425" s="1017" t="s">
        <v>1378</v>
      </c>
      <c r="C425" s="811" t="s">
        <v>1055</v>
      </c>
      <c r="D425" s="808" t="s">
        <v>1250</v>
      </c>
      <c r="E425" s="808" t="s">
        <v>1251</v>
      </c>
      <c r="F425" s="612"/>
      <c r="G425" s="612">
        <v>36</v>
      </c>
      <c r="H425" s="612">
        <v>50</v>
      </c>
      <c r="I425" s="612">
        <v>47</v>
      </c>
      <c r="J425" s="612">
        <v>51</v>
      </c>
      <c r="K425" s="612">
        <v>53</v>
      </c>
      <c r="L425" s="613">
        <v>50</v>
      </c>
      <c r="M425" s="451"/>
      <c r="N425" t="e">
        <f>VLOOKUP(A425, 'P&amp;L'!A:B,1,FALSE)</f>
        <v>#N/A</v>
      </c>
      <c r="O425" t="e">
        <f>VLOOKUP(A425, KeyData!A:C,1,FALSE)</f>
        <v>#N/A</v>
      </c>
      <c r="P425" s="451"/>
    </row>
    <row r="426" spans="1:16">
      <c r="A426" s="451" t="str">
        <f t="shared" si="6"/>
        <v>CO-010101000_Result</v>
      </c>
      <c r="B426" s="1017" t="s">
        <v>1378</v>
      </c>
      <c r="C426" s="811" t="s">
        <v>1055</v>
      </c>
      <c r="D426" s="842" t="s">
        <v>1156</v>
      </c>
      <c r="E426" s="840"/>
      <c r="F426" s="836"/>
      <c r="G426" s="836">
        <v>36</v>
      </c>
      <c r="H426" s="836">
        <v>50</v>
      </c>
      <c r="I426" s="836">
        <v>47</v>
      </c>
      <c r="J426" s="836">
        <v>51</v>
      </c>
      <c r="K426" s="836">
        <v>53</v>
      </c>
      <c r="L426" s="838">
        <v>50</v>
      </c>
      <c r="M426" s="451"/>
      <c r="N426" t="e">
        <f>VLOOKUP(A426, 'P&amp;L'!A:B,1,FALSE)</f>
        <v>#N/A</v>
      </c>
      <c r="O426" t="str">
        <f>VLOOKUP(A426, KeyData!A:C,1,FALSE)</f>
        <v>CO-010101000_Result</v>
      </c>
      <c r="P426" s="451"/>
    </row>
    <row r="427" spans="1:16">
      <c r="A427" s="451" t="str">
        <f t="shared" si="6"/>
        <v>CO-010101100_#</v>
      </c>
      <c r="B427" s="1018" t="s">
        <v>1379</v>
      </c>
      <c r="C427" s="812" t="s">
        <v>1063</v>
      </c>
      <c r="D427" s="808" t="s">
        <v>1250</v>
      </c>
      <c r="E427" s="808" t="s">
        <v>1251</v>
      </c>
      <c r="F427" s="612"/>
      <c r="G427" s="612">
        <v>36</v>
      </c>
      <c r="H427" s="612">
        <v>50</v>
      </c>
      <c r="I427" s="612">
        <v>47</v>
      </c>
      <c r="J427" s="612">
        <v>51</v>
      </c>
      <c r="K427" s="612">
        <v>53</v>
      </c>
      <c r="L427" s="613">
        <v>50</v>
      </c>
      <c r="M427" s="451"/>
      <c r="N427" t="e">
        <f>VLOOKUP(A427, 'P&amp;L'!A:B,1,FALSE)</f>
        <v>#N/A</v>
      </c>
      <c r="O427" t="e">
        <f>VLOOKUP(A427, KeyData!A:C,1,FALSE)</f>
        <v>#N/A</v>
      </c>
      <c r="P427" s="451"/>
    </row>
    <row r="428" spans="1:16">
      <c r="A428" s="451" t="str">
        <f t="shared" si="6"/>
        <v>CO-010101100_Result</v>
      </c>
      <c r="B428" s="1018" t="s">
        <v>1379</v>
      </c>
      <c r="C428" s="812" t="s">
        <v>1063</v>
      </c>
      <c r="D428" s="842" t="s">
        <v>1156</v>
      </c>
      <c r="E428" s="840"/>
      <c r="F428" s="836"/>
      <c r="G428" s="836">
        <v>36</v>
      </c>
      <c r="H428" s="836">
        <v>50</v>
      </c>
      <c r="I428" s="836">
        <v>47</v>
      </c>
      <c r="J428" s="836">
        <v>51</v>
      </c>
      <c r="K428" s="836">
        <v>53</v>
      </c>
      <c r="L428" s="838">
        <v>50</v>
      </c>
      <c r="M428" s="451"/>
      <c r="N428" t="e">
        <f>VLOOKUP(A428, 'P&amp;L'!A:B,1,FALSE)</f>
        <v>#N/A</v>
      </c>
      <c r="O428" t="str">
        <f>VLOOKUP(A428, KeyData!A:C,1,FALSE)</f>
        <v>CO-010101100_Result</v>
      </c>
      <c r="P428" s="451"/>
    </row>
    <row r="429" spans="1:16">
      <c r="A429" s="451" t="str">
        <f t="shared" si="6"/>
        <v>CO-010106000_#</v>
      </c>
      <c r="B429" s="1017" t="s">
        <v>1380</v>
      </c>
      <c r="C429" s="811" t="s">
        <v>1057</v>
      </c>
      <c r="D429" s="808" t="s">
        <v>1250</v>
      </c>
      <c r="E429" s="808" t="s">
        <v>1251</v>
      </c>
      <c r="F429" s="612"/>
      <c r="G429" s="612">
        <v>32</v>
      </c>
      <c r="H429" s="612">
        <v>23</v>
      </c>
      <c r="I429" s="612">
        <v>25</v>
      </c>
      <c r="J429" s="612">
        <v>24</v>
      </c>
      <c r="K429" s="612">
        <v>24</v>
      </c>
      <c r="L429" s="613">
        <v>23</v>
      </c>
      <c r="M429" s="451"/>
      <c r="N429" t="e">
        <f>VLOOKUP(A429, 'P&amp;L'!A:B,1,FALSE)</f>
        <v>#N/A</v>
      </c>
      <c r="O429" t="e">
        <f>VLOOKUP(A429, KeyData!A:C,1,FALSE)</f>
        <v>#N/A</v>
      </c>
      <c r="P429" s="451"/>
    </row>
    <row r="430" spans="1:16">
      <c r="A430" s="451" t="str">
        <f t="shared" si="6"/>
        <v>CO-010106000_Result</v>
      </c>
      <c r="B430" s="1017" t="s">
        <v>1380</v>
      </c>
      <c r="C430" s="811" t="s">
        <v>1057</v>
      </c>
      <c r="D430" s="842" t="s">
        <v>1156</v>
      </c>
      <c r="E430" s="840"/>
      <c r="F430" s="836"/>
      <c r="G430" s="836">
        <v>32</v>
      </c>
      <c r="H430" s="836">
        <v>23</v>
      </c>
      <c r="I430" s="836">
        <v>25</v>
      </c>
      <c r="J430" s="836">
        <v>24</v>
      </c>
      <c r="K430" s="836">
        <v>24</v>
      </c>
      <c r="L430" s="838">
        <v>23</v>
      </c>
      <c r="M430" s="451"/>
      <c r="N430" t="e">
        <f>VLOOKUP(A430, 'P&amp;L'!A:B,1,FALSE)</f>
        <v>#N/A</v>
      </c>
      <c r="O430" t="str">
        <f>VLOOKUP(A430, KeyData!A:C,1,FALSE)</f>
        <v>CO-010106000_Result</v>
      </c>
      <c r="P430" s="451"/>
    </row>
    <row r="431" spans="1:16">
      <c r="A431" s="451" t="str">
        <f t="shared" si="6"/>
        <v>CO-010106100_#</v>
      </c>
      <c r="B431" s="1018" t="s">
        <v>1381</v>
      </c>
      <c r="C431" s="812" t="s">
        <v>1065</v>
      </c>
      <c r="D431" s="808" t="s">
        <v>1250</v>
      </c>
      <c r="E431" s="808" t="s">
        <v>1251</v>
      </c>
      <c r="F431" s="612"/>
      <c r="G431" s="612">
        <v>31</v>
      </c>
      <c r="H431" s="612">
        <v>23</v>
      </c>
      <c r="I431" s="612">
        <v>25</v>
      </c>
      <c r="J431" s="612">
        <v>24</v>
      </c>
      <c r="K431" s="612">
        <v>24</v>
      </c>
      <c r="L431" s="613">
        <v>23</v>
      </c>
      <c r="M431" s="451"/>
      <c r="N431" t="e">
        <f>VLOOKUP(A431, 'P&amp;L'!A:B,1,FALSE)</f>
        <v>#N/A</v>
      </c>
      <c r="O431" t="e">
        <f>VLOOKUP(A431, KeyData!A:C,1,FALSE)</f>
        <v>#N/A</v>
      </c>
      <c r="P431" s="451"/>
    </row>
    <row r="432" spans="1:16">
      <c r="A432" s="451" t="str">
        <f t="shared" si="6"/>
        <v>CO-010106100_Result</v>
      </c>
      <c r="B432" s="1018" t="s">
        <v>1381</v>
      </c>
      <c r="C432" s="812" t="s">
        <v>1065</v>
      </c>
      <c r="D432" s="842" t="s">
        <v>1156</v>
      </c>
      <c r="E432" s="840"/>
      <c r="F432" s="836"/>
      <c r="G432" s="836">
        <v>31</v>
      </c>
      <c r="H432" s="836">
        <v>23</v>
      </c>
      <c r="I432" s="836">
        <v>25</v>
      </c>
      <c r="J432" s="836">
        <v>24</v>
      </c>
      <c r="K432" s="836">
        <v>24</v>
      </c>
      <c r="L432" s="838">
        <v>23</v>
      </c>
      <c r="M432" s="451"/>
      <c r="N432" t="e">
        <f>VLOOKUP(A432, 'P&amp;L'!A:B,1,FALSE)</f>
        <v>#N/A</v>
      </c>
      <c r="O432" t="str">
        <f>VLOOKUP(A432, KeyData!A:C,1,FALSE)</f>
        <v>CO-010106100_Result</v>
      </c>
      <c r="P432" s="451"/>
    </row>
    <row r="433" spans="1:16">
      <c r="A433" s="451" t="str">
        <f t="shared" si="6"/>
        <v>CO-010106600_#</v>
      </c>
      <c r="B433" s="1018" t="s">
        <v>1382</v>
      </c>
      <c r="C433" s="812" t="s">
        <v>1061</v>
      </c>
      <c r="D433" s="808" t="s">
        <v>1250</v>
      </c>
      <c r="E433" s="808" t="s">
        <v>1251</v>
      </c>
      <c r="F433" s="612"/>
      <c r="G433" s="612">
        <v>1</v>
      </c>
      <c r="H433" s="612"/>
      <c r="I433" s="612"/>
      <c r="J433" s="612"/>
      <c r="K433" s="612"/>
      <c r="L433" s="613"/>
      <c r="M433" s="451"/>
      <c r="N433" t="e">
        <f>VLOOKUP(A433, 'P&amp;L'!A:B,1,FALSE)</f>
        <v>#N/A</v>
      </c>
      <c r="O433" t="e">
        <f>VLOOKUP(A433, KeyData!A:C,1,FALSE)</f>
        <v>#N/A</v>
      </c>
      <c r="P433" s="451"/>
    </row>
    <row r="434" spans="1:16">
      <c r="A434" s="451" t="str">
        <f t="shared" si="6"/>
        <v>CO-010106600_Result</v>
      </c>
      <c r="B434" s="1018" t="s">
        <v>1382</v>
      </c>
      <c r="C434" s="812" t="s">
        <v>1061</v>
      </c>
      <c r="D434" s="842" t="s">
        <v>1156</v>
      </c>
      <c r="E434" s="840"/>
      <c r="F434" s="836"/>
      <c r="G434" s="836">
        <v>1</v>
      </c>
      <c r="H434" s="836"/>
      <c r="I434" s="836"/>
      <c r="J434" s="836"/>
      <c r="K434" s="836"/>
      <c r="L434" s="838"/>
      <c r="M434" s="451"/>
      <c r="N434" t="e">
        <f>VLOOKUP(A434, 'P&amp;L'!A:B,1,FALSE)</f>
        <v>#N/A</v>
      </c>
      <c r="O434" t="str">
        <f>VLOOKUP(A434, KeyData!A:C,1,FALSE)</f>
        <v>CO-010106600_Result</v>
      </c>
      <c r="P434" s="451"/>
    </row>
    <row r="435" spans="1:16">
      <c r="A435" s="451" t="str">
        <f t="shared" si="6"/>
        <v>CO-210000000_#</v>
      </c>
      <c r="B435" s="1013" t="s">
        <v>1383</v>
      </c>
      <c r="C435" s="809" t="s">
        <v>1384</v>
      </c>
      <c r="D435" s="808" t="s">
        <v>1250</v>
      </c>
      <c r="E435" s="808" t="s">
        <v>1251</v>
      </c>
      <c r="F435" s="612"/>
      <c r="G435" s="612">
        <v>-36995803.945</v>
      </c>
      <c r="H435" s="612">
        <v>9862365.1229999997</v>
      </c>
      <c r="I435" s="612">
        <v>-15459409.935000001</v>
      </c>
      <c r="J435" s="612">
        <v>2114516.8139999998</v>
      </c>
      <c r="K435" s="612">
        <v>4893000.9720000001</v>
      </c>
      <c r="L435" s="613">
        <v>-14629139.014</v>
      </c>
      <c r="M435" s="451"/>
      <c r="N435" t="e">
        <f>VLOOKUP(A435, 'P&amp;L'!A:B,1,FALSE)</f>
        <v>#N/A</v>
      </c>
      <c r="O435" t="e">
        <f>VLOOKUP(A435, KeyData!A:C,1,FALSE)</f>
        <v>#N/A</v>
      </c>
      <c r="P435" s="451"/>
    </row>
    <row r="436" spans="1:16">
      <c r="A436" s="451" t="str">
        <f t="shared" si="6"/>
        <v>CO-210000000_Result</v>
      </c>
      <c r="B436" s="1013" t="s">
        <v>1383</v>
      </c>
      <c r="C436" s="809" t="s">
        <v>1384</v>
      </c>
      <c r="D436" s="842" t="s">
        <v>1156</v>
      </c>
      <c r="E436" s="840"/>
      <c r="F436" s="836"/>
      <c r="G436" s="836">
        <v>-36995803.945</v>
      </c>
      <c r="H436" s="836">
        <v>9862365.1229999997</v>
      </c>
      <c r="I436" s="836">
        <v>-15459409.935000001</v>
      </c>
      <c r="J436" s="836">
        <v>2114516.8139999998</v>
      </c>
      <c r="K436" s="836">
        <v>4893000.9720000001</v>
      </c>
      <c r="L436" s="838">
        <v>-14629139.014</v>
      </c>
      <c r="M436" s="451"/>
      <c r="N436" t="e">
        <f>VLOOKUP(A436, 'P&amp;L'!A:B,1,FALSE)</f>
        <v>#N/A</v>
      </c>
      <c r="O436" t="e">
        <f>VLOOKUP(A436, KeyData!A:C,1,FALSE)</f>
        <v>#N/A</v>
      </c>
      <c r="P436" s="451"/>
    </row>
    <row r="437" spans="1:16">
      <c r="A437" s="451" t="str">
        <f t="shared" si="6"/>
        <v>CO-210000329_#</v>
      </c>
      <c r="B437" s="1016" t="s">
        <v>1385</v>
      </c>
      <c r="C437" s="810" t="s">
        <v>469</v>
      </c>
      <c r="D437" s="808" t="s">
        <v>1250</v>
      </c>
      <c r="E437" s="808" t="s">
        <v>1251</v>
      </c>
      <c r="F437" s="612"/>
      <c r="G437" s="612">
        <v>-271219.63299999997</v>
      </c>
      <c r="H437" s="612">
        <v>-187469.29500000001</v>
      </c>
      <c r="I437" s="612">
        <v>-378873.53700000001</v>
      </c>
      <c r="J437" s="612">
        <v>-439525.93400000001</v>
      </c>
      <c r="K437" s="612">
        <v>-412366.842</v>
      </c>
      <c r="L437" s="613">
        <v>-446206.94400000002</v>
      </c>
      <c r="M437" s="451"/>
      <c r="N437" t="e">
        <f>VLOOKUP(A437, 'P&amp;L'!A:B,1,FALSE)</f>
        <v>#N/A</v>
      </c>
      <c r="O437" t="e">
        <f>VLOOKUP(A437, KeyData!A:C,1,FALSE)</f>
        <v>#N/A</v>
      </c>
      <c r="P437" s="451"/>
    </row>
    <row r="438" spans="1:16">
      <c r="A438" s="451" t="str">
        <f t="shared" si="6"/>
        <v>CO-210000329_Result</v>
      </c>
      <c r="B438" s="1016" t="s">
        <v>1385</v>
      </c>
      <c r="C438" s="810" t="s">
        <v>469</v>
      </c>
      <c r="D438" s="842" t="s">
        <v>1156</v>
      </c>
      <c r="E438" s="840"/>
      <c r="F438" s="836"/>
      <c r="G438" s="836">
        <v>-271219.63299999997</v>
      </c>
      <c r="H438" s="836">
        <v>-187469.29500000001</v>
      </c>
      <c r="I438" s="836">
        <v>-378873.53700000001</v>
      </c>
      <c r="J438" s="836">
        <v>-439525.93400000001</v>
      </c>
      <c r="K438" s="836">
        <v>-412366.842</v>
      </c>
      <c r="L438" s="838">
        <v>-446206.94400000002</v>
      </c>
      <c r="M438" s="451"/>
      <c r="N438" t="e">
        <f>VLOOKUP(A438, 'P&amp;L'!A:B,1,FALSE)</f>
        <v>#N/A</v>
      </c>
      <c r="O438" t="str">
        <f>VLOOKUP(A438, KeyData!A:C,1,FALSE)</f>
        <v>CO-210000329_Result</v>
      </c>
      <c r="P438" s="451"/>
    </row>
    <row r="439" spans="1:16">
      <c r="A439" s="451" t="str">
        <f t="shared" si="6"/>
        <v>CO-210000326_#</v>
      </c>
      <c r="B439" s="1016" t="s">
        <v>1386</v>
      </c>
      <c r="C439" s="810" t="s">
        <v>1387</v>
      </c>
      <c r="D439" s="808" t="s">
        <v>1250</v>
      </c>
      <c r="E439" s="808" t="s">
        <v>1251</v>
      </c>
      <c r="F439" s="612"/>
      <c r="G439" s="612">
        <v>-22318.684000000001</v>
      </c>
      <c r="H439" s="612">
        <v>0</v>
      </c>
      <c r="I439" s="612">
        <v>-18950.903999999999</v>
      </c>
      <c r="J439" s="612">
        <v>0</v>
      </c>
      <c r="K439" s="612">
        <v>0</v>
      </c>
      <c r="L439" s="613"/>
      <c r="M439" s="451"/>
      <c r="N439" t="e">
        <f>VLOOKUP(A439, 'P&amp;L'!A:B,1,FALSE)</f>
        <v>#N/A</v>
      </c>
      <c r="O439" t="e">
        <f>VLOOKUP(A439, KeyData!A:C,1,FALSE)</f>
        <v>#N/A</v>
      </c>
      <c r="P439" s="451"/>
    </row>
    <row r="440" spans="1:16">
      <c r="A440" s="451" t="str">
        <f t="shared" si="6"/>
        <v>CO-210000326_Result</v>
      </c>
      <c r="B440" s="1016" t="s">
        <v>1386</v>
      </c>
      <c r="C440" s="810" t="s">
        <v>1387</v>
      </c>
      <c r="D440" s="842" t="s">
        <v>1156</v>
      </c>
      <c r="E440" s="840"/>
      <c r="F440" s="836"/>
      <c r="G440" s="836">
        <v>-22318.684000000001</v>
      </c>
      <c r="H440" s="836">
        <v>0</v>
      </c>
      <c r="I440" s="836">
        <v>-18950.903999999999</v>
      </c>
      <c r="J440" s="836">
        <v>0</v>
      </c>
      <c r="K440" s="836">
        <v>0</v>
      </c>
      <c r="L440" s="838"/>
      <c r="M440" s="451"/>
      <c r="N440" t="e">
        <f>VLOOKUP(A440, 'P&amp;L'!A:B,1,FALSE)</f>
        <v>#N/A</v>
      </c>
      <c r="O440" t="str">
        <f>VLOOKUP(A440, KeyData!A:C,1,FALSE)</f>
        <v>CO-210000326_Result</v>
      </c>
      <c r="P440" s="451"/>
    </row>
    <row r="441" spans="1:16">
      <c r="A441" s="451" t="str">
        <f t="shared" si="6"/>
        <v>CO-210000325_#</v>
      </c>
      <c r="B441" s="1016" t="s">
        <v>1388</v>
      </c>
      <c r="C441" s="810" t="s">
        <v>1389</v>
      </c>
      <c r="D441" s="808" t="s">
        <v>1250</v>
      </c>
      <c r="E441" s="808" t="s">
        <v>1251</v>
      </c>
      <c r="F441" s="612"/>
      <c r="G441" s="612">
        <v>-457123.59499999997</v>
      </c>
      <c r="H441" s="612">
        <v>-55999.345000000001</v>
      </c>
      <c r="I441" s="612">
        <v>-133213.38</v>
      </c>
      <c r="J441" s="612">
        <v>-133213.383</v>
      </c>
      <c r="K441" s="612">
        <v>-133213.386</v>
      </c>
      <c r="L441" s="613">
        <v>-186533.8</v>
      </c>
      <c r="M441" s="451"/>
      <c r="N441" t="e">
        <f>VLOOKUP(A441, 'P&amp;L'!A:B,1,FALSE)</f>
        <v>#N/A</v>
      </c>
      <c r="O441" t="e">
        <f>VLOOKUP(A441, KeyData!A:C,1,FALSE)</f>
        <v>#N/A</v>
      </c>
      <c r="P441" s="451"/>
    </row>
    <row r="442" spans="1:16">
      <c r="A442" s="451" t="str">
        <f t="shared" si="6"/>
        <v>CO-210000325_Result</v>
      </c>
      <c r="B442" s="1016" t="s">
        <v>1388</v>
      </c>
      <c r="C442" s="810" t="s">
        <v>1389</v>
      </c>
      <c r="D442" s="842" t="s">
        <v>1156</v>
      </c>
      <c r="E442" s="840"/>
      <c r="F442" s="836"/>
      <c r="G442" s="836">
        <v>-457123.59499999997</v>
      </c>
      <c r="H442" s="836">
        <v>-55999.345000000001</v>
      </c>
      <c r="I442" s="836">
        <v>-133213.38</v>
      </c>
      <c r="J442" s="836">
        <v>-133213.383</v>
      </c>
      <c r="K442" s="836">
        <v>-133213.386</v>
      </c>
      <c r="L442" s="838">
        <v>-186533.8</v>
      </c>
      <c r="M442" s="451"/>
      <c r="N442" t="e">
        <f>VLOOKUP(A442, 'P&amp;L'!A:B,1,FALSE)</f>
        <v>#N/A</v>
      </c>
      <c r="O442" t="str">
        <f>VLOOKUP(A442, KeyData!A:C,1,FALSE)</f>
        <v>CO-210000325_Result</v>
      </c>
      <c r="P442" s="451"/>
    </row>
    <row r="443" spans="1:16">
      <c r="A443" s="451" t="str">
        <f t="shared" si="6"/>
        <v>CO-210000323_#</v>
      </c>
      <c r="B443" s="1016" t="s">
        <v>1390</v>
      </c>
      <c r="C443" s="810" t="s">
        <v>1391</v>
      </c>
      <c r="D443" s="808" t="s">
        <v>1250</v>
      </c>
      <c r="E443" s="808" t="s">
        <v>1251</v>
      </c>
      <c r="F443" s="612"/>
      <c r="G443" s="612">
        <v>-4192443.642</v>
      </c>
      <c r="H443" s="612">
        <v>-2044738.737</v>
      </c>
      <c r="I443" s="612">
        <v>-4455742.9060000004</v>
      </c>
      <c r="J443" s="612">
        <v>-4110761.3739999998</v>
      </c>
      <c r="K443" s="612">
        <v>-4014285.0150000001</v>
      </c>
      <c r="L443" s="613">
        <v>-3840540.5869999998</v>
      </c>
      <c r="M443" s="451"/>
      <c r="N443" t="e">
        <f>VLOOKUP(A443, 'P&amp;L'!A:B,1,FALSE)</f>
        <v>#N/A</v>
      </c>
      <c r="O443" t="e">
        <f>VLOOKUP(A443, KeyData!A:C,1,FALSE)</f>
        <v>#N/A</v>
      </c>
      <c r="P443" s="451"/>
    </row>
    <row r="444" spans="1:16">
      <c r="A444" s="451" t="str">
        <f t="shared" si="6"/>
        <v>CO-210000323_Result</v>
      </c>
      <c r="B444" s="1016" t="s">
        <v>1390</v>
      </c>
      <c r="C444" s="810" t="s">
        <v>1391</v>
      </c>
      <c r="D444" s="842" t="s">
        <v>1156</v>
      </c>
      <c r="E444" s="840"/>
      <c r="F444" s="836"/>
      <c r="G444" s="836">
        <v>-4192443.642</v>
      </c>
      <c r="H444" s="836">
        <v>-2044738.737</v>
      </c>
      <c r="I444" s="836">
        <v>-4455742.9060000004</v>
      </c>
      <c r="J444" s="836">
        <v>-4110761.3739999998</v>
      </c>
      <c r="K444" s="836">
        <v>-4014285.0150000001</v>
      </c>
      <c r="L444" s="838">
        <v>-3840540.5869999998</v>
      </c>
      <c r="M444" s="451"/>
      <c r="N444" t="e">
        <f>VLOOKUP(A444, 'P&amp;L'!A:B,1,FALSE)</f>
        <v>#N/A</v>
      </c>
      <c r="O444" t="str">
        <f>VLOOKUP(A444, KeyData!A:C,1,FALSE)</f>
        <v>CO-210000323_Result</v>
      </c>
      <c r="P444" s="451"/>
    </row>
    <row r="445" spans="1:16">
      <c r="A445" s="451" t="str">
        <f t="shared" si="6"/>
        <v>CO-210000322_#</v>
      </c>
      <c r="B445" s="1016" t="s">
        <v>1392</v>
      </c>
      <c r="C445" s="810" t="s">
        <v>1393</v>
      </c>
      <c r="D445" s="808" t="s">
        <v>1250</v>
      </c>
      <c r="E445" s="808" t="s">
        <v>1251</v>
      </c>
      <c r="F445" s="612"/>
      <c r="G445" s="612">
        <v>-2308253.7059999998</v>
      </c>
      <c r="H445" s="612">
        <v>-1154126.8529999999</v>
      </c>
      <c r="I445" s="612">
        <v>-2308253.7000000002</v>
      </c>
      <c r="J445" s="612">
        <v>-2308253.702</v>
      </c>
      <c r="K445" s="612">
        <v>-2308253.7089999998</v>
      </c>
      <c r="L445" s="613">
        <v>-2308253.7119999998</v>
      </c>
      <c r="M445" s="451"/>
      <c r="N445" t="e">
        <f>VLOOKUP(A445, 'P&amp;L'!A:B,1,FALSE)</f>
        <v>#N/A</v>
      </c>
      <c r="O445" t="e">
        <f>VLOOKUP(A445, KeyData!A:C,1,FALSE)</f>
        <v>#N/A</v>
      </c>
      <c r="P445" s="451"/>
    </row>
    <row r="446" spans="1:16">
      <c r="A446" s="451" t="str">
        <f t="shared" si="6"/>
        <v>CO-210000322_Result</v>
      </c>
      <c r="B446" s="1016" t="s">
        <v>1392</v>
      </c>
      <c r="C446" s="810" t="s">
        <v>1393</v>
      </c>
      <c r="D446" s="842" t="s">
        <v>1156</v>
      </c>
      <c r="E446" s="840"/>
      <c r="F446" s="836"/>
      <c r="G446" s="836">
        <v>-2308253.7059999998</v>
      </c>
      <c r="H446" s="836">
        <v>-1154126.8529999999</v>
      </c>
      <c r="I446" s="836">
        <v>-2308253.7000000002</v>
      </c>
      <c r="J446" s="836">
        <v>-2308253.702</v>
      </c>
      <c r="K446" s="836">
        <v>-2308253.7089999998</v>
      </c>
      <c r="L446" s="838">
        <v>-2308253.7119999998</v>
      </c>
      <c r="M446" s="451"/>
      <c r="N446" t="e">
        <f>VLOOKUP(A446, 'P&amp;L'!A:B,1,FALSE)</f>
        <v>#N/A</v>
      </c>
      <c r="O446" t="str">
        <f>VLOOKUP(A446, KeyData!A:C,1,FALSE)</f>
        <v>CO-210000322_Result</v>
      </c>
      <c r="P446" s="451"/>
    </row>
    <row r="447" spans="1:16">
      <c r="A447" s="451" t="str">
        <f t="shared" si="6"/>
        <v>CO-210000321_#</v>
      </c>
      <c r="B447" s="1016" t="s">
        <v>1394</v>
      </c>
      <c r="C447" s="810" t="s">
        <v>1395</v>
      </c>
      <c r="D447" s="808" t="s">
        <v>1250</v>
      </c>
      <c r="E447" s="808" t="s">
        <v>1251</v>
      </c>
      <c r="F447" s="612"/>
      <c r="G447" s="612">
        <v>-720</v>
      </c>
      <c r="H447" s="612">
        <v>-2443.1999999999998</v>
      </c>
      <c r="I447" s="612">
        <v>-28711.565999999999</v>
      </c>
      <c r="J447" s="612">
        <v>-3729.6</v>
      </c>
      <c r="K447" s="612">
        <v>-3729.6039999999998</v>
      </c>
      <c r="L447" s="613">
        <v>-18000</v>
      </c>
      <c r="M447" s="451"/>
      <c r="N447" t="e">
        <f>VLOOKUP(A447, 'P&amp;L'!A:B,1,FALSE)</f>
        <v>#N/A</v>
      </c>
      <c r="O447" t="e">
        <f>VLOOKUP(A447, KeyData!A:C,1,FALSE)</f>
        <v>#N/A</v>
      </c>
      <c r="P447" s="451"/>
    </row>
    <row r="448" spans="1:16">
      <c r="A448" s="451" t="str">
        <f t="shared" si="6"/>
        <v>CO-210000321_Result</v>
      </c>
      <c r="B448" s="1016" t="s">
        <v>1394</v>
      </c>
      <c r="C448" s="810" t="s">
        <v>1395</v>
      </c>
      <c r="D448" s="842" t="s">
        <v>1156</v>
      </c>
      <c r="E448" s="840"/>
      <c r="F448" s="836"/>
      <c r="G448" s="836">
        <v>-720</v>
      </c>
      <c r="H448" s="836">
        <v>-2443.1999999999998</v>
      </c>
      <c r="I448" s="836">
        <v>-28711.565999999999</v>
      </c>
      <c r="J448" s="836">
        <v>-3729.6</v>
      </c>
      <c r="K448" s="836">
        <v>-3729.6039999999998</v>
      </c>
      <c r="L448" s="838">
        <v>-18000</v>
      </c>
      <c r="M448" s="451"/>
      <c r="N448" t="e">
        <f>VLOOKUP(A448, 'P&amp;L'!A:B,1,FALSE)</f>
        <v>#N/A</v>
      </c>
      <c r="O448" t="str">
        <f>VLOOKUP(A448, KeyData!A:C,1,FALSE)</f>
        <v>CO-210000321_Result</v>
      </c>
      <c r="P448" s="451"/>
    </row>
    <row r="449" spans="1:16">
      <c r="A449" s="451" t="str">
        <f t="shared" si="6"/>
        <v>CO-210000320_#</v>
      </c>
      <c r="B449" s="1016" t="s">
        <v>1396</v>
      </c>
      <c r="C449" s="810" t="s">
        <v>1397</v>
      </c>
      <c r="D449" s="808" t="s">
        <v>1250</v>
      </c>
      <c r="E449" s="808" t="s">
        <v>1251</v>
      </c>
      <c r="F449" s="612"/>
      <c r="G449" s="612">
        <v>-1053251.2960000001</v>
      </c>
      <c r="H449" s="612">
        <v>-341764.65399999998</v>
      </c>
      <c r="I449" s="612">
        <v>-567972.348</v>
      </c>
      <c r="J449" s="612">
        <v>-404873.87099999998</v>
      </c>
      <c r="K449" s="612">
        <v>-454794.04800000001</v>
      </c>
      <c r="L449" s="613">
        <v>-617979.85800000001</v>
      </c>
      <c r="M449" s="451"/>
      <c r="N449" t="e">
        <f>VLOOKUP(A449, 'P&amp;L'!A:B,1,FALSE)</f>
        <v>#N/A</v>
      </c>
      <c r="O449" t="e">
        <f>VLOOKUP(A449, KeyData!A:C,1,FALSE)</f>
        <v>#N/A</v>
      </c>
      <c r="P449" s="451"/>
    </row>
    <row r="450" spans="1:16">
      <c r="A450" s="451" t="str">
        <f t="shared" si="6"/>
        <v>CO-210000320_Result</v>
      </c>
      <c r="B450" s="1016" t="s">
        <v>1396</v>
      </c>
      <c r="C450" s="810" t="s">
        <v>1397</v>
      </c>
      <c r="D450" s="842" t="s">
        <v>1156</v>
      </c>
      <c r="E450" s="840"/>
      <c r="F450" s="836"/>
      <c r="G450" s="836">
        <v>-1053251.2960000001</v>
      </c>
      <c r="H450" s="836">
        <v>-341764.65399999998</v>
      </c>
      <c r="I450" s="836">
        <v>-567972.348</v>
      </c>
      <c r="J450" s="836">
        <v>-404873.87099999998</v>
      </c>
      <c r="K450" s="836">
        <v>-454794.04800000001</v>
      </c>
      <c r="L450" s="838">
        <v>-617979.85800000001</v>
      </c>
      <c r="M450" s="451"/>
      <c r="N450" t="e">
        <f>VLOOKUP(A450, 'P&amp;L'!A:B,1,FALSE)</f>
        <v>#N/A</v>
      </c>
      <c r="O450" t="str">
        <f>VLOOKUP(A450, KeyData!A:C,1,FALSE)</f>
        <v>CO-210000320_Result</v>
      </c>
      <c r="P450" s="451"/>
    </row>
    <row r="451" spans="1:16">
      <c r="A451" s="451" t="str">
        <f t="shared" ref="A451:A514" si="7" xml:space="preserve"> IFERROR(+B451*1,B451)&amp;"_"&amp;IFERROR(+D451*1,D451)</f>
        <v>CO-210000314_#</v>
      </c>
      <c r="B451" s="1016" t="s">
        <v>1398</v>
      </c>
      <c r="C451" s="810" t="s">
        <v>1399</v>
      </c>
      <c r="D451" s="808" t="s">
        <v>1250</v>
      </c>
      <c r="E451" s="808" t="s">
        <v>1251</v>
      </c>
      <c r="F451" s="612"/>
      <c r="G451" s="612">
        <v>-408863.08799999999</v>
      </c>
      <c r="H451" s="612">
        <v>19663.403999999999</v>
      </c>
      <c r="I451" s="612">
        <v>39326.807999999997</v>
      </c>
      <c r="J451" s="612">
        <v>39326.807999999997</v>
      </c>
      <c r="K451" s="612">
        <v>39326.807999999997</v>
      </c>
      <c r="L451" s="613">
        <v>117087.792</v>
      </c>
      <c r="M451" s="451"/>
      <c r="N451" t="e">
        <f>VLOOKUP(A451, 'P&amp;L'!A:B,1,FALSE)</f>
        <v>#N/A</v>
      </c>
      <c r="O451" t="e">
        <f>VLOOKUP(A451, KeyData!A:C,1,FALSE)</f>
        <v>#N/A</v>
      </c>
      <c r="P451" s="451"/>
    </row>
    <row r="452" spans="1:16">
      <c r="A452" s="451" t="str">
        <f t="shared" si="7"/>
        <v>CO-210000314_Result</v>
      </c>
      <c r="B452" s="1016" t="s">
        <v>1398</v>
      </c>
      <c r="C452" s="810" t="s">
        <v>1399</v>
      </c>
      <c r="D452" s="842" t="s">
        <v>1156</v>
      </c>
      <c r="E452" s="840"/>
      <c r="F452" s="836"/>
      <c r="G452" s="836">
        <v>-408863.08799999999</v>
      </c>
      <c r="H452" s="836">
        <v>19663.403999999999</v>
      </c>
      <c r="I452" s="836">
        <v>39326.807999999997</v>
      </c>
      <c r="J452" s="836">
        <v>39326.807999999997</v>
      </c>
      <c r="K452" s="836">
        <v>39326.807999999997</v>
      </c>
      <c r="L452" s="838">
        <v>117087.792</v>
      </c>
      <c r="M452" s="451"/>
      <c r="N452" t="e">
        <f>VLOOKUP(A452, 'P&amp;L'!A:B,1,FALSE)</f>
        <v>#N/A</v>
      </c>
      <c r="O452" t="str">
        <f>VLOOKUP(A452, KeyData!A:C,1,FALSE)</f>
        <v>CO-210000314_Result</v>
      </c>
      <c r="P452" s="451"/>
    </row>
    <row r="453" spans="1:16">
      <c r="A453" s="451" t="str">
        <f t="shared" si="7"/>
        <v>CO-210000313_#</v>
      </c>
      <c r="B453" s="1016" t="s">
        <v>1400</v>
      </c>
      <c r="C453" s="810" t="s">
        <v>1401</v>
      </c>
      <c r="D453" s="808" t="s">
        <v>1250</v>
      </c>
      <c r="E453" s="808" t="s">
        <v>1251</v>
      </c>
      <c r="F453" s="612"/>
      <c r="G453" s="612"/>
      <c r="H453" s="612">
        <v>-121435.33100000001</v>
      </c>
      <c r="I453" s="612"/>
      <c r="J453" s="612">
        <v>-329024.87900000002</v>
      </c>
      <c r="K453" s="612">
        <v>-310920.36099999998</v>
      </c>
      <c r="L453" s="613">
        <v>-356783.348</v>
      </c>
      <c r="M453" s="451"/>
      <c r="N453" t="e">
        <f>VLOOKUP(A453, 'P&amp;L'!A:B,1,FALSE)</f>
        <v>#N/A</v>
      </c>
      <c r="O453" t="e">
        <f>VLOOKUP(A453, KeyData!A:C,1,FALSE)</f>
        <v>#N/A</v>
      </c>
      <c r="P453" s="451"/>
    </row>
    <row r="454" spans="1:16">
      <c r="A454" s="451" t="str">
        <f t="shared" si="7"/>
        <v>CO-210000313_Result</v>
      </c>
      <c r="B454" s="1016" t="s">
        <v>1400</v>
      </c>
      <c r="C454" s="810" t="s">
        <v>1401</v>
      </c>
      <c r="D454" s="842" t="s">
        <v>1156</v>
      </c>
      <c r="E454" s="840"/>
      <c r="F454" s="836"/>
      <c r="G454" s="836"/>
      <c r="H454" s="836">
        <v>-121435.33100000001</v>
      </c>
      <c r="I454" s="836"/>
      <c r="J454" s="836">
        <v>-329024.87900000002</v>
      </c>
      <c r="K454" s="836">
        <v>-310920.36099999998</v>
      </c>
      <c r="L454" s="838">
        <v>-356783.348</v>
      </c>
      <c r="M454" s="451"/>
      <c r="N454" t="e">
        <f>VLOOKUP(A454, 'P&amp;L'!A:B,1,FALSE)</f>
        <v>#N/A</v>
      </c>
      <c r="O454" t="str">
        <f>VLOOKUP(A454, KeyData!A:C,1,FALSE)</f>
        <v>CO-210000313_Result</v>
      </c>
      <c r="P454" s="451"/>
    </row>
    <row r="455" spans="1:16">
      <c r="A455" s="451" t="str">
        <f t="shared" si="7"/>
        <v>CO-210000312_#</v>
      </c>
      <c r="B455" s="1016" t="s">
        <v>1402</v>
      </c>
      <c r="C455" s="810" t="s">
        <v>1403</v>
      </c>
      <c r="D455" s="808" t="s">
        <v>1250</v>
      </c>
      <c r="E455" s="808" t="s">
        <v>1251</v>
      </c>
      <c r="F455" s="612"/>
      <c r="G455" s="612">
        <v>-3626564.0989999999</v>
      </c>
      <c r="H455" s="612">
        <v>-1931959.469</v>
      </c>
      <c r="I455" s="612">
        <v>-3983038.91</v>
      </c>
      <c r="J455" s="612">
        <v>-3780807.14</v>
      </c>
      <c r="K455" s="612">
        <v>-3872603.2790000001</v>
      </c>
      <c r="L455" s="613">
        <v>-3222306.3169999998</v>
      </c>
      <c r="M455" s="451"/>
      <c r="N455" t="e">
        <f>VLOOKUP(A455, 'P&amp;L'!A:B,1,FALSE)</f>
        <v>#N/A</v>
      </c>
      <c r="O455" t="e">
        <f>VLOOKUP(A455, KeyData!A:C,1,FALSE)</f>
        <v>#N/A</v>
      </c>
      <c r="P455" s="451"/>
    </row>
    <row r="456" spans="1:16">
      <c r="A456" s="451" t="str">
        <f t="shared" si="7"/>
        <v>CO-210000312_Result</v>
      </c>
      <c r="B456" s="1016" t="s">
        <v>1402</v>
      </c>
      <c r="C456" s="810" t="s">
        <v>1403</v>
      </c>
      <c r="D456" s="842" t="s">
        <v>1156</v>
      </c>
      <c r="E456" s="840"/>
      <c r="F456" s="836"/>
      <c r="G456" s="836">
        <v>-3626564.0989999999</v>
      </c>
      <c r="H456" s="836">
        <v>-1931959.469</v>
      </c>
      <c r="I456" s="836">
        <v>-3983038.91</v>
      </c>
      <c r="J456" s="836">
        <v>-3780807.14</v>
      </c>
      <c r="K456" s="836">
        <v>-3872603.2790000001</v>
      </c>
      <c r="L456" s="838">
        <v>-3222306.3169999998</v>
      </c>
      <c r="M456" s="451"/>
      <c r="N456" t="e">
        <f>VLOOKUP(A456, 'P&amp;L'!A:B,1,FALSE)</f>
        <v>#N/A</v>
      </c>
      <c r="O456" t="str">
        <f>VLOOKUP(A456, KeyData!A:C,1,FALSE)</f>
        <v>CO-210000312_Result</v>
      </c>
      <c r="P456" s="451"/>
    </row>
    <row r="457" spans="1:16">
      <c r="A457" s="451" t="str">
        <f t="shared" si="7"/>
        <v>CO-210000311_#</v>
      </c>
      <c r="B457" s="1016" t="s">
        <v>1404</v>
      </c>
      <c r="C457" s="810" t="s">
        <v>1405</v>
      </c>
      <c r="D457" s="808" t="s">
        <v>1250</v>
      </c>
      <c r="E457" s="808" t="s">
        <v>1251</v>
      </c>
      <c r="F457" s="612"/>
      <c r="G457" s="612">
        <v>-700889.29299999995</v>
      </c>
      <c r="H457" s="612">
        <v>-579621.89</v>
      </c>
      <c r="I457" s="612">
        <v>-1099794.372</v>
      </c>
      <c r="J457" s="612">
        <v>-1111026.223</v>
      </c>
      <c r="K457" s="612">
        <v>-1111026.2180000001</v>
      </c>
      <c r="L457" s="613">
        <v>-1161053.196</v>
      </c>
      <c r="M457" s="451"/>
      <c r="N457" t="e">
        <f>VLOOKUP(A457, 'P&amp;L'!A:B,1,FALSE)</f>
        <v>#N/A</v>
      </c>
      <c r="O457" t="e">
        <f>VLOOKUP(A457, KeyData!A:C,1,FALSE)</f>
        <v>#N/A</v>
      </c>
      <c r="P457" s="451"/>
    </row>
    <row r="458" spans="1:16">
      <c r="A458" s="451" t="str">
        <f t="shared" si="7"/>
        <v>CO-210000311_Result</v>
      </c>
      <c r="B458" s="1016" t="s">
        <v>1404</v>
      </c>
      <c r="C458" s="810" t="s">
        <v>1405</v>
      </c>
      <c r="D458" s="842" t="s">
        <v>1156</v>
      </c>
      <c r="E458" s="840"/>
      <c r="F458" s="836"/>
      <c r="G458" s="836">
        <v>-700889.29299999995</v>
      </c>
      <c r="H458" s="836">
        <v>-579621.89</v>
      </c>
      <c r="I458" s="836">
        <v>-1099794.372</v>
      </c>
      <c r="J458" s="836">
        <v>-1111026.223</v>
      </c>
      <c r="K458" s="836">
        <v>-1111026.2180000001</v>
      </c>
      <c r="L458" s="838">
        <v>-1161053.196</v>
      </c>
      <c r="M458" s="451"/>
      <c r="N458" t="e">
        <f>VLOOKUP(A458, 'P&amp;L'!A:B,1,FALSE)</f>
        <v>#N/A</v>
      </c>
      <c r="O458" t="str">
        <f>VLOOKUP(A458, KeyData!A:C,1,FALSE)</f>
        <v>CO-210000311_Result</v>
      </c>
      <c r="P458" s="451"/>
    </row>
    <row r="459" spans="1:16">
      <c r="A459" s="451" t="str">
        <f t="shared" si="7"/>
        <v>CO-210000310_#</v>
      </c>
      <c r="B459" s="1016" t="s">
        <v>1406</v>
      </c>
      <c r="C459" s="810" t="s">
        <v>1407</v>
      </c>
      <c r="D459" s="808" t="s">
        <v>1250</v>
      </c>
      <c r="E459" s="808" t="s">
        <v>1251</v>
      </c>
      <c r="F459" s="612"/>
      <c r="G459" s="612">
        <v>-2084731.4779999999</v>
      </c>
      <c r="H459" s="612">
        <v>-1330313.8629999999</v>
      </c>
      <c r="I459" s="612">
        <v>-2524185.12</v>
      </c>
      <c r="J459" s="612">
        <v>-2580003.4559999998</v>
      </c>
      <c r="K459" s="612">
        <v>-2580003.4569999999</v>
      </c>
      <c r="L459" s="613">
        <v>-2588569.0440000002</v>
      </c>
      <c r="M459" s="451"/>
      <c r="N459" t="e">
        <f>VLOOKUP(A459, 'P&amp;L'!A:B,1,FALSE)</f>
        <v>#N/A</v>
      </c>
      <c r="O459" t="e">
        <f>VLOOKUP(A459, KeyData!A:C,1,FALSE)</f>
        <v>#N/A</v>
      </c>
      <c r="P459" s="451"/>
    </row>
    <row r="460" spans="1:16">
      <c r="A460" s="451" t="str">
        <f t="shared" si="7"/>
        <v>CO-210000310_Result</v>
      </c>
      <c r="B460" s="1016" t="s">
        <v>1406</v>
      </c>
      <c r="C460" s="810" t="s">
        <v>1407</v>
      </c>
      <c r="D460" s="842" t="s">
        <v>1156</v>
      </c>
      <c r="E460" s="840"/>
      <c r="F460" s="836"/>
      <c r="G460" s="836">
        <v>-2084731.4779999999</v>
      </c>
      <c r="H460" s="836">
        <v>-1330313.8629999999</v>
      </c>
      <c r="I460" s="836">
        <v>-2524185.12</v>
      </c>
      <c r="J460" s="836">
        <v>-2580003.4559999998</v>
      </c>
      <c r="K460" s="836">
        <v>-2580003.4569999999</v>
      </c>
      <c r="L460" s="838">
        <v>-2588569.0440000002</v>
      </c>
      <c r="M460" s="451"/>
      <c r="N460" t="e">
        <f>VLOOKUP(A460, 'P&amp;L'!A:B,1,FALSE)</f>
        <v>#N/A</v>
      </c>
      <c r="O460" t="str">
        <f>VLOOKUP(A460, KeyData!A:C,1,FALSE)</f>
        <v>CO-210000310_Result</v>
      </c>
      <c r="P460" s="451"/>
    </row>
    <row r="461" spans="1:16">
      <c r="A461" s="451" t="str">
        <f t="shared" si="7"/>
        <v>CO-210000210_#</v>
      </c>
      <c r="B461" s="1016" t="s">
        <v>1408</v>
      </c>
      <c r="C461" s="810" t="s">
        <v>1409</v>
      </c>
      <c r="D461" s="808" t="s">
        <v>1250</v>
      </c>
      <c r="E461" s="808" t="s">
        <v>1251</v>
      </c>
      <c r="F461" s="612"/>
      <c r="G461" s="612">
        <v>-8855902.9409999996</v>
      </c>
      <c r="H461" s="612">
        <v>1233071.162</v>
      </c>
      <c r="I461" s="612"/>
      <c r="J461" s="612">
        <v>-289599.05699999997</v>
      </c>
      <c r="K461" s="612">
        <v>-141197.42600000001</v>
      </c>
      <c r="L461" s="613"/>
      <c r="M461" s="451"/>
      <c r="N461" t="e">
        <f>VLOOKUP(A461, 'P&amp;L'!A:B,1,FALSE)</f>
        <v>#N/A</v>
      </c>
      <c r="O461" t="e">
        <f>VLOOKUP(A461, KeyData!A:C,1,FALSE)</f>
        <v>#N/A</v>
      </c>
      <c r="P461" s="451"/>
    </row>
    <row r="462" spans="1:16">
      <c r="A462" s="451" t="str">
        <f t="shared" si="7"/>
        <v>CO-210000210_Result</v>
      </c>
      <c r="B462" s="1016" t="s">
        <v>1408</v>
      </c>
      <c r="C462" s="810" t="s">
        <v>1409</v>
      </c>
      <c r="D462" s="842" t="s">
        <v>1156</v>
      </c>
      <c r="E462" s="840"/>
      <c r="F462" s="836"/>
      <c r="G462" s="836">
        <v>-8855902.9409999996</v>
      </c>
      <c r="H462" s="836">
        <v>1233071.162</v>
      </c>
      <c r="I462" s="836"/>
      <c r="J462" s="836">
        <v>-289599.05699999997</v>
      </c>
      <c r="K462" s="836">
        <v>-141197.42600000001</v>
      </c>
      <c r="L462" s="838"/>
      <c r="M462" s="451"/>
      <c r="N462" t="e">
        <f>VLOOKUP(A462, 'P&amp;L'!A:B,1,FALSE)</f>
        <v>#N/A</v>
      </c>
      <c r="O462" t="e">
        <f>VLOOKUP(A462, KeyData!A:C,1,FALSE)</f>
        <v>#N/A</v>
      </c>
      <c r="P462" s="451"/>
    </row>
    <row r="463" spans="1:16">
      <c r="A463" s="451" t="str">
        <f t="shared" si="7"/>
        <v>CO-210000211_#</v>
      </c>
      <c r="B463" s="1016" t="s">
        <v>1410</v>
      </c>
      <c r="C463" s="810" t="s">
        <v>1411</v>
      </c>
      <c r="D463" s="808" t="s">
        <v>1250</v>
      </c>
      <c r="E463" s="808" t="s">
        <v>1251</v>
      </c>
      <c r="F463" s="612"/>
      <c r="G463" s="612">
        <v>-2521591.62</v>
      </c>
      <c r="H463" s="612">
        <v>462999.71500000003</v>
      </c>
      <c r="I463" s="612"/>
      <c r="J463" s="612">
        <v>710565.81099999999</v>
      </c>
      <c r="K463" s="612">
        <v>1926535.0009999999</v>
      </c>
      <c r="L463" s="613"/>
      <c r="M463" s="451"/>
      <c r="N463" t="e">
        <f>VLOOKUP(A463, 'P&amp;L'!A:B,1,FALSE)</f>
        <v>#N/A</v>
      </c>
      <c r="O463" t="e">
        <f>VLOOKUP(A463, KeyData!A:C,1,FALSE)</f>
        <v>#N/A</v>
      </c>
      <c r="P463" s="451"/>
    </row>
    <row r="464" spans="1:16">
      <c r="A464" s="451" t="str">
        <f t="shared" si="7"/>
        <v>CO-210000211_Result</v>
      </c>
      <c r="B464" s="1016" t="s">
        <v>1410</v>
      </c>
      <c r="C464" s="810" t="s">
        <v>1411</v>
      </c>
      <c r="D464" s="842" t="s">
        <v>1156</v>
      </c>
      <c r="E464" s="840"/>
      <c r="F464" s="836"/>
      <c r="G464" s="836">
        <v>-2521591.62</v>
      </c>
      <c r="H464" s="836">
        <v>462999.71500000003</v>
      </c>
      <c r="I464" s="836"/>
      <c r="J464" s="836">
        <v>710565.81099999999</v>
      </c>
      <c r="K464" s="836">
        <v>1926535.0009999999</v>
      </c>
      <c r="L464" s="838"/>
      <c r="M464" s="451"/>
      <c r="N464" t="e">
        <f>VLOOKUP(A464, 'P&amp;L'!A:B,1,FALSE)</f>
        <v>#N/A</v>
      </c>
      <c r="O464" t="e">
        <f>VLOOKUP(A464, KeyData!A:C,1,FALSE)</f>
        <v>#N/A</v>
      </c>
      <c r="P464" s="451"/>
    </row>
    <row r="465" spans="1:16">
      <c r="A465" s="451" t="str">
        <f t="shared" si="7"/>
        <v>CO-210000114_#</v>
      </c>
      <c r="B465" s="1016" t="s">
        <v>1412</v>
      </c>
      <c r="C465" s="810" t="s">
        <v>1413</v>
      </c>
      <c r="D465" s="808" t="s">
        <v>1250</v>
      </c>
      <c r="E465" s="808" t="s">
        <v>1251</v>
      </c>
      <c r="F465" s="612"/>
      <c r="G465" s="612"/>
      <c r="H465" s="612"/>
      <c r="I465" s="612"/>
      <c r="J465" s="612">
        <v>139223.59</v>
      </c>
      <c r="K465" s="612">
        <v>0</v>
      </c>
      <c r="L465" s="613"/>
      <c r="M465" s="451"/>
      <c r="N465" t="e">
        <f>VLOOKUP(A465, 'P&amp;L'!A:B,1,FALSE)</f>
        <v>#N/A</v>
      </c>
      <c r="O465" t="e">
        <f>VLOOKUP(A465, KeyData!A:C,1,FALSE)</f>
        <v>#N/A</v>
      </c>
      <c r="P465" s="451"/>
    </row>
    <row r="466" spans="1:16">
      <c r="A466" s="451" t="str">
        <f t="shared" si="7"/>
        <v>CO-210000114_Result</v>
      </c>
      <c r="B466" s="1016" t="s">
        <v>1412</v>
      </c>
      <c r="C466" s="810" t="s">
        <v>1413</v>
      </c>
      <c r="D466" s="842" t="s">
        <v>1156</v>
      </c>
      <c r="E466" s="840"/>
      <c r="F466" s="836"/>
      <c r="G466" s="836"/>
      <c r="H466" s="836"/>
      <c r="I466" s="836"/>
      <c r="J466" s="836">
        <v>139223.59</v>
      </c>
      <c r="K466" s="836">
        <v>0</v>
      </c>
      <c r="L466" s="838"/>
      <c r="M466" s="451"/>
      <c r="N466" t="e">
        <f>VLOOKUP(A466, 'P&amp;L'!A:B,1,FALSE)</f>
        <v>#N/A</v>
      </c>
      <c r="O466" t="e">
        <f>VLOOKUP(A466, KeyData!A:C,1,FALSE)</f>
        <v>#N/A</v>
      </c>
      <c r="P466" s="451"/>
    </row>
    <row r="467" spans="1:16">
      <c r="A467" s="451" t="str">
        <f t="shared" si="7"/>
        <v>CO-210000113_#</v>
      </c>
      <c r="B467" s="1016" t="s">
        <v>1414</v>
      </c>
      <c r="C467" s="810" t="s">
        <v>1415</v>
      </c>
      <c r="D467" s="808" t="s">
        <v>1250</v>
      </c>
      <c r="E467" s="808" t="s">
        <v>1251</v>
      </c>
      <c r="F467" s="612"/>
      <c r="G467" s="612">
        <v>68563.769</v>
      </c>
      <c r="H467" s="612">
        <v>-630970.78599999996</v>
      </c>
      <c r="I467" s="612"/>
      <c r="J467" s="612">
        <v>6522670.7460000003</v>
      </c>
      <c r="K467" s="612">
        <v>4242966.8289999999</v>
      </c>
      <c r="L467" s="613"/>
      <c r="M467" s="451"/>
      <c r="N467" t="e">
        <f>VLOOKUP(A467, 'P&amp;L'!A:B,1,FALSE)</f>
        <v>#N/A</v>
      </c>
      <c r="O467" t="e">
        <f>VLOOKUP(A467, KeyData!A:C,1,FALSE)</f>
        <v>#N/A</v>
      </c>
      <c r="P467" s="451"/>
    </row>
    <row r="468" spans="1:16">
      <c r="A468" s="451" t="str">
        <f t="shared" si="7"/>
        <v>CO-210000113_Result</v>
      </c>
      <c r="B468" s="1016" t="s">
        <v>1414</v>
      </c>
      <c r="C468" s="810" t="s">
        <v>1415</v>
      </c>
      <c r="D468" s="842" t="s">
        <v>1156</v>
      </c>
      <c r="E468" s="840"/>
      <c r="F468" s="836"/>
      <c r="G468" s="836">
        <v>68563.769</v>
      </c>
      <c r="H468" s="836">
        <v>-630970.78599999996</v>
      </c>
      <c r="I468" s="836"/>
      <c r="J468" s="836">
        <v>6522670.7460000003</v>
      </c>
      <c r="K468" s="836">
        <v>4242966.8289999999</v>
      </c>
      <c r="L468" s="838"/>
      <c r="M468" s="451"/>
      <c r="N468" t="e">
        <f>VLOOKUP(A468, 'P&amp;L'!A:B,1,FALSE)</f>
        <v>#N/A</v>
      </c>
      <c r="O468" t="e">
        <f>VLOOKUP(A468, KeyData!A:C,1,FALSE)</f>
        <v>#N/A</v>
      </c>
      <c r="P468" s="451"/>
    </row>
    <row r="469" spans="1:16">
      <c r="A469" s="451" t="str">
        <f t="shared" si="7"/>
        <v>CO-210000112_#</v>
      </c>
      <c r="B469" s="1016" t="s">
        <v>1416</v>
      </c>
      <c r="C469" s="810" t="s">
        <v>1417</v>
      </c>
      <c r="D469" s="808" t="s">
        <v>1250</v>
      </c>
      <c r="E469" s="808" t="s">
        <v>1251</v>
      </c>
      <c r="F469" s="612"/>
      <c r="G469" s="612">
        <v>13088653.640000001</v>
      </c>
      <c r="H469" s="612">
        <v>12397644.596999999</v>
      </c>
      <c r="I469" s="612"/>
      <c r="J469" s="612">
        <v>11163480.154999999</v>
      </c>
      <c r="K469" s="612">
        <v>14499467.273</v>
      </c>
      <c r="L469" s="613"/>
      <c r="M469" s="451"/>
      <c r="N469" t="e">
        <f>VLOOKUP(A469, 'P&amp;L'!A:B,1,FALSE)</f>
        <v>#N/A</v>
      </c>
      <c r="O469" t="e">
        <f>VLOOKUP(A469, KeyData!A:C,1,FALSE)</f>
        <v>#N/A</v>
      </c>
      <c r="P469" s="451"/>
    </row>
    <row r="470" spans="1:16">
      <c r="A470" s="451" t="str">
        <f t="shared" si="7"/>
        <v>CO-210000112_Result</v>
      </c>
      <c r="B470" s="1016" t="s">
        <v>1416</v>
      </c>
      <c r="C470" s="810" t="s">
        <v>1417</v>
      </c>
      <c r="D470" s="842" t="s">
        <v>1156</v>
      </c>
      <c r="E470" s="840"/>
      <c r="F470" s="836"/>
      <c r="G470" s="836">
        <v>13088653.640000001</v>
      </c>
      <c r="H470" s="836">
        <v>12397644.596999999</v>
      </c>
      <c r="I470" s="836"/>
      <c r="J470" s="836">
        <v>11163480.154999999</v>
      </c>
      <c r="K470" s="836">
        <v>14499467.273</v>
      </c>
      <c r="L470" s="838"/>
      <c r="M470" s="451"/>
      <c r="N470" t="e">
        <f>VLOOKUP(A470, 'P&amp;L'!A:B,1,FALSE)</f>
        <v>#N/A</v>
      </c>
      <c r="O470" t="e">
        <f>VLOOKUP(A470, KeyData!A:C,1,FALSE)</f>
        <v>#N/A</v>
      </c>
      <c r="P470" s="451"/>
    </row>
    <row r="471" spans="1:16">
      <c r="A471" s="451" t="str">
        <f t="shared" si="7"/>
        <v>CO-210000110_#</v>
      </c>
      <c r="B471" s="1016" t="s">
        <v>1418</v>
      </c>
      <c r="C471" s="810" t="s">
        <v>1419</v>
      </c>
      <c r="D471" s="808" t="s">
        <v>1250</v>
      </c>
      <c r="E471" s="808" t="s">
        <v>1251</v>
      </c>
      <c r="F471" s="612"/>
      <c r="G471" s="612">
        <v>-23649148.278999999</v>
      </c>
      <c r="H471" s="612">
        <v>4129829.6680000001</v>
      </c>
      <c r="I471" s="612"/>
      <c r="J471" s="612">
        <v>-969931.67700000003</v>
      </c>
      <c r="K471" s="612">
        <v>-472901.59399999998</v>
      </c>
      <c r="L471" s="613"/>
      <c r="M471" s="451"/>
      <c r="N471" t="e">
        <f>VLOOKUP(A471, 'P&amp;L'!A:B,1,FALSE)</f>
        <v>#N/A</v>
      </c>
      <c r="O471" t="e">
        <f>VLOOKUP(A471, KeyData!A:C,1,FALSE)</f>
        <v>#N/A</v>
      </c>
      <c r="P471" s="451"/>
    </row>
    <row r="472" spans="1:16">
      <c r="A472" s="451" t="str">
        <f t="shared" si="7"/>
        <v>CO-210000110_Result</v>
      </c>
      <c r="B472" s="1016" t="s">
        <v>1418</v>
      </c>
      <c r="C472" s="810" t="s">
        <v>1419</v>
      </c>
      <c r="D472" s="844" t="s">
        <v>1156</v>
      </c>
      <c r="E472" s="841"/>
      <c r="F472" s="837"/>
      <c r="G472" s="837">
        <v>-23649148.278999999</v>
      </c>
      <c r="H472" s="837">
        <v>4129829.6680000001</v>
      </c>
      <c r="I472" s="837"/>
      <c r="J472" s="837">
        <v>-969931.67700000003</v>
      </c>
      <c r="K472" s="837">
        <v>-472901.59399999998</v>
      </c>
      <c r="L472" s="839"/>
      <c r="M472" s="451"/>
      <c r="N472" t="e">
        <f>VLOOKUP(A472, 'P&amp;L'!A:B,1,FALSE)</f>
        <v>#N/A</v>
      </c>
      <c r="O472" t="e">
        <f>VLOOKUP(A472, KeyData!A:C,1,FALSE)</f>
        <v>#N/A</v>
      </c>
      <c r="P472" s="451"/>
    </row>
    <row r="473" spans="1:16">
      <c r="A473" s="451" t="str">
        <f t="shared" si="7"/>
        <v>0_0</v>
      </c>
      <c r="M473" s="451"/>
      <c r="N473" t="e">
        <f>VLOOKUP(A473, 'P&amp;L'!A:B,1,FALSE)</f>
        <v>#N/A</v>
      </c>
      <c r="O473" t="e">
        <f>VLOOKUP(A473, KeyData!A:C,1,FALSE)</f>
        <v>#N/A</v>
      </c>
      <c r="P473" s="451"/>
    </row>
    <row r="474" spans="1:16">
      <c r="A474" s="451" t="str">
        <f t="shared" si="7"/>
        <v>0_0</v>
      </c>
      <c r="M474" s="451"/>
      <c r="N474" t="e">
        <f>VLOOKUP(A474, 'P&amp;L'!A:B,1,FALSE)</f>
        <v>#N/A</v>
      </c>
      <c r="O474" t="e">
        <f>VLOOKUP(A474, KeyData!A:C,1,FALSE)</f>
        <v>#N/A</v>
      </c>
      <c r="P474" s="451"/>
    </row>
    <row r="475" spans="1:16">
      <c r="A475" s="451" t="str">
        <f t="shared" si="7"/>
        <v>0_0</v>
      </c>
      <c r="M475" s="451"/>
      <c r="N475" t="e">
        <f>VLOOKUP(A475, 'P&amp;L'!A:B,1,FALSE)</f>
        <v>#N/A</v>
      </c>
      <c r="O475" t="e">
        <f>VLOOKUP(A475, KeyData!A:C,1,FALSE)</f>
        <v>#N/A</v>
      </c>
      <c r="P475" s="451"/>
    </row>
    <row r="476" spans="1:16">
      <c r="A476" s="451" t="str">
        <f t="shared" si="7"/>
        <v>0_0</v>
      </c>
      <c r="M476" s="451"/>
      <c r="N476" t="e">
        <f>VLOOKUP(A476, 'P&amp;L'!A:B,1,FALSE)</f>
        <v>#N/A</v>
      </c>
      <c r="O476" t="e">
        <f>VLOOKUP(A476, KeyData!A:C,1,FALSE)</f>
        <v>#N/A</v>
      </c>
      <c r="P476" s="451"/>
    </row>
    <row r="477" spans="1:16">
      <c r="A477" s="451" t="str">
        <f t="shared" si="7"/>
        <v>0_0</v>
      </c>
      <c r="M477" s="451"/>
      <c r="N477" t="e">
        <f>VLOOKUP(A477, 'P&amp;L'!A:B,1,FALSE)</f>
        <v>#N/A</v>
      </c>
      <c r="O477" t="e">
        <f>VLOOKUP(A477, KeyData!A:C,1,FALSE)</f>
        <v>#N/A</v>
      </c>
      <c r="P477" s="451"/>
    </row>
    <row r="478" spans="1:16">
      <c r="A478" s="451" t="str">
        <f t="shared" si="7"/>
        <v>0_0</v>
      </c>
      <c r="M478" s="451"/>
      <c r="N478" t="e">
        <f>VLOOKUP(A478, 'P&amp;L'!A:B,1,FALSE)</f>
        <v>#N/A</v>
      </c>
      <c r="O478" t="e">
        <f>VLOOKUP(A478, KeyData!A:C,1,FALSE)</f>
        <v>#N/A</v>
      </c>
      <c r="P478" s="451"/>
    </row>
    <row r="479" spans="1:16">
      <c r="A479" s="451" t="str">
        <f t="shared" si="7"/>
        <v>0_0</v>
      </c>
      <c r="M479" s="451"/>
      <c r="N479" t="e">
        <f>VLOOKUP(A479, 'P&amp;L'!A:B,1,FALSE)</f>
        <v>#N/A</v>
      </c>
      <c r="O479" t="e">
        <f>VLOOKUP(A479, KeyData!A:C,1,FALSE)</f>
        <v>#N/A</v>
      </c>
      <c r="P479" s="451"/>
    </row>
    <row r="480" spans="1:16">
      <c r="A480" s="451" t="str">
        <f t="shared" si="7"/>
        <v>0_0</v>
      </c>
      <c r="M480" s="451"/>
      <c r="N480" t="e">
        <f>VLOOKUP(A480, 'P&amp;L'!A:B,1,FALSE)</f>
        <v>#N/A</v>
      </c>
      <c r="O480" t="e">
        <f>VLOOKUP(A480, KeyData!A:C,1,FALSE)</f>
        <v>#N/A</v>
      </c>
      <c r="P480" s="451"/>
    </row>
    <row r="481" spans="1:16">
      <c r="A481" s="451" t="str">
        <f t="shared" si="7"/>
        <v>0_0</v>
      </c>
      <c r="M481" s="451"/>
      <c r="N481" t="e">
        <f>VLOOKUP(A481, 'P&amp;L'!A:B,1,FALSE)</f>
        <v>#N/A</v>
      </c>
      <c r="O481" t="e">
        <f>VLOOKUP(A481, KeyData!A:C,1,FALSE)</f>
        <v>#N/A</v>
      </c>
      <c r="P481" s="451"/>
    </row>
    <row r="482" spans="1:16">
      <c r="A482" s="451" t="str">
        <f t="shared" si="7"/>
        <v>0_0</v>
      </c>
      <c r="M482" s="451"/>
      <c r="N482" t="e">
        <f>VLOOKUP(A482, 'P&amp;L'!A:B,1,FALSE)</f>
        <v>#N/A</v>
      </c>
      <c r="O482" t="e">
        <f>VLOOKUP(A482, KeyData!A:C,1,FALSE)</f>
        <v>#N/A</v>
      </c>
      <c r="P482" s="451"/>
    </row>
    <row r="483" spans="1:16">
      <c r="A483" s="451" t="str">
        <f t="shared" si="7"/>
        <v>0_0</v>
      </c>
      <c r="M483" s="451"/>
      <c r="N483" t="e">
        <f>VLOOKUP(A483, 'P&amp;L'!A:B,1,FALSE)</f>
        <v>#N/A</v>
      </c>
      <c r="O483" t="e">
        <f>VLOOKUP(A483, KeyData!A:C,1,FALSE)</f>
        <v>#N/A</v>
      </c>
      <c r="P483" s="451"/>
    </row>
    <row r="484" spans="1:16">
      <c r="A484" s="451" t="str">
        <f t="shared" si="7"/>
        <v>0_0</v>
      </c>
      <c r="M484" s="451"/>
      <c r="N484" t="e">
        <f>VLOOKUP(A484, 'P&amp;L'!A:B,1,FALSE)</f>
        <v>#N/A</v>
      </c>
      <c r="O484" t="e">
        <f>VLOOKUP(A484, KeyData!A:C,1,FALSE)</f>
        <v>#N/A</v>
      </c>
      <c r="P484" s="451"/>
    </row>
    <row r="485" spans="1:16">
      <c r="A485" s="451" t="str">
        <f t="shared" si="7"/>
        <v>0_0</v>
      </c>
      <c r="M485" s="451"/>
      <c r="N485" t="e">
        <f>VLOOKUP(A485, 'P&amp;L'!A:B,1,FALSE)</f>
        <v>#N/A</v>
      </c>
      <c r="O485" t="e">
        <f>VLOOKUP(A485, KeyData!A:C,1,FALSE)</f>
        <v>#N/A</v>
      </c>
      <c r="P485" s="451"/>
    </row>
    <row r="486" spans="1:16">
      <c r="A486" s="451" t="str">
        <f t="shared" si="7"/>
        <v>0_0</v>
      </c>
      <c r="M486" s="451"/>
      <c r="N486" t="e">
        <f>VLOOKUP(A486, 'P&amp;L'!A:B,1,FALSE)</f>
        <v>#N/A</v>
      </c>
      <c r="O486" t="e">
        <f>VLOOKUP(A486, KeyData!A:C,1,FALSE)</f>
        <v>#N/A</v>
      </c>
      <c r="P486" s="451"/>
    </row>
    <row r="487" spans="1:16">
      <c r="A487" s="451" t="str">
        <f t="shared" si="7"/>
        <v>0_0</v>
      </c>
      <c r="M487" s="451"/>
      <c r="N487" t="e">
        <f>VLOOKUP(A487, 'P&amp;L'!A:B,1,FALSE)</f>
        <v>#N/A</v>
      </c>
      <c r="O487" t="e">
        <f>VLOOKUP(A487, KeyData!A:C,1,FALSE)</f>
        <v>#N/A</v>
      </c>
      <c r="P487" s="451"/>
    </row>
    <row r="488" spans="1:16">
      <c r="A488" s="451" t="str">
        <f t="shared" si="7"/>
        <v>0_0</v>
      </c>
      <c r="M488" s="451"/>
      <c r="N488" t="e">
        <f>VLOOKUP(A488, 'P&amp;L'!A:B,1,FALSE)</f>
        <v>#N/A</v>
      </c>
      <c r="O488" t="e">
        <f>VLOOKUP(A488, KeyData!A:C,1,FALSE)</f>
        <v>#N/A</v>
      </c>
      <c r="P488" s="451"/>
    </row>
    <row r="489" spans="1:16">
      <c r="A489" s="451" t="str">
        <f t="shared" si="7"/>
        <v>0_0</v>
      </c>
      <c r="M489" s="451"/>
      <c r="N489" t="e">
        <f>VLOOKUP(A489, 'P&amp;L'!A:B,1,FALSE)</f>
        <v>#N/A</v>
      </c>
      <c r="O489" t="e">
        <f>VLOOKUP(A489, KeyData!A:C,1,FALSE)</f>
        <v>#N/A</v>
      </c>
      <c r="P489" s="451"/>
    </row>
    <row r="490" spans="1:16">
      <c r="A490" s="451" t="str">
        <f t="shared" si="7"/>
        <v>0_0</v>
      </c>
      <c r="M490" s="451"/>
      <c r="N490" t="e">
        <f>VLOOKUP(A490, 'P&amp;L'!A:B,1,FALSE)</f>
        <v>#N/A</v>
      </c>
      <c r="O490" t="e">
        <f>VLOOKUP(A490, KeyData!A:C,1,FALSE)</f>
        <v>#N/A</v>
      </c>
      <c r="P490" s="451"/>
    </row>
    <row r="491" spans="1:16">
      <c r="A491" s="451" t="str">
        <f t="shared" si="7"/>
        <v>0_0</v>
      </c>
      <c r="M491" s="451"/>
      <c r="N491" t="e">
        <f>VLOOKUP(A491, 'P&amp;L'!A:B,1,FALSE)</f>
        <v>#N/A</v>
      </c>
      <c r="O491" t="e">
        <f>VLOOKUP(A491, KeyData!A:C,1,FALSE)</f>
        <v>#N/A</v>
      </c>
      <c r="P491" s="451"/>
    </row>
    <row r="492" spans="1:16">
      <c r="A492" s="451" t="str">
        <f t="shared" si="7"/>
        <v>0_0</v>
      </c>
      <c r="M492" s="451"/>
      <c r="N492" t="e">
        <f>VLOOKUP(A492, 'P&amp;L'!A:B,1,FALSE)</f>
        <v>#N/A</v>
      </c>
      <c r="O492" t="e">
        <f>VLOOKUP(A492, KeyData!A:C,1,FALSE)</f>
        <v>#N/A</v>
      </c>
      <c r="P492" s="451"/>
    </row>
    <row r="493" spans="1:16">
      <c r="A493" s="451" t="str">
        <f t="shared" si="7"/>
        <v>0_0</v>
      </c>
      <c r="M493" s="451"/>
      <c r="N493" t="e">
        <f>VLOOKUP(A493, 'P&amp;L'!A:B,1,FALSE)</f>
        <v>#N/A</v>
      </c>
      <c r="O493" t="e">
        <f>VLOOKUP(A493, KeyData!A:C,1,FALSE)</f>
        <v>#N/A</v>
      </c>
      <c r="P493" s="451"/>
    </row>
    <row r="494" spans="1:16">
      <c r="A494" s="451" t="str">
        <f t="shared" si="7"/>
        <v>0_0</v>
      </c>
      <c r="M494" s="451"/>
      <c r="N494" t="e">
        <f>VLOOKUP(A494, 'P&amp;L'!A:B,1,FALSE)</f>
        <v>#N/A</v>
      </c>
      <c r="O494" t="e">
        <f>VLOOKUP(A494, KeyData!A:C,1,FALSE)</f>
        <v>#N/A</v>
      </c>
      <c r="P494" s="451"/>
    </row>
    <row r="495" spans="1:16">
      <c r="A495" s="451" t="str">
        <f t="shared" si="7"/>
        <v>0_0</v>
      </c>
      <c r="M495" s="451"/>
      <c r="N495" t="e">
        <f>VLOOKUP(A495, 'P&amp;L'!A:B,1,FALSE)</f>
        <v>#N/A</v>
      </c>
      <c r="O495" t="e">
        <f>VLOOKUP(A495, KeyData!A:C,1,FALSE)</f>
        <v>#N/A</v>
      </c>
      <c r="P495" s="451"/>
    </row>
    <row r="496" spans="1:16">
      <c r="A496" s="451" t="str">
        <f t="shared" si="7"/>
        <v>0_0</v>
      </c>
      <c r="M496" s="451"/>
      <c r="N496" t="e">
        <f>VLOOKUP(A496, 'P&amp;L'!A:B,1,FALSE)</f>
        <v>#N/A</v>
      </c>
      <c r="O496" t="e">
        <f>VLOOKUP(A496, KeyData!A:C,1,FALSE)</f>
        <v>#N/A</v>
      </c>
      <c r="P496" s="451"/>
    </row>
    <row r="497" spans="1:16">
      <c r="A497" s="451" t="str">
        <f t="shared" si="7"/>
        <v>0_0</v>
      </c>
      <c r="M497" s="451"/>
      <c r="N497" t="e">
        <f>VLOOKUP(A497, 'P&amp;L'!A:B,1,FALSE)</f>
        <v>#N/A</v>
      </c>
      <c r="O497" t="e">
        <f>VLOOKUP(A497, KeyData!A:C,1,FALSE)</f>
        <v>#N/A</v>
      </c>
      <c r="P497" s="451"/>
    </row>
    <row r="498" spans="1:16">
      <c r="A498" s="451" t="str">
        <f t="shared" si="7"/>
        <v>0_0</v>
      </c>
      <c r="M498" s="451"/>
      <c r="N498" t="e">
        <f>VLOOKUP(A498, 'P&amp;L'!A:B,1,FALSE)</f>
        <v>#N/A</v>
      </c>
      <c r="O498" t="e">
        <f>VLOOKUP(A498, KeyData!A:C,1,FALSE)</f>
        <v>#N/A</v>
      </c>
      <c r="P498" s="451"/>
    </row>
    <row r="499" spans="1:16">
      <c r="A499" s="451" t="str">
        <f t="shared" si="7"/>
        <v>0_0</v>
      </c>
      <c r="M499" s="451"/>
      <c r="N499" t="e">
        <f>VLOOKUP(A499, 'P&amp;L'!A:B,1,FALSE)</f>
        <v>#N/A</v>
      </c>
      <c r="O499" t="e">
        <f>VLOOKUP(A499, KeyData!A:C,1,FALSE)</f>
        <v>#N/A</v>
      </c>
      <c r="P499" s="451"/>
    </row>
    <row r="500" spans="1:16">
      <c r="A500" s="451" t="str">
        <f t="shared" si="7"/>
        <v>0_0</v>
      </c>
      <c r="M500" s="451"/>
      <c r="N500" t="e">
        <f>VLOOKUP(A500, 'P&amp;L'!A:B,1,FALSE)</f>
        <v>#N/A</v>
      </c>
      <c r="O500" t="e">
        <f>VLOOKUP(A500, KeyData!A:C,1,FALSE)</f>
        <v>#N/A</v>
      </c>
      <c r="P500" s="451"/>
    </row>
    <row r="501" spans="1:16">
      <c r="A501" s="451" t="str">
        <f t="shared" si="7"/>
        <v>0_0</v>
      </c>
      <c r="N501" t="e">
        <f>VLOOKUP(A501, 'P&amp;L'!A:B,1,FALSE)</f>
        <v>#N/A</v>
      </c>
      <c r="O501" t="e">
        <f>VLOOKUP(A501, KeyData!A:C,1,FALSE)</f>
        <v>#N/A</v>
      </c>
    </row>
    <row r="502" spans="1:16">
      <c r="A502" s="451" t="str">
        <f t="shared" si="7"/>
        <v>0_0</v>
      </c>
      <c r="N502" t="e">
        <f>VLOOKUP(A502, 'P&amp;L'!A:B,1,FALSE)</f>
        <v>#N/A</v>
      </c>
      <c r="O502" t="e">
        <f>VLOOKUP(A502, KeyData!A:C,1,FALSE)</f>
        <v>#N/A</v>
      </c>
    </row>
    <row r="503" spans="1:16">
      <c r="A503" s="451" t="str">
        <f t="shared" si="7"/>
        <v>0_0</v>
      </c>
      <c r="N503" t="e">
        <f>VLOOKUP(A503, 'P&amp;L'!A:B,1,FALSE)</f>
        <v>#N/A</v>
      </c>
      <c r="O503" t="e">
        <f>VLOOKUP(A503, KeyData!A:C,1,FALSE)</f>
        <v>#N/A</v>
      </c>
    </row>
    <row r="504" spans="1:16">
      <c r="A504" s="451" t="str">
        <f t="shared" si="7"/>
        <v>0_0</v>
      </c>
      <c r="N504" t="e">
        <f>VLOOKUP(A504, 'P&amp;L'!A:B,1,FALSE)</f>
        <v>#N/A</v>
      </c>
      <c r="O504" t="e">
        <f>VLOOKUP(A504, KeyData!A:C,1,FALSE)</f>
        <v>#N/A</v>
      </c>
    </row>
    <row r="505" spans="1:16">
      <c r="A505" s="451" t="str">
        <f t="shared" si="7"/>
        <v>0_0</v>
      </c>
      <c r="N505" t="e">
        <f>VLOOKUP(A505, 'P&amp;L'!A:B,1,FALSE)</f>
        <v>#N/A</v>
      </c>
      <c r="O505" t="e">
        <f>VLOOKUP(A505, KeyData!A:C,1,FALSE)</f>
        <v>#N/A</v>
      </c>
    </row>
    <row r="506" spans="1:16">
      <c r="A506" s="451" t="str">
        <f t="shared" si="7"/>
        <v>0_0</v>
      </c>
      <c r="N506" t="e">
        <f>VLOOKUP(A506, 'P&amp;L'!A:B,1,FALSE)</f>
        <v>#N/A</v>
      </c>
      <c r="O506" t="e">
        <f>VLOOKUP(A506, KeyData!A:C,1,FALSE)</f>
        <v>#N/A</v>
      </c>
    </row>
    <row r="507" spans="1:16">
      <c r="A507" s="451" t="str">
        <f t="shared" si="7"/>
        <v>0_0</v>
      </c>
      <c r="N507" t="e">
        <f>VLOOKUP(A507, 'P&amp;L'!A:B,1,FALSE)</f>
        <v>#N/A</v>
      </c>
      <c r="O507" t="e">
        <f>VLOOKUP(A507, KeyData!A:C,1,FALSE)</f>
        <v>#N/A</v>
      </c>
    </row>
    <row r="508" spans="1:16">
      <c r="A508" s="451" t="str">
        <f t="shared" si="7"/>
        <v>0_0</v>
      </c>
      <c r="N508" t="e">
        <f>VLOOKUP(A508, 'P&amp;L'!A:B,1,FALSE)</f>
        <v>#N/A</v>
      </c>
      <c r="O508" t="e">
        <f>VLOOKUP(A508, KeyData!A:C,1,FALSE)</f>
        <v>#N/A</v>
      </c>
    </row>
    <row r="509" spans="1:16">
      <c r="A509" s="451" t="str">
        <f t="shared" si="7"/>
        <v>0_0</v>
      </c>
      <c r="N509" t="e">
        <f>VLOOKUP(A509, 'P&amp;L'!A:B,1,FALSE)</f>
        <v>#N/A</v>
      </c>
      <c r="O509" t="e">
        <f>VLOOKUP(A509, KeyData!A:C,1,FALSE)</f>
        <v>#N/A</v>
      </c>
    </row>
    <row r="510" spans="1:16">
      <c r="A510" s="451" t="str">
        <f t="shared" si="7"/>
        <v>0_0</v>
      </c>
      <c r="N510" t="e">
        <f>VLOOKUP(A510, 'P&amp;L'!A:B,1,FALSE)</f>
        <v>#N/A</v>
      </c>
      <c r="O510" t="e">
        <f>VLOOKUP(A510, KeyData!A:C,1,FALSE)</f>
        <v>#N/A</v>
      </c>
    </row>
    <row r="511" spans="1:16">
      <c r="A511" s="451" t="str">
        <f t="shared" si="7"/>
        <v>0_0</v>
      </c>
      <c r="N511" t="e">
        <f>VLOOKUP(A511, 'P&amp;L'!A:B,1,FALSE)</f>
        <v>#N/A</v>
      </c>
      <c r="O511" t="e">
        <f>VLOOKUP(A511, KeyData!A:C,1,FALSE)</f>
        <v>#N/A</v>
      </c>
    </row>
    <row r="512" spans="1:16">
      <c r="A512" s="451" t="str">
        <f t="shared" si="7"/>
        <v>0_0</v>
      </c>
      <c r="N512" t="e">
        <f>VLOOKUP(A512, 'P&amp;L'!A:B,1,FALSE)</f>
        <v>#N/A</v>
      </c>
      <c r="O512" t="e">
        <f>VLOOKUP(A512, KeyData!A:C,1,FALSE)</f>
        <v>#N/A</v>
      </c>
    </row>
    <row r="513" spans="1:15">
      <c r="A513" s="451" t="str">
        <f t="shared" si="7"/>
        <v>0_0</v>
      </c>
      <c r="N513" t="e">
        <f>VLOOKUP(A513, 'P&amp;L'!A:B,1,FALSE)</f>
        <v>#N/A</v>
      </c>
      <c r="O513" t="e">
        <f>VLOOKUP(A513, KeyData!A:C,1,FALSE)</f>
        <v>#N/A</v>
      </c>
    </row>
    <row r="514" spans="1:15">
      <c r="A514" s="451" t="str">
        <f t="shared" si="7"/>
        <v>0_0</v>
      </c>
      <c r="N514" t="e">
        <f>VLOOKUP(A514, 'P&amp;L'!A:B,1,FALSE)</f>
        <v>#N/A</v>
      </c>
      <c r="O514" t="e">
        <f>VLOOKUP(A514, KeyData!A:C,1,FALSE)</f>
        <v>#N/A</v>
      </c>
    </row>
    <row r="515" spans="1:15">
      <c r="A515" s="451" t="str">
        <f t="shared" ref="A515:A578" si="8" xml:space="preserve"> IFERROR(+B515*1,B515)&amp;"_"&amp;IFERROR(+D515*1,D515)</f>
        <v>0_0</v>
      </c>
      <c r="N515" t="e">
        <f>VLOOKUP(A515, 'P&amp;L'!A:B,1,FALSE)</f>
        <v>#N/A</v>
      </c>
      <c r="O515" t="e">
        <f>VLOOKUP(A515, KeyData!A:C,1,FALSE)</f>
        <v>#N/A</v>
      </c>
    </row>
    <row r="516" spans="1:15">
      <c r="A516" s="451" t="str">
        <f t="shared" si="8"/>
        <v>0_0</v>
      </c>
      <c r="N516" t="e">
        <f>VLOOKUP(A516, 'P&amp;L'!A:B,1,FALSE)</f>
        <v>#N/A</v>
      </c>
      <c r="O516" t="e">
        <f>VLOOKUP(A516, KeyData!A:C,1,FALSE)</f>
        <v>#N/A</v>
      </c>
    </row>
    <row r="517" spans="1:15">
      <c r="A517" s="451" t="str">
        <f t="shared" si="8"/>
        <v>0_0</v>
      </c>
      <c r="N517" t="e">
        <f>VLOOKUP(A517, 'P&amp;L'!A:B,1,FALSE)</f>
        <v>#N/A</v>
      </c>
      <c r="O517" t="e">
        <f>VLOOKUP(A517, KeyData!A:C,1,FALSE)</f>
        <v>#N/A</v>
      </c>
    </row>
    <row r="518" spans="1:15">
      <c r="A518" s="451" t="str">
        <f t="shared" si="8"/>
        <v>0_0</v>
      </c>
      <c r="N518" t="e">
        <f>VLOOKUP(A518, 'P&amp;L'!A:B,1,FALSE)</f>
        <v>#N/A</v>
      </c>
      <c r="O518" t="e">
        <f>VLOOKUP(A518, KeyData!A:C,1,FALSE)</f>
        <v>#N/A</v>
      </c>
    </row>
    <row r="519" spans="1:15">
      <c r="A519" s="451" t="str">
        <f t="shared" si="8"/>
        <v>0_0</v>
      </c>
      <c r="N519" t="e">
        <f>VLOOKUP(A519, 'P&amp;L'!A:B,1,FALSE)</f>
        <v>#N/A</v>
      </c>
      <c r="O519" t="e">
        <f>VLOOKUP(A519, KeyData!A:C,1,FALSE)</f>
        <v>#N/A</v>
      </c>
    </row>
    <row r="520" spans="1:15">
      <c r="A520" s="451" t="str">
        <f t="shared" si="8"/>
        <v>0_0</v>
      </c>
      <c r="N520" t="e">
        <f>VLOOKUP(A520, 'P&amp;L'!A:B,1,FALSE)</f>
        <v>#N/A</v>
      </c>
      <c r="O520" t="e">
        <f>VLOOKUP(A520, KeyData!A:C,1,FALSE)</f>
        <v>#N/A</v>
      </c>
    </row>
    <row r="521" spans="1:15">
      <c r="A521" s="451" t="str">
        <f t="shared" si="8"/>
        <v>0_0</v>
      </c>
      <c r="N521" t="e">
        <f>VLOOKUP(A521, 'P&amp;L'!A:B,1,FALSE)</f>
        <v>#N/A</v>
      </c>
      <c r="O521" t="e">
        <f>VLOOKUP(A521, KeyData!A:C,1,FALSE)</f>
        <v>#N/A</v>
      </c>
    </row>
    <row r="522" spans="1:15">
      <c r="A522" s="451" t="str">
        <f t="shared" si="8"/>
        <v>0_0</v>
      </c>
      <c r="N522" t="e">
        <f>VLOOKUP(A522, 'P&amp;L'!A:B,1,FALSE)</f>
        <v>#N/A</v>
      </c>
      <c r="O522" t="e">
        <f>VLOOKUP(A522, KeyData!A:C,1,FALSE)</f>
        <v>#N/A</v>
      </c>
    </row>
    <row r="523" spans="1:15">
      <c r="A523" s="451" t="str">
        <f t="shared" si="8"/>
        <v>0_0</v>
      </c>
      <c r="N523" t="e">
        <f>VLOOKUP(A523, 'P&amp;L'!A:B,1,FALSE)</f>
        <v>#N/A</v>
      </c>
      <c r="O523" t="e">
        <f>VLOOKUP(A523, KeyData!A:C,1,FALSE)</f>
        <v>#N/A</v>
      </c>
    </row>
    <row r="524" spans="1:15">
      <c r="A524" s="451" t="str">
        <f t="shared" si="8"/>
        <v>0_0</v>
      </c>
      <c r="N524" t="e">
        <f>VLOOKUP(A524, 'P&amp;L'!A:B,1,FALSE)</f>
        <v>#N/A</v>
      </c>
      <c r="O524" t="e">
        <f>VLOOKUP(A524, KeyData!A:C,1,FALSE)</f>
        <v>#N/A</v>
      </c>
    </row>
    <row r="525" spans="1:15">
      <c r="A525" s="451" t="str">
        <f t="shared" si="8"/>
        <v>0_0</v>
      </c>
      <c r="N525" t="e">
        <f>VLOOKUP(A525, 'P&amp;L'!A:B,1,FALSE)</f>
        <v>#N/A</v>
      </c>
      <c r="O525" t="e">
        <f>VLOOKUP(A525, KeyData!A:C,1,FALSE)</f>
        <v>#N/A</v>
      </c>
    </row>
    <row r="526" spans="1:15">
      <c r="A526" s="451" t="str">
        <f t="shared" si="8"/>
        <v>0_0</v>
      </c>
      <c r="N526" t="e">
        <f>VLOOKUP(A526, 'P&amp;L'!A:B,1,FALSE)</f>
        <v>#N/A</v>
      </c>
      <c r="O526" t="e">
        <f>VLOOKUP(A526, KeyData!A:C,1,FALSE)</f>
        <v>#N/A</v>
      </c>
    </row>
    <row r="527" spans="1:15">
      <c r="A527" s="451" t="str">
        <f t="shared" si="8"/>
        <v>0_0</v>
      </c>
      <c r="N527" t="e">
        <f>VLOOKUP(A527, 'P&amp;L'!A:B,1,FALSE)</f>
        <v>#N/A</v>
      </c>
      <c r="O527" t="e">
        <f>VLOOKUP(A527, KeyData!A:C,1,FALSE)</f>
        <v>#N/A</v>
      </c>
    </row>
    <row r="528" spans="1:15">
      <c r="A528" s="451" t="str">
        <f t="shared" si="8"/>
        <v>0_0</v>
      </c>
      <c r="N528" t="e">
        <f>VLOOKUP(A528, 'P&amp;L'!A:B,1,FALSE)</f>
        <v>#N/A</v>
      </c>
      <c r="O528" t="e">
        <f>VLOOKUP(A528, KeyData!A:C,1,FALSE)</f>
        <v>#N/A</v>
      </c>
    </row>
    <row r="529" spans="1:15">
      <c r="A529" s="451" t="str">
        <f t="shared" si="8"/>
        <v>0_0</v>
      </c>
      <c r="N529" t="e">
        <f>VLOOKUP(A529, 'P&amp;L'!A:B,1,FALSE)</f>
        <v>#N/A</v>
      </c>
      <c r="O529" t="e">
        <f>VLOOKUP(A529, KeyData!A:C,1,FALSE)</f>
        <v>#N/A</v>
      </c>
    </row>
    <row r="530" spans="1:15">
      <c r="A530" s="451" t="str">
        <f t="shared" si="8"/>
        <v>0_0</v>
      </c>
      <c r="N530" t="e">
        <f>VLOOKUP(A530, 'P&amp;L'!A:B,1,FALSE)</f>
        <v>#N/A</v>
      </c>
      <c r="O530" t="e">
        <f>VLOOKUP(A530, KeyData!A:C,1,FALSE)</f>
        <v>#N/A</v>
      </c>
    </row>
    <row r="531" spans="1:15">
      <c r="A531" s="451" t="str">
        <f t="shared" si="8"/>
        <v>0_0</v>
      </c>
      <c r="N531" t="e">
        <f>VLOOKUP(A531, 'P&amp;L'!A:B,1,FALSE)</f>
        <v>#N/A</v>
      </c>
      <c r="O531" t="e">
        <f>VLOOKUP(A531, KeyData!A:C,1,FALSE)</f>
        <v>#N/A</v>
      </c>
    </row>
    <row r="532" spans="1:15">
      <c r="A532" s="451" t="str">
        <f t="shared" si="8"/>
        <v>0_0</v>
      </c>
      <c r="N532" t="e">
        <f>VLOOKUP(A532, 'P&amp;L'!A:B,1,FALSE)</f>
        <v>#N/A</v>
      </c>
      <c r="O532" t="e">
        <f>VLOOKUP(A532, KeyData!A:C,1,FALSE)</f>
        <v>#N/A</v>
      </c>
    </row>
    <row r="533" spans="1:15">
      <c r="A533" s="451" t="str">
        <f t="shared" si="8"/>
        <v>0_0</v>
      </c>
      <c r="N533" t="e">
        <f>VLOOKUP(A533, 'P&amp;L'!A:B,1,FALSE)</f>
        <v>#N/A</v>
      </c>
      <c r="O533" t="e">
        <f>VLOOKUP(A533, KeyData!A:C,1,FALSE)</f>
        <v>#N/A</v>
      </c>
    </row>
    <row r="534" spans="1:15">
      <c r="A534" s="451" t="str">
        <f t="shared" si="8"/>
        <v>0_0</v>
      </c>
      <c r="N534" t="e">
        <f>VLOOKUP(A534, 'P&amp;L'!A:B,1,FALSE)</f>
        <v>#N/A</v>
      </c>
      <c r="O534" t="e">
        <f>VLOOKUP(A534, KeyData!A:C,1,FALSE)</f>
        <v>#N/A</v>
      </c>
    </row>
    <row r="535" spans="1:15">
      <c r="A535" s="451" t="str">
        <f t="shared" si="8"/>
        <v>0_0</v>
      </c>
      <c r="N535" t="e">
        <f>VLOOKUP(A535, 'P&amp;L'!A:B,1,FALSE)</f>
        <v>#N/A</v>
      </c>
      <c r="O535" t="e">
        <f>VLOOKUP(A535, KeyData!A:C,1,FALSE)</f>
        <v>#N/A</v>
      </c>
    </row>
    <row r="536" spans="1:15">
      <c r="A536" s="451" t="str">
        <f t="shared" si="8"/>
        <v>0_0</v>
      </c>
      <c r="N536" t="e">
        <f>VLOOKUP(A536, 'P&amp;L'!A:B,1,FALSE)</f>
        <v>#N/A</v>
      </c>
      <c r="O536" t="e">
        <f>VLOOKUP(A536, KeyData!A:C,1,FALSE)</f>
        <v>#N/A</v>
      </c>
    </row>
    <row r="537" spans="1:15">
      <c r="A537" s="451" t="str">
        <f t="shared" si="8"/>
        <v>0_0</v>
      </c>
      <c r="N537" t="e">
        <f>VLOOKUP(A537, 'P&amp;L'!A:B,1,FALSE)</f>
        <v>#N/A</v>
      </c>
      <c r="O537" t="e">
        <f>VLOOKUP(A537, KeyData!A:C,1,FALSE)</f>
        <v>#N/A</v>
      </c>
    </row>
    <row r="538" spans="1:15">
      <c r="A538" s="451" t="str">
        <f t="shared" si="8"/>
        <v>0_0</v>
      </c>
      <c r="N538" t="e">
        <f>VLOOKUP(A538, 'P&amp;L'!A:B,1,FALSE)</f>
        <v>#N/A</v>
      </c>
      <c r="O538" t="e">
        <f>VLOOKUP(A538, KeyData!A:C,1,FALSE)</f>
        <v>#N/A</v>
      </c>
    </row>
    <row r="539" spans="1:15">
      <c r="A539" s="451" t="str">
        <f t="shared" si="8"/>
        <v>0_0</v>
      </c>
      <c r="N539" t="e">
        <f>VLOOKUP(A539, 'P&amp;L'!A:B,1,FALSE)</f>
        <v>#N/A</v>
      </c>
      <c r="O539" t="e">
        <f>VLOOKUP(A539, KeyData!A:C,1,FALSE)</f>
        <v>#N/A</v>
      </c>
    </row>
    <row r="540" spans="1:15">
      <c r="A540" s="451" t="str">
        <f t="shared" si="8"/>
        <v>0_0</v>
      </c>
      <c r="N540" t="e">
        <f>VLOOKUP(A540, 'P&amp;L'!A:B,1,FALSE)</f>
        <v>#N/A</v>
      </c>
      <c r="O540" t="e">
        <f>VLOOKUP(A540, KeyData!A:C,1,FALSE)</f>
        <v>#N/A</v>
      </c>
    </row>
    <row r="541" spans="1:15">
      <c r="A541" s="451" t="str">
        <f t="shared" si="8"/>
        <v>0_0</v>
      </c>
      <c r="N541" t="e">
        <f>VLOOKUP(A541, 'P&amp;L'!A:B,1,FALSE)</f>
        <v>#N/A</v>
      </c>
      <c r="O541" t="e">
        <f>VLOOKUP(A541, KeyData!A:C,1,FALSE)</f>
        <v>#N/A</v>
      </c>
    </row>
    <row r="542" spans="1:15">
      <c r="A542" s="451" t="str">
        <f t="shared" si="8"/>
        <v>0_0</v>
      </c>
      <c r="N542" t="e">
        <f>VLOOKUP(A542, 'P&amp;L'!A:B,1,FALSE)</f>
        <v>#N/A</v>
      </c>
      <c r="O542" t="e">
        <f>VLOOKUP(A542, KeyData!A:C,1,FALSE)</f>
        <v>#N/A</v>
      </c>
    </row>
    <row r="543" spans="1:15">
      <c r="A543" s="451" t="str">
        <f t="shared" si="8"/>
        <v>0_0</v>
      </c>
      <c r="N543" t="e">
        <f>VLOOKUP(A543, 'P&amp;L'!A:B,1,FALSE)</f>
        <v>#N/A</v>
      </c>
      <c r="O543" t="e">
        <f>VLOOKUP(A543, KeyData!A:C,1,FALSE)</f>
        <v>#N/A</v>
      </c>
    </row>
    <row r="544" spans="1:15">
      <c r="A544" s="451" t="str">
        <f t="shared" si="8"/>
        <v>0_0</v>
      </c>
      <c r="N544" t="e">
        <f>VLOOKUP(A544, 'P&amp;L'!A:B,1,FALSE)</f>
        <v>#N/A</v>
      </c>
      <c r="O544" t="e">
        <f>VLOOKUP(A544, KeyData!A:C,1,FALSE)</f>
        <v>#N/A</v>
      </c>
    </row>
    <row r="545" spans="1:15">
      <c r="A545" s="451" t="str">
        <f t="shared" si="8"/>
        <v>0_0</v>
      </c>
      <c r="N545" t="e">
        <f>VLOOKUP(A545, 'P&amp;L'!A:B,1,FALSE)</f>
        <v>#N/A</v>
      </c>
      <c r="O545" t="e">
        <f>VLOOKUP(A545, KeyData!A:C,1,FALSE)</f>
        <v>#N/A</v>
      </c>
    </row>
    <row r="546" spans="1:15">
      <c r="A546" s="451" t="str">
        <f t="shared" si="8"/>
        <v>0_0</v>
      </c>
      <c r="N546" t="e">
        <f>VLOOKUP(A546, 'P&amp;L'!A:B,1,FALSE)</f>
        <v>#N/A</v>
      </c>
      <c r="O546" t="e">
        <f>VLOOKUP(A546, KeyData!A:C,1,FALSE)</f>
        <v>#N/A</v>
      </c>
    </row>
    <row r="547" spans="1:15">
      <c r="A547" s="451" t="str">
        <f t="shared" si="8"/>
        <v>0_0</v>
      </c>
      <c r="N547" t="e">
        <f>VLOOKUP(A547, 'P&amp;L'!A:B,1,FALSE)</f>
        <v>#N/A</v>
      </c>
      <c r="O547" t="e">
        <f>VLOOKUP(A547, KeyData!A:C,1,FALSE)</f>
        <v>#N/A</v>
      </c>
    </row>
    <row r="548" spans="1:15">
      <c r="A548" s="451" t="str">
        <f t="shared" si="8"/>
        <v>0_0</v>
      </c>
      <c r="N548" t="e">
        <f>VLOOKUP(A548, 'P&amp;L'!A:B,1,FALSE)</f>
        <v>#N/A</v>
      </c>
      <c r="O548" t="e">
        <f>VLOOKUP(A548, KeyData!A:C,1,FALSE)</f>
        <v>#N/A</v>
      </c>
    </row>
    <row r="549" spans="1:15">
      <c r="A549" s="451" t="str">
        <f t="shared" si="8"/>
        <v>0_0</v>
      </c>
      <c r="N549" t="e">
        <f>VLOOKUP(A549, 'P&amp;L'!A:B,1,FALSE)</f>
        <v>#N/A</v>
      </c>
      <c r="O549" t="e">
        <f>VLOOKUP(A549, KeyData!A:C,1,FALSE)</f>
        <v>#N/A</v>
      </c>
    </row>
    <row r="550" spans="1:15">
      <c r="A550" s="451" t="str">
        <f t="shared" si="8"/>
        <v>0_0</v>
      </c>
      <c r="N550" t="e">
        <f>VLOOKUP(A550, 'P&amp;L'!A:B,1,FALSE)</f>
        <v>#N/A</v>
      </c>
      <c r="O550" t="e">
        <f>VLOOKUP(A550, KeyData!A:C,1,FALSE)</f>
        <v>#N/A</v>
      </c>
    </row>
    <row r="551" spans="1:15">
      <c r="A551" s="451" t="str">
        <f t="shared" si="8"/>
        <v>0_0</v>
      </c>
      <c r="N551" t="e">
        <f>VLOOKUP(A551, 'P&amp;L'!A:B,1,FALSE)</f>
        <v>#N/A</v>
      </c>
      <c r="O551" t="e">
        <f>VLOOKUP(A551, KeyData!A:C,1,FALSE)</f>
        <v>#N/A</v>
      </c>
    </row>
    <row r="552" spans="1:15">
      <c r="A552" s="451" t="str">
        <f t="shared" si="8"/>
        <v>0_0</v>
      </c>
      <c r="N552" t="e">
        <f>VLOOKUP(A552, 'P&amp;L'!A:B,1,FALSE)</f>
        <v>#N/A</v>
      </c>
      <c r="O552" t="e">
        <f>VLOOKUP(A552, KeyData!A:C,1,FALSE)</f>
        <v>#N/A</v>
      </c>
    </row>
    <row r="553" spans="1:15">
      <c r="A553" s="451" t="str">
        <f t="shared" si="8"/>
        <v>0_0</v>
      </c>
      <c r="N553" t="e">
        <f>VLOOKUP(A553, 'P&amp;L'!A:B,1,FALSE)</f>
        <v>#N/A</v>
      </c>
      <c r="O553" t="e">
        <f>VLOOKUP(A553, KeyData!A:C,1,FALSE)</f>
        <v>#N/A</v>
      </c>
    </row>
    <row r="554" spans="1:15">
      <c r="A554" s="451" t="str">
        <f t="shared" si="8"/>
        <v>0_0</v>
      </c>
      <c r="N554" t="e">
        <f>VLOOKUP(A554, 'P&amp;L'!A:B,1,FALSE)</f>
        <v>#N/A</v>
      </c>
      <c r="O554" t="e">
        <f>VLOOKUP(A554, KeyData!A:C,1,FALSE)</f>
        <v>#N/A</v>
      </c>
    </row>
    <row r="555" spans="1:15">
      <c r="A555" s="451" t="str">
        <f t="shared" si="8"/>
        <v>0_0</v>
      </c>
      <c r="N555" t="e">
        <f>VLOOKUP(A555, 'P&amp;L'!A:B,1,FALSE)</f>
        <v>#N/A</v>
      </c>
      <c r="O555" t="e">
        <f>VLOOKUP(A555, KeyData!A:C,1,FALSE)</f>
        <v>#N/A</v>
      </c>
    </row>
    <row r="556" spans="1:15">
      <c r="A556" s="451" t="str">
        <f t="shared" si="8"/>
        <v>0_0</v>
      </c>
      <c r="N556" t="e">
        <f>VLOOKUP(A556, 'P&amp;L'!A:B,1,FALSE)</f>
        <v>#N/A</v>
      </c>
      <c r="O556" t="e">
        <f>VLOOKUP(A556, KeyData!A:C,1,FALSE)</f>
        <v>#N/A</v>
      </c>
    </row>
    <row r="557" spans="1:15">
      <c r="A557" s="451" t="str">
        <f t="shared" si="8"/>
        <v>0_0</v>
      </c>
      <c r="N557" t="e">
        <f>VLOOKUP(A557, 'P&amp;L'!A:B,1,FALSE)</f>
        <v>#N/A</v>
      </c>
      <c r="O557" t="e">
        <f>VLOOKUP(A557, KeyData!A:C,1,FALSE)</f>
        <v>#N/A</v>
      </c>
    </row>
    <row r="558" spans="1:15">
      <c r="A558" s="451" t="str">
        <f t="shared" si="8"/>
        <v>0_0</v>
      </c>
      <c r="N558" t="e">
        <f>VLOOKUP(A558, 'P&amp;L'!A:B,1,FALSE)</f>
        <v>#N/A</v>
      </c>
      <c r="O558" t="e">
        <f>VLOOKUP(A558, KeyData!A:C,1,FALSE)</f>
        <v>#N/A</v>
      </c>
    </row>
    <row r="559" spans="1:15">
      <c r="A559" s="451" t="str">
        <f t="shared" si="8"/>
        <v>0_0</v>
      </c>
      <c r="N559" t="e">
        <f>VLOOKUP(A559, 'P&amp;L'!A:B,1,FALSE)</f>
        <v>#N/A</v>
      </c>
      <c r="O559" t="e">
        <f>VLOOKUP(A559, KeyData!A:C,1,FALSE)</f>
        <v>#N/A</v>
      </c>
    </row>
    <row r="560" spans="1:15">
      <c r="A560" s="451" t="str">
        <f t="shared" si="8"/>
        <v>0_0</v>
      </c>
      <c r="N560" t="e">
        <f>VLOOKUP(A560, 'P&amp;L'!A:B,1,FALSE)</f>
        <v>#N/A</v>
      </c>
      <c r="O560" t="e">
        <f>VLOOKUP(A560, KeyData!A:C,1,FALSE)</f>
        <v>#N/A</v>
      </c>
    </row>
    <row r="561" spans="1:15">
      <c r="A561" s="451" t="str">
        <f t="shared" si="8"/>
        <v>0_0</v>
      </c>
      <c r="N561" t="e">
        <f>VLOOKUP(A561, 'P&amp;L'!A:B,1,FALSE)</f>
        <v>#N/A</v>
      </c>
      <c r="O561" t="e">
        <f>VLOOKUP(A561, KeyData!A:C,1,FALSE)</f>
        <v>#N/A</v>
      </c>
    </row>
    <row r="562" spans="1:15">
      <c r="A562" s="451" t="str">
        <f t="shared" si="8"/>
        <v>0_0</v>
      </c>
      <c r="N562" t="e">
        <f>VLOOKUP(A562, 'P&amp;L'!A:B,1,FALSE)</f>
        <v>#N/A</v>
      </c>
      <c r="O562" t="e">
        <f>VLOOKUP(A562, KeyData!A:C,1,FALSE)</f>
        <v>#N/A</v>
      </c>
    </row>
    <row r="563" spans="1:15">
      <c r="A563" s="451" t="str">
        <f t="shared" si="8"/>
        <v>0_0</v>
      </c>
      <c r="N563" t="e">
        <f>VLOOKUP(A563, 'P&amp;L'!A:B,1,FALSE)</f>
        <v>#N/A</v>
      </c>
      <c r="O563" t="e">
        <f>VLOOKUP(A563, KeyData!A:C,1,FALSE)</f>
        <v>#N/A</v>
      </c>
    </row>
    <row r="564" spans="1:15">
      <c r="A564" s="451" t="str">
        <f t="shared" si="8"/>
        <v>0_0</v>
      </c>
      <c r="N564" t="e">
        <f>VLOOKUP(A564, 'P&amp;L'!A:B,1,FALSE)</f>
        <v>#N/A</v>
      </c>
      <c r="O564" t="e">
        <f>VLOOKUP(A564, KeyData!A:C,1,FALSE)</f>
        <v>#N/A</v>
      </c>
    </row>
    <row r="565" spans="1:15">
      <c r="A565" s="451" t="str">
        <f t="shared" si="8"/>
        <v>0_0</v>
      </c>
      <c r="N565" t="e">
        <f>VLOOKUP(A565, 'P&amp;L'!A:B,1,FALSE)</f>
        <v>#N/A</v>
      </c>
      <c r="O565" t="e">
        <f>VLOOKUP(A565, KeyData!A:C,1,FALSE)</f>
        <v>#N/A</v>
      </c>
    </row>
    <row r="566" spans="1:15">
      <c r="A566" s="451" t="str">
        <f t="shared" si="8"/>
        <v>0_0</v>
      </c>
      <c r="N566" t="e">
        <f>VLOOKUP(A566, 'P&amp;L'!A:B,1,FALSE)</f>
        <v>#N/A</v>
      </c>
      <c r="O566" t="e">
        <f>VLOOKUP(A566, KeyData!A:C,1,FALSE)</f>
        <v>#N/A</v>
      </c>
    </row>
    <row r="567" spans="1:15">
      <c r="A567" s="451" t="str">
        <f t="shared" si="8"/>
        <v>0_0</v>
      </c>
      <c r="N567" t="e">
        <f>VLOOKUP(A567, 'P&amp;L'!A:B,1,FALSE)</f>
        <v>#N/A</v>
      </c>
      <c r="O567" t="e">
        <f>VLOOKUP(A567, KeyData!A:C,1,FALSE)</f>
        <v>#N/A</v>
      </c>
    </row>
    <row r="568" spans="1:15">
      <c r="A568" s="451" t="str">
        <f t="shared" si="8"/>
        <v>0_0</v>
      </c>
      <c r="N568" t="e">
        <f>VLOOKUP(A568, 'P&amp;L'!A:B,1,FALSE)</f>
        <v>#N/A</v>
      </c>
      <c r="O568" t="e">
        <f>VLOOKUP(A568, KeyData!A:C,1,FALSE)</f>
        <v>#N/A</v>
      </c>
    </row>
    <row r="569" spans="1:15">
      <c r="A569" s="451" t="str">
        <f t="shared" si="8"/>
        <v>0_0</v>
      </c>
      <c r="N569" t="e">
        <f>VLOOKUP(A569, 'P&amp;L'!A:B,1,FALSE)</f>
        <v>#N/A</v>
      </c>
      <c r="O569" t="e">
        <f>VLOOKUP(A569, KeyData!A:C,1,FALSE)</f>
        <v>#N/A</v>
      </c>
    </row>
    <row r="570" spans="1:15">
      <c r="A570" s="451" t="str">
        <f t="shared" si="8"/>
        <v>0_0</v>
      </c>
      <c r="N570" t="e">
        <f>VLOOKUP(A570, 'P&amp;L'!A:B,1,FALSE)</f>
        <v>#N/A</v>
      </c>
      <c r="O570" t="e">
        <f>VLOOKUP(A570, KeyData!A:C,1,FALSE)</f>
        <v>#N/A</v>
      </c>
    </row>
    <row r="571" spans="1:15">
      <c r="A571" s="451" t="str">
        <f t="shared" si="8"/>
        <v>0_0</v>
      </c>
      <c r="N571" t="e">
        <f>VLOOKUP(A571, 'P&amp;L'!A:B,1,FALSE)</f>
        <v>#N/A</v>
      </c>
      <c r="O571" t="e">
        <f>VLOOKUP(A571, KeyData!A:C,1,FALSE)</f>
        <v>#N/A</v>
      </c>
    </row>
    <row r="572" spans="1:15">
      <c r="A572" s="451" t="str">
        <f t="shared" si="8"/>
        <v>0_0</v>
      </c>
      <c r="N572" t="e">
        <f>VLOOKUP(A572, 'P&amp;L'!A:B,1,FALSE)</f>
        <v>#N/A</v>
      </c>
      <c r="O572" t="e">
        <f>VLOOKUP(A572, KeyData!A:C,1,FALSE)</f>
        <v>#N/A</v>
      </c>
    </row>
    <row r="573" spans="1:15">
      <c r="A573" s="451" t="str">
        <f t="shared" si="8"/>
        <v>0_0</v>
      </c>
      <c r="N573" t="e">
        <f>VLOOKUP(A573, 'P&amp;L'!A:B,1,FALSE)</f>
        <v>#N/A</v>
      </c>
      <c r="O573" t="e">
        <f>VLOOKUP(A573, KeyData!A:C,1,FALSE)</f>
        <v>#N/A</v>
      </c>
    </row>
    <row r="574" spans="1:15">
      <c r="A574" s="451" t="str">
        <f t="shared" si="8"/>
        <v>0_0</v>
      </c>
      <c r="N574" t="e">
        <f>VLOOKUP(A574, 'P&amp;L'!A:B,1,FALSE)</f>
        <v>#N/A</v>
      </c>
      <c r="O574" t="e">
        <f>VLOOKUP(A574, KeyData!A:C,1,FALSE)</f>
        <v>#N/A</v>
      </c>
    </row>
    <row r="575" spans="1:15">
      <c r="A575" s="451" t="str">
        <f t="shared" si="8"/>
        <v>0_0</v>
      </c>
      <c r="N575" t="e">
        <f>VLOOKUP(A575, 'P&amp;L'!A:B,1,FALSE)</f>
        <v>#N/A</v>
      </c>
      <c r="O575" t="e">
        <f>VLOOKUP(A575, KeyData!A:C,1,FALSE)</f>
        <v>#N/A</v>
      </c>
    </row>
    <row r="576" spans="1:15">
      <c r="A576" s="451" t="str">
        <f t="shared" si="8"/>
        <v>0_0</v>
      </c>
      <c r="N576" t="e">
        <f>VLOOKUP(A576, 'P&amp;L'!A:B,1,FALSE)</f>
        <v>#N/A</v>
      </c>
      <c r="O576" t="e">
        <f>VLOOKUP(A576, KeyData!A:C,1,FALSE)</f>
        <v>#N/A</v>
      </c>
    </row>
    <row r="577" spans="1:15">
      <c r="A577" s="451" t="str">
        <f t="shared" si="8"/>
        <v>0_0</v>
      </c>
      <c r="N577" t="e">
        <f>VLOOKUP(A577, 'P&amp;L'!A:B,1,FALSE)</f>
        <v>#N/A</v>
      </c>
      <c r="O577" t="e">
        <f>VLOOKUP(A577, KeyData!A:C,1,FALSE)</f>
        <v>#N/A</v>
      </c>
    </row>
    <row r="578" spans="1:15">
      <c r="A578" s="451" t="str">
        <f t="shared" si="8"/>
        <v>0_0</v>
      </c>
      <c r="N578" t="e">
        <f>VLOOKUP(A578, 'P&amp;L'!A:B,1,FALSE)</f>
        <v>#N/A</v>
      </c>
      <c r="O578" t="e">
        <f>VLOOKUP(A578, KeyData!A:C,1,FALSE)</f>
        <v>#N/A</v>
      </c>
    </row>
    <row r="579" spans="1:15">
      <c r="A579" s="451" t="str">
        <f t="shared" ref="A579:A642" si="9" xml:space="preserve"> IFERROR(+B579*1,B579)&amp;"_"&amp;IFERROR(+D579*1,D579)</f>
        <v>0_0</v>
      </c>
      <c r="N579" t="e">
        <f>VLOOKUP(A579, 'P&amp;L'!A:B,1,FALSE)</f>
        <v>#N/A</v>
      </c>
      <c r="O579" t="e">
        <f>VLOOKUP(A579, KeyData!A:C,1,FALSE)</f>
        <v>#N/A</v>
      </c>
    </row>
    <row r="580" spans="1:15">
      <c r="A580" s="451" t="str">
        <f t="shared" si="9"/>
        <v>0_0</v>
      </c>
      <c r="N580" t="e">
        <f>VLOOKUP(A580, 'P&amp;L'!A:B,1,FALSE)</f>
        <v>#N/A</v>
      </c>
      <c r="O580" t="e">
        <f>VLOOKUP(A580, KeyData!A:C,1,FALSE)</f>
        <v>#N/A</v>
      </c>
    </row>
    <row r="581" spans="1:15">
      <c r="A581" s="451" t="str">
        <f t="shared" si="9"/>
        <v>0_0</v>
      </c>
      <c r="N581" t="e">
        <f>VLOOKUP(A581, 'P&amp;L'!A:B,1,FALSE)</f>
        <v>#N/A</v>
      </c>
      <c r="O581" t="e">
        <f>VLOOKUP(A581, KeyData!A:C,1,FALSE)</f>
        <v>#N/A</v>
      </c>
    </row>
    <row r="582" spans="1:15">
      <c r="A582" s="451" t="str">
        <f t="shared" si="9"/>
        <v>0_0</v>
      </c>
      <c r="N582" t="e">
        <f>VLOOKUP(A582, 'P&amp;L'!A:B,1,FALSE)</f>
        <v>#N/A</v>
      </c>
      <c r="O582" t="e">
        <f>VLOOKUP(A582, KeyData!A:C,1,FALSE)</f>
        <v>#N/A</v>
      </c>
    </row>
    <row r="583" spans="1:15">
      <c r="A583" s="451" t="str">
        <f t="shared" si="9"/>
        <v>0_0</v>
      </c>
      <c r="N583" t="e">
        <f>VLOOKUP(A583, 'P&amp;L'!A:B,1,FALSE)</f>
        <v>#N/A</v>
      </c>
      <c r="O583" t="e">
        <f>VLOOKUP(A583, KeyData!A:C,1,FALSE)</f>
        <v>#N/A</v>
      </c>
    </row>
    <row r="584" spans="1:15">
      <c r="A584" s="451" t="str">
        <f t="shared" si="9"/>
        <v>0_0</v>
      </c>
      <c r="N584" t="e">
        <f>VLOOKUP(A584, 'P&amp;L'!A:B,1,FALSE)</f>
        <v>#N/A</v>
      </c>
      <c r="O584" t="e">
        <f>VLOOKUP(A584, KeyData!A:C,1,FALSE)</f>
        <v>#N/A</v>
      </c>
    </row>
    <row r="585" spans="1:15">
      <c r="A585" s="451" t="str">
        <f t="shared" si="9"/>
        <v>0_0</v>
      </c>
      <c r="N585" t="e">
        <f>VLOOKUP(A585, 'P&amp;L'!A:B,1,FALSE)</f>
        <v>#N/A</v>
      </c>
      <c r="O585" t="e">
        <f>VLOOKUP(A585, KeyData!A:C,1,FALSE)</f>
        <v>#N/A</v>
      </c>
    </row>
    <row r="586" spans="1:15">
      <c r="A586" s="451" t="str">
        <f t="shared" si="9"/>
        <v>0_0</v>
      </c>
      <c r="N586" t="e">
        <f>VLOOKUP(A586, 'P&amp;L'!A:B,1,FALSE)</f>
        <v>#N/A</v>
      </c>
      <c r="O586" t="e">
        <f>VLOOKUP(A586, KeyData!A:C,1,FALSE)</f>
        <v>#N/A</v>
      </c>
    </row>
    <row r="587" spans="1:15">
      <c r="A587" s="451" t="str">
        <f t="shared" si="9"/>
        <v>0_0</v>
      </c>
      <c r="N587" t="e">
        <f>VLOOKUP(A587, 'P&amp;L'!A:B,1,FALSE)</f>
        <v>#N/A</v>
      </c>
      <c r="O587" t="e">
        <f>VLOOKUP(A587, KeyData!A:C,1,FALSE)</f>
        <v>#N/A</v>
      </c>
    </row>
    <row r="588" spans="1:15">
      <c r="A588" s="451" t="str">
        <f t="shared" si="9"/>
        <v>0_0</v>
      </c>
      <c r="N588" t="e">
        <f>VLOOKUP(A588, 'P&amp;L'!A:B,1,FALSE)</f>
        <v>#N/A</v>
      </c>
      <c r="O588" t="e">
        <f>VLOOKUP(A588, KeyData!A:C,1,FALSE)</f>
        <v>#N/A</v>
      </c>
    </row>
    <row r="589" spans="1:15">
      <c r="A589" s="451" t="str">
        <f t="shared" si="9"/>
        <v>0_0</v>
      </c>
      <c r="N589" t="e">
        <f>VLOOKUP(A589, 'P&amp;L'!A:B,1,FALSE)</f>
        <v>#N/A</v>
      </c>
      <c r="O589" t="e">
        <f>VLOOKUP(A589, KeyData!A:C,1,FALSE)</f>
        <v>#N/A</v>
      </c>
    </row>
    <row r="590" spans="1:15">
      <c r="A590" s="451" t="str">
        <f t="shared" si="9"/>
        <v>0_0</v>
      </c>
      <c r="N590" t="e">
        <f>VLOOKUP(A590, 'P&amp;L'!A:B,1,FALSE)</f>
        <v>#N/A</v>
      </c>
      <c r="O590" t="e">
        <f>VLOOKUP(A590, KeyData!A:C,1,FALSE)</f>
        <v>#N/A</v>
      </c>
    </row>
    <row r="591" spans="1:15">
      <c r="A591" s="451" t="str">
        <f t="shared" si="9"/>
        <v>0_0</v>
      </c>
      <c r="N591" t="e">
        <f>VLOOKUP(A591, 'P&amp;L'!A:B,1,FALSE)</f>
        <v>#N/A</v>
      </c>
      <c r="O591" t="e">
        <f>VLOOKUP(A591, KeyData!A:C,1,FALSE)</f>
        <v>#N/A</v>
      </c>
    </row>
    <row r="592" spans="1:15">
      <c r="A592" s="451" t="str">
        <f t="shared" si="9"/>
        <v>0_0</v>
      </c>
      <c r="N592" t="e">
        <f>VLOOKUP(A592, 'P&amp;L'!A:B,1,FALSE)</f>
        <v>#N/A</v>
      </c>
      <c r="O592" t="e">
        <f>VLOOKUP(A592, KeyData!A:C,1,FALSE)</f>
        <v>#N/A</v>
      </c>
    </row>
    <row r="593" spans="1:15">
      <c r="A593" s="451" t="str">
        <f t="shared" si="9"/>
        <v>0_0</v>
      </c>
      <c r="N593" t="e">
        <f>VLOOKUP(A593, 'P&amp;L'!A:B,1,FALSE)</f>
        <v>#N/A</v>
      </c>
      <c r="O593" t="e">
        <f>VLOOKUP(A593, KeyData!A:C,1,FALSE)</f>
        <v>#N/A</v>
      </c>
    </row>
    <row r="594" spans="1:15">
      <c r="A594" s="451" t="str">
        <f t="shared" si="9"/>
        <v>0_0</v>
      </c>
      <c r="N594" t="e">
        <f>VLOOKUP(A594, 'P&amp;L'!A:B,1,FALSE)</f>
        <v>#N/A</v>
      </c>
      <c r="O594" t="e">
        <f>VLOOKUP(A594, KeyData!A:C,1,FALSE)</f>
        <v>#N/A</v>
      </c>
    </row>
    <row r="595" spans="1:15">
      <c r="A595" s="451" t="str">
        <f t="shared" si="9"/>
        <v>0_0</v>
      </c>
      <c r="N595" t="e">
        <f>VLOOKUP(A595, 'P&amp;L'!A:B,1,FALSE)</f>
        <v>#N/A</v>
      </c>
      <c r="O595" t="e">
        <f>VLOOKUP(A595, KeyData!A:C,1,FALSE)</f>
        <v>#N/A</v>
      </c>
    </row>
    <row r="596" spans="1:15">
      <c r="A596" s="451" t="str">
        <f t="shared" si="9"/>
        <v>0_0</v>
      </c>
      <c r="N596" t="e">
        <f>VLOOKUP(A596, 'P&amp;L'!A:B,1,FALSE)</f>
        <v>#N/A</v>
      </c>
      <c r="O596" t="e">
        <f>VLOOKUP(A596, KeyData!A:C,1,FALSE)</f>
        <v>#N/A</v>
      </c>
    </row>
    <row r="597" spans="1:15">
      <c r="A597" s="451" t="str">
        <f t="shared" si="9"/>
        <v>0_0</v>
      </c>
      <c r="N597" t="e">
        <f>VLOOKUP(A597, 'P&amp;L'!A:B,1,FALSE)</f>
        <v>#N/A</v>
      </c>
      <c r="O597" t="e">
        <f>VLOOKUP(A597, KeyData!A:C,1,FALSE)</f>
        <v>#N/A</v>
      </c>
    </row>
    <row r="598" spans="1:15">
      <c r="A598" s="451" t="str">
        <f t="shared" si="9"/>
        <v>0_0</v>
      </c>
      <c r="N598" t="e">
        <f>VLOOKUP(A598, 'P&amp;L'!A:B,1,FALSE)</f>
        <v>#N/A</v>
      </c>
      <c r="O598" t="e">
        <f>VLOOKUP(A598, KeyData!A:C,1,FALSE)</f>
        <v>#N/A</v>
      </c>
    </row>
    <row r="599" spans="1:15">
      <c r="A599" s="451" t="str">
        <f t="shared" si="9"/>
        <v>0_0</v>
      </c>
      <c r="N599" t="e">
        <f>VLOOKUP(A599, 'P&amp;L'!A:B,1,FALSE)</f>
        <v>#N/A</v>
      </c>
      <c r="O599" t="e">
        <f>VLOOKUP(A599, KeyData!A:C,1,FALSE)</f>
        <v>#N/A</v>
      </c>
    </row>
    <row r="600" spans="1:15">
      <c r="A600" s="451" t="str">
        <f t="shared" si="9"/>
        <v>0_0</v>
      </c>
      <c r="N600" t="e">
        <f>VLOOKUP(A600, 'P&amp;L'!A:B,1,FALSE)</f>
        <v>#N/A</v>
      </c>
      <c r="O600" t="e">
        <f>VLOOKUP(A600, KeyData!A:C,1,FALSE)</f>
        <v>#N/A</v>
      </c>
    </row>
    <row r="601" spans="1:15">
      <c r="A601" s="451" t="str">
        <f t="shared" si="9"/>
        <v>0_0</v>
      </c>
      <c r="N601" t="e">
        <f>VLOOKUP(A601, 'P&amp;L'!A:B,1,FALSE)</f>
        <v>#N/A</v>
      </c>
      <c r="O601" t="e">
        <f>VLOOKUP(A601, KeyData!A:C,1,FALSE)</f>
        <v>#N/A</v>
      </c>
    </row>
    <row r="602" spans="1:15">
      <c r="A602" s="451" t="str">
        <f t="shared" si="9"/>
        <v>0_0</v>
      </c>
      <c r="N602" t="e">
        <f>VLOOKUP(A602, 'P&amp;L'!A:B,1,FALSE)</f>
        <v>#N/A</v>
      </c>
      <c r="O602" t="e">
        <f>VLOOKUP(A602, KeyData!A:C,1,FALSE)</f>
        <v>#N/A</v>
      </c>
    </row>
    <row r="603" spans="1:15">
      <c r="A603" s="451" t="str">
        <f t="shared" si="9"/>
        <v>0_0</v>
      </c>
      <c r="N603" t="e">
        <f>VLOOKUP(A603, 'P&amp;L'!A:B,1,FALSE)</f>
        <v>#N/A</v>
      </c>
      <c r="O603" t="e">
        <f>VLOOKUP(A603, KeyData!A:C,1,FALSE)</f>
        <v>#N/A</v>
      </c>
    </row>
    <row r="604" spans="1:15">
      <c r="A604" s="451" t="str">
        <f t="shared" si="9"/>
        <v>0_0</v>
      </c>
      <c r="N604" t="e">
        <f>VLOOKUP(A604, 'P&amp;L'!A:B,1,FALSE)</f>
        <v>#N/A</v>
      </c>
      <c r="O604" t="e">
        <f>VLOOKUP(A604, KeyData!A:C,1,FALSE)</f>
        <v>#N/A</v>
      </c>
    </row>
    <row r="605" spans="1:15">
      <c r="A605" s="451" t="str">
        <f t="shared" si="9"/>
        <v>0_0</v>
      </c>
      <c r="N605" t="e">
        <f>VLOOKUP(A605, 'P&amp;L'!A:B,1,FALSE)</f>
        <v>#N/A</v>
      </c>
      <c r="O605" t="e">
        <f>VLOOKUP(A605, KeyData!A:C,1,FALSE)</f>
        <v>#N/A</v>
      </c>
    </row>
    <row r="606" spans="1:15">
      <c r="A606" s="451" t="str">
        <f t="shared" si="9"/>
        <v>0_0</v>
      </c>
      <c r="N606" t="e">
        <f>VLOOKUP(A606, 'P&amp;L'!A:B,1,FALSE)</f>
        <v>#N/A</v>
      </c>
      <c r="O606" t="e">
        <f>VLOOKUP(A606, KeyData!A:C,1,FALSE)</f>
        <v>#N/A</v>
      </c>
    </row>
    <row r="607" spans="1:15">
      <c r="A607" s="451" t="str">
        <f t="shared" si="9"/>
        <v>0_0</v>
      </c>
      <c r="N607" t="e">
        <f>VLOOKUP(A607, 'P&amp;L'!A:B,1,FALSE)</f>
        <v>#N/A</v>
      </c>
      <c r="O607" t="e">
        <f>VLOOKUP(A607, KeyData!A:C,1,FALSE)</f>
        <v>#N/A</v>
      </c>
    </row>
    <row r="608" spans="1:15">
      <c r="A608" s="451" t="str">
        <f t="shared" si="9"/>
        <v>0_0</v>
      </c>
      <c r="N608" t="e">
        <f>VLOOKUP(A608, 'P&amp;L'!A:B,1,FALSE)</f>
        <v>#N/A</v>
      </c>
      <c r="O608" t="e">
        <f>VLOOKUP(A608, KeyData!A:C,1,FALSE)</f>
        <v>#N/A</v>
      </c>
    </row>
    <row r="609" spans="1:15">
      <c r="A609" s="451" t="str">
        <f t="shared" si="9"/>
        <v>0_0</v>
      </c>
      <c r="N609" t="e">
        <f>VLOOKUP(A609, 'P&amp;L'!A:B,1,FALSE)</f>
        <v>#N/A</v>
      </c>
      <c r="O609" t="e">
        <f>VLOOKUP(A609, KeyData!A:C,1,FALSE)</f>
        <v>#N/A</v>
      </c>
    </row>
    <row r="610" spans="1:15">
      <c r="A610" s="451" t="str">
        <f t="shared" si="9"/>
        <v>0_0</v>
      </c>
      <c r="N610" t="e">
        <f>VLOOKUP(A610, 'P&amp;L'!A:B,1,FALSE)</f>
        <v>#N/A</v>
      </c>
      <c r="O610" t="e">
        <f>VLOOKUP(A610, KeyData!A:C,1,FALSE)</f>
        <v>#N/A</v>
      </c>
    </row>
    <row r="611" spans="1:15">
      <c r="A611" s="451" t="str">
        <f t="shared" si="9"/>
        <v>0_0</v>
      </c>
      <c r="N611" t="e">
        <f>VLOOKUP(A611, 'P&amp;L'!A:B,1,FALSE)</f>
        <v>#N/A</v>
      </c>
      <c r="O611" t="e">
        <f>VLOOKUP(A611, KeyData!A:C,1,FALSE)</f>
        <v>#N/A</v>
      </c>
    </row>
    <row r="612" spans="1:15">
      <c r="A612" s="451" t="str">
        <f t="shared" si="9"/>
        <v>0_0</v>
      </c>
      <c r="N612" t="e">
        <f>VLOOKUP(A612, 'P&amp;L'!A:B,1,FALSE)</f>
        <v>#N/A</v>
      </c>
      <c r="O612" t="e">
        <f>VLOOKUP(A612, KeyData!A:C,1,FALSE)</f>
        <v>#N/A</v>
      </c>
    </row>
    <row r="613" spans="1:15">
      <c r="A613" s="451" t="str">
        <f t="shared" si="9"/>
        <v>0_0</v>
      </c>
      <c r="N613" t="e">
        <f>VLOOKUP(A613, 'P&amp;L'!A:B,1,FALSE)</f>
        <v>#N/A</v>
      </c>
      <c r="O613" t="e">
        <f>VLOOKUP(A613, KeyData!A:C,1,FALSE)</f>
        <v>#N/A</v>
      </c>
    </row>
    <row r="614" spans="1:15">
      <c r="A614" s="451" t="str">
        <f t="shared" si="9"/>
        <v>0_0</v>
      </c>
      <c r="N614" t="e">
        <f>VLOOKUP(A614, 'P&amp;L'!A:B,1,FALSE)</f>
        <v>#N/A</v>
      </c>
      <c r="O614" t="e">
        <f>VLOOKUP(A614, KeyData!A:C,1,FALSE)</f>
        <v>#N/A</v>
      </c>
    </row>
    <row r="615" spans="1:15">
      <c r="A615" s="451" t="str">
        <f t="shared" si="9"/>
        <v>0_0</v>
      </c>
      <c r="N615" t="e">
        <f>VLOOKUP(A615, 'P&amp;L'!A:B,1,FALSE)</f>
        <v>#N/A</v>
      </c>
      <c r="O615" t="e">
        <f>VLOOKUP(A615, KeyData!A:C,1,FALSE)</f>
        <v>#N/A</v>
      </c>
    </row>
    <row r="616" spans="1:15">
      <c r="A616" s="451" t="str">
        <f t="shared" si="9"/>
        <v>0_0</v>
      </c>
      <c r="N616" t="e">
        <f>VLOOKUP(A616, 'P&amp;L'!A:B,1,FALSE)</f>
        <v>#N/A</v>
      </c>
      <c r="O616" t="e">
        <f>VLOOKUP(A616, KeyData!A:C,1,FALSE)</f>
        <v>#N/A</v>
      </c>
    </row>
    <row r="617" spans="1:15">
      <c r="A617" s="451" t="str">
        <f t="shared" si="9"/>
        <v>0_0</v>
      </c>
      <c r="N617" t="e">
        <f>VLOOKUP(A617, 'P&amp;L'!A:B,1,FALSE)</f>
        <v>#N/A</v>
      </c>
      <c r="O617" t="e">
        <f>VLOOKUP(A617, KeyData!A:C,1,FALSE)</f>
        <v>#N/A</v>
      </c>
    </row>
    <row r="618" spans="1:15">
      <c r="A618" s="451" t="str">
        <f t="shared" si="9"/>
        <v>0_0</v>
      </c>
      <c r="N618" t="e">
        <f>VLOOKUP(A618, 'P&amp;L'!A:B,1,FALSE)</f>
        <v>#N/A</v>
      </c>
      <c r="O618" t="e">
        <f>VLOOKUP(A618, KeyData!A:C,1,FALSE)</f>
        <v>#N/A</v>
      </c>
    </row>
    <row r="619" spans="1:15">
      <c r="A619" s="451" t="str">
        <f t="shared" si="9"/>
        <v>0_0</v>
      </c>
      <c r="N619" t="e">
        <f>VLOOKUP(A619, 'P&amp;L'!A:B,1,FALSE)</f>
        <v>#N/A</v>
      </c>
      <c r="O619" t="e">
        <f>VLOOKUP(A619, KeyData!A:C,1,FALSE)</f>
        <v>#N/A</v>
      </c>
    </row>
    <row r="620" spans="1:15">
      <c r="A620" s="451" t="str">
        <f t="shared" si="9"/>
        <v>0_0</v>
      </c>
      <c r="N620" t="e">
        <f>VLOOKUP(A620, 'P&amp;L'!A:B,1,FALSE)</f>
        <v>#N/A</v>
      </c>
      <c r="O620" t="e">
        <f>VLOOKUP(A620, KeyData!A:C,1,FALSE)</f>
        <v>#N/A</v>
      </c>
    </row>
    <row r="621" spans="1:15">
      <c r="A621" s="451" t="str">
        <f t="shared" si="9"/>
        <v>0_0</v>
      </c>
      <c r="N621" t="e">
        <f>VLOOKUP(A621, 'P&amp;L'!A:B,1,FALSE)</f>
        <v>#N/A</v>
      </c>
      <c r="O621" t="e">
        <f>VLOOKUP(A621, KeyData!A:C,1,FALSE)</f>
        <v>#N/A</v>
      </c>
    </row>
    <row r="622" spans="1:15">
      <c r="A622" s="451" t="str">
        <f t="shared" si="9"/>
        <v>0_0</v>
      </c>
      <c r="N622" t="e">
        <f>VLOOKUP(A622, 'P&amp;L'!A:B,1,FALSE)</f>
        <v>#N/A</v>
      </c>
      <c r="O622" t="e">
        <f>VLOOKUP(A622, KeyData!A:C,1,FALSE)</f>
        <v>#N/A</v>
      </c>
    </row>
    <row r="623" spans="1:15">
      <c r="A623" s="451" t="str">
        <f t="shared" si="9"/>
        <v>0_0</v>
      </c>
      <c r="N623" t="e">
        <f>VLOOKUP(A623, 'P&amp;L'!A:B,1,FALSE)</f>
        <v>#N/A</v>
      </c>
      <c r="O623" t="e">
        <f>VLOOKUP(A623, KeyData!A:C,1,FALSE)</f>
        <v>#N/A</v>
      </c>
    </row>
    <row r="624" spans="1:15">
      <c r="A624" s="451" t="str">
        <f t="shared" si="9"/>
        <v>0_0</v>
      </c>
      <c r="N624" t="e">
        <f>VLOOKUP(A624, 'P&amp;L'!A:B,1,FALSE)</f>
        <v>#N/A</v>
      </c>
      <c r="O624" t="e">
        <f>VLOOKUP(A624, KeyData!A:C,1,FALSE)</f>
        <v>#N/A</v>
      </c>
    </row>
    <row r="625" spans="1:15">
      <c r="A625" s="451" t="str">
        <f t="shared" si="9"/>
        <v>0_0</v>
      </c>
      <c r="N625" t="e">
        <f>VLOOKUP(A625, 'P&amp;L'!A:B,1,FALSE)</f>
        <v>#N/A</v>
      </c>
      <c r="O625" t="e">
        <f>VLOOKUP(A625, KeyData!A:C,1,FALSE)</f>
        <v>#N/A</v>
      </c>
    </row>
    <row r="626" spans="1:15">
      <c r="A626" s="451" t="str">
        <f t="shared" si="9"/>
        <v>0_0</v>
      </c>
      <c r="N626" t="e">
        <f>VLOOKUP(A626, 'P&amp;L'!A:B,1,FALSE)</f>
        <v>#N/A</v>
      </c>
      <c r="O626" t="e">
        <f>VLOOKUP(A626, KeyData!A:C,1,FALSE)</f>
        <v>#N/A</v>
      </c>
    </row>
    <row r="627" spans="1:15">
      <c r="A627" s="451" t="str">
        <f t="shared" si="9"/>
        <v>0_0</v>
      </c>
      <c r="N627" t="e">
        <f>VLOOKUP(A627, 'P&amp;L'!A:B,1,FALSE)</f>
        <v>#N/A</v>
      </c>
      <c r="O627" t="e">
        <f>VLOOKUP(A627, KeyData!A:C,1,FALSE)</f>
        <v>#N/A</v>
      </c>
    </row>
    <row r="628" spans="1:15">
      <c r="A628" s="451" t="str">
        <f t="shared" si="9"/>
        <v>0_0</v>
      </c>
      <c r="N628" t="e">
        <f>VLOOKUP(A628, 'P&amp;L'!A:B,1,FALSE)</f>
        <v>#N/A</v>
      </c>
      <c r="O628" t="e">
        <f>VLOOKUP(A628, KeyData!A:C,1,FALSE)</f>
        <v>#N/A</v>
      </c>
    </row>
    <row r="629" spans="1:15">
      <c r="A629" s="451" t="str">
        <f t="shared" si="9"/>
        <v>0_0</v>
      </c>
      <c r="N629" t="e">
        <f>VLOOKUP(A629, 'P&amp;L'!A:B,1,FALSE)</f>
        <v>#N/A</v>
      </c>
      <c r="O629" t="e">
        <f>VLOOKUP(A629, KeyData!A:C,1,FALSE)</f>
        <v>#N/A</v>
      </c>
    </row>
    <row r="630" spans="1:15">
      <c r="A630" s="451" t="str">
        <f t="shared" si="9"/>
        <v>0_0</v>
      </c>
      <c r="N630" t="e">
        <f>VLOOKUP(A630, 'P&amp;L'!A:B,1,FALSE)</f>
        <v>#N/A</v>
      </c>
      <c r="O630" t="e">
        <f>VLOOKUP(A630, KeyData!A:C,1,FALSE)</f>
        <v>#N/A</v>
      </c>
    </row>
    <row r="631" spans="1:15">
      <c r="A631" s="451" t="str">
        <f t="shared" si="9"/>
        <v>0_0</v>
      </c>
      <c r="N631" t="e">
        <f>VLOOKUP(A631, 'P&amp;L'!A:B,1,FALSE)</f>
        <v>#N/A</v>
      </c>
      <c r="O631" t="e">
        <f>VLOOKUP(A631, KeyData!A:C,1,FALSE)</f>
        <v>#N/A</v>
      </c>
    </row>
    <row r="632" spans="1:15">
      <c r="A632" s="451" t="str">
        <f t="shared" si="9"/>
        <v>0_0</v>
      </c>
      <c r="N632" t="e">
        <f>VLOOKUP(A632, 'P&amp;L'!A:B,1,FALSE)</f>
        <v>#N/A</v>
      </c>
      <c r="O632" t="e">
        <f>VLOOKUP(A632, KeyData!A:C,1,FALSE)</f>
        <v>#N/A</v>
      </c>
    </row>
    <row r="633" spans="1:15">
      <c r="A633" s="451" t="str">
        <f t="shared" si="9"/>
        <v>0_0</v>
      </c>
      <c r="N633" t="e">
        <f>VLOOKUP(A633, 'P&amp;L'!A:B,1,FALSE)</f>
        <v>#N/A</v>
      </c>
      <c r="O633" t="e">
        <f>VLOOKUP(A633, KeyData!A:C,1,FALSE)</f>
        <v>#N/A</v>
      </c>
    </row>
    <row r="634" spans="1:15">
      <c r="A634" s="451" t="str">
        <f t="shared" si="9"/>
        <v>0_0</v>
      </c>
      <c r="N634" t="e">
        <f>VLOOKUP(A634, 'P&amp;L'!A:B,1,FALSE)</f>
        <v>#N/A</v>
      </c>
      <c r="O634" t="e">
        <f>VLOOKUP(A634, KeyData!A:C,1,FALSE)</f>
        <v>#N/A</v>
      </c>
    </row>
    <row r="635" spans="1:15">
      <c r="A635" s="451" t="str">
        <f t="shared" si="9"/>
        <v>0_0</v>
      </c>
      <c r="N635" t="e">
        <f>VLOOKUP(A635, 'P&amp;L'!A:B,1,FALSE)</f>
        <v>#N/A</v>
      </c>
      <c r="O635" t="e">
        <f>VLOOKUP(A635, KeyData!A:C,1,FALSE)</f>
        <v>#N/A</v>
      </c>
    </row>
    <row r="636" spans="1:15">
      <c r="A636" s="451" t="str">
        <f t="shared" si="9"/>
        <v>0_0</v>
      </c>
      <c r="N636" t="e">
        <f>VLOOKUP(A636, 'P&amp;L'!A:B,1,FALSE)</f>
        <v>#N/A</v>
      </c>
      <c r="O636" t="e">
        <f>VLOOKUP(A636, KeyData!A:C,1,FALSE)</f>
        <v>#N/A</v>
      </c>
    </row>
    <row r="637" spans="1:15">
      <c r="A637" s="451" t="str">
        <f t="shared" si="9"/>
        <v>0_0</v>
      </c>
      <c r="N637" t="e">
        <f>VLOOKUP(A637, 'P&amp;L'!A:B,1,FALSE)</f>
        <v>#N/A</v>
      </c>
      <c r="O637" t="e">
        <f>VLOOKUP(A637, KeyData!A:C,1,FALSE)</f>
        <v>#N/A</v>
      </c>
    </row>
    <row r="638" spans="1:15">
      <c r="A638" s="451" t="str">
        <f t="shared" si="9"/>
        <v>0_0</v>
      </c>
      <c r="N638" t="e">
        <f>VLOOKUP(A638, 'P&amp;L'!A:B,1,FALSE)</f>
        <v>#N/A</v>
      </c>
      <c r="O638" t="e">
        <f>VLOOKUP(A638, KeyData!A:C,1,FALSE)</f>
        <v>#N/A</v>
      </c>
    </row>
    <row r="639" spans="1:15">
      <c r="A639" s="451" t="str">
        <f t="shared" si="9"/>
        <v>0_0</v>
      </c>
      <c r="N639" t="e">
        <f>VLOOKUP(A639, 'P&amp;L'!A:B,1,FALSE)</f>
        <v>#N/A</v>
      </c>
      <c r="O639" t="e">
        <f>VLOOKUP(A639, KeyData!A:C,1,FALSE)</f>
        <v>#N/A</v>
      </c>
    </row>
    <row r="640" spans="1:15">
      <c r="A640" s="451" t="str">
        <f t="shared" si="9"/>
        <v>0_0</v>
      </c>
      <c r="N640" t="e">
        <f>VLOOKUP(A640, 'P&amp;L'!A:B,1,FALSE)</f>
        <v>#N/A</v>
      </c>
      <c r="O640" t="e">
        <f>VLOOKUP(A640, KeyData!A:C,1,FALSE)</f>
        <v>#N/A</v>
      </c>
    </row>
    <row r="641" spans="1:15">
      <c r="A641" s="451" t="str">
        <f t="shared" si="9"/>
        <v>0_0</v>
      </c>
      <c r="N641" t="e">
        <f>VLOOKUP(A641, 'P&amp;L'!A:B,1,FALSE)</f>
        <v>#N/A</v>
      </c>
      <c r="O641" t="e">
        <f>VLOOKUP(A641, KeyData!A:C,1,FALSE)</f>
        <v>#N/A</v>
      </c>
    </row>
    <row r="642" spans="1:15">
      <c r="A642" s="451" t="str">
        <f t="shared" si="9"/>
        <v>0_0</v>
      </c>
      <c r="N642" t="e">
        <f>VLOOKUP(A642, 'P&amp;L'!A:B,1,FALSE)</f>
        <v>#N/A</v>
      </c>
      <c r="O642" t="e">
        <f>VLOOKUP(A642, KeyData!A:C,1,FALSE)</f>
        <v>#N/A</v>
      </c>
    </row>
    <row r="643" spans="1:15">
      <c r="A643" s="451" t="str">
        <f t="shared" ref="A643:A706" si="10" xml:space="preserve"> IFERROR(+B643*1,B643)&amp;"_"&amp;IFERROR(+D643*1,D643)</f>
        <v>0_0</v>
      </c>
      <c r="N643" t="e">
        <f>VLOOKUP(A643, 'P&amp;L'!A:B,1,FALSE)</f>
        <v>#N/A</v>
      </c>
      <c r="O643" t="e">
        <f>VLOOKUP(A643, KeyData!A:C,1,FALSE)</f>
        <v>#N/A</v>
      </c>
    </row>
    <row r="644" spans="1:15">
      <c r="A644" s="451" t="str">
        <f t="shared" si="10"/>
        <v>0_0</v>
      </c>
      <c r="N644" t="e">
        <f>VLOOKUP(A644, 'P&amp;L'!A:B,1,FALSE)</f>
        <v>#N/A</v>
      </c>
      <c r="O644" t="e">
        <f>VLOOKUP(A644, KeyData!A:C,1,FALSE)</f>
        <v>#N/A</v>
      </c>
    </row>
    <row r="645" spans="1:15">
      <c r="A645" s="451" t="str">
        <f t="shared" si="10"/>
        <v>0_0</v>
      </c>
      <c r="N645" t="e">
        <f>VLOOKUP(A645, 'P&amp;L'!A:B,1,FALSE)</f>
        <v>#N/A</v>
      </c>
      <c r="O645" t="e">
        <f>VLOOKUP(A645, KeyData!A:C,1,FALSE)</f>
        <v>#N/A</v>
      </c>
    </row>
    <row r="646" spans="1:15">
      <c r="A646" s="451" t="str">
        <f t="shared" si="10"/>
        <v>0_0</v>
      </c>
      <c r="N646" t="e">
        <f>VLOOKUP(A646, 'P&amp;L'!A:B,1,FALSE)</f>
        <v>#N/A</v>
      </c>
      <c r="O646" t="e">
        <f>VLOOKUP(A646, KeyData!A:C,1,FALSE)</f>
        <v>#N/A</v>
      </c>
    </row>
    <row r="647" spans="1:15">
      <c r="A647" s="451" t="str">
        <f t="shared" si="10"/>
        <v>0_0</v>
      </c>
      <c r="N647" t="e">
        <f>VLOOKUP(A647, 'P&amp;L'!A:B,1,FALSE)</f>
        <v>#N/A</v>
      </c>
      <c r="O647" t="e">
        <f>VLOOKUP(A647, KeyData!A:C,1,FALSE)</f>
        <v>#N/A</v>
      </c>
    </row>
    <row r="648" spans="1:15">
      <c r="A648" s="451" t="str">
        <f t="shared" si="10"/>
        <v>0_0</v>
      </c>
      <c r="N648" t="e">
        <f>VLOOKUP(A648, 'P&amp;L'!A:B,1,FALSE)</f>
        <v>#N/A</v>
      </c>
      <c r="O648" t="e">
        <f>VLOOKUP(A648, KeyData!A:C,1,FALSE)</f>
        <v>#N/A</v>
      </c>
    </row>
    <row r="649" spans="1:15">
      <c r="A649" s="451" t="str">
        <f t="shared" si="10"/>
        <v>0_0</v>
      </c>
      <c r="N649" t="e">
        <f>VLOOKUP(A649, 'P&amp;L'!A:B,1,FALSE)</f>
        <v>#N/A</v>
      </c>
      <c r="O649" t="e">
        <f>VLOOKUP(A649, KeyData!A:C,1,FALSE)</f>
        <v>#N/A</v>
      </c>
    </row>
    <row r="650" spans="1:15">
      <c r="A650" s="451" t="str">
        <f t="shared" si="10"/>
        <v>0_0</v>
      </c>
      <c r="N650" t="e">
        <f>VLOOKUP(A650, 'P&amp;L'!A:B,1,FALSE)</f>
        <v>#N/A</v>
      </c>
      <c r="O650" t="e">
        <f>VLOOKUP(A650, KeyData!A:C,1,FALSE)</f>
        <v>#N/A</v>
      </c>
    </row>
    <row r="651" spans="1:15">
      <c r="A651" s="451" t="str">
        <f t="shared" si="10"/>
        <v>0_0</v>
      </c>
      <c r="N651" t="e">
        <f>VLOOKUP(A651, 'P&amp;L'!A:B,1,FALSE)</f>
        <v>#N/A</v>
      </c>
      <c r="O651" t="e">
        <f>VLOOKUP(A651, KeyData!A:C,1,FALSE)</f>
        <v>#N/A</v>
      </c>
    </row>
    <row r="652" spans="1:15">
      <c r="A652" s="451" t="str">
        <f t="shared" si="10"/>
        <v>0_0</v>
      </c>
      <c r="N652" t="e">
        <f>VLOOKUP(A652, 'P&amp;L'!A:B,1,FALSE)</f>
        <v>#N/A</v>
      </c>
      <c r="O652" t="e">
        <f>VLOOKUP(A652, KeyData!A:C,1,FALSE)</f>
        <v>#N/A</v>
      </c>
    </row>
    <row r="653" spans="1:15">
      <c r="A653" s="451" t="str">
        <f t="shared" si="10"/>
        <v>0_0</v>
      </c>
      <c r="N653" t="e">
        <f>VLOOKUP(A653, 'P&amp;L'!A:B,1,FALSE)</f>
        <v>#N/A</v>
      </c>
      <c r="O653" t="e">
        <f>VLOOKUP(A653, KeyData!A:C,1,FALSE)</f>
        <v>#N/A</v>
      </c>
    </row>
    <row r="654" spans="1:15">
      <c r="A654" s="451" t="str">
        <f t="shared" si="10"/>
        <v>0_0</v>
      </c>
      <c r="N654" t="e">
        <f>VLOOKUP(A654, 'P&amp;L'!A:B,1,FALSE)</f>
        <v>#N/A</v>
      </c>
      <c r="O654" t="e">
        <f>VLOOKUP(A654, KeyData!A:C,1,FALSE)</f>
        <v>#N/A</v>
      </c>
    </row>
    <row r="655" spans="1:15">
      <c r="A655" s="451" t="str">
        <f t="shared" si="10"/>
        <v>0_0</v>
      </c>
      <c r="N655" t="e">
        <f>VLOOKUP(A655, 'P&amp;L'!A:B,1,FALSE)</f>
        <v>#N/A</v>
      </c>
      <c r="O655" t="e">
        <f>VLOOKUP(A655, KeyData!A:C,1,FALSE)</f>
        <v>#N/A</v>
      </c>
    </row>
    <row r="656" spans="1:15">
      <c r="A656" s="451" t="str">
        <f t="shared" si="10"/>
        <v>0_0</v>
      </c>
      <c r="N656" t="e">
        <f>VLOOKUP(A656, 'P&amp;L'!A:B,1,FALSE)</f>
        <v>#N/A</v>
      </c>
      <c r="O656" t="e">
        <f>VLOOKUP(A656, KeyData!A:C,1,FALSE)</f>
        <v>#N/A</v>
      </c>
    </row>
    <row r="657" spans="1:15">
      <c r="A657" s="451" t="str">
        <f t="shared" si="10"/>
        <v>0_0</v>
      </c>
      <c r="N657" t="e">
        <f>VLOOKUP(A657, 'P&amp;L'!A:B,1,FALSE)</f>
        <v>#N/A</v>
      </c>
      <c r="O657" t="e">
        <f>VLOOKUP(A657, KeyData!A:C,1,FALSE)</f>
        <v>#N/A</v>
      </c>
    </row>
    <row r="658" spans="1:15">
      <c r="A658" s="451" t="str">
        <f t="shared" si="10"/>
        <v>0_0</v>
      </c>
      <c r="N658" t="e">
        <f>VLOOKUP(A658, 'P&amp;L'!A:B,1,FALSE)</f>
        <v>#N/A</v>
      </c>
      <c r="O658" t="e">
        <f>VLOOKUP(A658, KeyData!A:C,1,FALSE)</f>
        <v>#N/A</v>
      </c>
    </row>
    <row r="659" spans="1:15">
      <c r="A659" s="451" t="str">
        <f t="shared" si="10"/>
        <v>0_0</v>
      </c>
      <c r="N659" t="e">
        <f>VLOOKUP(A659, 'P&amp;L'!A:B,1,FALSE)</f>
        <v>#N/A</v>
      </c>
      <c r="O659" t="e">
        <f>VLOOKUP(A659, KeyData!A:C,1,FALSE)</f>
        <v>#N/A</v>
      </c>
    </row>
    <row r="660" spans="1:15">
      <c r="A660" s="451" t="str">
        <f t="shared" si="10"/>
        <v>0_0</v>
      </c>
      <c r="N660" t="e">
        <f>VLOOKUP(A660, 'P&amp;L'!A:B,1,FALSE)</f>
        <v>#N/A</v>
      </c>
      <c r="O660" t="e">
        <f>VLOOKUP(A660, KeyData!A:C,1,FALSE)</f>
        <v>#N/A</v>
      </c>
    </row>
    <row r="661" spans="1:15">
      <c r="A661" s="451" t="str">
        <f t="shared" si="10"/>
        <v>0_0</v>
      </c>
      <c r="N661" t="e">
        <f>VLOOKUP(A661, 'P&amp;L'!A:B,1,FALSE)</f>
        <v>#N/A</v>
      </c>
      <c r="O661" t="e">
        <f>VLOOKUP(A661, KeyData!A:C,1,FALSE)</f>
        <v>#N/A</v>
      </c>
    </row>
    <row r="662" spans="1:15">
      <c r="A662" s="451" t="str">
        <f t="shared" si="10"/>
        <v>0_0</v>
      </c>
      <c r="N662" t="e">
        <f>VLOOKUP(A662, 'P&amp;L'!A:B,1,FALSE)</f>
        <v>#N/A</v>
      </c>
      <c r="O662" t="e">
        <f>VLOOKUP(A662, KeyData!A:C,1,FALSE)</f>
        <v>#N/A</v>
      </c>
    </row>
    <row r="663" spans="1:15">
      <c r="A663" s="451" t="str">
        <f t="shared" si="10"/>
        <v>0_0</v>
      </c>
      <c r="N663" t="e">
        <f>VLOOKUP(A663, 'P&amp;L'!A:B,1,FALSE)</f>
        <v>#N/A</v>
      </c>
      <c r="O663" t="e">
        <f>VLOOKUP(A663, KeyData!A:C,1,FALSE)</f>
        <v>#N/A</v>
      </c>
    </row>
    <row r="664" spans="1:15">
      <c r="A664" s="451" t="str">
        <f t="shared" si="10"/>
        <v>0_0</v>
      </c>
      <c r="N664" t="e">
        <f>VLOOKUP(A664, 'P&amp;L'!A:B,1,FALSE)</f>
        <v>#N/A</v>
      </c>
      <c r="O664" t="e">
        <f>VLOOKUP(A664, KeyData!A:C,1,FALSE)</f>
        <v>#N/A</v>
      </c>
    </row>
    <row r="665" spans="1:15">
      <c r="A665" s="451" t="str">
        <f t="shared" si="10"/>
        <v>0_0</v>
      </c>
      <c r="N665" t="e">
        <f>VLOOKUP(A665, 'P&amp;L'!A:B,1,FALSE)</f>
        <v>#N/A</v>
      </c>
      <c r="O665" t="e">
        <f>VLOOKUP(A665, KeyData!A:C,1,FALSE)</f>
        <v>#N/A</v>
      </c>
    </row>
    <row r="666" spans="1:15">
      <c r="A666" s="451" t="str">
        <f t="shared" si="10"/>
        <v>0_0</v>
      </c>
      <c r="N666" t="e">
        <f>VLOOKUP(A666, 'P&amp;L'!A:B,1,FALSE)</f>
        <v>#N/A</v>
      </c>
      <c r="O666" t="e">
        <f>VLOOKUP(A666, KeyData!A:C,1,FALSE)</f>
        <v>#N/A</v>
      </c>
    </row>
    <row r="667" spans="1:15">
      <c r="A667" s="451" t="str">
        <f t="shared" si="10"/>
        <v>0_0</v>
      </c>
      <c r="N667" t="e">
        <f>VLOOKUP(A667, 'P&amp;L'!A:B,1,FALSE)</f>
        <v>#N/A</v>
      </c>
      <c r="O667" t="e">
        <f>VLOOKUP(A667, KeyData!A:C,1,FALSE)</f>
        <v>#N/A</v>
      </c>
    </row>
    <row r="668" spans="1:15">
      <c r="A668" s="451" t="str">
        <f t="shared" si="10"/>
        <v>0_0</v>
      </c>
      <c r="N668" t="e">
        <f>VLOOKUP(A668, 'P&amp;L'!A:B,1,FALSE)</f>
        <v>#N/A</v>
      </c>
      <c r="O668" t="e">
        <f>VLOOKUP(A668, KeyData!A:C,1,FALSE)</f>
        <v>#N/A</v>
      </c>
    </row>
    <row r="669" spans="1:15">
      <c r="A669" s="451" t="str">
        <f t="shared" si="10"/>
        <v>0_0</v>
      </c>
      <c r="N669" t="e">
        <f>VLOOKUP(A669, 'P&amp;L'!A:B,1,FALSE)</f>
        <v>#N/A</v>
      </c>
      <c r="O669" t="e">
        <f>VLOOKUP(A669, KeyData!A:C,1,FALSE)</f>
        <v>#N/A</v>
      </c>
    </row>
    <row r="670" spans="1:15">
      <c r="A670" s="451" t="str">
        <f t="shared" si="10"/>
        <v>0_0</v>
      </c>
      <c r="N670" t="e">
        <f>VLOOKUP(A670, 'P&amp;L'!A:B,1,FALSE)</f>
        <v>#N/A</v>
      </c>
      <c r="O670" t="e">
        <f>VLOOKUP(A670, KeyData!A:C,1,FALSE)</f>
        <v>#N/A</v>
      </c>
    </row>
    <row r="671" spans="1:15">
      <c r="A671" s="451" t="str">
        <f t="shared" si="10"/>
        <v>0_0</v>
      </c>
      <c r="N671" t="e">
        <f>VLOOKUP(A671, 'P&amp;L'!A:B,1,FALSE)</f>
        <v>#N/A</v>
      </c>
      <c r="O671" t="e">
        <f>VLOOKUP(A671, KeyData!A:C,1,FALSE)</f>
        <v>#N/A</v>
      </c>
    </row>
    <row r="672" spans="1:15">
      <c r="A672" s="451" t="str">
        <f t="shared" si="10"/>
        <v>0_0</v>
      </c>
      <c r="N672" t="e">
        <f>VLOOKUP(A672, 'P&amp;L'!A:B,1,FALSE)</f>
        <v>#N/A</v>
      </c>
      <c r="O672" t="e">
        <f>VLOOKUP(A672, KeyData!A:C,1,FALSE)</f>
        <v>#N/A</v>
      </c>
    </row>
    <row r="673" spans="1:15">
      <c r="A673" s="451" t="str">
        <f t="shared" si="10"/>
        <v>0_0</v>
      </c>
      <c r="N673" t="e">
        <f>VLOOKUP(A673, 'P&amp;L'!A:B,1,FALSE)</f>
        <v>#N/A</v>
      </c>
      <c r="O673" t="e">
        <f>VLOOKUP(A673, KeyData!A:C,1,FALSE)</f>
        <v>#N/A</v>
      </c>
    </row>
    <row r="674" spans="1:15">
      <c r="A674" s="451" t="str">
        <f t="shared" si="10"/>
        <v>0_0</v>
      </c>
      <c r="N674" t="e">
        <f>VLOOKUP(A674, 'P&amp;L'!A:B,1,FALSE)</f>
        <v>#N/A</v>
      </c>
      <c r="O674" t="e">
        <f>VLOOKUP(A674, KeyData!A:C,1,FALSE)</f>
        <v>#N/A</v>
      </c>
    </row>
    <row r="675" spans="1:15">
      <c r="A675" s="451" t="str">
        <f t="shared" si="10"/>
        <v>0_0</v>
      </c>
      <c r="N675" t="e">
        <f>VLOOKUP(A675, 'P&amp;L'!A:B,1,FALSE)</f>
        <v>#N/A</v>
      </c>
      <c r="O675" t="e">
        <f>VLOOKUP(A675, KeyData!A:C,1,FALSE)</f>
        <v>#N/A</v>
      </c>
    </row>
    <row r="676" spans="1:15">
      <c r="A676" s="451" t="str">
        <f t="shared" si="10"/>
        <v>0_0</v>
      </c>
      <c r="N676" t="e">
        <f>VLOOKUP(A676, 'P&amp;L'!A:B,1,FALSE)</f>
        <v>#N/A</v>
      </c>
      <c r="O676" t="e">
        <f>VLOOKUP(A676, KeyData!A:C,1,FALSE)</f>
        <v>#N/A</v>
      </c>
    </row>
    <row r="677" spans="1:15">
      <c r="A677" s="451" t="str">
        <f t="shared" si="10"/>
        <v>0_0</v>
      </c>
      <c r="N677" t="e">
        <f>VLOOKUP(A677, 'P&amp;L'!A:B,1,FALSE)</f>
        <v>#N/A</v>
      </c>
      <c r="O677" t="e">
        <f>VLOOKUP(A677, KeyData!A:C,1,FALSE)</f>
        <v>#N/A</v>
      </c>
    </row>
    <row r="678" spans="1:15">
      <c r="A678" s="451" t="str">
        <f t="shared" si="10"/>
        <v>0_0</v>
      </c>
      <c r="N678" t="e">
        <f>VLOOKUP(A678, 'P&amp;L'!A:B,1,FALSE)</f>
        <v>#N/A</v>
      </c>
      <c r="O678" t="e">
        <f>VLOOKUP(A678, KeyData!A:C,1,FALSE)</f>
        <v>#N/A</v>
      </c>
    </row>
    <row r="679" spans="1:15">
      <c r="A679" s="451" t="str">
        <f t="shared" si="10"/>
        <v>0_0</v>
      </c>
      <c r="N679" t="e">
        <f>VLOOKUP(A679, 'P&amp;L'!A:B,1,FALSE)</f>
        <v>#N/A</v>
      </c>
      <c r="O679" t="e">
        <f>VLOOKUP(A679, KeyData!A:C,1,FALSE)</f>
        <v>#N/A</v>
      </c>
    </row>
    <row r="680" spans="1:15">
      <c r="A680" s="451" t="str">
        <f t="shared" si="10"/>
        <v>0_0</v>
      </c>
      <c r="N680" t="e">
        <f>VLOOKUP(A680, 'P&amp;L'!A:B,1,FALSE)</f>
        <v>#N/A</v>
      </c>
      <c r="O680" t="e">
        <f>VLOOKUP(A680, KeyData!A:C,1,FALSE)</f>
        <v>#N/A</v>
      </c>
    </row>
    <row r="681" spans="1:15">
      <c r="A681" s="451" t="str">
        <f t="shared" si="10"/>
        <v>0_0</v>
      </c>
      <c r="N681" t="e">
        <f>VLOOKUP(A681, 'P&amp;L'!A:B,1,FALSE)</f>
        <v>#N/A</v>
      </c>
      <c r="O681" t="e">
        <f>VLOOKUP(A681, KeyData!A:C,1,FALSE)</f>
        <v>#N/A</v>
      </c>
    </row>
    <row r="682" spans="1:15">
      <c r="A682" s="451" t="str">
        <f t="shared" si="10"/>
        <v>0_0</v>
      </c>
      <c r="N682" t="e">
        <f>VLOOKUP(A682, 'P&amp;L'!A:B,1,FALSE)</f>
        <v>#N/A</v>
      </c>
      <c r="O682" t="e">
        <f>VLOOKUP(A682, KeyData!A:C,1,FALSE)</f>
        <v>#N/A</v>
      </c>
    </row>
    <row r="683" spans="1:15">
      <c r="A683" s="451" t="str">
        <f t="shared" si="10"/>
        <v>0_0</v>
      </c>
      <c r="N683" t="e">
        <f>VLOOKUP(A683, 'P&amp;L'!A:B,1,FALSE)</f>
        <v>#N/A</v>
      </c>
      <c r="O683" t="e">
        <f>VLOOKUP(A683, KeyData!A:C,1,FALSE)</f>
        <v>#N/A</v>
      </c>
    </row>
    <row r="684" spans="1:15">
      <c r="A684" s="451" t="str">
        <f t="shared" si="10"/>
        <v>0_0</v>
      </c>
      <c r="N684" t="e">
        <f>VLOOKUP(A684, 'P&amp;L'!A:B,1,FALSE)</f>
        <v>#N/A</v>
      </c>
      <c r="O684" t="e">
        <f>VLOOKUP(A684, KeyData!A:C,1,FALSE)</f>
        <v>#N/A</v>
      </c>
    </row>
    <row r="685" spans="1:15">
      <c r="A685" s="451" t="str">
        <f t="shared" si="10"/>
        <v>0_0</v>
      </c>
      <c r="N685" t="e">
        <f>VLOOKUP(A685, 'P&amp;L'!A:B,1,FALSE)</f>
        <v>#N/A</v>
      </c>
      <c r="O685" t="e">
        <f>VLOOKUP(A685, KeyData!A:C,1,FALSE)</f>
        <v>#N/A</v>
      </c>
    </row>
    <row r="686" spans="1:15">
      <c r="A686" s="451" t="str">
        <f t="shared" si="10"/>
        <v>0_0</v>
      </c>
      <c r="N686" t="e">
        <f>VLOOKUP(A686, 'P&amp;L'!A:B,1,FALSE)</f>
        <v>#N/A</v>
      </c>
      <c r="O686" t="e">
        <f>VLOOKUP(A686, KeyData!A:C,1,FALSE)</f>
        <v>#N/A</v>
      </c>
    </row>
    <row r="687" spans="1:15">
      <c r="A687" s="451" t="str">
        <f t="shared" si="10"/>
        <v>0_0</v>
      </c>
      <c r="N687" t="e">
        <f>VLOOKUP(A687, 'P&amp;L'!A:B,1,FALSE)</f>
        <v>#N/A</v>
      </c>
      <c r="O687" t="e">
        <f>VLOOKUP(A687, KeyData!A:C,1,FALSE)</f>
        <v>#N/A</v>
      </c>
    </row>
    <row r="688" spans="1:15">
      <c r="A688" s="451" t="str">
        <f t="shared" si="10"/>
        <v>0_0</v>
      </c>
      <c r="N688" t="e">
        <f>VLOOKUP(A688, 'P&amp;L'!A:B,1,FALSE)</f>
        <v>#N/A</v>
      </c>
      <c r="O688" t="e">
        <f>VLOOKUP(A688, KeyData!A:C,1,FALSE)</f>
        <v>#N/A</v>
      </c>
    </row>
    <row r="689" spans="1:15">
      <c r="A689" s="451" t="str">
        <f t="shared" si="10"/>
        <v>0_0</v>
      </c>
      <c r="N689" t="e">
        <f>VLOOKUP(A689, 'P&amp;L'!A:B,1,FALSE)</f>
        <v>#N/A</v>
      </c>
      <c r="O689" t="e">
        <f>VLOOKUP(A689, KeyData!A:C,1,FALSE)</f>
        <v>#N/A</v>
      </c>
    </row>
    <row r="690" spans="1:15">
      <c r="A690" s="451" t="str">
        <f t="shared" si="10"/>
        <v>0_0</v>
      </c>
      <c r="N690" t="e">
        <f>VLOOKUP(A690, 'P&amp;L'!A:B,1,FALSE)</f>
        <v>#N/A</v>
      </c>
      <c r="O690" t="e">
        <f>VLOOKUP(A690, KeyData!A:C,1,FALSE)</f>
        <v>#N/A</v>
      </c>
    </row>
    <row r="691" spans="1:15">
      <c r="A691" s="451" t="str">
        <f t="shared" si="10"/>
        <v>0_0</v>
      </c>
      <c r="N691" t="e">
        <f>VLOOKUP(A691, 'P&amp;L'!A:B,1,FALSE)</f>
        <v>#N/A</v>
      </c>
      <c r="O691" t="e">
        <f>VLOOKUP(A691, KeyData!A:C,1,FALSE)</f>
        <v>#N/A</v>
      </c>
    </row>
    <row r="692" spans="1:15">
      <c r="A692" s="451" t="str">
        <f t="shared" si="10"/>
        <v>0_0</v>
      </c>
      <c r="N692" t="e">
        <f>VLOOKUP(A692, 'P&amp;L'!A:B,1,FALSE)</f>
        <v>#N/A</v>
      </c>
      <c r="O692" t="e">
        <f>VLOOKUP(A692, KeyData!A:C,1,FALSE)</f>
        <v>#N/A</v>
      </c>
    </row>
    <row r="693" spans="1:15">
      <c r="A693" s="451" t="str">
        <f t="shared" si="10"/>
        <v>0_0</v>
      </c>
      <c r="N693" t="e">
        <f>VLOOKUP(A693, 'P&amp;L'!A:B,1,FALSE)</f>
        <v>#N/A</v>
      </c>
      <c r="O693" t="e">
        <f>VLOOKUP(A693, KeyData!A:C,1,FALSE)</f>
        <v>#N/A</v>
      </c>
    </row>
    <row r="694" spans="1:15">
      <c r="A694" s="451" t="str">
        <f t="shared" si="10"/>
        <v>0_0</v>
      </c>
      <c r="N694" t="e">
        <f>VLOOKUP(A694, 'P&amp;L'!A:B,1,FALSE)</f>
        <v>#N/A</v>
      </c>
      <c r="O694" t="e">
        <f>VLOOKUP(A694, KeyData!A:C,1,FALSE)</f>
        <v>#N/A</v>
      </c>
    </row>
    <row r="695" spans="1:15">
      <c r="A695" s="451" t="str">
        <f t="shared" si="10"/>
        <v>0_0</v>
      </c>
      <c r="N695" t="e">
        <f>VLOOKUP(A695, 'P&amp;L'!A:B,1,FALSE)</f>
        <v>#N/A</v>
      </c>
      <c r="O695" t="e">
        <f>VLOOKUP(A695, KeyData!A:C,1,FALSE)</f>
        <v>#N/A</v>
      </c>
    </row>
    <row r="696" spans="1:15">
      <c r="A696" s="451" t="str">
        <f t="shared" si="10"/>
        <v>0_0</v>
      </c>
      <c r="N696" t="e">
        <f>VLOOKUP(A696, 'P&amp;L'!A:B,1,FALSE)</f>
        <v>#N/A</v>
      </c>
      <c r="O696" t="e">
        <f>VLOOKUP(A696, KeyData!A:C,1,FALSE)</f>
        <v>#N/A</v>
      </c>
    </row>
    <row r="697" spans="1:15">
      <c r="A697" s="451" t="str">
        <f t="shared" si="10"/>
        <v>0_0</v>
      </c>
      <c r="N697" t="e">
        <f>VLOOKUP(A697, 'P&amp;L'!A:B,1,FALSE)</f>
        <v>#N/A</v>
      </c>
      <c r="O697" t="e">
        <f>VLOOKUP(A697, KeyData!A:C,1,FALSE)</f>
        <v>#N/A</v>
      </c>
    </row>
    <row r="698" spans="1:15">
      <c r="A698" s="451" t="str">
        <f t="shared" si="10"/>
        <v>0_0</v>
      </c>
      <c r="N698" t="e">
        <f>VLOOKUP(A698, 'P&amp;L'!A:B,1,FALSE)</f>
        <v>#N/A</v>
      </c>
      <c r="O698" t="e">
        <f>VLOOKUP(A698, KeyData!A:C,1,FALSE)</f>
        <v>#N/A</v>
      </c>
    </row>
    <row r="699" spans="1:15">
      <c r="A699" s="451" t="str">
        <f t="shared" si="10"/>
        <v>0_0</v>
      </c>
      <c r="N699" t="e">
        <f>VLOOKUP(A699, 'P&amp;L'!A:B,1,FALSE)</f>
        <v>#N/A</v>
      </c>
      <c r="O699" t="e">
        <f>VLOOKUP(A699, KeyData!A:C,1,FALSE)</f>
        <v>#N/A</v>
      </c>
    </row>
    <row r="700" spans="1:15">
      <c r="A700" s="451" t="str">
        <f t="shared" si="10"/>
        <v>0_0</v>
      </c>
      <c r="N700" t="e">
        <f>VLOOKUP(A700, 'P&amp;L'!A:B,1,FALSE)</f>
        <v>#N/A</v>
      </c>
      <c r="O700" t="e">
        <f>VLOOKUP(A700, KeyData!A:C,1,FALSE)</f>
        <v>#N/A</v>
      </c>
    </row>
    <row r="701" spans="1:15">
      <c r="A701" s="451" t="str">
        <f t="shared" si="10"/>
        <v>0_0</v>
      </c>
      <c r="N701" t="e">
        <f>VLOOKUP(A701, 'P&amp;L'!A:B,1,FALSE)</f>
        <v>#N/A</v>
      </c>
      <c r="O701" t="e">
        <f>VLOOKUP(A701, KeyData!A:C,1,FALSE)</f>
        <v>#N/A</v>
      </c>
    </row>
    <row r="702" spans="1:15">
      <c r="A702" s="451" t="str">
        <f t="shared" si="10"/>
        <v>0_0</v>
      </c>
      <c r="N702" t="e">
        <f>VLOOKUP(A702, 'P&amp;L'!A:B,1,FALSE)</f>
        <v>#N/A</v>
      </c>
      <c r="O702" t="e">
        <f>VLOOKUP(A702, KeyData!A:C,1,FALSE)</f>
        <v>#N/A</v>
      </c>
    </row>
    <row r="703" spans="1:15">
      <c r="A703" s="451" t="str">
        <f t="shared" si="10"/>
        <v>0_0</v>
      </c>
      <c r="N703" t="e">
        <f>VLOOKUP(A703, 'P&amp;L'!A:B,1,FALSE)</f>
        <v>#N/A</v>
      </c>
      <c r="O703" t="e">
        <f>VLOOKUP(A703, KeyData!A:C,1,FALSE)</f>
        <v>#N/A</v>
      </c>
    </row>
    <row r="704" spans="1:15">
      <c r="A704" s="451" t="str">
        <f t="shared" si="10"/>
        <v>0_0</v>
      </c>
      <c r="N704" t="e">
        <f>VLOOKUP(A704, 'P&amp;L'!A:B,1,FALSE)</f>
        <v>#N/A</v>
      </c>
      <c r="O704" t="e">
        <f>VLOOKUP(A704, KeyData!A:C,1,FALSE)</f>
        <v>#N/A</v>
      </c>
    </row>
    <row r="705" spans="1:15">
      <c r="A705" s="451" t="str">
        <f t="shared" si="10"/>
        <v>0_0</v>
      </c>
      <c r="N705" t="e">
        <f>VLOOKUP(A705, 'P&amp;L'!A:B,1,FALSE)</f>
        <v>#N/A</v>
      </c>
      <c r="O705" t="e">
        <f>VLOOKUP(A705, KeyData!A:C,1,FALSE)</f>
        <v>#N/A</v>
      </c>
    </row>
    <row r="706" spans="1:15">
      <c r="A706" s="451" t="str">
        <f t="shared" si="10"/>
        <v>0_0</v>
      </c>
      <c r="N706" t="e">
        <f>VLOOKUP(A706, 'P&amp;L'!A:B,1,FALSE)</f>
        <v>#N/A</v>
      </c>
      <c r="O706" t="e">
        <f>VLOOKUP(A706, KeyData!A:C,1,FALSE)</f>
        <v>#N/A</v>
      </c>
    </row>
    <row r="707" spans="1:15">
      <c r="A707" s="451" t="str">
        <f t="shared" ref="A707:A770" si="11" xml:space="preserve"> IFERROR(+B707*1,B707)&amp;"_"&amp;IFERROR(+D707*1,D707)</f>
        <v>0_0</v>
      </c>
      <c r="N707" t="e">
        <f>VLOOKUP(A707, 'P&amp;L'!A:B,1,FALSE)</f>
        <v>#N/A</v>
      </c>
      <c r="O707" t="e">
        <f>VLOOKUP(A707, KeyData!A:C,1,FALSE)</f>
        <v>#N/A</v>
      </c>
    </row>
    <row r="708" spans="1:15">
      <c r="A708" s="451" t="str">
        <f t="shared" si="11"/>
        <v>0_0</v>
      </c>
      <c r="N708" t="e">
        <f>VLOOKUP(A708, 'P&amp;L'!A:B,1,FALSE)</f>
        <v>#N/A</v>
      </c>
      <c r="O708" t="e">
        <f>VLOOKUP(A708, KeyData!A:C,1,FALSE)</f>
        <v>#N/A</v>
      </c>
    </row>
    <row r="709" spans="1:15">
      <c r="A709" s="451" t="str">
        <f t="shared" si="11"/>
        <v>0_0</v>
      </c>
      <c r="N709" t="e">
        <f>VLOOKUP(A709, 'P&amp;L'!A:B,1,FALSE)</f>
        <v>#N/A</v>
      </c>
      <c r="O709" t="e">
        <f>VLOOKUP(A709, KeyData!A:C,1,FALSE)</f>
        <v>#N/A</v>
      </c>
    </row>
    <row r="710" spans="1:15">
      <c r="A710" s="451" t="str">
        <f t="shared" si="11"/>
        <v>0_0</v>
      </c>
      <c r="N710" t="e">
        <f>VLOOKUP(A710, 'P&amp;L'!A:B,1,FALSE)</f>
        <v>#N/A</v>
      </c>
      <c r="O710" t="e">
        <f>VLOOKUP(A710, KeyData!A:C,1,FALSE)</f>
        <v>#N/A</v>
      </c>
    </row>
    <row r="711" spans="1:15">
      <c r="A711" s="451" t="str">
        <f t="shared" si="11"/>
        <v>0_0</v>
      </c>
      <c r="N711" t="e">
        <f>VLOOKUP(A711, 'P&amp;L'!A:B,1,FALSE)</f>
        <v>#N/A</v>
      </c>
      <c r="O711" t="e">
        <f>VLOOKUP(A711, KeyData!A:C,1,FALSE)</f>
        <v>#N/A</v>
      </c>
    </row>
    <row r="712" spans="1:15">
      <c r="A712" s="451" t="str">
        <f t="shared" si="11"/>
        <v>0_0</v>
      </c>
      <c r="N712" t="e">
        <f>VLOOKUP(A712, 'P&amp;L'!A:B,1,FALSE)</f>
        <v>#N/A</v>
      </c>
      <c r="O712" t="e">
        <f>VLOOKUP(A712, KeyData!A:C,1,FALSE)</f>
        <v>#N/A</v>
      </c>
    </row>
    <row r="713" spans="1:15">
      <c r="A713" s="451" t="str">
        <f t="shared" si="11"/>
        <v>0_0</v>
      </c>
      <c r="N713" t="e">
        <f>VLOOKUP(A713, 'P&amp;L'!A:B,1,FALSE)</f>
        <v>#N/A</v>
      </c>
      <c r="O713" t="e">
        <f>VLOOKUP(A713, KeyData!A:C,1,FALSE)</f>
        <v>#N/A</v>
      </c>
    </row>
    <row r="714" spans="1:15">
      <c r="A714" s="451" t="str">
        <f t="shared" si="11"/>
        <v>0_0</v>
      </c>
      <c r="N714" t="e">
        <f>VLOOKUP(A714, 'P&amp;L'!A:B,1,FALSE)</f>
        <v>#N/A</v>
      </c>
      <c r="O714" t="e">
        <f>VLOOKUP(A714, KeyData!A:C,1,FALSE)</f>
        <v>#N/A</v>
      </c>
    </row>
    <row r="715" spans="1:15">
      <c r="A715" s="451" t="str">
        <f t="shared" si="11"/>
        <v>0_0</v>
      </c>
      <c r="N715" t="e">
        <f>VLOOKUP(A715, 'P&amp;L'!A:B,1,FALSE)</f>
        <v>#N/A</v>
      </c>
      <c r="O715" t="e">
        <f>VLOOKUP(A715, KeyData!A:C,1,FALSE)</f>
        <v>#N/A</v>
      </c>
    </row>
    <row r="716" spans="1:15">
      <c r="A716" s="451" t="str">
        <f t="shared" si="11"/>
        <v>0_0</v>
      </c>
      <c r="N716" t="e">
        <f>VLOOKUP(A716, 'P&amp;L'!A:B,1,FALSE)</f>
        <v>#N/A</v>
      </c>
      <c r="O716" t="e">
        <f>VLOOKUP(A716, KeyData!A:C,1,FALSE)</f>
        <v>#N/A</v>
      </c>
    </row>
    <row r="717" spans="1:15">
      <c r="A717" s="451" t="str">
        <f t="shared" si="11"/>
        <v>0_0</v>
      </c>
      <c r="N717" t="e">
        <f>VLOOKUP(A717, 'P&amp;L'!A:B,1,FALSE)</f>
        <v>#N/A</v>
      </c>
      <c r="O717" t="e">
        <f>VLOOKUP(A717, KeyData!A:C,1,FALSE)</f>
        <v>#N/A</v>
      </c>
    </row>
    <row r="718" spans="1:15">
      <c r="A718" s="451" t="str">
        <f t="shared" si="11"/>
        <v>0_0</v>
      </c>
      <c r="N718" t="e">
        <f>VLOOKUP(A718, 'P&amp;L'!A:B,1,FALSE)</f>
        <v>#N/A</v>
      </c>
      <c r="O718" t="e">
        <f>VLOOKUP(A718, KeyData!A:C,1,FALSE)</f>
        <v>#N/A</v>
      </c>
    </row>
    <row r="719" spans="1:15">
      <c r="A719" s="451" t="str">
        <f t="shared" si="11"/>
        <v>0_0</v>
      </c>
      <c r="N719" t="e">
        <f>VLOOKUP(A719, 'P&amp;L'!A:B,1,FALSE)</f>
        <v>#N/A</v>
      </c>
      <c r="O719" t="e">
        <f>VLOOKUP(A719, KeyData!A:C,1,FALSE)</f>
        <v>#N/A</v>
      </c>
    </row>
    <row r="720" spans="1:15">
      <c r="A720" s="451" t="str">
        <f t="shared" si="11"/>
        <v>0_0</v>
      </c>
      <c r="N720" t="e">
        <f>VLOOKUP(A720, 'P&amp;L'!A:B,1,FALSE)</f>
        <v>#N/A</v>
      </c>
      <c r="O720" t="e">
        <f>VLOOKUP(A720, KeyData!A:C,1,FALSE)</f>
        <v>#N/A</v>
      </c>
    </row>
    <row r="721" spans="1:15">
      <c r="A721" s="451" t="str">
        <f t="shared" si="11"/>
        <v>0_0</v>
      </c>
      <c r="N721" t="e">
        <f>VLOOKUP(A721, 'P&amp;L'!A:B,1,FALSE)</f>
        <v>#N/A</v>
      </c>
      <c r="O721" t="e">
        <f>VLOOKUP(A721, KeyData!A:C,1,FALSE)</f>
        <v>#N/A</v>
      </c>
    </row>
    <row r="722" spans="1:15">
      <c r="A722" s="451" t="str">
        <f t="shared" si="11"/>
        <v>0_0</v>
      </c>
      <c r="N722" t="e">
        <f>VLOOKUP(A722, 'P&amp;L'!A:B,1,FALSE)</f>
        <v>#N/A</v>
      </c>
      <c r="O722" t="e">
        <f>VLOOKUP(A722, KeyData!A:C,1,FALSE)</f>
        <v>#N/A</v>
      </c>
    </row>
    <row r="723" spans="1:15">
      <c r="A723" s="451" t="str">
        <f t="shared" si="11"/>
        <v>0_0</v>
      </c>
      <c r="N723" t="e">
        <f>VLOOKUP(A723, 'P&amp;L'!A:B,1,FALSE)</f>
        <v>#N/A</v>
      </c>
      <c r="O723" t="e">
        <f>VLOOKUP(A723, KeyData!A:C,1,FALSE)</f>
        <v>#N/A</v>
      </c>
    </row>
    <row r="724" spans="1:15">
      <c r="A724" s="451" t="str">
        <f t="shared" si="11"/>
        <v>0_0</v>
      </c>
      <c r="N724" t="e">
        <f>VLOOKUP(A724, 'P&amp;L'!A:B,1,FALSE)</f>
        <v>#N/A</v>
      </c>
      <c r="O724" t="e">
        <f>VLOOKUP(A724, KeyData!A:C,1,FALSE)</f>
        <v>#N/A</v>
      </c>
    </row>
    <row r="725" spans="1:15">
      <c r="A725" s="451" t="str">
        <f t="shared" si="11"/>
        <v>0_0</v>
      </c>
      <c r="N725" t="e">
        <f>VLOOKUP(A725, 'P&amp;L'!A:B,1,FALSE)</f>
        <v>#N/A</v>
      </c>
      <c r="O725" t="e">
        <f>VLOOKUP(A725, KeyData!A:C,1,FALSE)</f>
        <v>#N/A</v>
      </c>
    </row>
    <row r="726" spans="1:15">
      <c r="A726" s="451" t="str">
        <f t="shared" si="11"/>
        <v>0_0</v>
      </c>
      <c r="N726" t="e">
        <f>VLOOKUP(A726, 'P&amp;L'!A:B,1,FALSE)</f>
        <v>#N/A</v>
      </c>
      <c r="O726" t="e">
        <f>VLOOKUP(A726, KeyData!A:C,1,FALSE)</f>
        <v>#N/A</v>
      </c>
    </row>
    <row r="727" spans="1:15">
      <c r="A727" s="451" t="str">
        <f t="shared" si="11"/>
        <v>0_0</v>
      </c>
      <c r="N727" t="e">
        <f>VLOOKUP(A727, 'P&amp;L'!A:B,1,FALSE)</f>
        <v>#N/A</v>
      </c>
      <c r="O727" t="e">
        <f>VLOOKUP(A727, KeyData!A:C,1,FALSE)</f>
        <v>#N/A</v>
      </c>
    </row>
    <row r="728" spans="1:15">
      <c r="A728" s="451" t="str">
        <f t="shared" si="11"/>
        <v>0_0</v>
      </c>
      <c r="N728" t="e">
        <f>VLOOKUP(A728, 'P&amp;L'!A:B,1,FALSE)</f>
        <v>#N/A</v>
      </c>
      <c r="O728" t="e">
        <f>VLOOKUP(A728, KeyData!A:C,1,FALSE)</f>
        <v>#N/A</v>
      </c>
    </row>
    <row r="729" spans="1:15">
      <c r="A729" s="451" t="str">
        <f t="shared" si="11"/>
        <v>0_0</v>
      </c>
      <c r="N729" t="e">
        <f>VLOOKUP(A729, 'P&amp;L'!A:B,1,FALSE)</f>
        <v>#N/A</v>
      </c>
      <c r="O729" t="e">
        <f>VLOOKUP(A729, KeyData!A:C,1,FALSE)</f>
        <v>#N/A</v>
      </c>
    </row>
    <row r="730" spans="1:15">
      <c r="A730" s="451" t="str">
        <f t="shared" si="11"/>
        <v>0_0</v>
      </c>
      <c r="N730" t="e">
        <f>VLOOKUP(A730, 'P&amp;L'!A:B,1,FALSE)</f>
        <v>#N/A</v>
      </c>
      <c r="O730" t="e">
        <f>VLOOKUP(A730, KeyData!A:C,1,FALSE)</f>
        <v>#N/A</v>
      </c>
    </row>
    <row r="731" spans="1:15">
      <c r="A731" s="451" t="str">
        <f t="shared" si="11"/>
        <v>0_0</v>
      </c>
      <c r="N731" t="e">
        <f>VLOOKUP(A731, 'P&amp;L'!A:B,1,FALSE)</f>
        <v>#N/A</v>
      </c>
      <c r="O731" t="e">
        <f>VLOOKUP(A731, KeyData!A:C,1,FALSE)</f>
        <v>#N/A</v>
      </c>
    </row>
    <row r="732" spans="1:15">
      <c r="A732" s="451" t="str">
        <f t="shared" si="11"/>
        <v>0_0</v>
      </c>
      <c r="N732" t="e">
        <f>VLOOKUP(A732, 'P&amp;L'!A:B,1,FALSE)</f>
        <v>#N/A</v>
      </c>
      <c r="O732" t="e">
        <f>VLOOKUP(A732, KeyData!A:C,1,FALSE)</f>
        <v>#N/A</v>
      </c>
    </row>
    <row r="733" spans="1:15">
      <c r="A733" s="451" t="str">
        <f t="shared" si="11"/>
        <v>0_0</v>
      </c>
      <c r="N733" t="e">
        <f>VLOOKUP(A733, 'P&amp;L'!A:B,1,FALSE)</f>
        <v>#N/A</v>
      </c>
      <c r="O733" t="e">
        <f>VLOOKUP(A733, KeyData!A:C,1,FALSE)</f>
        <v>#N/A</v>
      </c>
    </row>
    <row r="734" spans="1:15">
      <c r="A734" s="451" t="str">
        <f t="shared" si="11"/>
        <v>0_0</v>
      </c>
      <c r="N734" t="e">
        <f>VLOOKUP(A734, 'P&amp;L'!A:B,1,FALSE)</f>
        <v>#N/A</v>
      </c>
      <c r="O734" t="e">
        <f>VLOOKUP(A734, KeyData!A:C,1,FALSE)</f>
        <v>#N/A</v>
      </c>
    </row>
    <row r="735" spans="1:15">
      <c r="A735" s="451" t="str">
        <f t="shared" si="11"/>
        <v>0_0</v>
      </c>
      <c r="N735" t="e">
        <f>VLOOKUP(A735, 'P&amp;L'!A:B,1,FALSE)</f>
        <v>#N/A</v>
      </c>
      <c r="O735" t="e">
        <f>VLOOKUP(A735, KeyData!A:C,1,FALSE)</f>
        <v>#N/A</v>
      </c>
    </row>
    <row r="736" spans="1:15">
      <c r="A736" s="451" t="str">
        <f t="shared" si="11"/>
        <v>0_0</v>
      </c>
      <c r="N736" t="e">
        <f>VLOOKUP(A736, 'P&amp;L'!A:B,1,FALSE)</f>
        <v>#N/A</v>
      </c>
      <c r="O736" t="e">
        <f>VLOOKUP(A736, KeyData!A:C,1,FALSE)</f>
        <v>#N/A</v>
      </c>
    </row>
    <row r="737" spans="1:15">
      <c r="A737" s="451" t="str">
        <f t="shared" si="11"/>
        <v>0_0</v>
      </c>
      <c r="N737" t="e">
        <f>VLOOKUP(A737, 'P&amp;L'!A:B,1,FALSE)</f>
        <v>#N/A</v>
      </c>
      <c r="O737" t="e">
        <f>VLOOKUP(A737, KeyData!A:C,1,FALSE)</f>
        <v>#N/A</v>
      </c>
    </row>
    <row r="738" spans="1:15">
      <c r="A738" s="451" t="str">
        <f t="shared" si="11"/>
        <v>0_0</v>
      </c>
      <c r="N738" t="e">
        <f>VLOOKUP(A738, 'P&amp;L'!A:B,1,FALSE)</f>
        <v>#N/A</v>
      </c>
      <c r="O738" t="e">
        <f>VLOOKUP(A738, KeyData!A:C,1,FALSE)</f>
        <v>#N/A</v>
      </c>
    </row>
    <row r="739" spans="1:15">
      <c r="A739" s="451" t="str">
        <f t="shared" si="11"/>
        <v>0_0</v>
      </c>
      <c r="N739" t="e">
        <f>VLOOKUP(A739, 'P&amp;L'!A:B,1,FALSE)</f>
        <v>#N/A</v>
      </c>
      <c r="O739" t="e">
        <f>VLOOKUP(A739, KeyData!A:C,1,FALSE)</f>
        <v>#N/A</v>
      </c>
    </row>
    <row r="740" spans="1:15">
      <c r="A740" s="451" t="str">
        <f t="shared" si="11"/>
        <v>0_0</v>
      </c>
      <c r="N740" t="e">
        <f>VLOOKUP(A740, 'P&amp;L'!A:B,1,FALSE)</f>
        <v>#N/A</v>
      </c>
      <c r="O740" t="e">
        <f>VLOOKUP(A740, KeyData!A:C,1,FALSE)</f>
        <v>#N/A</v>
      </c>
    </row>
    <row r="741" spans="1:15">
      <c r="A741" s="451" t="str">
        <f t="shared" si="11"/>
        <v>0_0</v>
      </c>
      <c r="N741" t="e">
        <f>VLOOKUP(A741, 'P&amp;L'!A:B,1,FALSE)</f>
        <v>#N/A</v>
      </c>
      <c r="O741" t="e">
        <f>VLOOKUP(A741, KeyData!A:C,1,FALSE)</f>
        <v>#N/A</v>
      </c>
    </row>
    <row r="742" spans="1:15">
      <c r="A742" s="451" t="str">
        <f t="shared" si="11"/>
        <v>0_0</v>
      </c>
      <c r="N742" t="e">
        <f>VLOOKUP(A742, 'P&amp;L'!A:B,1,FALSE)</f>
        <v>#N/A</v>
      </c>
      <c r="O742" t="e">
        <f>VLOOKUP(A742, KeyData!A:C,1,FALSE)</f>
        <v>#N/A</v>
      </c>
    </row>
    <row r="743" spans="1:15">
      <c r="A743" s="451" t="str">
        <f t="shared" si="11"/>
        <v>0_0</v>
      </c>
      <c r="N743" t="e">
        <f>VLOOKUP(A743, 'P&amp;L'!A:B,1,FALSE)</f>
        <v>#N/A</v>
      </c>
      <c r="O743" t="e">
        <f>VLOOKUP(A743, KeyData!A:C,1,FALSE)</f>
        <v>#N/A</v>
      </c>
    </row>
    <row r="744" spans="1:15">
      <c r="A744" s="451" t="str">
        <f t="shared" si="11"/>
        <v>0_0</v>
      </c>
      <c r="N744" t="e">
        <f>VLOOKUP(A744, 'P&amp;L'!A:B,1,FALSE)</f>
        <v>#N/A</v>
      </c>
      <c r="O744" t="e">
        <f>VLOOKUP(A744, KeyData!A:C,1,FALSE)</f>
        <v>#N/A</v>
      </c>
    </row>
    <row r="745" spans="1:15">
      <c r="A745" s="451" t="str">
        <f t="shared" si="11"/>
        <v>0_0</v>
      </c>
      <c r="N745" t="e">
        <f>VLOOKUP(A745, 'P&amp;L'!A:B,1,FALSE)</f>
        <v>#N/A</v>
      </c>
      <c r="O745" t="e">
        <f>VLOOKUP(A745, KeyData!A:C,1,FALSE)</f>
        <v>#N/A</v>
      </c>
    </row>
    <row r="746" spans="1:15">
      <c r="A746" s="451" t="str">
        <f t="shared" si="11"/>
        <v>0_0</v>
      </c>
      <c r="N746" t="e">
        <f>VLOOKUP(A746, 'P&amp;L'!A:B,1,FALSE)</f>
        <v>#N/A</v>
      </c>
      <c r="O746" t="e">
        <f>VLOOKUP(A746, KeyData!A:C,1,FALSE)</f>
        <v>#N/A</v>
      </c>
    </row>
    <row r="747" spans="1:15">
      <c r="A747" s="451" t="str">
        <f t="shared" si="11"/>
        <v>0_0</v>
      </c>
      <c r="N747" t="e">
        <f>VLOOKUP(A747, 'P&amp;L'!A:B,1,FALSE)</f>
        <v>#N/A</v>
      </c>
      <c r="O747" t="e">
        <f>VLOOKUP(A747, KeyData!A:C,1,FALSE)</f>
        <v>#N/A</v>
      </c>
    </row>
    <row r="748" spans="1:15">
      <c r="A748" s="451" t="str">
        <f t="shared" si="11"/>
        <v>0_0</v>
      </c>
      <c r="N748" t="e">
        <f>VLOOKUP(A748, 'P&amp;L'!A:B,1,FALSE)</f>
        <v>#N/A</v>
      </c>
      <c r="O748" t="e">
        <f>VLOOKUP(A748, KeyData!A:C,1,FALSE)</f>
        <v>#N/A</v>
      </c>
    </row>
    <row r="749" spans="1:15">
      <c r="A749" s="451" t="str">
        <f t="shared" si="11"/>
        <v>0_0</v>
      </c>
      <c r="N749" t="e">
        <f>VLOOKUP(A749, 'P&amp;L'!A:B,1,FALSE)</f>
        <v>#N/A</v>
      </c>
      <c r="O749" t="e">
        <f>VLOOKUP(A749, KeyData!A:C,1,FALSE)</f>
        <v>#N/A</v>
      </c>
    </row>
    <row r="750" spans="1:15">
      <c r="A750" s="451" t="str">
        <f t="shared" si="11"/>
        <v>0_0</v>
      </c>
      <c r="N750" t="e">
        <f>VLOOKUP(A750, 'P&amp;L'!A:B,1,FALSE)</f>
        <v>#N/A</v>
      </c>
      <c r="O750" t="e">
        <f>VLOOKUP(A750, KeyData!A:C,1,FALSE)</f>
        <v>#N/A</v>
      </c>
    </row>
    <row r="751" spans="1:15">
      <c r="A751" s="451" t="str">
        <f t="shared" si="11"/>
        <v>0_0</v>
      </c>
      <c r="N751" t="e">
        <f>VLOOKUP(A751, 'P&amp;L'!A:B,1,FALSE)</f>
        <v>#N/A</v>
      </c>
      <c r="O751" t="e">
        <f>VLOOKUP(A751, KeyData!A:C,1,FALSE)</f>
        <v>#N/A</v>
      </c>
    </row>
    <row r="752" spans="1:15">
      <c r="A752" s="451" t="str">
        <f t="shared" si="11"/>
        <v>0_0</v>
      </c>
      <c r="N752" t="e">
        <f>VLOOKUP(A752, 'P&amp;L'!A:B,1,FALSE)</f>
        <v>#N/A</v>
      </c>
      <c r="O752" t="e">
        <f>VLOOKUP(A752, KeyData!A:C,1,FALSE)</f>
        <v>#N/A</v>
      </c>
    </row>
    <row r="753" spans="1:15">
      <c r="A753" s="451" t="str">
        <f t="shared" si="11"/>
        <v>0_0</v>
      </c>
      <c r="N753" t="e">
        <f>VLOOKUP(A753, 'P&amp;L'!A:B,1,FALSE)</f>
        <v>#N/A</v>
      </c>
      <c r="O753" t="e">
        <f>VLOOKUP(A753, KeyData!A:C,1,FALSE)</f>
        <v>#N/A</v>
      </c>
    </row>
    <row r="754" spans="1:15">
      <c r="A754" s="451" t="str">
        <f t="shared" si="11"/>
        <v>0_0</v>
      </c>
      <c r="N754" t="e">
        <f>VLOOKUP(A754, 'P&amp;L'!A:B,1,FALSE)</f>
        <v>#N/A</v>
      </c>
      <c r="O754" t="e">
        <f>VLOOKUP(A754, KeyData!A:C,1,FALSE)</f>
        <v>#N/A</v>
      </c>
    </row>
    <row r="755" spans="1:15">
      <c r="A755" s="451" t="str">
        <f t="shared" si="11"/>
        <v>0_0</v>
      </c>
      <c r="N755" t="e">
        <f>VLOOKUP(A755, 'P&amp;L'!A:B,1,FALSE)</f>
        <v>#N/A</v>
      </c>
      <c r="O755" t="e">
        <f>VLOOKUP(A755, KeyData!A:C,1,FALSE)</f>
        <v>#N/A</v>
      </c>
    </row>
    <row r="756" spans="1:15">
      <c r="A756" s="451" t="str">
        <f t="shared" si="11"/>
        <v>0_0</v>
      </c>
      <c r="N756" t="e">
        <f>VLOOKUP(A756, 'P&amp;L'!A:B,1,FALSE)</f>
        <v>#N/A</v>
      </c>
      <c r="O756" t="e">
        <f>VLOOKUP(A756, KeyData!A:C,1,FALSE)</f>
        <v>#N/A</v>
      </c>
    </row>
    <row r="757" spans="1:15">
      <c r="A757" s="451" t="str">
        <f t="shared" si="11"/>
        <v>0_0</v>
      </c>
      <c r="N757" t="e">
        <f>VLOOKUP(A757, 'P&amp;L'!A:B,1,FALSE)</f>
        <v>#N/A</v>
      </c>
      <c r="O757" t="e">
        <f>VLOOKUP(A757, KeyData!A:C,1,FALSE)</f>
        <v>#N/A</v>
      </c>
    </row>
    <row r="758" spans="1:15">
      <c r="A758" s="451" t="str">
        <f t="shared" si="11"/>
        <v>0_0</v>
      </c>
      <c r="N758" t="e">
        <f>VLOOKUP(A758, 'P&amp;L'!A:B,1,FALSE)</f>
        <v>#N/A</v>
      </c>
      <c r="O758" t="e">
        <f>VLOOKUP(A758, KeyData!A:C,1,FALSE)</f>
        <v>#N/A</v>
      </c>
    </row>
    <row r="759" spans="1:15">
      <c r="A759" s="451" t="str">
        <f t="shared" si="11"/>
        <v>0_0</v>
      </c>
      <c r="N759" t="e">
        <f>VLOOKUP(A759, 'P&amp;L'!A:B,1,FALSE)</f>
        <v>#N/A</v>
      </c>
      <c r="O759" t="e">
        <f>VLOOKUP(A759, KeyData!A:C,1,FALSE)</f>
        <v>#N/A</v>
      </c>
    </row>
    <row r="760" spans="1:15">
      <c r="A760" s="451" t="str">
        <f t="shared" si="11"/>
        <v>0_0</v>
      </c>
      <c r="N760" t="e">
        <f>VLOOKUP(A760, 'P&amp;L'!A:B,1,FALSE)</f>
        <v>#N/A</v>
      </c>
      <c r="O760" t="e">
        <f>VLOOKUP(A760, KeyData!A:C,1,FALSE)</f>
        <v>#N/A</v>
      </c>
    </row>
    <row r="761" spans="1:15">
      <c r="A761" s="451" t="str">
        <f t="shared" si="11"/>
        <v>0_0</v>
      </c>
      <c r="N761" t="e">
        <f>VLOOKUP(A761, 'P&amp;L'!A:B,1,FALSE)</f>
        <v>#N/A</v>
      </c>
      <c r="O761" t="e">
        <f>VLOOKUP(A761, KeyData!A:C,1,FALSE)</f>
        <v>#N/A</v>
      </c>
    </row>
    <row r="762" spans="1:15">
      <c r="A762" s="451" t="str">
        <f t="shared" si="11"/>
        <v>0_0</v>
      </c>
      <c r="N762" t="e">
        <f>VLOOKUP(A762, 'P&amp;L'!A:B,1,FALSE)</f>
        <v>#N/A</v>
      </c>
      <c r="O762" t="e">
        <f>VLOOKUP(A762, KeyData!A:C,1,FALSE)</f>
        <v>#N/A</v>
      </c>
    </row>
    <row r="763" spans="1:15">
      <c r="A763" s="451" t="str">
        <f t="shared" si="11"/>
        <v>0_0</v>
      </c>
      <c r="N763" t="e">
        <f>VLOOKUP(A763, 'P&amp;L'!A:B,1,FALSE)</f>
        <v>#N/A</v>
      </c>
      <c r="O763" t="e">
        <f>VLOOKUP(A763, KeyData!A:C,1,FALSE)</f>
        <v>#N/A</v>
      </c>
    </row>
    <row r="764" spans="1:15">
      <c r="A764" s="451" t="str">
        <f t="shared" si="11"/>
        <v>0_0</v>
      </c>
      <c r="N764" t="e">
        <f>VLOOKUP(A764, 'P&amp;L'!A:B,1,FALSE)</f>
        <v>#N/A</v>
      </c>
      <c r="O764" t="e">
        <f>VLOOKUP(A764, KeyData!A:C,1,FALSE)</f>
        <v>#N/A</v>
      </c>
    </row>
    <row r="765" spans="1:15">
      <c r="A765" s="451" t="str">
        <f t="shared" si="11"/>
        <v>0_0</v>
      </c>
      <c r="N765" t="e">
        <f>VLOOKUP(A765, 'P&amp;L'!A:B,1,FALSE)</f>
        <v>#N/A</v>
      </c>
      <c r="O765" t="e">
        <f>VLOOKUP(A765, KeyData!A:C,1,FALSE)</f>
        <v>#N/A</v>
      </c>
    </row>
    <row r="766" spans="1:15">
      <c r="A766" s="451" t="str">
        <f t="shared" si="11"/>
        <v>0_0</v>
      </c>
      <c r="N766" t="e">
        <f>VLOOKUP(A766, 'P&amp;L'!A:B,1,FALSE)</f>
        <v>#N/A</v>
      </c>
      <c r="O766" t="e">
        <f>VLOOKUP(A766, KeyData!A:C,1,FALSE)</f>
        <v>#N/A</v>
      </c>
    </row>
    <row r="767" spans="1:15">
      <c r="A767" s="451" t="str">
        <f t="shared" si="11"/>
        <v>0_0</v>
      </c>
      <c r="N767" t="e">
        <f>VLOOKUP(A767, 'P&amp;L'!A:B,1,FALSE)</f>
        <v>#N/A</v>
      </c>
      <c r="O767" t="e">
        <f>VLOOKUP(A767, KeyData!A:C,1,FALSE)</f>
        <v>#N/A</v>
      </c>
    </row>
    <row r="768" spans="1:15">
      <c r="A768" s="451" t="str">
        <f t="shared" si="11"/>
        <v>0_0</v>
      </c>
      <c r="N768" t="e">
        <f>VLOOKUP(A768, 'P&amp;L'!A:B,1,FALSE)</f>
        <v>#N/A</v>
      </c>
      <c r="O768" t="e">
        <f>VLOOKUP(A768, KeyData!A:C,1,FALSE)</f>
        <v>#N/A</v>
      </c>
    </row>
    <row r="769" spans="1:15">
      <c r="A769" s="451" t="str">
        <f t="shared" si="11"/>
        <v>0_0</v>
      </c>
      <c r="N769" t="e">
        <f>VLOOKUP(A769, 'P&amp;L'!A:B,1,FALSE)</f>
        <v>#N/A</v>
      </c>
      <c r="O769" t="e">
        <f>VLOOKUP(A769, KeyData!A:C,1,FALSE)</f>
        <v>#N/A</v>
      </c>
    </row>
    <row r="770" spans="1:15">
      <c r="A770" s="451" t="str">
        <f t="shared" si="11"/>
        <v>0_0</v>
      </c>
      <c r="N770" t="e">
        <f>VLOOKUP(A770, 'P&amp;L'!A:B,1,FALSE)</f>
        <v>#N/A</v>
      </c>
      <c r="O770" t="e">
        <f>VLOOKUP(A770, KeyData!A:C,1,FALSE)</f>
        <v>#N/A</v>
      </c>
    </row>
    <row r="771" spans="1:15">
      <c r="A771" s="451" t="str">
        <f t="shared" ref="A771:A834" si="12" xml:space="preserve"> IFERROR(+B771*1,B771)&amp;"_"&amp;IFERROR(+D771*1,D771)</f>
        <v>0_0</v>
      </c>
      <c r="N771" t="e">
        <f>VLOOKUP(A771, 'P&amp;L'!A:B,1,FALSE)</f>
        <v>#N/A</v>
      </c>
      <c r="O771" t="e">
        <f>VLOOKUP(A771, KeyData!A:C,1,FALSE)</f>
        <v>#N/A</v>
      </c>
    </row>
    <row r="772" spans="1:15">
      <c r="A772" s="451" t="str">
        <f t="shared" si="12"/>
        <v>0_0</v>
      </c>
      <c r="N772" t="e">
        <f>VLOOKUP(A772, 'P&amp;L'!A:B,1,FALSE)</f>
        <v>#N/A</v>
      </c>
      <c r="O772" t="e">
        <f>VLOOKUP(A772, KeyData!A:C,1,FALSE)</f>
        <v>#N/A</v>
      </c>
    </row>
    <row r="773" spans="1:15">
      <c r="A773" s="451" t="str">
        <f t="shared" si="12"/>
        <v>0_0</v>
      </c>
      <c r="N773" t="e">
        <f>VLOOKUP(A773, 'P&amp;L'!A:B,1,FALSE)</f>
        <v>#N/A</v>
      </c>
      <c r="O773" t="e">
        <f>VLOOKUP(A773, KeyData!A:C,1,FALSE)</f>
        <v>#N/A</v>
      </c>
    </row>
    <row r="774" spans="1:15">
      <c r="A774" s="451" t="str">
        <f t="shared" si="12"/>
        <v>0_0</v>
      </c>
      <c r="N774" t="e">
        <f>VLOOKUP(A774, 'P&amp;L'!A:B,1,FALSE)</f>
        <v>#N/A</v>
      </c>
      <c r="O774" t="e">
        <f>VLOOKUP(A774, KeyData!A:C,1,FALSE)</f>
        <v>#N/A</v>
      </c>
    </row>
    <row r="775" spans="1:15">
      <c r="A775" s="451" t="str">
        <f t="shared" si="12"/>
        <v>0_0</v>
      </c>
      <c r="N775" t="e">
        <f>VLOOKUP(A775, 'P&amp;L'!A:B,1,FALSE)</f>
        <v>#N/A</v>
      </c>
      <c r="O775" t="e">
        <f>VLOOKUP(A775, KeyData!A:C,1,FALSE)</f>
        <v>#N/A</v>
      </c>
    </row>
    <row r="776" spans="1:15">
      <c r="A776" s="451" t="str">
        <f t="shared" si="12"/>
        <v>0_0</v>
      </c>
      <c r="N776" t="e">
        <f>VLOOKUP(A776, 'P&amp;L'!A:B,1,FALSE)</f>
        <v>#N/A</v>
      </c>
      <c r="O776" t="e">
        <f>VLOOKUP(A776, KeyData!A:C,1,FALSE)</f>
        <v>#N/A</v>
      </c>
    </row>
    <row r="777" spans="1:15">
      <c r="A777" s="451" t="str">
        <f t="shared" si="12"/>
        <v>0_0</v>
      </c>
      <c r="N777" t="e">
        <f>VLOOKUP(A777, 'P&amp;L'!A:B,1,FALSE)</f>
        <v>#N/A</v>
      </c>
      <c r="O777" t="e">
        <f>VLOOKUP(A777, KeyData!A:C,1,FALSE)</f>
        <v>#N/A</v>
      </c>
    </row>
    <row r="778" spans="1:15">
      <c r="A778" s="451" t="str">
        <f t="shared" si="12"/>
        <v>0_0</v>
      </c>
      <c r="N778" t="e">
        <f>VLOOKUP(A778, 'P&amp;L'!A:B,1,FALSE)</f>
        <v>#N/A</v>
      </c>
      <c r="O778" t="e">
        <f>VLOOKUP(A778, KeyData!A:C,1,FALSE)</f>
        <v>#N/A</v>
      </c>
    </row>
    <row r="779" spans="1:15">
      <c r="A779" s="451" t="str">
        <f t="shared" si="12"/>
        <v>0_0</v>
      </c>
      <c r="N779" t="e">
        <f>VLOOKUP(A779, 'P&amp;L'!A:B,1,FALSE)</f>
        <v>#N/A</v>
      </c>
      <c r="O779" t="e">
        <f>VLOOKUP(A779, KeyData!A:C,1,FALSE)</f>
        <v>#N/A</v>
      </c>
    </row>
    <row r="780" spans="1:15">
      <c r="A780" s="451" t="str">
        <f t="shared" si="12"/>
        <v>0_0</v>
      </c>
      <c r="N780" t="e">
        <f>VLOOKUP(A780, 'P&amp;L'!A:B,1,FALSE)</f>
        <v>#N/A</v>
      </c>
      <c r="O780" t="e">
        <f>VLOOKUP(A780, KeyData!A:C,1,FALSE)</f>
        <v>#N/A</v>
      </c>
    </row>
    <row r="781" spans="1:15">
      <c r="A781" s="451" t="str">
        <f t="shared" si="12"/>
        <v>0_0</v>
      </c>
      <c r="N781" t="e">
        <f>VLOOKUP(A781, 'P&amp;L'!A:B,1,FALSE)</f>
        <v>#N/A</v>
      </c>
      <c r="O781" t="e">
        <f>VLOOKUP(A781, KeyData!A:C,1,FALSE)</f>
        <v>#N/A</v>
      </c>
    </row>
    <row r="782" spans="1:15">
      <c r="A782" s="451" t="str">
        <f t="shared" si="12"/>
        <v>0_0</v>
      </c>
      <c r="N782" t="e">
        <f>VLOOKUP(A782, 'P&amp;L'!A:B,1,FALSE)</f>
        <v>#N/A</v>
      </c>
      <c r="O782" t="e">
        <f>VLOOKUP(A782, KeyData!A:C,1,FALSE)</f>
        <v>#N/A</v>
      </c>
    </row>
    <row r="783" spans="1:15">
      <c r="A783" s="451" t="str">
        <f t="shared" si="12"/>
        <v>0_0</v>
      </c>
      <c r="N783" t="e">
        <f>VLOOKUP(A783, 'P&amp;L'!A:B,1,FALSE)</f>
        <v>#N/A</v>
      </c>
      <c r="O783" t="e">
        <f>VLOOKUP(A783, KeyData!A:C,1,FALSE)</f>
        <v>#N/A</v>
      </c>
    </row>
    <row r="784" spans="1:15">
      <c r="A784" s="451" t="str">
        <f t="shared" si="12"/>
        <v>0_0</v>
      </c>
      <c r="N784" t="e">
        <f>VLOOKUP(A784, 'P&amp;L'!A:B,1,FALSE)</f>
        <v>#N/A</v>
      </c>
      <c r="O784" t="e">
        <f>VLOOKUP(A784, KeyData!A:C,1,FALSE)</f>
        <v>#N/A</v>
      </c>
    </row>
    <row r="785" spans="1:15">
      <c r="A785" s="451" t="str">
        <f t="shared" si="12"/>
        <v>0_0</v>
      </c>
      <c r="N785" t="e">
        <f>VLOOKUP(A785, 'P&amp;L'!A:B,1,FALSE)</f>
        <v>#N/A</v>
      </c>
      <c r="O785" t="e">
        <f>VLOOKUP(A785, KeyData!A:C,1,FALSE)</f>
        <v>#N/A</v>
      </c>
    </row>
    <row r="786" spans="1:15">
      <c r="A786" s="451" t="str">
        <f t="shared" si="12"/>
        <v>0_0</v>
      </c>
      <c r="N786" t="e">
        <f>VLOOKUP(A786, 'P&amp;L'!A:B,1,FALSE)</f>
        <v>#N/A</v>
      </c>
      <c r="O786" t="e">
        <f>VLOOKUP(A786, KeyData!A:C,1,FALSE)</f>
        <v>#N/A</v>
      </c>
    </row>
    <row r="787" spans="1:15">
      <c r="A787" s="451" t="str">
        <f t="shared" si="12"/>
        <v>0_0</v>
      </c>
      <c r="N787" t="e">
        <f>VLOOKUP(A787, 'P&amp;L'!A:B,1,FALSE)</f>
        <v>#N/A</v>
      </c>
      <c r="O787" t="e">
        <f>VLOOKUP(A787, KeyData!A:C,1,FALSE)</f>
        <v>#N/A</v>
      </c>
    </row>
    <row r="788" spans="1:15">
      <c r="A788" s="451" t="str">
        <f t="shared" si="12"/>
        <v>0_0</v>
      </c>
      <c r="N788" t="e">
        <f>VLOOKUP(A788, 'P&amp;L'!A:B,1,FALSE)</f>
        <v>#N/A</v>
      </c>
      <c r="O788" t="e">
        <f>VLOOKUP(A788, KeyData!A:C,1,FALSE)</f>
        <v>#N/A</v>
      </c>
    </row>
    <row r="789" spans="1:15">
      <c r="A789" s="451" t="str">
        <f t="shared" si="12"/>
        <v>0_0</v>
      </c>
      <c r="N789" t="e">
        <f>VLOOKUP(A789, 'P&amp;L'!A:B,1,FALSE)</f>
        <v>#N/A</v>
      </c>
      <c r="O789" t="e">
        <f>VLOOKUP(A789, KeyData!A:C,1,FALSE)</f>
        <v>#N/A</v>
      </c>
    </row>
    <row r="790" spans="1:15">
      <c r="A790" s="451" t="str">
        <f t="shared" si="12"/>
        <v>0_0</v>
      </c>
      <c r="N790" t="e">
        <f>VLOOKUP(A790, 'P&amp;L'!A:B,1,FALSE)</f>
        <v>#N/A</v>
      </c>
      <c r="O790" t="e">
        <f>VLOOKUP(A790, KeyData!A:C,1,FALSE)</f>
        <v>#N/A</v>
      </c>
    </row>
    <row r="791" spans="1:15">
      <c r="A791" s="451" t="str">
        <f t="shared" si="12"/>
        <v>0_0</v>
      </c>
      <c r="N791" t="e">
        <f>VLOOKUP(A791, 'P&amp;L'!A:B,1,FALSE)</f>
        <v>#N/A</v>
      </c>
      <c r="O791" t="e">
        <f>VLOOKUP(A791, KeyData!A:C,1,FALSE)</f>
        <v>#N/A</v>
      </c>
    </row>
    <row r="792" spans="1:15">
      <c r="A792" s="451" t="str">
        <f t="shared" si="12"/>
        <v>0_0</v>
      </c>
      <c r="N792" t="e">
        <f>VLOOKUP(A792, 'P&amp;L'!A:B,1,FALSE)</f>
        <v>#N/A</v>
      </c>
      <c r="O792" t="e">
        <f>VLOOKUP(A792, KeyData!A:C,1,FALSE)</f>
        <v>#N/A</v>
      </c>
    </row>
    <row r="793" spans="1:15">
      <c r="A793" s="451" t="str">
        <f t="shared" si="12"/>
        <v>0_0</v>
      </c>
      <c r="N793" t="e">
        <f>VLOOKUP(A793, 'P&amp;L'!A:B,1,FALSE)</f>
        <v>#N/A</v>
      </c>
      <c r="O793" t="e">
        <f>VLOOKUP(A793, KeyData!A:C,1,FALSE)</f>
        <v>#N/A</v>
      </c>
    </row>
    <row r="794" spans="1:15">
      <c r="A794" s="451" t="str">
        <f t="shared" si="12"/>
        <v>0_0</v>
      </c>
      <c r="N794" t="e">
        <f>VLOOKUP(A794, 'P&amp;L'!A:B,1,FALSE)</f>
        <v>#N/A</v>
      </c>
      <c r="O794" t="e">
        <f>VLOOKUP(A794, KeyData!A:C,1,FALSE)</f>
        <v>#N/A</v>
      </c>
    </row>
    <row r="795" spans="1:15">
      <c r="A795" s="451" t="str">
        <f t="shared" si="12"/>
        <v>0_0</v>
      </c>
      <c r="N795" t="e">
        <f>VLOOKUP(A795, 'P&amp;L'!A:B,1,FALSE)</f>
        <v>#N/A</v>
      </c>
      <c r="O795" t="e">
        <f>VLOOKUP(A795, KeyData!A:C,1,FALSE)</f>
        <v>#N/A</v>
      </c>
    </row>
    <row r="796" spans="1:15">
      <c r="A796" s="451" t="str">
        <f t="shared" si="12"/>
        <v>0_0</v>
      </c>
      <c r="N796" t="e">
        <f>VLOOKUP(A796, 'P&amp;L'!A:B,1,FALSE)</f>
        <v>#N/A</v>
      </c>
      <c r="O796" t="e">
        <f>VLOOKUP(A796, KeyData!A:C,1,FALSE)</f>
        <v>#N/A</v>
      </c>
    </row>
    <row r="797" spans="1:15">
      <c r="A797" s="451" t="str">
        <f t="shared" si="12"/>
        <v>0_0</v>
      </c>
      <c r="N797" t="e">
        <f>VLOOKUP(A797, 'P&amp;L'!A:B,1,FALSE)</f>
        <v>#N/A</v>
      </c>
      <c r="O797" t="e">
        <f>VLOOKUP(A797, KeyData!A:C,1,FALSE)</f>
        <v>#N/A</v>
      </c>
    </row>
    <row r="798" spans="1:15">
      <c r="A798" s="451" t="str">
        <f t="shared" si="12"/>
        <v>0_0</v>
      </c>
      <c r="N798" t="e">
        <f>VLOOKUP(A798, 'P&amp;L'!A:B,1,FALSE)</f>
        <v>#N/A</v>
      </c>
      <c r="O798" t="e">
        <f>VLOOKUP(A798, KeyData!A:C,1,FALSE)</f>
        <v>#N/A</v>
      </c>
    </row>
    <row r="799" spans="1:15">
      <c r="A799" s="451" t="str">
        <f t="shared" si="12"/>
        <v>0_0</v>
      </c>
      <c r="N799" t="e">
        <f>VLOOKUP(A799, 'P&amp;L'!A:B,1,FALSE)</f>
        <v>#N/A</v>
      </c>
      <c r="O799" t="e">
        <f>VLOOKUP(A799, KeyData!A:C,1,FALSE)</f>
        <v>#N/A</v>
      </c>
    </row>
    <row r="800" spans="1:15">
      <c r="A800" s="451" t="str">
        <f t="shared" si="12"/>
        <v>0_0</v>
      </c>
      <c r="N800" t="e">
        <f>VLOOKUP(A800, 'P&amp;L'!A:B,1,FALSE)</f>
        <v>#N/A</v>
      </c>
      <c r="O800" t="e">
        <f>VLOOKUP(A800, KeyData!A:C,1,FALSE)</f>
        <v>#N/A</v>
      </c>
    </row>
    <row r="801" spans="1:15">
      <c r="A801" s="451" t="str">
        <f t="shared" si="12"/>
        <v>0_0</v>
      </c>
      <c r="N801" t="e">
        <f>VLOOKUP(A801, 'P&amp;L'!A:B,1,FALSE)</f>
        <v>#N/A</v>
      </c>
      <c r="O801" t="e">
        <f>VLOOKUP(A801, KeyData!A:C,1,FALSE)</f>
        <v>#N/A</v>
      </c>
    </row>
    <row r="802" spans="1:15">
      <c r="A802" s="451" t="str">
        <f t="shared" si="12"/>
        <v>0_0</v>
      </c>
      <c r="N802" t="e">
        <f>VLOOKUP(A802, 'P&amp;L'!A:B,1,FALSE)</f>
        <v>#N/A</v>
      </c>
      <c r="O802" t="e">
        <f>VLOOKUP(A802, KeyData!A:C,1,FALSE)</f>
        <v>#N/A</v>
      </c>
    </row>
    <row r="803" spans="1:15">
      <c r="A803" s="451" t="str">
        <f t="shared" si="12"/>
        <v>0_0</v>
      </c>
      <c r="N803" t="e">
        <f>VLOOKUP(A803, 'P&amp;L'!A:B,1,FALSE)</f>
        <v>#N/A</v>
      </c>
      <c r="O803" t="e">
        <f>VLOOKUP(A803, KeyData!A:C,1,FALSE)</f>
        <v>#N/A</v>
      </c>
    </row>
    <row r="804" spans="1:15">
      <c r="A804" s="451" t="str">
        <f t="shared" si="12"/>
        <v>0_0</v>
      </c>
      <c r="N804" t="e">
        <f>VLOOKUP(A804, 'P&amp;L'!A:B,1,FALSE)</f>
        <v>#N/A</v>
      </c>
      <c r="O804" t="e">
        <f>VLOOKUP(A804, KeyData!A:C,1,FALSE)</f>
        <v>#N/A</v>
      </c>
    </row>
    <row r="805" spans="1:15">
      <c r="A805" s="451" t="str">
        <f t="shared" si="12"/>
        <v>0_0</v>
      </c>
      <c r="N805" t="e">
        <f>VLOOKUP(A805, 'P&amp;L'!A:B,1,FALSE)</f>
        <v>#N/A</v>
      </c>
      <c r="O805" t="e">
        <f>VLOOKUP(A805, KeyData!A:C,1,FALSE)</f>
        <v>#N/A</v>
      </c>
    </row>
    <row r="806" spans="1:15">
      <c r="A806" s="451" t="str">
        <f t="shared" si="12"/>
        <v>0_0</v>
      </c>
      <c r="N806" t="e">
        <f>VLOOKUP(A806, 'P&amp;L'!A:B,1,FALSE)</f>
        <v>#N/A</v>
      </c>
      <c r="O806" t="e">
        <f>VLOOKUP(A806, KeyData!A:C,1,FALSE)</f>
        <v>#N/A</v>
      </c>
    </row>
    <row r="807" spans="1:15">
      <c r="A807" s="451" t="str">
        <f t="shared" si="12"/>
        <v>0_0</v>
      </c>
      <c r="N807" t="e">
        <f>VLOOKUP(A807, 'P&amp;L'!A:B,1,FALSE)</f>
        <v>#N/A</v>
      </c>
      <c r="O807" t="e">
        <f>VLOOKUP(A807, KeyData!A:C,1,FALSE)</f>
        <v>#N/A</v>
      </c>
    </row>
    <row r="808" spans="1:15">
      <c r="A808" s="451" t="str">
        <f t="shared" si="12"/>
        <v>0_0</v>
      </c>
      <c r="N808" t="e">
        <f>VLOOKUP(A808, 'P&amp;L'!A:B,1,FALSE)</f>
        <v>#N/A</v>
      </c>
      <c r="O808" t="e">
        <f>VLOOKUP(A808, KeyData!A:C,1,FALSE)</f>
        <v>#N/A</v>
      </c>
    </row>
    <row r="809" spans="1:15">
      <c r="A809" s="451" t="str">
        <f t="shared" si="12"/>
        <v>0_0</v>
      </c>
      <c r="N809" t="e">
        <f>VLOOKUP(A809, 'P&amp;L'!A:B,1,FALSE)</f>
        <v>#N/A</v>
      </c>
      <c r="O809" t="e">
        <f>VLOOKUP(A809, KeyData!A:C,1,FALSE)</f>
        <v>#N/A</v>
      </c>
    </row>
    <row r="810" spans="1:15">
      <c r="A810" s="451" t="str">
        <f t="shared" si="12"/>
        <v>0_0</v>
      </c>
      <c r="N810" t="e">
        <f>VLOOKUP(A810, 'P&amp;L'!A:B,1,FALSE)</f>
        <v>#N/A</v>
      </c>
      <c r="O810" t="e">
        <f>VLOOKUP(A810, KeyData!A:C,1,FALSE)</f>
        <v>#N/A</v>
      </c>
    </row>
    <row r="811" spans="1:15">
      <c r="A811" s="451" t="str">
        <f t="shared" si="12"/>
        <v>0_0</v>
      </c>
      <c r="N811" t="e">
        <f>VLOOKUP(A811, 'P&amp;L'!A:B,1,FALSE)</f>
        <v>#N/A</v>
      </c>
      <c r="O811" t="e">
        <f>VLOOKUP(A811, KeyData!A:C,1,FALSE)</f>
        <v>#N/A</v>
      </c>
    </row>
    <row r="812" spans="1:15">
      <c r="A812" s="451" t="str">
        <f t="shared" si="12"/>
        <v>0_0</v>
      </c>
      <c r="N812" t="e">
        <f>VLOOKUP(A812, 'P&amp;L'!A:B,1,FALSE)</f>
        <v>#N/A</v>
      </c>
      <c r="O812" t="e">
        <f>VLOOKUP(A812, KeyData!A:C,1,FALSE)</f>
        <v>#N/A</v>
      </c>
    </row>
    <row r="813" spans="1:15">
      <c r="A813" s="451" t="str">
        <f t="shared" si="12"/>
        <v>0_0</v>
      </c>
      <c r="N813" t="e">
        <f>VLOOKUP(A813, 'P&amp;L'!A:B,1,FALSE)</f>
        <v>#N/A</v>
      </c>
      <c r="O813" t="e">
        <f>VLOOKUP(A813, KeyData!A:C,1,FALSE)</f>
        <v>#N/A</v>
      </c>
    </row>
    <row r="814" spans="1:15">
      <c r="A814" s="451" t="str">
        <f t="shared" si="12"/>
        <v>0_0</v>
      </c>
      <c r="N814" t="e">
        <f>VLOOKUP(A814, 'P&amp;L'!A:B,1,FALSE)</f>
        <v>#N/A</v>
      </c>
      <c r="O814" t="e">
        <f>VLOOKUP(A814, KeyData!A:C,1,FALSE)</f>
        <v>#N/A</v>
      </c>
    </row>
    <row r="815" spans="1:15">
      <c r="A815" s="451" t="str">
        <f t="shared" si="12"/>
        <v>0_0</v>
      </c>
      <c r="N815" t="e">
        <f>VLOOKUP(A815, 'P&amp;L'!A:B,1,FALSE)</f>
        <v>#N/A</v>
      </c>
      <c r="O815" t="e">
        <f>VLOOKUP(A815, KeyData!A:C,1,FALSE)</f>
        <v>#N/A</v>
      </c>
    </row>
    <row r="816" spans="1:15">
      <c r="A816" s="451" t="str">
        <f t="shared" si="12"/>
        <v>0_0</v>
      </c>
      <c r="N816" t="e">
        <f>VLOOKUP(A816, 'P&amp;L'!A:B,1,FALSE)</f>
        <v>#N/A</v>
      </c>
      <c r="O816" t="e">
        <f>VLOOKUP(A816, KeyData!A:C,1,FALSE)</f>
        <v>#N/A</v>
      </c>
    </row>
    <row r="817" spans="1:15">
      <c r="A817" s="451" t="str">
        <f t="shared" si="12"/>
        <v>0_0</v>
      </c>
      <c r="N817" t="e">
        <f>VLOOKUP(A817, 'P&amp;L'!A:B,1,FALSE)</f>
        <v>#N/A</v>
      </c>
      <c r="O817" t="e">
        <f>VLOOKUP(A817, KeyData!A:C,1,FALSE)</f>
        <v>#N/A</v>
      </c>
    </row>
    <row r="818" spans="1:15">
      <c r="A818" s="451" t="str">
        <f t="shared" si="12"/>
        <v>0_0</v>
      </c>
      <c r="N818" t="e">
        <f>VLOOKUP(A818, 'P&amp;L'!A:B,1,FALSE)</f>
        <v>#N/A</v>
      </c>
      <c r="O818" t="e">
        <f>VLOOKUP(A818, KeyData!A:C,1,FALSE)</f>
        <v>#N/A</v>
      </c>
    </row>
    <row r="819" spans="1:15">
      <c r="A819" s="451" t="str">
        <f t="shared" si="12"/>
        <v>0_0</v>
      </c>
      <c r="N819" t="e">
        <f>VLOOKUP(A819, 'P&amp;L'!A:B,1,FALSE)</f>
        <v>#N/A</v>
      </c>
      <c r="O819" t="e">
        <f>VLOOKUP(A819, KeyData!A:C,1,FALSE)</f>
        <v>#N/A</v>
      </c>
    </row>
    <row r="820" spans="1:15">
      <c r="A820" s="451" t="str">
        <f t="shared" si="12"/>
        <v>0_0</v>
      </c>
      <c r="N820" t="e">
        <f>VLOOKUP(A820, 'P&amp;L'!A:B,1,FALSE)</f>
        <v>#N/A</v>
      </c>
      <c r="O820" t="e">
        <f>VLOOKUP(A820, KeyData!A:C,1,FALSE)</f>
        <v>#N/A</v>
      </c>
    </row>
    <row r="821" spans="1:15">
      <c r="A821" s="451" t="str">
        <f t="shared" si="12"/>
        <v>0_0</v>
      </c>
      <c r="N821" t="e">
        <f>VLOOKUP(A821, 'P&amp;L'!A:B,1,FALSE)</f>
        <v>#N/A</v>
      </c>
      <c r="O821" t="e">
        <f>VLOOKUP(A821, KeyData!A:C,1,FALSE)</f>
        <v>#N/A</v>
      </c>
    </row>
    <row r="822" spans="1:15">
      <c r="A822" s="451" t="str">
        <f t="shared" si="12"/>
        <v>0_0</v>
      </c>
      <c r="N822" t="e">
        <f>VLOOKUP(A822, 'P&amp;L'!A:B,1,FALSE)</f>
        <v>#N/A</v>
      </c>
      <c r="O822" t="e">
        <f>VLOOKUP(A822, KeyData!A:C,1,FALSE)</f>
        <v>#N/A</v>
      </c>
    </row>
    <row r="823" spans="1:15">
      <c r="A823" s="451" t="str">
        <f t="shared" si="12"/>
        <v>0_0</v>
      </c>
      <c r="N823" t="e">
        <f>VLOOKUP(A823, 'P&amp;L'!A:B,1,FALSE)</f>
        <v>#N/A</v>
      </c>
      <c r="O823" t="e">
        <f>VLOOKUP(A823, KeyData!A:C,1,FALSE)</f>
        <v>#N/A</v>
      </c>
    </row>
    <row r="824" spans="1:15">
      <c r="A824" s="451" t="str">
        <f t="shared" si="12"/>
        <v>0_0</v>
      </c>
      <c r="N824" t="e">
        <f>VLOOKUP(A824, 'P&amp;L'!A:B,1,FALSE)</f>
        <v>#N/A</v>
      </c>
      <c r="O824" t="e">
        <f>VLOOKUP(A824, KeyData!A:C,1,FALSE)</f>
        <v>#N/A</v>
      </c>
    </row>
    <row r="825" spans="1:15">
      <c r="A825" s="451" t="str">
        <f t="shared" si="12"/>
        <v>0_0</v>
      </c>
      <c r="N825" t="e">
        <f>VLOOKUP(A825, 'P&amp;L'!A:B,1,FALSE)</f>
        <v>#N/A</v>
      </c>
      <c r="O825" t="e">
        <f>VLOOKUP(A825, KeyData!A:C,1,FALSE)</f>
        <v>#N/A</v>
      </c>
    </row>
    <row r="826" spans="1:15">
      <c r="A826" s="451" t="str">
        <f t="shared" si="12"/>
        <v>0_0</v>
      </c>
      <c r="N826" t="e">
        <f>VLOOKUP(A826, 'P&amp;L'!A:B,1,FALSE)</f>
        <v>#N/A</v>
      </c>
      <c r="O826" t="e">
        <f>VLOOKUP(A826, KeyData!A:C,1,FALSE)</f>
        <v>#N/A</v>
      </c>
    </row>
    <row r="827" spans="1:15">
      <c r="A827" s="451" t="str">
        <f t="shared" si="12"/>
        <v>0_0</v>
      </c>
      <c r="N827" t="e">
        <f>VLOOKUP(A827, 'P&amp;L'!A:B,1,FALSE)</f>
        <v>#N/A</v>
      </c>
      <c r="O827" t="e">
        <f>VLOOKUP(A827, KeyData!A:C,1,FALSE)</f>
        <v>#N/A</v>
      </c>
    </row>
    <row r="828" spans="1:15">
      <c r="A828" s="451" t="str">
        <f t="shared" si="12"/>
        <v>0_0</v>
      </c>
      <c r="N828" t="e">
        <f>VLOOKUP(A828, 'P&amp;L'!A:B,1,FALSE)</f>
        <v>#N/A</v>
      </c>
      <c r="O828" t="e">
        <f>VLOOKUP(A828, KeyData!A:C,1,FALSE)</f>
        <v>#N/A</v>
      </c>
    </row>
    <row r="829" spans="1:15">
      <c r="A829" s="451" t="str">
        <f t="shared" si="12"/>
        <v>0_0</v>
      </c>
      <c r="N829" t="e">
        <f>VLOOKUP(A829, 'P&amp;L'!A:B,1,FALSE)</f>
        <v>#N/A</v>
      </c>
      <c r="O829" t="e">
        <f>VLOOKUP(A829, KeyData!A:C,1,FALSE)</f>
        <v>#N/A</v>
      </c>
    </row>
    <row r="830" spans="1:15">
      <c r="A830" s="451" t="str">
        <f t="shared" si="12"/>
        <v>0_0</v>
      </c>
      <c r="N830" t="e">
        <f>VLOOKUP(A830, 'P&amp;L'!A:B,1,FALSE)</f>
        <v>#N/A</v>
      </c>
      <c r="O830" t="e">
        <f>VLOOKUP(A830, KeyData!A:C,1,FALSE)</f>
        <v>#N/A</v>
      </c>
    </row>
    <row r="831" spans="1:15">
      <c r="A831" s="451" t="str">
        <f t="shared" si="12"/>
        <v>0_0</v>
      </c>
      <c r="N831" t="e">
        <f>VLOOKUP(A831, 'P&amp;L'!A:B,1,FALSE)</f>
        <v>#N/A</v>
      </c>
      <c r="O831" t="e">
        <f>VLOOKUP(A831, KeyData!A:C,1,FALSE)</f>
        <v>#N/A</v>
      </c>
    </row>
    <row r="832" spans="1:15">
      <c r="A832" s="451" t="str">
        <f t="shared" si="12"/>
        <v>0_0</v>
      </c>
      <c r="N832" t="e">
        <f>VLOOKUP(A832, 'P&amp;L'!A:B,1,FALSE)</f>
        <v>#N/A</v>
      </c>
      <c r="O832" t="e">
        <f>VLOOKUP(A832, KeyData!A:C,1,FALSE)</f>
        <v>#N/A</v>
      </c>
    </row>
    <row r="833" spans="1:15">
      <c r="A833" s="451" t="str">
        <f t="shared" si="12"/>
        <v>0_0</v>
      </c>
      <c r="N833" t="e">
        <f>VLOOKUP(A833, 'P&amp;L'!A:B,1,FALSE)</f>
        <v>#N/A</v>
      </c>
      <c r="O833" t="e">
        <f>VLOOKUP(A833, KeyData!A:C,1,FALSE)</f>
        <v>#N/A</v>
      </c>
    </row>
    <row r="834" spans="1:15">
      <c r="A834" s="451" t="str">
        <f t="shared" si="12"/>
        <v>0_0</v>
      </c>
      <c r="N834" t="e">
        <f>VLOOKUP(A834, 'P&amp;L'!A:B,1,FALSE)</f>
        <v>#N/A</v>
      </c>
      <c r="O834" t="e">
        <f>VLOOKUP(A834, KeyData!A:C,1,FALSE)</f>
        <v>#N/A</v>
      </c>
    </row>
    <row r="835" spans="1:15">
      <c r="A835" s="451" t="str">
        <f t="shared" ref="A835:A898" si="13" xml:space="preserve"> IFERROR(+B835*1,B835)&amp;"_"&amp;IFERROR(+D835*1,D835)</f>
        <v>0_0</v>
      </c>
      <c r="N835" t="e">
        <f>VLOOKUP(A835, 'P&amp;L'!A:B,1,FALSE)</f>
        <v>#N/A</v>
      </c>
      <c r="O835" t="e">
        <f>VLOOKUP(A835, KeyData!A:C,1,FALSE)</f>
        <v>#N/A</v>
      </c>
    </row>
    <row r="836" spans="1:15">
      <c r="A836" s="451" t="str">
        <f t="shared" si="13"/>
        <v>0_0</v>
      </c>
      <c r="N836" t="e">
        <f>VLOOKUP(A836, 'P&amp;L'!A:B,1,FALSE)</f>
        <v>#N/A</v>
      </c>
      <c r="O836" t="e">
        <f>VLOOKUP(A836, KeyData!A:C,1,FALSE)</f>
        <v>#N/A</v>
      </c>
    </row>
    <row r="837" spans="1:15">
      <c r="A837" s="451" t="str">
        <f t="shared" si="13"/>
        <v>0_0</v>
      </c>
      <c r="N837" t="e">
        <f>VLOOKUP(A837, 'P&amp;L'!A:B,1,FALSE)</f>
        <v>#N/A</v>
      </c>
      <c r="O837" t="e">
        <f>VLOOKUP(A837, KeyData!A:C,1,FALSE)</f>
        <v>#N/A</v>
      </c>
    </row>
    <row r="838" spans="1:15">
      <c r="A838" s="451" t="str">
        <f t="shared" si="13"/>
        <v>0_0</v>
      </c>
      <c r="N838" t="e">
        <f>VLOOKUP(A838, 'P&amp;L'!A:B,1,FALSE)</f>
        <v>#N/A</v>
      </c>
      <c r="O838" t="e">
        <f>VLOOKUP(A838, KeyData!A:C,1,FALSE)</f>
        <v>#N/A</v>
      </c>
    </row>
    <row r="839" spans="1:15">
      <c r="A839" s="451" t="str">
        <f t="shared" si="13"/>
        <v>0_0</v>
      </c>
      <c r="N839" t="e">
        <f>VLOOKUP(A839, 'P&amp;L'!A:B,1,FALSE)</f>
        <v>#N/A</v>
      </c>
      <c r="O839" t="e">
        <f>VLOOKUP(A839, KeyData!A:C,1,FALSE)</f>
        <v>#N/A</v>
      </c>
    </row>
    <row r="840" spans="1:15">
      <c r="A840" s="451" t="str">
        <f t="shared" si="13"/>
        <v>0_0</v>
      </c>
      <c r="N840" t="e">
        <f>VLOOKUP(A840, 'P&amp;L'!A:B,1,FALSE)</f>
        <v>#N/A</v>
      </c>
      <c r="O840" t="e">
        <f>VLOOKUP(A840, KeyData!A:C,1,FALSE)</f>
        <v>#N/A</v>
      </c>
    </row>
    <row r="841" spans="1:15">
      <c r="A841" s="451" t="str">
        <f t="shared" si="13"/>
        <v>0_0</v>
      </c>
      <c r="N841" t="e">
        <f>VLOOKUP(A841, 'P&amp;L'!A:B,1,FALSE)</f>
        <v>#N/A</v>
      </c>
      <c r="O841" t="e">
        <f>VLOOKUP(A841, KeyData!A:C,1,FALSE)</f>
        <v>#N/A</v>
      </c>
    </row>
    <row r="842" spans="1:15">
      <c r="A842" s="451" t="str">
        <f t="shared" si="13"/>
        <v>0_0</v>
      </c>
      <c r="N842" t="e">
        <f>VLOOKUP(A842, 'P&amp;L'!A:B,1,FALSE)</f>
        <v>#N/A</v>
      </c>
      <c r="O842" t="e">
        <f>VLOOKUP(A842, KeyData!A:C,1,FALSE)</f>
        <v>#N/A</v>
      </c>
    </row>
    <row r="843" spans="1:15">
      <c r="A843" s="451" t="str">
        <f t="shared" si="13"/>
        <v>0_0</v>
      </c>
      <c r="N843" t="e">
        <f>VLOOKUP(A843, 'P&amp;L'!A:B,1,FALSE)</f>
        <v>#N/A</v>
      </c>
      <c r="O843" t="e">
        <f>VLOOKUP(A843, KeyData!A:C,1,FALSE)</f>
        <v>#N/A</v>
      </c>
    </row>
    <row r="844" spans="1:15">
      <c r="A844" s="451" t="str">
        <f t="shared" si="13"/>
        <v>0_0</v>
      </c>
      <c r="N844" t="e">
        <f>VLOOKUP(A844, 'P&amp;L'!A:B,1,FALSE)</f>
        <v>#N/A</v>
      </c>
      <c r="O844" t="e">
        <f>VLOOKUP(A844, KeyData!A:C,1,FALSE)</f>
        <v>#N/A</v>
      </c>
    </row>
    <row r="845" spans="1:15">
      <c r="A845" s="451" t="str">
        <f t="shared" si="13"/>
        <v>0_0</v>
      </c>
      <c r="N845" t="e">
        <f>VLOOKUP(A845, 'P&amp;L'!A:B,1,FALSE)</f>
        <v>#N/A</v>
      </c>
      <c r="O845" t="e">
        <f>VLOOKUP(A845, KeyData!A:C,1,FALSE)</f>
        <v>#N/A</v>
      </c>
    </row>
    <row r="846" spans="1:15">
      <c r="A846" s="451" t="str">
        <f t="shared" si="13"/>
        <v>0_0</v>
      </c>
      <c r="N846" t="e">
        <f>VLOOKUP(A846, 'P&amp;L'!A:B,1,FALSE)</f>
        <v>#N/A</v>
      </c>
      <c r="O846" t="e">
        <f>VLOOKUP(A846, KeyData!A:C,1,FALSE)</f>
        <v>#N/A</v>
      </c>
    </row>
    <row r="847" spans="1:15">
      <c r="A847" s="451" t="str">
        <f t="shared" si="13"/>
        <v>0_0</v>
      </c>
      <c r="N847" t="e">
        <f>VLOOKUP(A847, 'P&amp;L'!A:B,1,FALSE)</f>
        <v>#N/A</v>
      </c>
      <c r="O847" t="e">
        <f>VLOOKUP(A847, KeyData!A:C,1,FALSE)</f>
        <v>#N/A</v>
      </c>
    </row>
    <row r="848" spans="1:15">
      <c r="A848" s="451" t="str">
        <f t="shared" si="13"/>
        <v>0_0</v>
      </c>
      <c r="N848" t="e">
        <f>VLOOKUP(A848, 'P&amp;L'!A:B,1,FALSE)</f>
        <v>#N/A</v>
      </c>
      <c r="O848" t="e">
        <f>VLOOKUP(A848, KeyData!A:C,1,FALSE)</f>
        <v>#N/A</v>
      </c>
    </row>
    <row r="849" spans="1:15">
      <c r="A849" s="451" t="str">
        <f t="shared" si="13"/>
        <v>0_0</v>
      </c>
      <c r="N849" t="e">
        <f>VLOOKUP(A849, 'P&amp;L'!A:B,1,FALSE)</f>
        <v>#N/A</v>
      </c>
      <c r="O849" t="e">
        <f>VLOOKUP(A849, KeyData!A:C,1,FALSE)</f>
        <v>#N/A</v>
      </c>
    </row>
    <row r="850" spans="1:15">
      <c r="A850" s="451" t="str">
        <f t="shared" si="13"/>
        <v>0_0</v>
      </c>
      <c r="N850" t="e">
        <f>VLOOKUP(A850, 'P&amp;L'!A:B,1,FALSE)</f>
        <v>#N/A</v>
      </c>
      <c r="O850" t="e">
        <f>VLOOKUP(A850, KeyData!A:C,1,FALSE)</f>
        <v>#N/A</v>
      </c>
    </row>
    <row r="851" spans="1:15">
      <c r="A851" s="451" t="str">
        <f t="shared" si="13"/>
        <v>0_0</v>
      </c>
      <c r="N851" t="e">
        <f>VLOOKUP(A851, 'P&amp;L'!A:B,1,FALSE)</f>
        <v>#N/A</v>
      </c>
      <c r="O851" t="e">
        <f>VLOOKUP(A851, KeyData!A:C,1,FALSE)</f>
        <v>#N/A</v>
      </c>
    </row>
    <row r="852" spans="1:15">
      <c r="A852" s="451" t="str">
        <f t="shared" si="13"/>
        <v>0_0</v>
      </c>
      <c r="N852" t="e">
        <f>VLOOKUP(A852, 'P&amp;L'!A:B,1,FALSE)</f>
        <v>#N/A</v>
      </c>
      <c r="O852" t="e">
        <f>VLOOKUP(A852, KeyData!A:C,1,FALSE)</f>
        <v>#N/A</v>
      </c>
    </row>
    <row r="853" spans="1:15">
      <c r="A853" s="451" t="str">
        <f t="shared" si="13"/>
        <v>0_0</v>
      </c>
      <c r="N853" t="e">
        <f>VLOOKUP(A853, 'P&amp;L'!A:B,1,FALSE)</f>
        <v>#N/A</v>
      </c>
      <c r="O853" t="e">
        <f>VLOOKUP(A853, KeyData!A:C,1,FALSE)</f>
        <v>#N/A</v>
      </c>
    </row>
    <row r="854" spans="1:15">
      <c r="A854" s="451" t="str">
        <f t="shared" si="13"/>
        <v>0_0</v>
      </c>
      <c r="N854" t="e">
        <f>VLOOKUP(A854, 'P&amp;L'!A:B,1,FALSE)</f>
        <v>#N/A</v>
      </c>
      <c r="O854" t="e">
        <f>VLOOKUP(A854, KeyData!A:C,1,FALSE)</f>
        <v>#N/A</v>
      </c>
    </row>
    <row r="855" spans="1:15">
      <c r="A855" s="451" t="str">
        <f t="shared" si="13"/>
        <v>0_0</v>
      </c>
      <c r="N855" t="e">
        <f>VLOOKUP(A855, 'P&amp;L'!A:B,1,FALSE)</f>
        <v>#N/A</v>
      </c>
      <c r="O855" t="e">
        <f>VLOOKUP(A855, KeyData!A:C,1,FALSE)</f>
        <v>#N/A</v>
      </c>
    </row>
    <row r="856" spans="1:15">
      <c r="A856" s="451" t="str">
        <f t="shared" si="13"/>
        <v>0_0</v>
      </c>
      <c r="N856" t="e">
        <f>VLOOKUP(A856, 'P&amp;L'!A:B,1,FALSE)</f>
        <v>#N/A</v>
      </c>
      <c r="O856" t="e">
        <f>VLOOKUP(A856, KeyData!A:C,1,FALSE)</f>
        <v>#N/A</v>
      </c>
    </row>
    <row r="857" spans="1:15">
      <c r="A857" s="451" t="str">
        <f t="shared" si="13"/>
        <v>0_0</v>
      </c>
      <c r="N857" t="e">
        <f>VLOOKUP(A857, 'P&amp;L'!A:B,1,FALSE)</f>
        <v>#N/A</v>
      </c>
      <c r="O857" t="e">
        <f>VLOOKUP(A857, KeyData!A:C,1,FALSE)</f>
        <v>#N/A</v>
      </c>
    </row>
    <row r="858" spans="1:15">
      <c r="A858" s="451" t="str">
        <f t="shared" si="13"/>
        <v>0_0</v>
      </c>
      <c r="N858" t="e">
        <f>VLOOKUP(A858, 'P&amp;L'!A:B,1,FALSE)</f>
        <v>#N/A</v>
      </c>
      <c r="O858" t="e">
        <f>VLOOKUP(A858, KeyData!A:C,1,FALSE)</f>
        <v>#N/A</v>
      </c>
    </row>
    <row r="859" spans="1:15">
      <c r="A859" s="451" t="str">
        <f t="shared" si="13"/>
        <v>0_0</v>
      </c>
      <c r="N859" t="e">
        <f>VLOOKUP(A859, 'P&amp;L'!A:B,1,FALSE)</f>
        <v>#N/A</v>
      </c>
      <c r="O859" t="e">
        <f>VLOOKUP(A859, KeyData!A:C,1,FALSE)</f>
        <v>#N/A</v>
      </c>
    </row>
    <row r="860" spans="1:15">
      <c r="A860" s="451" t="str">
        <f t="shared" si="13"/>
        <v>0_0</v>
      </c>
      <c r="N860" t="e">
        <f>VLOOKUP(A860, 'P&amp;L'!A:B,1,FALSE)</f>
        <v>#N/A</v>
      </c>
      <c r="O860" t="e">
        <f>VLOOKUP(A860, KeyData!A:C,1,FALSE)</f>
        <v>#N/A</v>
      </c>
    </row>
    <row r="861" spans="1:15">
      <c r="A861" s="451" t="str">
        <f t="shared" si="13"/>
        <v>0_0</v>
      </c>
      <c r="N861" t="e">
        <f>VLOOKUP(A861, 'P&amp;L'!A:B,1,FALSE)</f>
        <v>#N/A</v>
      </c>
      <c r="O861" t="e">
        <f>VLOOKUP(A861, KeyData!A:C,1,FALSE)</f>
        <v>#N/A</v>
      </c>
    </row>
    <row r="862" spans="1:15">
      <c r="A862" s="451" t="str">
        <f t="shared" si="13"/>
        <v>0_0</v>
      </c>
      <c r="N862" t="e">
        <f>VLOOKUP(A862, 'P&amp;L'!A:B,1,FALSE)</f>
        <v>#N/A</v>
      </c>
      <c r="O862" t="e">
        <f>VLOOKUP(A862, KeyData!A:C,1,FALSE)</f>
        <v>#N/A</v>
      </c>
    </row>
    <row r="863" spans="1:15">
      <c r="A863" s="451" t="str">
        <f t="shared" si="13"/>
        <v>0_0</v>
      </c>
      <c r="N863" t="e">
        <f>VLOOKUP(A863, 'P&amp;L'!A:B,1,FALSE)</f>
        <v>#N/A</v>
      </c>
      <c r="O863" t="e">
        <f>VLOOKUP(A863, KeyData!A:C,1,FALSE)</f>
        <v>#N/A</v>
      </c>
    </row>
    <row r="864" spans="1:15">
      <c r="A864" s="451" t="str">
        <f t="shared" si="13"/>
        <v>0_0</v>
      </c>
      <c r="N864" t="e">
        <f>VLOOKUP(A864, 'P&amp;L'!A:B,1,FALSE)</f>
        <v>#N/A</v>
      </c>
      <c r="O864" t="e">
        <f>VLOOKUP(A864, KeyData!A:C,1,FALSE)</f>
        <v>#N/A</v>
      </c>
    </row>
    <row r="865" spans="1:15">
      <c r="A865" s="451" t="str">
        <f t="shared" si="13"/>
        <v>0_0</v>
      </c>
      <c r="N865" t="e">
        <f>VLOOKUP(A865, 'P&amp;L'!A:B,1,FALSE)</f>
        <v>#N/A</v>
      </c>
      <c r="O865" t="e">
        <f>VLOOKUP(A865, KeyData!A:C,1,FALSE)</f>
        <v>#N/A</v>
      </c>
    </row>
    <row r="866" spans="1:15">
      <c r="A866" s="451" t="str">
        <f t="shared" si="13"/>
        <v>0_0</v>
      </c>
      <c r="N866" t="e">
        <f>VLOOKUP(A866, 'P&amp;L'!A:B,1,FALSE)</f>
        <v>#N/A</v>
      </c>
      <c r="O866" t="e">
        <f>VLOOKUP(A866, KeyData!A:C,1,FALSE)</f>
        <v>#N/A</v>
      </c>
    </row>
    <row r="867" spans="1:15">
      <c r="A867" s="451" t="str">
        <f t="shared" si="13"/>
        <v>0_0</v>
      </c>
      <c r="N867" t="e">
        <f>VLOOKUP(A867, 'P&amp;L'!A:B,1,FALSE)</f>
        <v>#N/A</v>
      </c>
      <c r="O867" t="e">
        <f>VLOOKUP(A867, KeyData!A:C,1,FALSE)</f>
        <v>#N/A</v>
      </c>
    </row>
    <row r="868" spans="1:15">
      <c r="A868" s="451" t="str">
        <f t="shared" si="13"/>
        <v>0_0</v>
      </c>
      <c r="N868" t="e">
        <f>VLOOKUP(A868, 'P&amp;L'!A:B,1,FALSE)</f>
        <v>#N/A</v>
      </c>
      <c r="O868" t="e">
        <f>VLOOKUP(A868, KeyData!A:C,1,FALSE)</f>
        <v>#N/A</v>
      </c>
    </row>
    <row r="869" spans="1:15">
      <c r="A869" s="451" t="str">
        <f t="shared" si="13"/>
        <v>0_0</v>
      </c>
      <c r="N869" t="e">
        <f>VLOOKUP(A869, 'P&amp;L'!A:B,1,FALSE)</f>
        <v>#N/A</v>
      </c>
      <c r="O869" t="e">
        <f>VLOOKUP(A869, KeyData!A:C,1,FALSE)</f>
        <v>#N/A</v>
      </c>
    </row>
    <row r="870" spans="1:15">
      <c r="A870" s="451" t="str">
        <f t="shared" si="13"/>
        <v>0_0</v>
      </c>
      <c r="N870" t="e">
        <f>VLOOKUP(A870, 'P&amp;L'!A:B,1,FALSE)</f>
        <v>#N/A</v>
      </c>
      <c r="O870" t="e">
        <f>VLOOKUP(A870, KeyData!A:C,1,FALSE)</f>
        <v>#N/A</v>
      </c>
    </row>
    <row r="871" spans="1:15">
      <c r="A871" s="451" t="str">
        <f t="shared" si="13"/>
        <v>0_0</v>
      </c>
      <c r="N871" t="e">
        <f>VLOOKUP(A871, 'P&amp;L'!A:B,1,FALSE)</f>
        <v>#N/A</v>
      </c>
      <c r="O871" t="e">
        <f>VLOOKUP(A871, KeyData!A:C,1,FALSE)</f>
        <v>#N/A</v>
      </c>
    </row>
    <row r="872" spans="1:15">
      <c r="A872" s="451" t="str">
        <f t="shared" si="13"/>
        <v>0_0</v>
      </c>
      <c r="N872" t="e">
        <f>VLOOKUP(A872, 'P&amp;L'!A:B,1,FALSE)</f>
        <v>#N/A</v>
      </c>
      <c r="O872" t="e">
        <f>VLOOKUP(A872, KeyData!A:C,1,FALSE)</f>
        <v>#N/A</v>
      </c>
    </row>
    <row r="873" spans="1:15">
      <c r="A873" s="451" t="str">
        <f t="shared" si="13"/>
        <v>0_0</v>
      </c>
      <c r="N873" t="e">
        <f>VLOOKUP(A873, 'P&amp;L'!A:B,1,FALSE)</f>
        <v>#N/A</v>
      </c>
      <c r="O873" t="e">
        <f>VLOOKUP(A873, KeyData!A:C,1,FALSE)</f>
        <v>#N/A</v>
      </c>
    </row>
    <row r="874" spans="1:15">
      <c r="A874" s="451" t="str">
        <f t="shared" si="13"/>
        <v>0_0</v>
      </c>
      <c r="N874" t="e">
        <f>VLOOKUP(A874, 'P&amp;L'!A:B,1,FALSE)</f>
        <v>#N/A</v>
      </c>
      <c r="O874" t="e">
        <f>VLOOKUP(A874, KeyData!A:C,1,FALSE)</f>
        <v>#N/A</v>
      </c>
    </row>
    <row r="875" spans="1:15">
      <c r="A875" s="451" t="str">
        <f t="shared" si="13"/>
        <v>0_0</v>
      </c>
      <c r="N875" t="e">
        <f>VLOOKUP(A875, 'P&amp;L'!A:B,1,FALSE)</f>
        <v>#N/A</v>
      </c>
      <c r="O875" t="e">
        <f>VLOOKUP(A875, KeyData!A:C,1,FALSE)</f>
        <v>#N/A</v>
      </c>
    </row>
    <row r="876" spans="1:15">
      <c r="A876" s="451" t="str">
        <f t="shared" si="13"/>
        <v>0_0</v>
      </c>
      <c r="N876" t="e">
        <f>VLOOKUP(A876, 'P&amp;L'!A:B,1,FALSE)</f>
        <v>#N/A</v>
      </c>
      <c r="O876" t="e">
        <f>VLOOKUP(A876, KeyData!A:C,1,FALSE)</f>
        <v>#N/A</v>
      </c>
    </row>
    <row r="877" spans="1:15">
      <c r="A877" s="451" t="str">
        <f t="shared" si="13"/>
        <v>0_0</v>
      </c>
      <c r="N877" t="e">
        <f>VLOOKUP(A877, 'P&amp;L'!A:B,1,FALSE)</f>
        <v>#N/A</v>
      </c>
      <c r="O877" t="e">
        <f>VLOOKUP(A877, KeyData!A:C,1,FALSE)</f>
        <v>#N/A</v>
      </c>
    </row>
    <row r="878" spans="1:15">
      <c r="A878" s="451" t="str">
        <f t="shared" si="13"/>
        <v>0_0</v>
      </c>
      <c r="N878" t="e">
        <f>VLOOKUP(A878, 'P&amp;L'!A:B,1,FALSE)</f>
        <v>#N/A</v>
      </c>
      <c r="O878" t="e">
        <f>VLOOKUP(A878, KeyData!A:C,1,FALSE)</f>
        <v>#N/A</v>
      </c>
    </row>
    <row r="879" spans="1:15">
      <c r="A879" s="451" t="str">
        <f t="shared" si="13"/>
        <v>0_0</v>
      </c>
      <c r="N879" t="e">
        <f>VLOOKUP(A879, 'P&amp;L'!A:B,1,FALSE)</f>
        <v>#N/A</v>
      </c>
      <c r="O879" t="e">
        <f>VLOOKUP(A879, KeyData!A:C,1,FALSE)</f>
        <v>#N/A</v>
      </c>
    </row>
    <row r="880" spans="1:15">
      <c r="A880" s="451" t="str">
        <f t="shared" si="13"/>
        <v>0_0</v>
      </c>
      <c r="N880" t="e">
        <f>VLOOKUP(A880, 'P&amp;L'!A:B,1,FALSE)</f>
        <v>#N/A</v>
      </c>
      <c r="O880" t="e">
        <f>VLOOKUP(A880, KeyData!A:C,1,FALSE)</f>
        <v>#N/A</v>
      </c>
    </row>
    <row r="881" spans="1:15">
      <c r="A881" s="451" t="str">
        <f t="shared" si="13"/>
        <v>0_0</v>
      </c>
      <c r="N881" t="e">
        <f>VLOOKUP(A881, 'P&amp;L'!A:B,1,FALSE)</f>
        <v>#N/A</v>
      </c>
      <c r="O881" t="e">
        <f>VLOOKUP(A881, KeyData!A:C,1,FALSE)</f>
        <v>#N/A</v>
      </c>
    </row>
    <row r="882" spans="1:15">
      <c r="A882" s="451" t="str">
        <f t="shared" si="13"/>
        <v>0_0</v>
      </c>
      <c r="N882" t="e">
        <f>VLOOKUP(A882, 'P&amp;L'!A:B,1,FALSE)</f>
        <v>#N/A</v>
      </c>
      <c r="O882" t="e">
        <f>VLOOKUP(A882, KeyData!A:C,1,FALSE)</f>
        <v>#N/A</v>
      </c>
    </row>
    <row r="883" spans="1:15">
      <c r="A883" s="451" t="str">
        <f t="shared" si="13"/>
        <v>0_0</v>
      </c>
      <c r="N883" t="e">
        <f>VLOOKUP(A883, 'P&amp;L'!A:B,1,FALSE)</f>
        <v>#N/A</v>
      </c>
      <c r="O883" t="e">
        <f>VLOOKUP(A883, KeyData!A:C,1,FALSE)</f>
        <v>#N/A</v>
      </c>
    </row>
    <row r="884" spans="1:15">
      <c r="A884" s="451" t="str">
        <f t="shared" si="13"/>
        <v>0_0</v>
      </c>
      <c r="N884" t="e">
        <f>VLOOKUP(A884, 'P&amp;L'!A:B,1,FALSE)</f>
        <v>#N/A</v>
      </c>
      <c r="O884" t="e">
        <f>VLOOKUP(A884, KeyData!A:C,1,FALSE)</f>
        <v>#N/A</v>
      </c>
    </row>
    <row r="885" spans="1:15">
      <c r="A885" s="451" t="str">
        <f t="shared" si="13"/>
        <v>0_0</v>
      </c>
      <c r="N885" t="e">
        <f>VLOOKUP(A885, 'P&amp;L'!A:B,1,FALSE)</f>
        <v>#N/A</v>
      </c>
      <c r="O885" t="e">
        <f>VLOOKUP(A885, KeyData!A:C,1,FALSE)</f>
        <v>#N/A</v>
      </c>
    </row>
    <row r="886" spans="1:15">
      <c r="A886" s="451" t="str">
        <f t="shared" si="13"/>
        <v>0_0</v>
      </c>
      <c r="N886" t="e">
        <f>VLOOKUP(A886, 'P&amp;L'!A:B,1,FALSE)</f>
        <v>#N/A</v>
      </c>
      <c r="O886" t="e">
        <f>VLOOKUP(A886, KeyData!A:C,1,FALSE)</f>
        <v>#N/A</v>
      </c>
    </row>
    <row r="887" spans="1:15">
      <c r="A887" s="451" t="str">
        <f t="shared" si="13"/>
        <v>0_0</v>
      </c>
      <c r="N887" t="e">
        <f>VLOOKUP(A887, 'P&amp;L'!A:B,1,FALSE)</f>
        <v>#N/A</v>
      </c>
      <c r="O887" t="e">
        <f>VLOOKUP(A887, KeyData!A:C,1,FALSE)</f>
        <v>#N/A</v>
      </c>
    </row>
    <row r="888" spans="1:15">
      <c r="A888" s="451" t="str">
        <f t="shared" si="13"/>
        <v>0_0</v>
      </c>
      <c r="N888" t="e">
        <f>VLOOKUP(A888, 'P&amp;L'!A:B,1,FALSE)</f>
        <v>#N/A</v>
      </c>
      <c r="O888" t="e">
        <f>VLOOKUP(A888, KeyData!A:C,1,FALSE)</f>
        <v>#N/A</v>
      </c>
    </row>
    <row r="889" spans="1:15">
      <c r="A889" s="451" t="str">
        <f t="shared" si="13"/>
        <v>0_0</v>
      </c>
      <c r="N889" t="e">
        <f>VLOOKUP(A889, 'P&amp;L'!A:B,1,FALSE)</f>
        <v>#N/A</v>
      </c>
      <c r="O889" t="e">
        <f>VLOOKUP(A889, KeyData!A:C,1,FALSE)</f>
        <v>#N/A</v>
      </c>
    </row>
    <row r="890" spans="1:15">
      <c r="A890" s="451" t="str">
        <f t="shared" si="13"/>
        <v>0_0</v>
      </c>
      <c r="N890" t="e">
        <f>VLOOKUP(A890, 'P&amp;L'!A:B,1,FALSE)</f>
        <v>#N/A</v>
      </c>
      <c r="O890" t="e">
        <f>VLOOKUP(A890, KeyData!A:C,1,FALSE)</f>
        <v>#N/A</v>
      </c>
    </row>
    <row r="891" spans="1:15">
      <c r="A891" s="451" t="str">
        <f t="shared" si="13"/>
        <v>0_0</v>
      </c>
      <c r="N891" t="e">
        <f>VLOOKUP(A891, 'P&amp;L'!A:B,1,FALSE)</f>
        <v>#N/A</v>
      </c>
      <c r="O891" t="e">
        <f>VLOOKUP(A891, KeyData!A:C,1,FALSE)</f>
        <v>#N/A</v>
      </c>
    </row>
    <row r="892" spans="1:15">
      <c r="A892" s="451" t="str">
        <f t="shared" si="13"/>
        <v>0_0</v>
      </c>
      <c r="N892" t="e">
        <f>VLOOKUP(A892, 'P&amp;L'!A:B,1,FALSE)</f>
        <v>#N/A</v>
      </c>
      <c r="O892" t="e">
        <f>VLOOKUP(A892, KeyData!A:C,1,FALSE)</f>
        <v>#N/A</v>
      </c>
    </row>
    <row r="893" spans="1:15">
      <c r="A893" s="451" t="str">
        <f t="shared" si="13"/>
        <v>0_0</v>
      </c>
      <c r="N893" t="e">
        <f>VLOOKUP(A893, 'P&amp;L'!A:B,1,FALSE)</f>
        <v>#N/A</v>
      </c>
      <c r="O893" t="e">
        <f>VLOOKUP(A893, KeyData!A:C,1,FALSE)</f>
        <v>#N/A</v>
      </c>
    </row>
    <row r="894" spans="1:15">
      <c r="A894" s="451" t="str">
        <f t="shared" si="13"/>
        <v>0_0</v>
      </c>
      <c r="N894" t="e">
        <f>VLOOKUP(A894, 'P&amp;L'!A:B,1,FALSE)</f>
        <v>#N/A</v>
      </c>
      <c r="O894" t="e">
        <f>VLOOKUP(A894, KeyData!A:C,1,FALSE)</f>
        <v>#N/A</v>
      </c>
    </row>
    <row r="895" spans="1:15">
      <c r="A895" s="451" t="str">
        <f t="shared" si="13"/>
        <v>0_0</v>
      </c>
      <c r="N895" t="e">
        <f>VLOOKUP(A895, 'P&amp;L'!A:B,1,FALSE)</f>
        <v>#N/A</v>
      </c>
      <c r="O895" t="e">
        <f>VLOOKUP(A895, KeyData!A:C,1,FALSE)</f>
        <v>#N/A</v>
      </c>
    </row>
    <row r="896" spans="1:15">
      <c r="A896" s="451" t="str">
        <f t="shared" si="13"/>
        <v>0_0</v>
      </c>
      <c r="N896" t="e">
        <f>VLOOKUP(A896, 'P&amp;L'!A:B,1,FALSE)</f>
        <v>#N/A</v>
      </c>
      <c r="O896" t="e">
        <f>VLOOKUP(A896, KeyData!A:C,1,FALSE)</f>
        <v>#N/A</v>
      </c>
    </row>
    <row r="897" spans="1:15">
      <c r="A897" s="451" t="str">
        <f t="shared" si="13"/>
        <v>0_0</v>
      </c>
      <c r="N897" t="e">
        <f>VLOOKUP(A897, 'P&amp;L'!A:B,1,FALSE)</f>
        <v>#N/A</v>
      </c>
      <c r="O897" t="e">
        <f>VLOOKUP(A897, KeyData!A:C,1,FALSE)</f>
        <v>#N/A</v>
      </c>
    </row>
    <row r="898" spans="1:15">
      <c r="A898" s="451" t="str">
        <f t="shared" si="13"/>
        <v>0_0</v>
      </c>
      <c r="N898" t="e">
        <f>VLOOKUP(A898, 'P&amp;L'!A:B,1,FALSE)</f>
        <v>#N/A</v>
      </c>
      <c r="O898" t="e">
        <f>VLOOKUP(A898, KeyData!A:C,1,FALSE)</f>
        <v>#N/A</v>
      </c>
    </row>
    <row r="899" spans="1:15">
      <c r="A899" s="451" t="str">
        <f t="shared" ref="A899:A962" si="14" xml:space="preserve"> IFERROR(+B899*1,B899)&amp;"_"&amp;IFERROR(+D899*1,D899)</f>
        <v>0_0</v>
      </c>
      <c r="N899" t="e">
        <f>VLOOKUP(A899, 'P&amp;L'!A:B,1,FALSE)</f>
        <v>#N/A</v>
      </c>
      <c r="O899" t="e">
        <f>VLOOKUP(A899, KeyData!A:C,1,FALSE)</f>
        <v>#N/A</v>
      </c>
    </row>
    <row r="900" spans="1:15">
      <c r="A900" s="451" t="str">
        <f t="shared" si="14"/>
        <v>0_0</v>
      </c>
      <c r="N900" t="e">
        <f>VLOOKUP(A900, 'P&amp;L'!A:B,1,FALSE)</f>
        <v>#N/A</v>
      </c>
      <c r="O900" t="e">
        <f>VLOOKUP(A900, KeyData!A:C,1,FALSE)</f>
        <v>#N/A</v>
      </c>
    </row>
    <row r="901" spans="1:15">
      <c r="A901" s="451" t="str">
        <f t="shared" si="14"/>
        <v>0_0</v>
      </c>
      <c r="N901" t="e">
        <f>VLOOKUP(A901, 'P&amp;L'!A:B,1,FALSE)</f>
        <v>#N/A</v>
      </c>
      <c r="O901" t="e">
        <f>VLOOKUP(A901, KeyData!A:C,1,FALSE)</f>
        <v>#N/A</v>
      </c>
    </row>
    <row r="902" spans="1:15">
      <c r="A902" s="451" t="str">
        <f t="shared" si="14"/>
        <v>0_0</v>
      </c>
      <c r="N902" t="e">
        <f>VLOOKUP(A902, 'P&amp;L'!A:B,1,FALSE)</f>
        <v>#N/A</v>
      </c>
      <c r="O902" t="e">
        <f>VLOOKUP(A902, KeyData!A:C,1,FALSE)</f>
        <v>#N/A</v>
      </c>
    </row>
    <row r="903" spans="1:15">
      <c r="A903" s="451" t="str">
        <f t="shared" si="14"/>
        <v>0_0</v>
      </c>
      <c r="N903" t="e">
        <f>VLOOKUP(A903, 'P&amp;L'!A:B,1,FALSE)</f>
        <v>#N/A</v>
      </c>
      <c r="O903" t="e">
        <f>VLOOKUP(A903, KeyData!A:C,1,FALSE)</f>
        <v>#N/A</v>
      </c>
    </row>
    <row r="904" spans="1:15">
      <c r="A904" s="451" t="str">
        <f t="shared" si="14"/>
        <v>0_0</v>
      </c>
      <c r="N904" t="e">
        <f>VLOOKUP(A904, 'P&amp;L'!A:B,1,FALSE)</f>
        <v>#N/A</v>
      </c>
      <c r="O904" t="e">
        <f>VLOOKUP(A904, KeyData!A:C,1,FALSE)</f>
        <v>#N/A</v>
      </c>
    </row>
    <row r="905" spans="1:15">
      <c r="A905" s="451" t="str">
        <f t="shared" si="14"/>
        <v>0_0</v>
      </c>
      <c r="N905" t="e">
        <f>VLOOKUP(A905, 'P&amp;L'!A:B,1,FALSE)</f>
        <v>#N/A</v>
      </c>
      <c r="O905" t="e">
        <f>VLOOKUP(A905, KeyData!A:C,1,FALSE)</f>
        <v>#N/A</v>
      </c>
    </row>
    <row r="906" spans="1:15">
      <c r="A906" s="451" t="str">
        <f t="shared" si="14"/>
        <v>0_0</v>
      </c>
      <c r="N906" t="e">
        <f>VLOOKUP(A906, 'P&amp;L'!A:B,1,FALSE)</f>
        <v>#N/A</v>
      </c>
      <c r="O906" t="e">
        <f>VLOOKUP(A906, KeyData!A:C,1,FALSE)</f>
        <v>#N/A</v>
      </c>
    </row>
    <row r="907" spans="1:15">
      <c r="A907" s="451" t="str">
        <f t="shared" si="14"/>
        <v>0_0</v>
      </c>
      <c r="N907" t="e">
        <f>VLOOKUP(A907, 'P&amp;L'!A:B,1,FALSE)</f>
        <v>#N/A</v>
      </c>
      <c r="O907" t="e">
        <f>VLOOKUP(A907, KeyData!A:C,1,FALSE)</f>
        <v>#N/A</v>
      </c>
    </row>
    <row r="908" spans="1:15">
      <c r="A908" s="451" t="str">
        <f t="shared" si="14"/>
        <v>0_0</v>
      </c>
      <c r="N908" t="e">
        <f>VLOOKUP(A908, 'P&amp;L'!A:B,1,FALSE)</f>
        <v>#N/A</v>
      </c>
      <c r="O908" t="e">
        <f>VLOOKUP(A908, KeyData!A:C,1,FALSE)</f>
        <v>#N/A</v>
      </c>
    </row>
    <row r="909" spans="1:15">
      <c r="A909" s="451" t="str">
        <f t="shared" si="14"/>
        <v>0_0</v>
      </c>
      <c r="N909" t="e">
        <f>VLOOKUP(A909, 'P&amp;L'!A:B,1,FALSE)</f>
        <v>#N/A</v>
      </c>
      <c r="O909" t="e">
        <f>VLOOKUP(A909, KeyData!A:C,1,FALSE)</f>
        <v>#N/A</v>
      </c>
    </row>
    <row r="910" spans="1:15">
      <c r="A910" s="451" t="str">
        <f t="shared" si="14"/>
        <v>0_0</v>
      </c>
      <c r="N910" t="e">
        <f>VLOOKUP(A910, 'P&amp;L'!A:B,1,FALSE)</f>
        <v>#N/A</v>
      </c>
      <c r="O910" t="e">
        <f>VLOOKUP(A910, KeyData!A:C,1,FALSE)</f>
        <v>#N/A</v>
      </c>
    </row>
    <row r="911" spans="1:15">
      <c r="A911" s="451" t="str">
        <f t="shared" si="14"/>
        <v>0_0</v>
      </c>
      <c r="N911" t="e">
        <f>VLOOKUP(A911, 'P&amp;L'!A:B,1,FALSE)</f>
        <v>#N/A</v>
      </c>
      <c r="O911" t="e">
        <f>VLOOKUP(A911, KeyData!A:C,1,FALSE)</f>
        <v>#N/A</v>
      </c>
    </row>
    <row r="912" spans="1:15">
      <c r="A912" s="451" t="str">
        <f t="shared" si="14"/>
        <v>0_0</v>
      </c>
      <c r="N912" t="e">
        <f>VLOOKUP(A912, 'P&amp;L'!A:B,1,FALSE)</f>
        <v>#N/A</v>
      </c>
      <c r="O912" t="e">
        <f>VLOOKUP(A912, KeyData!A:C,1,FALSE)</f>
        <v>#N/A</v>
      </c>
    </row>
    <row r="913" spans="1:15">
      <c r="A913" s="451" t="str">
        <f t="shared" si="14"/>
        <v>0_0</v>
      </c>
      <c r="N913" t="e">
        <f>VLOOKUP(A913, 'P&amp;L'!A:B,1,FALSE)</f>
        <v>#N/A</v>
      </c>
      <c r="O913" t="e">
        <f>VLOOKUP(A913, KeyData!A:C,1,FALSE)</f>
        <v>#N/A</v>
      </c>
    </row>
    <row r="914" spans="1:15">
      <c r="A914" s="451" t="str">
        <f t="shared" si="14"/>
        <v>0_0</v>
      </c>
      <c r="N914" t="e">
        <f>VLOOKUP(A914, 'P&amp;L'!A:B,1,FALSE)</f>
        <v>#N/A</v>
      </c>
      <c r="O914" t="e">
        <f>VLOOKUP(A914, KeyData!A:C,1,FALSE)</f>
        <v>#N/A</v>
      </c>
    </row>
    <row r="915" spans="1:15">
      <c r="A915" s="451" t="str">
        <f t="shared" si="14"/>
        <v>0_0</v>
      </c>
      <c r="N915" t="e">
        <f>VLOOKUP(A915, 'P&amp;L'!A:B,1,FALSE)</f>
        <v>#N/A</v>
      </c>
      <c r="O915" t="e">
        <f>VLOOKUP(A915, KeyData!A:C,1,FALSE)</f>
        <v>#N/A</v>
      </c>
    </row>
    <row r="916" spans="1:15">
      <c r="A916" s="451" t="str">
        <f t="shared" si="14"/>
        <v>0_0</v>
      </c>
      <c r="N916" t="e">
        <f>VLOOKUP(A916, 'P&amp;L'!A:B,1,FALSE)</f>
        <v>#N/A</v>
      </c>
      <c r="O916" t="e">
        <f>VLOOKUP(A916, KeyData!A:C,1,FALSE)</f>
        <v>#N/A</v>
      </c>
    </row>
    <row r="917" spans="1:15">
      <c r="A917" s="451" t="str">
        <f t="shared" si="14"/>
        <v>0_0</v>
      </c>
      <c r="N917" t="e">
        <f>VLOOKUP(A917, 'P&amp;L'!A:B,1,FALSE)</f>
        <v>#N/A</v>
      </c>
      <c r="O917" t="e">
        <f>VLOOKUP(A917, KeyData!A:C,1,FALSE)</f>
        <v>#N/A</v>
      </c>
    </row>
    <row r="918" spans="1:15">
      <c r="A918" s="451" t="str">
        <f t="shared" si="14"/>
        <v>0_0</v>
      </c>
      <c r="N918" t="e">
        <f>VLOOKUP(A918, 'P&amp;L'!A:B,1,FALSE)</f>
        <v>#N/A</v>
      </c>
      <c r="O918" t="e">
        <f>VLOOKUP(A918, KeyData!A:C,1,FALSE)</f>
        <v>#N/A</v>
      </c>
    </row>
    <row r="919" spans="1:15">
      <c r="A919" s="451" t="str">
        <f t="shared" si="14"/>
        <v>0_0</v>
      </c>
      <c r="N919" t="e">
        <f>VLOOKUP(A919, 'P&amp;L'!A:B,1,FALSE)</f>
        <v>#N/A</v>
      </c>
      <c r="O919" t="e">
        <f>VLOOKUP(A919, KeyData!A:C,1,FALSE)</f>
        <v>#N/A</v>
      </c>
    </row>
    <row r="920" spans="1:15">
      <c r="A920" s="451" t="str">
        <f t="shared" si="14"/>
        <v>0_0</v>
      </c>
      <c r="N920" t="e">
        <f>VLOOKUP(A920, 'P&amp;L'!A:B,1,FALSE)</f>
        <v>#N/A</v>
      </c>
      <c r="O920" t="e">
        <f>VLOOKUP(A920, KeyData!A:C,1,FALSE)</f>
        <v>#N/A</v>
      </c>
    </row>
    <row r="921" spans="1:15">
      <c r="A921" s="451" t="str">
        <f t="shared" si="14"/>
        <v>0_0</v>
      </c>
      <c r="N921" t="e">
        <f>VLOOKUP(A921, 'P&amp;L'!A:B,1,FALSE)</f>
        <v>#N/A</v>
      </c>
      <c r="O921" t="e">
        <f>VLOOKUP(A921, KeyData!A:C,1,FALSE)</f>
        <v>#N/A</v>
      </c>
    </row>
    <row r="922" spans="1:15">
      <c r="A922" s="451" t="str">
        <f t="shared" si="14"/>
        <v>0_0</v>
      </c>
      <c r="N922" t="e">
        <f>VLOOKUP(A922, 'P&amp;L'!A:B,1,FALSE)</f>
        <v>#N/A</v>
      </c>
      <c r="O922" t="e">
        <f>VLOOKUP(A922, KeyData!A:C,1,FALSE)</f>
        <v>#N/A</v>
      </c>
    </row>
    <row r="923" spans="1:15">
      <c r="A923" s="451" t="str">
        <f t="shared" si="14"/>
        <v>0_0</v>
      </c>
      <c r="N923" t="e">
        <f>VLOOKUP(A923, 'P&amp;L'!A:B,1,FALSE)</f>
        <v>#N/A</v>
      </c>
      <c r="O923" t="e">
        <f>VLOOKUP(A923, KeyData!A:C,1,FALSE)</f>
        <v>#N/A</v>
      </c>
    </row>
    <row r="924" spans="1:15">
      <c r="A924" s="451" t="str">
        <f t="shared" si="14"/>
        <v>0_0</v>
      </c>
      <c r="N924" t="e">
        <f>VLOOKUP(A924, 'P&amp;L'!A:B,1,FALSE)</f>
        <v>#N/A</v>
      </c>
      <c r="O924" t="e">
        <f>VLOOKUP(A924, KeyData!A:C,1,FALSE)</f>
        <v>#N/A</v>
      </c>
    </row>
    <row r="925" spans="1:15">
      <c r="A925" s="451" t="str">
        <f t="shared" si="14"/>
        <v>0_0</v>
      </c>
      <c r="N925" t="e">
        <f>VLOOKUP(A925, 'P&amp;L'!A:B,1,FALSE)</f>
        <v>#N/A</v>
      </c>
      <c r="O925" t="e">
        <f>VLOOKUP(A925, KeyData!A:C,1,FALSE)</f>
        <v>#N/A</v>
      </c>
    </row>
    <row r="926" spans="1:15">
      <c r="A926" s="451" t="str">
        <f t="shared" si="14"/>
        <v>0_0</v>
      </c>
      <c r="N926" t="e">
        <f>VLOOKUP(A926, 'P&amp;L'!A:B,1,FALSE)</f>
        <v>#N/A</v>
      </c>
      <c r="O926" t="e">
        <f>VLOOKUP(A926, KeyData!A:C,1,FALSE)</f>
        <v>#N/A</v>
      </c>
    </row>
    <row r="927" spans="1:15">
      <c r="A927" s="451" t="str">
        <f t="shared" si="14"/>
        <v>0_0</v>
      </c>
      <c r="N927" t="e">
        <f>VLOOKUP(A927, 'P&amp;L'!A:B,1,FALSE)</f>
        <v>#N/A</v>
      </c>
      <c r="O927" t="e">
        <f>VLOOKUP(A927, KeyData!A:C,1,FALSE)</f>
        <v>#N/A</v>
      </c>
    </row>
    <row r="928" spans="1:15">
      <c r="A928" s="451" t="str">
        <f t="shared" si="14"/>
        <v>0_0</v>
      </c>
      <c r="N928" t="e">
        <f>VLOOKUP(A928, 'P&amp;L'!A:B,1,FALSE)</f>
        <v>#N/A</v>
      </c>
      <c r="O928" t="e">
        <f>VLOOKUP(A928, KeyData!A:C,1,FALSE)</f>
        <v>#N/A</v>
      </c>
    </row>
    <row r="929" spans="1:15">
      <c r="A929" s="451" t="str">
        <f t="shared" si="14"/>
        <v>0_0</v>
      </c>
      <c r="N929" t="e">
        <f>VLOOKUP(A929, 'P&amp;L'!A:B,1,FALSE)</f>
        <v>#N/A</v>
      </c>
      <c r="O929" t="e">
        <f>VLOOKUP(A929, KeyData!A:C,1,FALSE)</f>
        <v>#N/A</v>
      </c>
    </row>
    <row r="930" spans="1:15">
      <c r="A930" s="451" t="str">
        <f t="shared" si="14"/>
        <v>0_0</v>
      </c>
      <c r="N930" t="e">
        <f>VLOOKUP(A930, 'P&amp;L'!A:B,1,FALSE)</f>
        <v>#N/A</v>
      </c>
      <c r="O930" t="e">
        <f>VLOOKUP(A930, KeyData!A:C,1,FALSE)</f>
        <v>#N/A</v>
      </c>
    </row>
    <row r="931" spans="1:15">
      <c r="A931" s="451" t="str">
        <f t="shared" si="14"/>
        <v>0_0</v>
      </c>
      <c r="N931" t="e">
        <f>VLOOKUP(A931, 'P&amp;L'!A:B,1,FALSE)</f>
        <v>#N/A</v>
      </c>
      <c r="O931" t="e">
        <f>VLOOKUP(A931, KeyData!A:C,1,FALSE)</f>
        <v>#N/A</v>
      </c>
    </row>
    <row r="932" spans="1:15">
      <c r="A932" s="451" t="str">
        <f t="shared" si="14"/>
        <v>0_0</v>
      </c>
      <c r="N932" t="e">
        <f>VLOOKUP(A932, 'P&amp;L'!A:B,1,FALSE)</f>
        <v>#N/A</v>
      </c>
      <c r="O932" t="e">
        <f>VLOOKUP(A932, KeyData!A:C,1,FALSE)</f>
        <v>#N/A</v>
      </c>
    </row>
    <row r="933" spans="1:15">
      <c r="A933" s="451" t="str">
        <f t="shared" si="14"/>
        <v>0_0</v>
      </c>
      <c r="N933" t="e">
        <f>VLOOKUP(A933, 'P&amp;L'!A:B,1,FALSE)</f>
        <v>#N/A</v>
      </c>
      <c r="O933" t="e">
        <f>VLOOKUP(A933, KeyData!A:C,1,FALSE)</f>
        <v>#N/A</v>
      </c>
    </row>
    <row r="934" spans="1:15">
      <c r="A934" s="451" t="str">
        <f t="shared" si="14"/>
        <v>0_0</v>
      </c>
      <c r="N934" t="e">
        <f>VLOOKUP(A934, 'P&amp;L'!A:B,1,FALSE)</f>
        <v>#N/A</v>
      </c>
      <c r="O934" t="e">
        <f>VLOOKUP(A934, KeyData!A:C,1,FALSE)</f>
        <v>#N/A</v>
      </c>
    </row>
    <row r="935" spans="1:15">
      <c r="A935" s="451" t="str">
        <f t="shared" si="14"/>
        <v>0_0</v>
      </c>
      <c r="N935" t="e">
        <f>VLOOKUP(A935, 'P&amp;L'!A:B,1,FALSE)</f>
        <v>#N/A</v>
      </c>
      <c r="O935" t="e">
        <f>VLOOKUP(A935, KeyData!A:C,1,FALSE)</f>
        <v>#N/A</v>
      </c>
    </row>
    <row r="936" spans="1:15">
      <c r="A936" s="451" t="str">
        <f t="shared" si="14"/>
        <v>0_0</v>
      </c>
      <c r="N936" t="e">
        <f>VLOOKUP(A936, 'P&amp;L'!A:B,1,FALSE)</f>
        <v>#N/A</v>
      </c>
      <c r="O936" t="e">
        <f>VLOOKUP(A936, KeyData!A:C,1,FALSE)</f>
        <v>#N/A</v>
      </c>
    </row>
    <row r="937" spans="1:15">
      <c r="A937" s="451" t="str">
        <f t="shared" si="14"/>
        <v>0_0</v>
      </c>
      <c r="N937" t="e">
        <f>VLOOKUP(A937, 'P&amp;L'!A:B,1,FALSE)</f>
        <v>#N/A</v>
      </c>
      <c r="O937" t="e">
        <f>VLOOKUP(A937, KeyData!A:C,1,FALSE)</f>
        <v>#N/A</v>
      </c>
    </row>
    <row r="938" spans="1:15">
      <c r="A938" s="451" t="str">
        <f t="shared" si="14"/>
        <v>0_0</v>
      </c>
      <c r="N938" t="e">
        <f>VLOOKUP(A938, 'P&amp;L'!A:B,1,FALSE)</f>
        <v>#N/A</v>
      </c>
      <c r="O938" t="e">
        <f>VLOOKUP(A938, KeyData!A:C,1,FALSE)</f>
        <v>#N/A</v>
      </c>
    </row>
    <row r="939" spans="1:15">
      <c r="A939" s="451" t="str">
        <f t="shared" si="14"/>
        <v>0_0</v>
      </c>
      <c r="N939" t="e">
        <f>VLOOKUP(A939, 'P&amp;L'!A:B,1,FALSE)</f>
        <v>#N/A</v>
      </c>
      <c r="O939" t="e">
        <f>VLOOKUP(A939, KeyData!A:C,1,FALSE)</f>
        <v>#N/A</v>
      </c>
    </row>
    <row r="940" spans="1:15">
      <c r="A940" s="451" t="str">
        <f t="shared" si="14"/>
        <v>0_0</v>
      </c>
      <c r="N940" t="e">
        <f>VLOOKUP(A940, 'P&amp;L'!A:B,1,FALSE)</f>
        <v>#N/A</v>
      </c>
      <c r="O940" t="e">
        <f>VLOOKUP(A940, KeyData!A:C,1,FALSE)</f>
        <v>#N/A</v>
      </c>
    </row>
    <row r="941" spans="1:15">
      <c r="A941" s="451" t="str">
        <f t="shared" si="14"/>
        <v>0_0</v>
      </c>
      <c r="N941" t="e">
        <f>VLOOKUP(A941, 'P&amp;L'!A:B,1,FALSE)</f>
        <v>#N/A</v>
      </c>
      <c r="O941" t="e">
        <f>VLOOKUP(A941, KeyData!A:C,1,FALSE)</f>
        <v>#N/A</v>
      </c>
    </row>
    <row r="942" spans="1:15">
      <c r="A942" s="451" t="str">
        <f t="shared" si="14"/>
        <v>0_0</v>
      </c>
      <c r="N942" t="e">
        <f>VLOOKUP(A942, 'P&amp;L'!A:B,1,FALSE)</f>
        <v>#N/A</v>
      </c>
      <c r="O942" t="e">
        <f>VLOOKUP(A942, KeyData!A:C,1,FALSE)</f>
        <v>#N/A</v>
      </c>
    </row>
    <row r="943" spans="1:15">
      <c r="A943" s="451" t="str">
        <f t="shared" si="14"/>
        <v>0_0</v>
      </c>
      <c r="N943" t="e">
        <f>VLOOKUP(A943, 'P&amp;L'!A:B,1,FALSE)</f>
        <v>#N/A</v>
      </c>
      <c r="O943" t="e">
        <f>VLOOKUP(A943, KeyData!A:C,1,FALSE)</f>
        <v>#N/A</v>
      </c>
    </row>
    <row r="944" spans="1:15">
      <c r="A944" s="451" t="str">
        <f t="shared" si="14"/>
        <v>0_0</v>
      </c>
      <c r="N944" t="e">
        <f>VLOOKUP(A944, 'P&amp;L'!A:B,1,FALSE)</f>
        <v>#N/A</v>
      </c>
      <c r="O944" t="e">
        <f>VLOOKUP(A944, KeyData!A:C,1,FALSE)</f>
        <v>#N/A</v>
      </c>
    </row>
    <row r="945" spans="1:15">
      <c r="A945" s="451" t="str">
        <f t="shared" si="14"/>
        <v>0_0</v>
      </c>
      <c r="N945" t="e">
        <f>VLOOKUP(A945, 'P&amp;L'!A:B,1,FALSE)</f>
        <v>#N/A</v>
      </c>
      <c r="O945" t="e">
        <f>VLOOKUP(A945, KeyData!A:C,1,FALSE)</f>
        <v>#N/A</v>
      </c>
    </row>
    <row r="946" spans="1:15">
      <c r="A946" s="451" t="str">
        <f t="shared" si="14"/>
        <v>0_0</v>
      </c>
      <c r="N946" t="e">
        <f>VLOOKUP(A946, 'P&amp;L'!A:B,1,FALSE)</f>
        <v>#N/A</v>
      </c>
      <c r="O946" t="e">
        <f>VLOOKUP(A946, KeyData!A:C,1,FALSE)</f>
        <v>#N/A</v>
      </c>
    </row>
    <row r="947" spans="1:15">
      <c r="A947" s="451" t="str">
        <f t="shared" si="14"/>
        <v>0_0</v>
      </c>
      <c r="N947" t="e">
        <f>VLOOKUP(A947, 'P&amp;L'!A:B,1,FALSE)</f>
        <v>#N/A</v>
      </c>
      <c r="O947" t="e">
        <f>VLOOKUP(A947, KeyData!A:C,1,FALSE)</f>
        <v>#N/A</v>
      </c>
    </row>
    <row r="948" spans="1:15">
      <c r="A948" s="451" t="str">
        <f t="shared" si="14"/>
        <v>0_0</v>
      </c>
      <c r="N948" t="e">
        <f>VLOOKUP(A948, 'P&amp;L'!A:B,1,FALSE)</f>
        <v>#N/A</v>
      </c>
      <c r="O948" t="e">
        <f>VLOOKUP(A948, KeyData!A:C,1,FALSE)</f>
        <v>#N/A</v>
      </c>
    </row>
    <row r="949" spans="1:15">
      <c r="A949" s="451" t="str">
        <f t="shared" si="14"/>
        <v>0_0</v>
      </c>
      <c r="N949" t="e">
        <f>VLOOKUP(A949, 'P&amp;L'!A:B,1,FALSE)</f>
        <v>#N/A</v>
      </c>
      <c r="O949" t="e">
        <f>VLOOKUP(A949, KeyData!A:C,1,FALSE)</f>
        <v>#N/A</v>
      </c>
    </row>
    <row r="950" spans="1:15">
      <c r="A950" s="451" t="str">
        <f t="shared" si="14"/>
        <v>0_0</v>
      </c>
      <c r="N950" t="e">
        <f>VLOOKUP(A950, 'P&amp;L'!A:B,1,FALSE)</f>
        <v>#N/A</v>
      </c>
      <c r="O950" t="e">
        <f>VLOOKUP(A950, KeyData!A:C,1,FALSE)</f>
        <v>#N/A</v>
      </c>
    </row>
    <row r="951" spans="1:15">
      <c r="A951" s="451" t="str">
        <f t="shared" si="14"/>
        <v>0_0</v>
      </c>
      <c r="N951" t="e">
        <f>VLOOKUP(A951, 'P&amp;L'!A:B,1,FALSE)</f>
        <v>#N/A</v>
      </c>
      <c r="O951" t="e">
        <f>VLOOKUP(A951, KeyData!A:C,1,FALSE)</f>
        <v>#N/A</v>
      </c>
    </row>
    <row r="952" spans="1:15">
      <c r="A952" s="451" t="str">
        <f t="shared" si="14"/>
        <v>0_0</v>
      </c>
      <c r="N952" t="e">
        <f>VLOOKUP(A952, 'P&amp;L'!A:B,1,FALSE)</f>
        <v>#N/A</v>
      </c>
      <c r="O952" t="e">
        <f>VLOOKUP(A952, KeyData!A:C,1,FALSE)</f>
        <v>#N/A</v>
      </c>
    </row>
    <row r="953" spans="1:15">
      <c r="A953" s="451" t="str">
        <f t="shared" si="14"/>
        <v>0_0</v>
      </c>
      <c r="N953" t="e">
        <f>VLOOKUP(A953, 'P&amp;L'!A:B,1,FALSE)</f>
        <v>#N/A</v>
      </c>
      <c r="O953" t="e">
        <f>VLOOKUP(A953, KeyData!A:C,1,FALSE)</f>
        <v>#N/A</v>
      </c>
    </row>
    <row r="954" spans="1:15">
      <c r="A954" s="451" t="str">
        <f t="shared" si="14"/>
        <v>0_0</v>
      </c>
      <c r="N954" t="e">
        <f>VLOOKUP(A954, 'P&amp;L'!A:B,1,FALSE)</f>
        <v>#N/A</v>
      </c>
      <c r="O954" t="e">
        <f>VLOOKUP(A954, KeyData!A:C,1,FALSE)</f>
        <v>#N/A</v>
      </c>
    </row>
    <row r="955" spans="1:15">
      <c r="A955" s="451" t="str">
        <f t="shared" si="14"/>
        <v>0_0</v>
      </c>
      <c r="N955" t="e">
        <f>VLOOKUP(A955, 'P&amp;L'!A:B,1,FALSE)</f>
        <v>#N/A</v>
      </c>
      <c r="O955" t="e">
        <f>VLOOKUP(A955, KeyData!A:C,1,FALSE)</f>
        <v>#N/A</v>
      </c>
    </row>
    <row r="956" spans="1:15">
      <c r="A956" s="451" t="str">
        <f t="shared" si="14"/>
        <v>0_0</v>
      </c>
      <c r="N956" t="e">
        <f>VLOOKUP(A956, 'P&amp;L'!A:B,1,FALSE)</f>
        <v>#N/A</v>
      </c>
      <c r="O956" t="e">
        <f>VLOOKUP(A956, KeyData!A:C,1,FALSE)</f>
        <v>#N/A</v>
      </c>
    </row>
    <row r="957" spans="1:15">
      <c r="A957" s="451" t="str">
        <f t="shared" si="14"/>
        <v>0_0</v>
      </c>
      <c r="N957" t="e">
        <f>VLOOKUP(A957, 'P&amp;L'!A:B,1,FALSE)</f>
        <v>#N/A</v>
      </c>
      <c r="O957" t="e">
        <f>VLOOKUP(A957, KeyData!A:C,1,FALSE)</f>
        <v>#N/A</v>
      </c>
    </row>
    <row r="958" spans="1:15">
      <c r="A958" s="451" t="str">
        <f t="shared" si="14"/>
        <v>0_0</v>
      </c>
      <c r="N958" t="e">
        <f>VLOOKUP(A958, 'P&amp;L'!A:B,1,FALSE)</f>
        <v>#N/A</v>
      </c>
      <c r="O958" t="e">
        <f>VLOOKUP(A958, KeyData!A:C,1,FALSE)</f>
        <v>#N/A</v>
      </c>
    </row>
    <row r="959" spans="1:15">
      <c r="A959" s="451" t="str">
        <f t="shared" si="14"/>
        <v>0_0</v>
      </c>
      <c r="N959" t="e">
        <f>VLOOKUP(A959, 'P&amp;L'!A:B,1,FALSE)</f>
        <v>#N/A</v>
      </c>
      <c r="O959" t="e">
        <f>VLOOKUP(A959, KeyData!A:C,1,FALSE)</f>
        <v>#N/A</v>
      </c>
    </row>
    <row r="960" spans="1:15">
      <c r="A960" s="451" t="str">
        <f t="shared" si="14"/>
        <v>0_0</v>
      </c>
      <c r="N960" t="e">
        <f>VLOOKUP(A960, 'P&amp;L'!A:B,1,FALSE)</f>
        <v>#N/A</v>
      </c>
      <c r="O960" t="e">
        <f>VLOOKUP(A960, KeyData!A:C,1,FALSE)</f>
        <v>#N/A</v>
      </c>
    </row>
    <row r="961" spans="1:15">
      <c r="A961" s="451" t="str">
        <f t="shared" si="14"/>
        <v>0_0</v>
      </c>
      <c r="N961" t="e">
        <f>VLOOKUP(A961, 'P&amp;L'!A:B,1,FALSE)</f>
        <v>#N/A</v>
      </c>
      <c r="O961" t="e">
        <f>VLOOKUP(A961, KeyData!A:C,1,FALSE)</f>
        <v>#N/A</v>
      </c>
    </row>
    <row r="962" spans="1:15">
      <c r="A962" s="451" t="str">
        <f t="shared" si="14"/>
        <v>0_0</v>
      </c>
      <c r="N962" t="e">
        <f>VLOOKUP(A962, 'P&amp;L'!A:B,1,FALSE)</f>
        <v>#N/A</v>
      </c>
      <c r="O962" t="e">
        <f>VLOOKUP(A962, KeyData!A:C,1,FALSE)</f>
        <v>#N/A</v>
      </c>
    </row>
    <row r="963" spans="1:15">
      <c r="A963" s="451" t="str">
        <f t="shared" ref="A963:A1026" si="15" xml:space="preserve"> IFERROR(+B963*1,B963)&amp;"_"&amp;IFERROR(+D963*1,D963)</f>
        <v>0_0</v>
      </c>
      <c r="N963" t="e">
        <f>VLOOKUP(A963, 'P&amp;L'!A:B,1,FALSE)</f>
        <v>#N/A</v>
      </c>
      <c r="O963" t="e">
        <f>VLOOKUP(A963, KeyData!A:C,1,FALSE)</f>
        <v>#N/A</v>
      </c>
    </row>
    <row r="964" spans="1:15">
      <c r="A964" s="451" t="str">
        <f t="shared" si="15"/>
        <v>0_0</v>
      </c>
      <c r="N964" t="e">
        <f>VLOOKUP(A964, 'P&amp;L'!A:B,1,FALSE)</f>
        <v>#N/A</v>
      </c>
      <c r="O964" t="e">
        <f>VLOOKUP(A964, KeyData!A:C,1,FALSE)</f>
        <v>#N/A</v>
      </c>
    </row>
    <row r="965" spans="1:15">
      <c r="A965" s="451" t="str">
        <f t="shared" si="15"/>
        <v>0_0</v>
      </c>
      <c r="N965" t="e">
        <f>VLOOKUP(A965, 'P&amp;L'!A:B,1,FALSE)</f>
        <v>#N/A</v>
      </c>
      <c r="O965" t="e">
        <f>VLOOKUP(A965, KeyData!A:C,1,FALSE)</f>
        <v>#N/A</v>
      </c>
    </row>
    <row r="966" spans="1:15">
      <c r="A966" s="451" t="str">
        <f t="shared" si="15"/>
        <v>0_0</v>
      </c>
      <c r="N966" t="e">
        <f>VLOOKUP(A966, 'P&amp;L'!A:B,1,FALSE)</f>
        <v>#N/A</v>
      </c>
      <c r="O966" t="e">
        <f>VLOOKUP(A966, KeyData!A:C,1,FALSE)</f>
        <v>#N/A</v>
      </c>
    </row>
    <row r="967" spans="1:15">
      <c r="A967" s="451" t="str">
        <f t="shared" si="15"/>
        <v>0_0</v>
      </c>
      <c r="N967" t="e">
        <f>VLOOKUP(A967, 'P&amp;L'!A:B,1,FALSE)</f>
        <v>#N/A</v>
      </c>
      <c r="O967" t="e">
        <f>VLOOKUP(A967, KeyData!A:C,1,FALSE)</f>
        <v>#N/A</v>
      </c>
    </row>
    <row r="968" spans="1:15">
      <c r="A968" s="451" t="str">
        <f t="shared" si="15"/>
        <v>0_0</v>
      </c>
      <c r="N968" t="e">
        <f>VLOOKUP(A968, 'P&amp;L'!A:B,1,FALSE)</f>
        <v>#N/A</v>
      </c>
      <c r="O968" t="e">
        <f>VLOOKUP(A968, KeyData!A:C,1,FALSE)</f>
        <v>#N/A</v>
      </c>
    </row>
    <row r="969" spans="1:15">
      <c r="A969" s="451" t="str">
        <f t="shared" si="15"/>
        <v>0_0</v>
      </c>
      <c r="N969" t="e">
        <f>VLOOKUP(A969, 'P&amp;L'!A:B,1,FALSE)</f>
        <v>#N/A</v>
      </c>
      <c r="O969" t="e">
        <f>VLOOKUP(A969, KeyData!A:C,1,FALSE)</f>
        <v>#N/A</v>
      </c>
    </row>
    <row r="970" spans="1:15">
      <c r="A970" s="451" t="str">
        <f t="shared" si="15"/>
        <v>0_0</v>
      </c>
      <c r="N970" t="e">
        <f>VLOOKUP(A970, 'P&amp;L'!A:B,1,FALSE)</f>
        <v>#N/A</v>
      </c>
      <c r="O970" t="e">
        <f>VLOOKUP(A970, KeyData!A:C,1,FALSE)</f>
        <v>#N/A</v>
      </c>
    </row>
    <row r="971" spans="1:15">
      <c r="A971" s="451" t="str">
        <f t="shared" si="15"/>
        <v>0_0</v>
      </c>
      <c r="N971" t="e">
        <f>VLOOKUP(A971, 'P&amp;L'!A:B,1,FALSE)</f>
        <v>#N/A</v>
      </c>
      <c r="O971" t="e">
        <f>VLOOKUP(A971, KeyData!A:C,1,FALSE)</f>
        <v>#N/A</v>
      </c>
    </row>
    <row r="972" spans="1:15">
      <c r="A972" s="451" t="str">
        <f t="shared" si="15"/>
        <v>0_0</v>
      </c>
      <c r="N972" t="e">
        <f>VLOOKUP(A972, 'P&amp;L'!A:B,1,FALSE)</f>
        <v>#N/A</v>
      </c>
      <c r="O972" t="e">
        <f>VLOOKUP(A972, KeyData!A:C,1,FALSE)</f>
        <v>#N/A</v>
      </c>
    </row>
    <row r="973" spans="1:15">
      <c r="A973" s="451" t="str">
        <f t="shared" si="15"/>
        <v>0_0</v>
      </c>
      <c r="N973" t="e">
        <f>VLOOKUP(A973, 'P&amp;L'!A:B,1,FALSE)</f>
        <v>#N/A</v>
      </c>
      <c r="O973" t="e">
        <f>VLOOKUP(A973, KeyData!A:C,1,FALSE)</f>
        <v>#N/A</v>
      </c>
    </row>
    <row r="974" spans="1:15">
      <c r="A974" s="451" t="str">
        <f t="shared" si="15"/>
        <v>0_0</v>
      </c>
      <c r="N974" t="e">
        <f>VLOOKUP(A974, 'P&amp;L'!A:B,1,FALSE)</f>
        <v>#N/A</v>
      </c>
      <c r="O974" t="e">
        <f>VLOOKUP(A974, KeyData!A:C,1,FALSE)</f>
        <v>#N/A</v>
      </c>
    </row>
    <row r="975" spans="1:15">
      <c r="A975" s="451" t="str">
        <f t="shared" si="15"/>
        <v>0_0</v>
      </c>
      <c r="N975" t="e">
        <f>VLOOKUP(A975, 'P&amp;L'!A:B,1,FALSE)</f>
        <v>#N/A</v>
      </c>
      <c r="O975" t="e">
        <f>VLOOKUP(A975, KeyData!A:C,1,FALSE)</f>
        <v>#N/A</v>
      </c>
    </row>
    <row r="976" spans="1:15">
      <c r="A976" s="451" t="str">
        <f t="shared" si="15"/>
        <v>0_0</v>
      </c>
      <c r="N976" t="e">
        <f>VLOOKUP(A976, 'P&amp;L'!A:B,1,FALSE)</f>
        <v>#N/A</v>
      </c>
      <c r="O976" t="e">
        <f>VLOOKUP(A976, KeyData!A:C,1,FALSE)</f>
        <v>#N/A</v>
      </c>
    </row>
    <row r="977" spans="1:15">
      <c r="A977" s="451" t="str">
        <f t="shared" si="15"/>
        <v>0_0</v>
      </c>
      <c r="N977" t="e">
        <f>VLOOKUP(A977, 'P&amp;L'!A:B,1,FALSE)</f>
        <v>#N/A</v>
      </c>
      <c r="O977" t="e">
        <f>VLOOKUP(A977, KeyData!A:C,1,FALSE)</f>
        <v>#N/A</v>
      </c>
    </row>
    <row r="978" spans="1:15">
      <c r="A978" s="451" t="str">
        <f t="shared" si="15"/>
        <v>0_0</v>
      </c>
      <c r="N978" t="e">
        <f>VLOOKUP(A978, 'P&amp;L'!A:B,1,FALSE)</f>
        <v>#N/A</v>
      </c>
      <c r="O978" t="e">
        <f>VLOOKUP(A978, KeyData!A:C,1,FALSE)</f>
        <v>#N/A</v>
      </c>
    </row>
    <row r="979" spans="1:15">
      <c r="A979" s="451" t="str">
        <f t="shared" si="15"/>
        <v>0_0</v>
      </c>
      <c r="N979" t="e">
        <f>VLOOKUP(A979, 'P&amp;L'!A:B,1,FALSE)</f>
        <v>#N/A</v>
      </c>
      <c r="O979" t="e">
        <f>VLOOKUP(A979, KeyData!A:C,1,FALSE)</f>
        <v>#N/A</v>
      </c>
    </row>
    <row r="980" spans="1:15">
      <c r="A980" s="451" t="str">
        <f t="shared" si="15"/>
        <v>0_0</v>
      </c>
      <c r="N980" t="e">
        <f>VLOOKUP(A980, 'P&amp;L'!A:B,1,FALSE)</f>
        <v>#N/A</v>
      </c>
      <c r="O980" t="e">
        <f>VLOOKUP(A980, KeyData!A:C,1,FALSE)</f>
        <v>#N/A</v>
      </c>
    </row>
    <row r="981" spans="1:15">
      <c r="A981" s="451" t="str">
        <f t="shared" si="15"/>
        <v>0_0</v>
      </c>
      <c r="N981" t="e">
        <f>VLOOKUP(A981, 'P&amp;L'!A:B,1,FALSE)</f>
        <v>#N/A</v>
      </c>
      <c r="O981" t="e">
        <f>VLOOKUP(A981, KeyData!A:C,1,FALSE)</f>
        <v>#N/A</v>
      </c>
    </row>
    <row r="982" spans="1:15">
      <c r="A982" s="451" t="str">
        <f t="shared" si="15"/>
        <v>0_0</v>
      </c>
      <c r="N982" t="e">
        <f>VLOOKUP(A982, 'P&amp;L'!A:B,1,FALSE)</f>
        <v>#N/A</v>
      </c>
      <c r="O982" t="e">
        <f>VLOOKUP(A982, KeyData!A:C,1,FALSE)</f>
        <v>#N/A</v>
      </c>
    </row>
    <row r="983" spans="1:15">
      <c r="A983" s="451" t="str">
        <f t="shared" si="15"/>
        <v>0_0</v>
      </c>
      <c r="N983" t="e">
        <f>VLOOKUP(A983, 'P&amp;L'!A:B,1,FALSE)</f>
        <v>#N/A</v>
      </c>
      <c r="O983" t="e">
        <f>VLOOKUP(A983, KeyData!A:C,1,FALSE)</f>
        <v>#N/A</v>
      </c>
    </row>
    <row r="984" spans="1:15">
      <c r="A984" s="451" t="str">
        <f t="shared" si="15"/>
        <v>0_0</v>
      </c>
      <c r="N984" t="e">
        <f>VLOOKUP(A984, 'P&amp;L'!A:B,1,FALSE)</f>
        <v>#N/A</v>
      </c>
      <c r="O984" t="e">
        <f>VLOOKUP(A984, KeyData!A:C,1,FALSE)</f>
        <v>#N/A</v>
      </c>
    </row>
    <row r="985" spans="1:15">
      <c r="A985" s="451" t="str">
        <f t="shared" si="15"/>
        <v>0_0</v>
      </c>
      <c r="N985" t="e">
        <f>VLOOKUP(A985, 'P&amp;L'!A:B,1,FALSE)</f>
        <v>#N/A</v>
      </c>
      <c r="O985" t="e">
        <f>VLOOKUP(A985, KeyData!A:C,1,FALSE)</f>
        <v>#N/A</v>
      </c>
    </row>
    <row r="986" spans="1:15">
      <c r="A986" s="451" t="str">
        <f t="shared" si="15"/>
        <v>0_0</v>
      </c>
      <c r="N986" t="e">
        <f>VLOOKUP(A986, 'P&amp;L'!A:B,1,FALSE)</f>
        <v>#N/A</v>
      </c>
      <c r="O986" t="e">
        <f>VLOOKUP(A986, KeyData!A:C,1,FALSE)</f>
        <v>#N/A</v>
      </c>
    </row>
    <row r="987" spans="1:15">
      <c r="A987" s="451" t="str">
        <f t="shared" si="15"/>
        <v>0_0</v>
      </c>
      <c r="N987" t="e">
        <f>VLOOKUP(A987, 'P&amp;L'!A:B,1,FALSE)</f>
        <v>#N/A</v>
      </c>
      <c r="O987" t="e">
        <f>VLOOKUP(A987, KeyData!A:C,1,FALSE)</f>
        <v>#N/A</v>
      </c>
    </row>
    <row r="988" spans="1:15">
      <c r="A988" s="451" t="str">
        <f t="shared" si="15"/>
        <v>0_0</v>
      </c>
      <c r="N988" t="e">
        <f>VLOOKUP(A988, 'P&amp;L'!A:B,1,FALSE)</f>
        <v>#N/A</v>
      </c>
      <c r="O988" t="e">
        <f>VLOOKUP(A988, KeyData!A:C,1,FALSE)</f>
        <v>#N/A</v>
      </c>
    </row>
    <row r="989" spans="1:15">
      <c r="A989" s="451" t="str">
        <f t="shared" si="15"/>
        <v>0_0</v>
      </c>
      <c r="N989" t="e">
        <f>VLOOKUP(A989, 'P&amp;L'!A:B,1,FALSE)</f>
        <v>#N/A</v>
      </c>
      <c r="O989" t="e">
        <f>VLOOKUP(A989, KeyData!A:C,1,FALSE)</f>
        <v>#N/A</v>
      </c>
    </row>
    <row r="990" spans="1:15">
      <c r="A990" s="451" t="str">
        <f t="shared" si="15"/>
        <v>0_0</v>
      </c>
      <c r="N990" t="e">
        <f>VLOOKUP(A990, 'P&amp;L'!A:B,1,FALSE)</f>
        <v>#N/A</v>
      </c>
      <c r="O990" t="e">
        <f>VLOOKUP(A990, KeyData!A:C,1,FALSE)</f>
        <v>#N/A</v>
      </c>
    </row>
    <row r="991" spans="1:15">
      <c r="A991" s="451" t="str">
        <f t="shared" si="15"/>
        <v>0_0</v>
      </c>
      <c r="N991" t="e">
        <f>VLOOKUP(A991, 'P&amp;L'!A:B,1,FALSE)</f>
        <v>#N/A</v>
      </c>
      <c r="O991" t="e">
        <f>VLOOKUP(A991, KeyData!A:C,1,FALSE)</f>
        <v>#N/A</v>
      </c>
    </row>
    <row r="992" spans="1:15">
      <c r="A992" s="451" t="str">
        <f t="shared" si="15"/>
        <v>0_0</v>
      </c>
      <c r="N992" t="e">
        <f>VLOOKUP(A992, 'P&amp;L'!A:B,1,FALSE)</f>
        <v>#N/A</v>
      </c>
      <c r="O992" t="e">
        <f>VLOOKUP(A992, KeyData!A:C,1,FALSE)</f>
        <v>#N/A</v>
      </c>
    </row>
    <row r="993" spans="1:15">
      <c r="A993" s="451" t="str">
        <f t="shared" si="15"/>
        <v>0_0</v>
      </c>
      <c r="N993" t="e">
        <f>VLOOKUP(A993, 'P&amp;L'!A:B,1,FALSE)</f>
        <v>#N/A</v>
      </c>
      <c r="O993" t="e">
        <f>VLOOKUP(A993, KeyData!A:C,1,FALSE)</f>
        <v>#N/A</v>
      </c>
    </row>
    <row r="994" spans="1:15">
      <c r="A994" s="451" t="str">
        <f t="shared" si="15"/>
        <v>0_0</v>
      </c>
      <c r="N994" t="e">
        <f>VLOOKUP(A994, 'P&amp;L'!A:B,1,FALSE)</f>
        <v>#N/A</v>
      </c>
      <c r="O994" t="e">
        <f>VLOOKUP(A994, KeyData!A:C,1,FALSE)</f>
        <v>#N/A</v>
      </c>
    </row>
    <row r="995" spans="1:15">
      <c r="A995" s="451" t="str">
        <f t="shared" si="15"/>
        <v>0_0</v>
      </c>
      <c r="N995" t="e">
        <f>VLOOKUP(A995, 'P&amp;L'!A:B,1,FALSE)</f>
        <v>#N/A</v>
      </c>
      <c r="O995" t="e">
        <f>VLOOKUP(A995, KeyData!A:C,1,FALSE)</f>
        <v>#N/A</v>
      </c>
    </row>
    <row r="996" spans="1:15">
      <c r="A996" s="451" t="str">
        <f t="shared" si="15"/>
        <v>0_0</v>
      </c>
      <c r="N996" t="e">
        <f>VLOOKUP(A996, 'P&amp;L'!A:B,1,FALSE)</f>
        <v>#N/A</v>
      </c>
      <c r="O996" t="e">
        <f>VLOOKUP(A996, KeyData!A:C,1,FALSE)</f>
        <v>#N/A</v>
      </c>
    </row>
    <row r="997" spans="1:15">
      <c r="A997" s="451" t="str">
        <f t="shared" si="15"/>
        <v>0_0</v>
      </c>
      <c r="N997" s="996" t="e">
        <f>VLOOKUP(A997, 'P&amp;L'!A:B,1,FALSE)</f>
        <v>#N/A</v>
      </c>
      <c r="O997" t="e">
        <f>VLOOKUP(A997, KeyData!A:C,1,FALSE)</f>
        <v>#N/A</v>
      </c>
    </row>
    <row r="998" spans="1:15">
      <c r="A998" s="451" t="str">
        <f t="shared" si="15"/>
        <v>0_0</v>
      </c>
      <c r="N998" t="e">
        <f>VLOOKUP(A998, 'P&amp;L'!A:B,1,FALSE)</f>
        <v>#N/A</v>
      </c>
      <c r="O998" t="e">
        <f>VLOOKUP(A998, KeyData!A:C,1,FALSE)</f>
        <v>#N/A</v>
      </c>
    </row>
    <row r="999" spans="1:15">
      <c r="A999" s="451" t="str">
        <f t="shared" si="15"/>
        <v>0_0</v>
      </c>
      <c r="N999" t="e">
        <f>VLOOKUP(A999, 'P&amp;L'!A:B,1,FALSE)</f>
        <v>#N/A</v>
      </c>
      <c r="O999" t="e">
        <f>VLOOKUP(A999, KeyData!A:C,1,FALSE)</f>
        <v>#N/A</v>
      </c>
    </row>
    <row r="1000" spans="1:15">
      <c r="A1000" s="451" t="str">
        <f t="shared" si="15"/>
        <v>0_0</v>
      </c>
      <c r="N1000" t="e">
        <f>VLOOKUP(A1000, 'P&amp;L'!A:B,1,FALSE)</f>
        <v>#N/A</v>
      </c>
      <c r="O1000" t="e">
        <f>VLOOKUP(A1000, KeyData!A:C,1,FALSE)</f>
        <v>#N/A</v>
      </c>
    </row>
    <row r="1001" spans="1:15">
      <c r="A1001" s="451" t="str">
        <f t="shared" si="15"/>
        <v>0_0</v>
      </c>
      <c r="N1001" t="e">
        <f>VLOOKUP(A1001, 'P&amp;L'!A:B,1,FALSE)</f>
        <v>#N/A</v>
      </c>
      <c r="O1001" t="e">
        <f>VLOOKUP(A1001, KeyData!A:C,1,FALSE)</f>
        <v>#N/A</v>
      </c>
    </row>
    <row r="1002" spans="1:15">
      <c r="A1002" s="451" t="str">
        <f t="shared" si="15"/>
        <v>0_0</v>
      </c>
      <c r="N1002" t="e">
        <f>VLOOKUP(A1002, 'P&amp;L'!A:B,1,FALSE)</f>
        <v>#N/A</v>
      </c>
      <c r="O1002" t="e">
        <f>VLOOKUP(A1002, KeyData!A:C,1,FALSE)</f>
        <v>#N/A</v>
      </c>
    </row>
    <row r="1003" spans="1:15">
      <c r="A1003" s="451" t="str">
        <f t="shared" si="15"/>
        <v>0_0</v>
      </c>
      <c r="N1003" t="e">
        <f>VLOOKUP(A1003, 'P&amp;L'!A:B,1,FALSE)</f>
        <v>#N/A</v>
      </c>
      <c r="O1003" t="e">
        <f>VLOOKUP(A1003, KeyData!A:C,1,FALSE)</f>
        <v>#N/A</v>
      </c>
    </row>
    <row r="1004" spans="1:15">
      <c r="A1004" s="451" t="str">
        <f t="shared" si="15"/>
        <v>0_0</v>
      </c>
      <c r="N1004" t="e">
        <f>VLOOKUP(A1004, 'P&amp;L'!A:B,1,FALSE)</f>
        <v>#N/A</v>
      </c>
      <c r="O1004" t="e">
        <f>VLOOKUP(A1004, KeyData!A:C,1,FALSE)</f>
        <v>#N/A</v>
      </c>
    </row>
    <row r="1005" spans="1:15">
      <c r="A1005" s="451" t="str">
        <f t="shared" si="15"/>
        <v>0_0</v>
      </c>
      <c r="N1005" t="e">
        <f>VLOOKUP(A1005, 'P&amp;L'!A:B,1,FALSE)</f>
        <v>#N/A</v>
      </c>
      <c r="O1005" t="e">
        <f>VLOOKUP(A1005, KeyData!A:C,1,FALSE)</f>
        <v>#N/A</v>
      </c>
    </row>
    <row r="1006" spans="1:15">
      <c r="A1006" s="451" t="str">
        <f t="shared" si="15"/>
        <v>0_0</v>
      </c>
      <c r="N1006" t="e">
        <f>VLOOKUP(A1006, 'P&amp;L'!A:B,1,FALSE)</f>
        <v>#N/A</v>
      </c>
      <c r="O1006" t="e">
        <f>VLOOKUP(A1006, KeyData!A:C,1,FALSE)</f>
        <v>#N/A</v>
      </c>
    </row>
    <row r="1007" spans="1:15">
      <c r="A1007" s="451" t="str">
        <f t="shared" si="15"/>
        <v>0_0</v>
      </c>
      <c r="N1007" t="e">
        <f>VLOOKUP(A1007, 'P&amp;L'!A:B,1,FALSE)</f>
        <v>#N/A</v>
      </c>
      <c r="O1007" t="e">
        <f>VLOOKUP(A1007, KeyData!A:C,1,FALSE)</f>
        <v>#N/A</v>
      </c>
    </row>
    <row r="1008" spans="1:15">
      <c r="A1008" s="451" t="str">
        <f t="shared" si="15"/>
        <v>0_0</v>
      </c>
      <c r="N1008" t="e">
        <f>VLOOKUP(A1008, 'P&amp;L'!A:B,1,FALSE)</f>
        <v>#N/A</v>
      </c>
      <c r="O1008" t="e">
        <f>VLOOKUP(A1008, KeyData!A:C,1,FALSE)</f>
        <v>#N/A</v>
      </c>
    </row>
    <row r="1009" spans="1:15">
      <c r="A1009" s="451" t="str">
        <f t="shared" si="15"/>
        <v>0_0</v>
      </c>
      <c r="N1009" t="e">
        <f>VLOOKUP(A1009, 'P&amp;L'!A:B,1,FALSE)</f>
        <v>#N/A</v>
      </c>
      <c r="O1009" t="e">
        <f>VLOOKUP(A1009, KeyData!A:C,1,FALSE)</f>
        <v>#N/A</v>
      </c>
    </row>
    <row r="1010" spans="1:15">
      <c r="A1010" s="451" t="str">
        <f t="shared" si="15"/>
        <v>0_0</v>
      </c>
      <c r="N1010" t="e">
        <f>VLOOKUP(A1010, 'P&amp;L'!A:B,1,FALSE)</f>
        <v>#N/A</v>
      </c>
      <c r="O1010" t="e">
        <f>VLOOKUP(A1010, KeyData!A:C,1,FALSE)</f>
        <v>#N/A</v>
      </c>
    </row>
    <row r="1011" spans="1:15">
      <c r="A1011" s="451" t="str">
        <f t="shared" si="15"/>
        <v>0_0</v>
      </c>
      <c r="N1011" t="e">
        <f>VLOOKUP(A1011, 'P&amp;L'!A:B,1,FALSE)</f>
        <v>#N/A</v>
      </c>
      <c r="O1011" t="e">
        <f>VLOOKUP(A1011, KeyData!A:C,1,FALSE)</f>
        <v>#N/A</v>
      </c>
    </row>
    <row r="1012" spans="1:15">
      <c r="A1012" s="451" t="str">
        <f t="shared" si="15"/>
        <v>0_0</v>
      </c>
      <c r="N1012" t="e">
        <f>VLOOKUP(A1012, 'P&amp;L'!A:B,1,FALSE)</f>
        <v>#N/A</v>
      </c>
      <c r="O1012" t="e">
        <f>VLOOKUP(A1012, KeyData!A:C,1,FALSE)</f>
        <v>#N/A</v>
      </c>
    </row>
    <row r="1013" spans="1:15">
      <c r="A1013" s="451" t="str">
        <f t="shared" si="15"/>
        <v>0_0</v>
      </c>
      <c r="N1013" t="e">
        <f>VLOOKUP(A1013, 'P&amp;L'!A:B,1,FALSE)</f>
        <v>#N/A</v>
      </c>
      <c r="O1013" t="e">
        <f>VLOOKUP(A1013, KeyData!A:C,1,FALSE)</f>
        <v>#N/A</v>
      </c>
    </row>
    <row r="1014" spans="1:15">
      <c r="A1014" s="451" t="str">
        <f t="shared" si="15"/>
        <v>0_0</v>
      </c>
      <c r="N1014" t="e">
        <f>VLOOKUP(A1014, 'P&amp;L'!A:B,1,FALSE)</f>
        <v>#N/A</v>
      </c>
      <c r="O1014" t="e">
        <f>VLOOKUP(A1014, KeyData!A:C,1,FALSE)</f>
        <v>#N/A</v>
      </c>
    </row>
    <row r="1015" spans="1:15">
      <c r="A1015" s="451" t="str">
        <f t="shared" si="15"/>
        <v>0_0</v>
      </c>
      <c r="N1015" t="e">
        <f>VLOOKUP(A1015, 'P&amp;L'!A:B,1,FALSE)</f>
        <v>#N/A</v>
      </c>
      <c r="O1015" t="e">
        <f>VLOOKUP(A1015, KeyData!A:C,1,FALSE)</f>
        <v>#N/A</v>
      </c>
    </row>
    <row r="1016" spans="1:15">
      <c r="A1016" s="451" t="str">
        <f t="shared" si="15"/>
        <v>0_0</v>
      </c>
      <c r="N1016" t="e">
        <f>VLOOKUP(A1016, 'P&amp;L'!A:B,1,FALSE)</f>
        <v>#N/A</v>
      </c>
      <c r="O1016" t="e">
        <f>VLOOKUP(A1016, KeyData!A:C,1,FALSE)</f>
        <v>#N/A</v>
      </c>
    </row>
    <row r="1017" spans="1:15">
      <c r="A1017" s="451" t="str">
        <f t="shared" si="15"/>
        <v>0_0</v>
      </c>
      <c r="N1017" t="e">
        <f>VLOOKUP(A1017, 'P&amp;L'!A:B,1,FALSE)</f>
        <v>#N/A</v>
      </c>
      <c r="O1017" t="e">
        <f>VLOOKUP(A1017, KeyData!A:C,1,FALSE)</f>
        <v>#N/A</v>
      </c>
    </row>
    <row r="1018" spans="1:15">
      <c r="A1018" s="451" t="str">
        <f t="shared" si="15"/>
        <v>0_0</v>
      </c>
      <c r="N1018" t="e">
        <f>VLOOKUP(A1018, 'P&amp;L'!A:B,1,FALSE)</f>
        <v>#N/A</v>
      </c>
      <c r="O1018" t="e">
        <f>VLOOKUP(A1018, KeyData!A:C,1,FALSE)</f>
        <v>#N/A</v>
      </c>
    </row>
    <row r="1019" spans="1:15">
      <c r="A1019" s="451" t="str">
        <f t="shared" si="15"/>
        <v>0_0</v>
      </c>
      <c r="N1019" t="e">
        <f>VLOOKUP(A1019, 'P&amp;L'!A:B,1,FALSE)</f>
        <v>#N/A</v>
      </c>
      <c r="O1019" t="e">
        <f>VLOOKUP(A1019, KeyData!A:C,1,FALSE)</f>
        <v>#N/A</v>
      </c>
    </row>
    <row r="1020" spans="1:15">
      <c r="A1020" s="451" t="str">
        <f t="shared" si="15"/>
        <v>0_0</v>
      </c>
      <c r="N1020" t="e">
        <f>VLOOKUP(A1020, 'P&amp;L'!A:B,1,FALSE)</f>
        <v>#N/A</v>
      </c>
      <c r="O1020" t="e">
        <f>VLOOKUP(A1020, KeyData!A:C,1,FALSE)</f>
        <v>#N/A</v>
      </c>
    </row>
    <row r="1021" spans="1:15">
      <c r="A1021" s="451" t="str">
        <f t="shared" si="15"/>
        <v>0_0</v>
      </c>
      <c r="N1021" t="e">
        <f>VLOOKUP(A1021, 'P&amp;L'!A:B,1,FALSE)</f>
        <v>#N/A</v>
      </c>
      <c r="O1021" t="e">
        <f>VLOOKUP(A1021, KeyData!A:C,1,FALSE)</f>
        <v>#N/A</v>
      </c>
    </row>
    <row r="1022" spans="1:15">
      <c r="A1022" s="451" t="str">
        <f t="shared" si="15"/>
        <v>0_0</v>
      </c>
      <c r="N1022" t="e">
        <f>VLOOKUP(A1022, 'P&amp;L'!A:B,1,FALSE)</f>
        <v>#N/A</v>
      </c>
      <c r="O1022" t="e">
        <f>VLOOKUP(A1022, KeyData!A:C,1,FALSE)</f>
        <v>#N/A</v>
      </c>
    </row>
    <row r="1023" spans="1:15">
      <c r="A1023" s="451" t="str">
        <f t="shared" si="15"/>
        <v>0_0</v>
      </c>
      <c r="N1023" t="e">
        <f>VLOOKUP(A1023, 'P&amp;L'!A:B,1,FALSE)</f>
        <v>#N/A</v>
      </c>
      <c r="O1023" t="e">
        <f>VLOOKUP(A1023, KeyData!A:C,1,FALSE)</f>
        <v>#N/A</v>
      </c>
    </row>
    <row r="1024" spans="1:15">
      <c r="A1024" s="451" t="str">
        <f t="shared" si="15"/>
        <v>0_0</v>
      </c>
      <c r="N1024" t="e">
        <f>VLOOKUP(A1024, 'P&amp;L'!A:B,1,FALSE)</f>
        <v>#N/A</v>
      </c>
      <c r="O1024" t="e">
        <f>VLOOKUP(A1024, KeyData!A:C,1,FALSE)</f>
        <v>#N/A</v>
      </c>
    </row>
    <row r="1025" spans="1:15">
      <c r="A1025" s="451" t="str">
        <f t="shared" si="15"/>
        <v>0_0</v>
      </c>
      <c r="N1025" t="e">
        <f>VLOOKUP(A1025, 'P&amp;L'!A:B,1,FALSE)</f>
        <v>#N/A</v>
      </c>
      <c r="O1025" t="e">
        <f>VLOOKUP(A1025, KeyData!A:C,1,FALSE)</f>
        <v>#N/A</v>
      </c>
    </row>
    <row r="1026" spans="1:15">
      <c r="A1026" s="451" t="str">
        <f t="shared" si="15"/>
        <v>0_0</v>
      </c>
      <c r="N1026" t="e">
        <f>VLOOKUP(A1026, 'P&amp;L'!A:B,1,FALSE)</f>
        <v>#N/A</v>
      </c>
      <c r="O1026" t="e">
        <f>VLOOKUP(A1026, KeyData!A:C,1,FALSE)</f>
        <v>#N/A</v>
      </c>
    </row>
    <row r="1027" spans="1:15">
      <c r="A1027" s="451" t="str">
        <f t="shared" ref="A1027:A1090" si="16" xml:space="preserve"> IFERROR(+B1027*1,B1027)&amp;"_"&amp;IFERROR(+D1027*1,D1027)</f>
        <v>0_0</v>
      </c>
      <c r="N1027" t="e">
        <f>VLOOKUP(A1027, 'P&amp;L'!A:B,1,FALSE)</f>
        <v>#N/A</v>
      </c>
      <c r="O1027" t="e">
        <f>VLOOKUP(A1027, KeyData!A:C,1,FALSE)</f>
        <v>#N/A</v>
      </c>
    </row>
    <row r="1028" spans="1:15">
      <c r="A1028" s="451" t="str">
        <f t="shared" si="16"/>
        <v>0_0</v>
      </c>
      <c r="N1028" t="e">
        <f>VLOOKUP(A1028, 'P&amp;L'!A:B,1,FALSE)</f>
        <v>#N/A</v>
      </c>
      <c r="O1028" t="e">
        <f>VLOOKUP(A1028, KeyData!A:C,1,FALSE)</f>
        <v>#N/A</v>
      </c>
    </row>
    <row r="1029" spans="1:15">
      <c r="A1029" s="451" t="str">
        <f t="shared" si="16"/>
        <v>0_0</v>
      </c>
      <c r="N1029" t="e">
        <f>VLOOKUP(A1029, 'P&amp;L'!A:B,1,FALSE)</f>
        <v>#N/A</v>
      </c>
      <c r="O1029" t="e">
        <f>VLOOKUP(A1029, KeyData!A:C,1,FALSE)</f>
        <v>#N/A</v>
      </c>
    </row>
    <row r="1030" spans="1:15">
      <c r="A1030" s="451" t="str">
        <f t="shared" si="16"/>
        <v>0_0</v>
      </c>
      <c r="N1030" t="e">
        <f>VLOOKUP(A1030, 'P&amp;L'!A:B,1,FALSE)</f>
        <v>#N/A</v>
      </c>
      <c r="O1030" t="e">
        <f>VLOOKUP(A1030, KeyData!A:C,1,FALSE)</f>
        <v>#N/A</v>
      </c>
    </row>
    <row r="1031" spans="1:15">
      <c r="A1031" s="451" t="str">
        <f t="shared" si="16"/>
        <v>0_0</v>
      </c>
      <c r="N1031" t="e">
        <f>VLOOKUP(A1031, 'P&amp;L'!A:B,1,FALSE)</f>
        <v>#N/A</v>
      </c>
      <c r="O1031" t="e">
        <f>VLOOKUP(A1031, KeyData!A:C,1,FALSE)</f>
        <v>#N/A</v>
      </c>
    </row>
    <row r="1032" spans="1:15">
      <c r="A1032" s="451" t="str">
        <f t="shared" si="16"/>
        <v>0_0</v>
      </c>
      <c r="N1032" t="e">
        <f>VLOOKUP(A1032, 'P&amp;L'!A:B,1,FALSE)</f>
        <v>#N/A</v>
      </c>
      <c r="O1032" t="e">
        <f>VLOOKUP(A1032, KeyData!A:C,1,FALSE)</f>
        <v>#N/A</v>
      </c>
    </row>
    <row r="1033" spans="1:15">
      <c r="A1033" s="451" t="str">
        <f t="shared" si="16"/>
        <v>0_0</v>
      </c>
      <c r="N1033" t="e">
        <f>VLOOKUP(A1033, 'P&amp;L'!A:B,1,FALSE)</f>
        <v>#N/A</v>
      </c>
      <c r="O1033" t="e">
        <f>VLOOKUP(A1033, KeyData!A:C,1,FALSE)</f>
        <v>#N/A</v>
      </c>
    </row>
    <row r="1034" spans="1:15">
      <c r="A1034" s="451" t="str">
        <f t="shared" si="16"/>
        <v>0_0</v>
      </c>
      <c r="N1034" t="e">
        <f>VLOOKUP(A1034, 'P&amp;L'!A:B,1,FALSE)</f>
        <v>#N/A</v>
      </c>
      <c r="O1034" t="e">
        <f>VLOOKUP(A1034, KeyData!A:C,1,FALSE)</f>
        <v>#N/A</v>
      </c>
    </row>
    <row r="1035" spans="1:15">
      <c r="A1035" s="451" t="str">
        <f t="shared" si="16"/>
        <v>0_0</v>
      </c>
      <c r="N1035" t="e">
        <f>VLOOKUP(A1035, 'P&amp;L'!A:B,1,FALSE)</f>
        <v>#N/A</v>
      </c>
      <c r="O1035" t="e">
        <f>VLOOKUP(A1035, KeyData!A:C,1,FALSE)</f>
        <v>#N/A</v>
      </c>
    </row>
    <row r="1036" spans="1:15">
      <c r="A1036" s="451" t="str">
        <f t="shared" si="16"/>
        <v>0_0</v>
      </c>
      <c r="N1036" t="e">
        <f>VLOOKUP(A1036, 'P&amp;L'!A:B,1,FALSE)</f>
        <v>#N/A</v>
      </c>
      <c r="O1036" t="e">
        <f>VLOOKUP(A1036, KeyData!A:C,1,FALSE)</f>
        <v>#N/A</v>
      </c>
    </row>
    <row r="1037" spans="1:15">
      <c r="A1037" s="451" t="str">
        <f t="shared" si="16"/>
        <v>0_0</v>
      </c>
      <c r="N1037" t="e">
        <f>VLOOKUP(A1037, 'P&amp;L'!A:B,1,FALSE)</f>
        <v>#N/A</v>
      </c>
      <c r="O1037" t="e">
        <f>VLOOKUP(A1037, KeyData!A:C,1,FALSE)</f>
        <v>#N/A</v>
      </c>
    </row>
    <row r="1038" spans="1:15">
      <c r="A1038" s="451" t="str">
        <f t="shared" si="16"/>
        <v>0_0</v>
      </c>
      <c r="N1038" t="e">
        <f>VLOOKUP(A1038, 'P&amp;L'!A:B,1,FALSE)</f>
        <v>#N/A</v>
      </c>
      <c r="O1038" t="e">
        <f>VLOOKUP(A1038, KeyData!A:C,1,FALSE)</f>
        <v>#N/A</v>
      </c>
    </row>
    <row r="1039" spans="1:15">
      <c r="A1039" s="451" t="str">
        <f t="shared" si="16"/>
        <v>0_0</v>
      </c>
      <c r="N1039" t="e">
        <f>VLOOKUP(A1039, 'P&amp;L'!A:B,1,FALSE)</f>
        <v>#N/A</v>
      </c>
      <c r="O1039" t="e">
        <f>VLOOKUP(A1039, KeyData!A:C,1,FALSE)</f>
        <v>#N/A</v>
      </c>
    </row>
    <row r="1040" spans="1:15">
      <c r="A1040" s="451" t="str">
        <f t="shared" si="16"/>
        <v>0_0</v>
      </c>
      <c r="N1040" t="e">
        <f>VLOOKUP(A1040, 'P&amp;L'!A:B,1,FALSE)</f>
        <v>#N/A</v>
      </c>
      <c r="O1040" t="e">
        <f>VLOOKUP(A1040, KeyData!A:C,1,FALSE)</f>
        <v>#N/A</v>
      </c>
    </row>
    <row r="1041" spans="1:15">
      <c r="A1041" s="451" t="str">
        <f t="shared" si="16"/>
        <v>0_0</v>
      </c>
      <c r="N1041" t="e">
        <f>VLOOKUP(A1041, 'P&amp;L'!A:B,1,FALSE)</f>
        <v>#N/A</v>
      </c>
      <c r="O1041" t="e">
        <f>VLOOKUP(A1041, KeyData!A:C,1,FALSE)</f>
        <v>#N/A</v>
      </c>
    </row>
    <row r="1042" spans="1:15">
      <c r="A1042" s="451" t="str">
        <f t="shared" si="16"/>
        <v>0_0</v>
      </c>
      <c r="N1042" t="e">
        <f>VLOOKUP(A1042, 'P&amp;L'!A:B,1,FALSE)</f>
        <v>#N/A</v>
      </c>
      <c r="O1042" t="e">
        <f>VLOOKUP(A1042, KeyData!A:C,1,FALSE)</f>
        <v>#N/A</v>
      </c>
    </row>
    <row r="1043" spans="1:15">
      <c r="A1043" s="451" t="str">
        <f t="shared" si="16"/>
        <v>0_0</v>
      </c>
      <c r="N1043" t="e">
        <f>VLOOKUP(A1043, 'P&amp;L'!A:B,1,FALSE)</f>
        <v>#N/A</v>
      </c>
      <c r="O1043" t="e">
        <f>VLOOKUP(A1043, KeyData!A:C,1,FALSE)</f>
        <v>#N/A</v>
      </c>
    </row>
    <row r="1044" spans="1:15">
      <c r="A1044" s="451" t="str">
        <f t="shared" si="16"/>
        <v>0_0</v>
      </c>
      <c r="N1044" t="e">
        <f>VLOOKUP(A1044, 'P&amp;L'!A:B,1,FALSE)</f>
        <v>#N/A</v>
      </c>
      <c r="O1044" t="e">
        <f>VLOOKUP(A1044, KeyData!A:C,1,FALSE)</f>
        <v>#N/A</v>
      </c>
    </row>
    <row r="1045" spans="1:15">
      <c r="A1045" s="451" t="str">
        <f t="shared" si="16"/>
        <v>0_0</v>
      </c>
      <c r="N1045" t="e">
        <f>VLOOKUP(A1045, 'P&amp;L'!A:B,1,FALSE)</f>
        <v>#N/A</v>
      </c>
      <c r="O1045" t="e">
        <f>VLOOKUP(A1045, KeyData!A:C,1,FALSE)</f>
        <v>#N/A</v>
      </c>
    </row>
    <row r="1046" spans="1:15">
      <c r="A1046" s="451" t="str">
        <f t="shared" si="16"/>
        <v>0_0</v>
      </c>
      <c r="N1046" t="e">
        <f>VLOOKUP(A1046, 'P&amp;L'!A:B,1,FALSE)</f>
        <v>#N/A</v>
      </c>
      <c r="O1046" t="e">
        <f>VLOOKUP(A1046, KeyData!A:C,1,FALSE)</f>
        <v>#N/A</v>
      </c>
    </row>
    <row r="1047" spans="1:15">
      <c r="A1047" s="451" t="str">
        <f t="shared" si="16"/>
        <v>0_0</v>
      </c>
      <c r="N1047" t="e">
        <f>VLOOKUP(A1047, 'P&amp;L'!A:B,1,FALSE)</f>
        <v>#N/A</v>
      </c>
      <c r="O1047" t="e">
        <f>VLOOKUP(A1047, KeyData!A:C,1,FALSE)</f>
        <v>#N/A</v>
      </c>
    </row>
    <row r="1048" spans="1:15">
      <c r="A1048" s="451" t="str">
        <f t="shared" si="16"/>
        <v>0_0</v>
      </c>
      <c r="N1048" t="e">
        <f>VLOOKUP(A1048, 'P&amp;L'!A:B,1,FALSE)</f>
        <v>#N/A</v>
      </c>
      <c r="O1048" t="e">
        <f>VLOOKUP(A1048, KeyData!A:C,1,FALSE)</f>
        <v>#N/A</v>
      </c>
    </row>
    <row r="1049" spans="1:15">
      <c r="A1049" s="451" t="str">
        <f t="shared" si="16"/>
        <v>0_0</v>
      </c>
      <c r="N1049" t="e">
        <f>VLOOKUP(A1049, 'P&amp;L'!A:B,1,FALSE)</f>
        <v>#N/A</v>
      </c>
      <c r="O1049" t="e">
        <f>VLOOKUP(A1049, KeyData!A:C,1,FALSE)</f>
        <v>#N/A</v>
      </c>
    </row>
    <row r="1050" spans="1:15">
      <c r="A1050" s="451" t="str">
        <f t="shared" si="16"/>
        <v>0_0</v>
      </c>
      <c r="N1050" t="e">
        <f>VLOOKUP(A1050, 'P&amp;L'!A:B,1,FALSE)</f>
        <v>#N/A</v>
      </c>
      <c r="O1050" t="e">
        <f>VLOOKUP(A1050, KeyData!A:C,1,FALSE)</f>
        <v>#N/A</v>
      </c>
    </row>
    <row r="1051" spans="1:15">
      <c r="A1051" s="451" t="str">
        <f t="shared" si="16"/>
        <v>0_0</v>
      </c>
      <c r="N1051" t="e">
        <f>VLOOKUP(A1051, 'P&amp;L'!A:B,1,FALSE)</f>
        <v>#N/A</v>
      </c>
      <c r="O1051" t="e">
        <f>VLOOKUP(A1051, KeyData!A:C,1,FALSE)</f>
        <v>#N/A</v>
      </c>
    </row>
    <row r="1052" spans="1:15">
      <c r="A1052" s="451" t="str">
        <f t="shared" si="16"/>
        <v>0_0</v>
      </c>
      <c r="N1052" t="e">
        <f>VLOOKUP(A1052, 'P&amp;L'!A:B,1,FALSE)</f>
        <v>#N/A</v>
      </c>
      <c r="O1052" t="e">
        <f>VLOOKUP(A1052, KeyData!A:C,1,FALSE)</f>
        <v>#N/A</v>
      </c>
    </row>
    <row r="1053" spans="1:15">
      <c r="A1053" s="451" t="str">
        <f t="shared" si="16"/>
        <v>0_0</v>
      </c>
      <c r="N1053" t="e">
        <f>VLOOKUP(A1053, 'P&amp;L'!A:B,1,FALSE)</f>
        <v>#N/A</v>
      </c>
      <c r="O1053" t="e">
        <f>VLOOKUP(A1053, KeyData!A:C,1,FALSE)</f>
        <v>#N/A</v>
      </c>
    </row>
    <row r="1054" spans="1:15">
      <c r="A1054" s="451" t="str">
        <f t="shared" si="16"/>
        <v>0_0</v>
      </c>
      <c r="N1054" t="e">
        <f>VLOOKUP(A1054, 'P&amp;L'!A:B,1,FALSE)</f>
        <v>#N/A</v>
      </c>
      <c r="O1054" t="e">
        <f>VLOOKUP(A1054, KeyData!A:C,1,FALSE)</f>
        <v>#N/A</v>
      </c>
    </row>
    <row r="1055" spans="1:15">
      <c r="A1055" s="451" t="str">
        <f t="shared" si="16"/>
        <v>0_0</v>
      </c>
      <c r="N1055" t="e">
        <f>VLOOKUP(A1055, 'P&amp;L'!A:B,1,FALSE)</f>
        <v>#N/A</v>
      </c>
      <c r="O1055" t="e">
        <f>VLOOKUP(A1055, KeyData!A:C,1,FALSE)</f>
        <v>#N/A</v>
      </c>
    </row>
    <row r="1056" spans="1:15">
      <c r="A1056" s="451" t="str">
        <f t="shared" si="16"/>
        <v>0_0</v>
      </c>
      <c r="N1056" t="e">
        <f>VLOOKUP(A1056, 'P&amp;L'!A:B,1,FALSE)</f>
        <v>#N/A</v>
      </c>
      <c r="O1056" t="e">
        <f>VLOOKUP(A1056, KeyData!A:C,1,FALSE)</f>
        <v>#N/A</v>
      </c>
    </row>
    <row r="1057" spans="1:15">
      <c r="A1057" s="451" t="str">
        <f t="shared" si="16"/>
        <v>0_0</v>
      </c>
      <c r="N1057" t="e">
        <f>VLOOKUP(A1057, 'P&amp;L'!A:B,1,FALSE)</f>
        <v>#N/A</v>
      </c>
      <c r="O1057" t="e">
        <f>VLOOKUP(A1057, KeyData!A:C,1,FALSE)</f>
        <v>#N/A</v>
      </c>
    </row>
    <row r="1058" spans="1:15">
      <c r="A1058" s="451" t="str">
        <f t="shared" si="16"/>
        <v>0_0</v>
      </c>
      <c r="N1058" t="e">
        <f>VLOOKUP(A1058, 'P&amp;L'!A:B,1,FALSE)</f>
        <v>#N/A</v>
      </c>
      <c r="O1058" t="e">
        <f>VLOOKUP(A1058, KeyData!A:C,1,FALSE)</f>
        <v>#N/A</v>
      </c>
    </row>
    <row r="1059" spans="1:15">
      <c r="A1059" s="451" t="str">
        <f t="shared" si="16"/>
        <v>0_0</v>
      </c>
      <c r="N1059" t="e">
        <f>VLOOKUP(A1059, 'P&amp;L'!A:B,1,FALSE)</f>
        <v>#N/A</v>
      </c>
      <c r="O1059" t="e">
        <f>VLOOKUP(A1059, KeyData!A:C,1,FALSE)</f>
        <v>#N/A</v>
      </c>
    </row>
    <row r="1060" spans="1:15">
      <c r="A1060" s="451" t="str">
        <f t="shared" si="16"/>
        <v>0_0</v>
      </c>
      <c r="N1060" t="e">
        <f>VLOOKUP(A1060, 'P&amp;L'!A:B,1,FALSE)</f>
        <v>#N/A</v>
      </c>
      <c r="O1060" t="e">
        <f>VLOOKUP(A1060, KeyData!A:C,1,FALSE)</f>
        <v>#N/A</v>
      </c>
    </row>
    <row r="1061" spans="1:15">
      <c r="A1061" s="451" t="str">
        <f t="shared" si="16"/>
        <v>0_0</v>
      </c>
      <c r="N1061" t="e">
        <f>VLOOKUP(A1061, 'P&amp;L'!A:B,1,FALSE)</f>
        <v>#N/A</v>
      </c>
      <c r="O1061" t="e">
        <f>VLOOKUP(A1061, KeyData!A:C,1,FALSE)</f>
        <v>#N/A</v>
      </c>
    </row>
    <row r="1062" spans="1:15">
      <c r="A1062" s="451" t="str">
        <f t="shared" si="16"/>
        <v>0_0</v>
      </c>
      <c r="N1062" t="e">
        <f>VLOOKUP(A1062, 'P&amp;L'!A:B,1,FALSE)</f>
        <v>#N/A</v>
      </c>
      <c r="O1062" t="e">
        <f>VLOOKUP(A1062, KeyData!A:C,1,FALSE)</f>
        <v>#N/A</v>
      </c>
    </row>
    <row r="1063" spans="1:15">
      <c r="A1063" s="451" t="str">
        <f t="shared" si="16"/>
        <v>0_0</v>
      </c>
      <c r="N1063" s="616" t="e">
        <f>VLOOKUP(A1063, 'P&amp;L'!A:B,1,FALSE)</f>
        <v>#N/A</v>
      </c>
      <c r="O1063" t="e">
        <f>VLOOKUP(A1063, KeyData!A:C,1,FALSE)</f>
        <v>#N/A</v>
      </c>
    </row>
    <row r="1064" spans="1:15">
      <c r="A1064" s="451" t="str">
        <f t="shared" si="16"/>
        <v>0_0</v>
      </c>
      <c r="N1064" t="e">
        <f>VLOOKUP(A1064, 'P&amp;L'!A:B,1,FALSE)</f>
        <v>#N/A</v>
      </c>
      <c r="O1064" t="e">
        <f>VLOOKUP(A1064, KeyData!A:C,1,FALSE)</f>
        <v>#N/A</v>
      </c>
    </row>
    <row r="1065" spans="1:15">
      <c r="A1065" s="451" t="str">
        <f t="shared" si="16"/>
        <v>0_0</v>
      </c>
      <c r="N1065" t="e">
        <f>VLOOKUP(A1065, 'P&amp;L'!A:B,1,FALSE)</f>
        <v>#N/A</v>
      </c>
      <c r="O1065" t="e">
        <f>VLOOKUP(A1065, KeyData!A:C,1,FALSE)</f>
        <v>#N/A</v>
      </c>
    </row>
    <row r="1066" spans="1:15">
      <c r="A1066" s="451" t="str">
        <f t="shared" si="16"/>
        <v>0_0</v>
      </c>
      <c r="N1066" t="e">
        <f>VLOOKUP(A1066, 'P&amp;L'!A:B,1,FALSE)</f>
        <v>#N/A</v>
      </c>
      <c r="O1066" t="e">
        <f>VLOOKUP(A1066, KeyData!A:C,1,FALSE)</f>
        <v>#N/A</v>
      </c>
    </row>
    <row r="1067" spans="1:15">
      <c r="A1067" s="451" t="str">
        <f t="shared" si="16"/>
        <v>0_0</v>
      </c>
      <c r="N1067" t="e">
        <f>VLOOKUP(A1067, 'P&amp;L'!A:B,1,FALSE)</f>
        <v>#N/A</v>
      </c>
      <c r="O1067" t="e">
        <f>VLOOKUP(A1067, KeyData!A:C,1,FALSE)</f>
        <v>#N/A</v>
      </c>
    </row>
    <row r="1068" spans="1:15">
      <c r="A1068" s="451" t="str">
        <f t="shared" si="16"/>
        <v>0_0</v>
      </c>
      <c r="N1068" t="e">
        <f>VLOOKUP(A1068, 'P&amp;L'!A:B,1,FALSE)</f>
        <v>#N/A</v>
      </c>
      <c r="O1068" t="e">
        <f>VLOOKUP(A1068, KeyData!A:C,1,FALSE)</f>
        <v>#N/A</v>
      </c>
    </row>
    <row r="1069" spans="1:15">
      <c r="A1069" s="451" t="str">
        <f t="shared" si="16"/>
        <v>0_0</v>
      </c>
      <c r="N1069" t="e">
        <f>VLOOKUP(A1069, 'P&amp;L'!A:B,1,FALSE)</f>
        <v>#N/A</v>
      </c>
      <c r="O1069" t="e">
        <f>VLOOKUP(A1069, KeyData!A:C,1,FALSE)</f>
        <v>#N/A</v>
      </c>
    </row>
    <row r="1070" spans="1:15">
      <c r="A1070" s="451" t="str">
        <f t="shared" si="16"/>
        <v>0_0</v>
      </c>
      <c r="N1070" t="e">
        <f>VLOOKUP(A1070, 'P&amp;L'!A:B,1,FALSE)</f>
        <v>#N/A</v>
      </c>
      <c r="O1070" t="e">
        <f>VLOOKUP(A1070, KeyData!A:C,1,FALSE)</f>
        <v>#N/A</v>
      </c>
    </row>
    <row r="1071" spans="1:15">
      <c r="A1071" s="451" t="str">
        <f t="shared" si="16"/>
        <v>0_0</v>
      </c>
      <c r="N1071" s="616" t="e">
        <f>VLOOKUP(A1071, 'P&amp;L'!A:B,1,FALSE)</f>
        <v>#N/A</v>
      </c>
      <c r="O1071" t="e">
        <f>VLOOKUP(A1071, KeyData!A:C,1,FALSE)</f>
        <v>#N/A</v>
      </c>
    </row>
    <row r="1072" spans="1:15">
      <c r="A1072" s="451" t="str">
        <f t="shared" si="16"/>
        <v>0_0</v>
      </c>
      <c r="N1072" t="e">
        <f>VLOOKUP(A1072, 'P&amp;L'!A:B,1,FALSE)</f>
        <v>#N/A</v>
      </c>
      <c r="O1072" t="e">
        <f>VLOOKUP(A1072, KeyData!A:C,1,FALSE)</f>
        <v>#N/A</v>
      </c>
    </row>
    <row r="1073" spans="1:15">
      <c r="A1073" s="451" t="str">
        <f t="shared" si="16"/>
        <v>0_0</v>
      </c>
      <c r="N1073" s="616" t="e">
        <f>VLOOKUP(A1073, 'P&amp;L'!A:B,1,FALSE)</f>
        <v>#N/A</v>
      </c>
      <c r="O1073" t="e">
        <f>VLOOKUP(A1073, KeyData!A:C,1,FALSE)</f>
        <v>#N/A</v>
      </c>
    </row>
    <row r="1074" spans="1:15">
      <c r="A1074" s="451" t="str">
        <f t="shared" si="16"/>
        <v>0_0</v>
      </c>
      <c r="N1074" t="e">
        <f>VLOOKUP(A1074, 'P&amp;L'!A:B,1,FALSE)</f>
        <v>#N/A</v>
      </c>
      <c r="O1074" t="e">
        <f>VLOOKUP(A1074, KeyData!A:C,1,FALSE)</f>
        <v>#N/A</v>
      </c>
    </row>
    <row r="1075" spans="1:15">
      <c r="A1075" s="451" t="str">
        <f t="shared" si="16"/>
        <v>0_0</v>
      </c>
      <c r="N1075" t="e">
        <f>VLOOKUP(A1075, 'P&amp;L'!A:B,1,FALSE)</f>
        <v>#N/A</v>
      </c>
      <c r="O1075" t="e">
        <f>VLOOKUP(A1075, KeyData!A:C,1,FALSE)</f>
        <v>#N/A</v>
      </c>
    </row>
    <row r="1076" spans="1:15">
      <c r="A1076" s="451" t="str">
        <f t="shared" si="16"/>
        <v>0_0</v>
      </c>
      <c r="N1076" t="e">
        <f>VLOOKUP(A1076, 'P&amp;L'!A:B,1,FALSE)</f>
        <v>#N/A</v>
      </c>
      <c r="O1076" t="e">
        <f>VLOOKUP(A1076, KeyData!A:C,1,FALSE)</f>
        <v>#N/A</v>
      </c>
    </row>
    <row r="1077" spans="1:15">
      <c r="A1077" s="451" t="str">
        <f t="shared" si="16"/>
        <v>0_0</v>
      </c>
      <c r="N1077" t="e">
        <f>VLOOKUP(A1077, 'P&amp;L'!A:B,1,FALSE)</f>
        <v>#N/A</v>
      </c>
      <c r="O1077" t="e">
        <f>VLOOKUP(A1077, KeyData!A:C,1,FALSE)</f>
        <v>#N/A</v>
      </c>
    </row>
    <row r="1078" spans="1:15">
      <c r="A1078" s="451" t="str">
        <f t="shared" si="16"/>
        <v>0_0</v>
      </c>
      <c r="N1078" t="e">
        <f>VLOOKUP(A1078, 'P&amp;L'!A:B,1,FALSE)</f>
        <v>#N/A</v>
      </c>
      <c r="O1078" t="e">
        <f>VLOOKUP(A1078, KeyData!A:C,1,FALSE)</f>
        <v>#N/A</v>
      </c>
    </row>
    <row r="1079" spans="1:15">
      <c r="A1079" s="451" t="str">
        <f t="shared" si="16"/>
        <v>0_0</v>
      </c>
      <c r="N1079" t="e">
        <f>VLOOKUP(A1079, 'P&amp;L'!A:B,1,FALSE)</f>
        <v>#N/A</v>
      </c>
      <c r="O1079" t="e">
        <f>VLOOKUP(A1079, KeyData!A:C,1,FALSE)</f>
        <v>#N/A</v>
      </c>
    </row>
    <row r="1080" spans="1:15">
      <c r="A1080" s="451" t="str">
        <f t="shared" si="16"/>
        <v>0_0</v>
      </c>
      <c r="N1080" t="e">
        <f>VLOOKUP(A1080, 'P&amp;L'!A:B,1,FALSE)</f>
        <v>#N/A</v>
      </c>
      <c r="O1080" t="e">
        <f>VLOOKUP(A1080, KeyData!A:C,1,FALSE)</f>
        <v>#N/A</v>
      </c>
    </row>
    <row r="1081" spans="1:15">
      <c r="A1081" s="451" t="str">
        <f t="shared" si="16"/>
        <v>0_0</v>
      </c>
      <c r="N1081" t="e">
        <f>VLOOKUP(A1081, 'P&amp;L'!A:B,1,FALSE)</f>
        <v>#N/A</v>
      </c>
      <c r="O1081" t="e">
        <f>VLOOKUP(A1081, KeyData!A:C,1,FALSE)</f>
        <v>#N/A</v>
      </c>
    </row>
    <row r="1082" spans="1:15">
      <c r="A1082" s="451" t="str">
        <f t="shared" si="16"/>
        <v>0_0</v>
      </c>
      <c r="N1082" t="e">
        <f>VLOOKUP(A1082, 'P&amp;L'!A:B,1,FALSE)</f>
        <v>#N/A</v>
      </c>
      <c r="O1082" t="e">
        <f>VLOOKUP(A1082, KeyData!A:C,1,FALSE)</f>
        <v>#N/A</v>
      </c>
    </row>
    <row r="1083" spans="1:15">
      <c r="A1083" s="451" t="str">
        <f t="shared" si="16"/>
        <v>0_0</v>
      </c>
      <c r="N1083" t="e">
        <f>VLOOKUP(A1083, 'P&amp;L'!A:B,1,FALSE)</f>
        <v>#N/A</v>
      </c>
      <c r="O1083" t="e">
        <f>VLOOKUP(A1083, KeyData!A:C,1,FALSE)</f>
        <v>#N/A</v>
      </c>
    </row>
    <row r="1084" spans="1:15">
      <c r="A1084" s="451" t="str">
        <f t="shared" si="16"/>
        <v>0_0</v>
      </c>
      <c r="N1084" t="e">
        <f>VLOOKUP(A1084, 'P&amp;L'!A:B,1,FALSE)</f>
        <v>#N/A</v>
      </c>
      <c r="O1084" t="e">
        <f>VLOOKUP(A1084, KeyData!A:C,1,FALSE)</f>
        <v>#N/A</v>
      </c>
    </row>
    <row r="1085" spans="1:15">
      <c r="A1085" s="451" t="str">
        <f t="shared" si="16"/>
        <v>0_0</v>
      </c>
      <c r="N1085" t="e">
        <f>VLOOKUP(A1085, 'P&amp;L'!A:B,1,FALSE)</f>
        <v>#N/A</v>
      </c>
      <c r="O1085" t="e">
        <f>VLOOKUP(A1085, KeyData!A:C,1,FALSE)</f>
        <v>#N/A</v>
      </c>
    </row>
    <row r="1086" spans="1:15">
      <c r="A1086" s="451" t="str">
        <f t="shared" si="16"/>
        <v>0_0</v>
      </c>
      <c r="N1086" t="e">
        <f>VLOOKUP(A1086, 'P&amp;L'!A:B,1,FALSE)</f>
        <v>#N/A</v>
      </c>
      <c r="O1086" t="e">
        <f>VLOOKUP(A1086, KeyData!A:C,1,FALSE)</f>
        <v>#N/A</v>
      </c>
    </row>
    <row r="1087" spans="1:15">
      <c r="A1087" s="451" t="str">
        <f t="shared" si="16"/>
        <v>0_0</v>
      </c>
      <c r="N1087" t="e">
        <f>VLOOKUP(A1087, 'P&amp;L'!A:B,1,FALSE)</f>
        <v>#N/A</v>
      </c>
      <c r="O1087" t="e">
        <f>VLOOKUP(A1087, KeyData!A:C,1,FALSE)</f>
        <v>#N/A</v>
      </c>
    </row>
    <row r="1088" spans="1:15">
      <c r="A1088" s="451" t="str">
        <f t="shared" si="16"/>
        <v>0_0</v>
      </c>
      <c r="N1088" t="e">
        <f>VLOOKUP(A1088, 'P&amp;L'!A:B,1,FALSE)</f>
        <v>#N/A</v>
      </c>
      <c r="O1088" t="e">
        <f>VLOOKUP(A1088, KeyData!A:C,1,FALSE)</f>
        <v>#N/A</v>
      </c>
    </row>
    <row r="1089" spans="1:15">
      <c r="A1089" s="451" t="str">
        <f t="shared" si="16"/>
        <v>0_0</v>
      </c>
      <c r="N1089" t="e">
        <f>VLOOKUP(A1089, 'P&amp;L'!A:B,1,FALSE)</f>
        <v>#N/A</v>
      </c>
      <c r="O1089" t="e">
        <f>VLOOKUP(A1089, KeyData!A:C,1,FALSE)</f>
        <v>#N/A</v>
      </c>
    </row>
    <row r="1090" spans="1:15">
      <c r="A1090" s="451" t="str">
        <f t="shared" si="16"/>
        <v>0_0</v>
      </c>
      <c r="N1090" t="e">
        <f>VLOOKUP(A1090, 'P&amp;L'!A:B,1,FALSE)</f>
        <v>#N/A</v>
      </c>
      <c r="O1090" t="e">
        <f>VLOOKUP(A1090, KeyData!A:C,1,FALSE)</f>
        <v>#N/A</v>
      </c>
    </row>
    <row r="1091" spans="1:15">
      <c r="A1091" s="451" t="str">
        <f t="shared" ref="A1091:A1154" si="17" xml:space="preserve"> IFERROR(+B1091*1,B1091)&amp;"_"&amp;IFERROR(+D1091*1,D1091)</f>
        <v>0_0</v>
      </c>
      <c r="N1091" t="e">
        <f>VLOOKUP(A1091, 'P&amp;L'!A:B,1,FALSE)</f>
        <v>#N/A</v>
      </c>
      <c r="O1091" t="e">
        <f>VLOOKUP(A1091, KeyData!A:C,1,FALSE)</f>
        <v>#N/A</v>
      </c>
    </row>
    <row r="1092" spans="1:15">
      <c r="A1092" s="451" t="str">
        <f t="shared" si="17"/>
        <v>0_0</v>
      </c>
      <c r="N1092" t="e">
        <f>VLOOKUP(A1092, 'P&amp;L'!A:B,1,FALSE)</f>
        <v>#N/A</v>
      </c>
      <c r="O1092" t="e">
        <f>VLOOKUP(A1092, KeyData!A:C,1,FALSE)</f>
        <v>#N/A</v>
      </c>
    </row>
    <row r="1093" spans="1:15">
      <c r="A1093" s="451" t="str">
        <f t="shared" si="17"/>
        <v>0_0</v>
      </c>
      <c r="N1093" t="e">
        <f>VLOOKUP(A1093, 'P&amp;L'!A:B,1,FALSE)</f>
        <v>#N/A</v>
      </c>
      <c r="O1093" t="e">
        <f>VLOOKUP(A1093, KeyData!A:C,1,FALSE)</f>
        <v>#N/A</v>
      </c>
    </row>
    <row r="1094" spans="1:15">
      <c r="A1094" s="451" t="str">
        <f t="shared" si="17"/>
        <v>0_0</v>
      </c>
      <c r="N1094" t="e">
        <f>VLOOKUP(A1094, 'P&amp;L'!A:B,1,FALSE)</f>
        <v>#N/A</v>
      </c>
      <c r="O1094" t="e">
        <f>VLOOKUP(A1094, KeyData!A:C,1,FALSE)</f>
        <v>#N/A</v>
      </c>
    </row>
    <row r="1095" spans="1:15">
      <c r="A1095" s="451" t="str">
        <f t="shared" si="17"/>
        <v>0_0</v>
      </c>
      <c r="N1095" t="e">
        <f>VLOOKUP(A1095, 'P&amp;L'!A:B,1,FALSE)</f>
        <v>#N/A</v>
      </c>
      <c r="O1095" t="e">
        <f>VLOOKUP(A1095, KeyData!A:C,1,FALSE)</f>
        <v>#N/A</v>
      </c>
    </row>
    <row r="1096" spans="1:15">
      <c r="A1096" s="451" t="str">
        <f t="shared" si="17"/>
        <v>0_0</v>
      </c>
      <c r="N1096" t="e">
        <f>VLOOKUP(A1096, 'P&amp;L'!A:B,1,FALSE)</f>
        <v>#N/A</v>
      </c>
      <c r="O1096" t="e">
        <f>VLOOKUP(A1096, KeyData!A:C,1,FALSE)</f>
        <v>#N/A</v>
      </c>
    </row>
    <row r="1097" spans="1:15">
      <c r="A1097" s="451" t="str">
        <f t="shared" si="17"/>
        <v>0_0</v>
      </c>
      <c r="N1097" t="e">
        <f>VLOOKUP(A1097, 'P&amp;L'!A:B,1,FALSE)</f>
        <v>#N/A</v>
      </c>
      <c r="O1097" t="e">
        <f>VLOOKUP(A1097, KeyData!A:C,1,FALSE)</f>
        <v>#N/A</v>
      </c>
    </row>
    <row r="1098" spans="1:15">
      <c r="A1098" s="451" t="str">
        <f t="shared" si="17"/>
        <v>0_0</v>
      </c>
      <c r="N1098" t="e">
        <f>VLOOKUP(A1098, 'P&amp;L'!A:B,1,FALSE)</f>
        <v>#N/A</v>
      </c>
      <c r="O1098" t="e">
        <f>VLOOKUP(A1098, KeyData!A:C,1,FALSE)</f>
        <v>#N/A</v>
      </c>
    </row>
    <row r="1099" spans="1:15">
      <c r="A1099" s="451" t="str">
        <f t="shared" si="17"/>
        <v>0_0</v>
      </c>
      <c r="N1099" t="e">
        <f>VLOOKUP(A1099, 'P&amp;L'!A:B,1,FALSE)</f>
        <v>#N/A</v>
      </c>
      <c r="O1099" t="e">
        <f>VLOOKUP(A1099, KeyData!A:C,1,FALSE)</f>
        <v>#N/A</v>
      </c>
    </row>
    <row r="1100" spans="1:15">
      <c r="A1100" s="451" t="str">
        <f t="shared" si="17"/>
        <v>0_0</v>
      </c>
      <c r="N1100" t="e">
        <f>VLOOKUP(A1100, 'P&amp;L'!A:B,1,FALSE)</f>
        <v>#N/A</v>
      </c>
      <c r="O1100" t="e">
        <f>VLOOKUP(A1100, KeyData!A:C,1,FALSE)</f>
        <v>#N/A</v>
      </c>
    </row>
    <row r="1101" spans="1:15">
      <c r="A1101" s="451" t="str">
        <f t="shared" si="17"/>
        <v>0_0</v>
      </c>
      <c r="N1101" t="e">
        <f>VLOOKUP(A1101, 'P&amp;L'!A:B,1,FALSE)</f>
        <v>#N/A</v>
      </c>
      <c r="O1101" t="e">
        <f>VLOOKUP(A1101, KeyData!A:C,1,FALSE)</f>
        <v>#N/A</v>
      </c>
    </row>
    <row r="1102" spans="1:15">
      <c r="A1102" s="451" t="str">
        <f t="shared" si="17"/>
        <v>0_0</v>
      </c>
      <c r="N1102" t="e">
        <f>VLOOKUP(A1102, 'P&amp;L'!A:B,1,FALSE)</f>
        <v>#N/A</v>
      </c>
      <c r="O1102" t="e">
        <f>VLOOKUP(A1102, KeyData!A:C,1,FALSE)</f>
        <v>#N/A</v>
      </c>
    </row>
    <row r="1103" spans="1:15">
      <c r="A1103" s="451" t="str">
        <f t="shared" si="17"/>
        <v>0_0</v>
      </c>
      <c r="N1103" t="e">
        <f>VLOOKUP(A1103, 'P&amp;L'!A:B,1,FALSE)</f>
        <v>#N/A</v>
      </c>
      <c r="O1103" t="e">
        <f>VLOOKUP(A1103, KeyData!A:C,1,FALSE)</f>
        <v>#N/A</v>
      </c>
    </row>
    <row r="1104" spans="1:15">
      <c r="A1104" s="451" t="str">
        <f t="shared" si="17"/>
        <v>0_0</v>
      </c>
      <c r="N1104" t="e">
        <f>VLOOKUP(A1104, 'P&amp;L'!A:B,1,FALSE)</f>
        <v>#N/A</v>
      </c>
      <c r="O1104" t="e">
        <f>VLOOKUP(A1104, KeyData!A:C,1,FALSE)</f>
        <v>#N/A</v>
      </c>
    </row>
    <row r="1105" spans="1:15">
      <c r="A1105" s="451" t="str">
        <f t="shared" si="17"/>
        <v>0_0</v>
      </c>
      <c r="N1105" t="e">
        <f>VLOOKUP(A1105, 'P&amp;L'!A:B,1,FALSE)</f>
        <v>#N/A</v>
      </c>
      <c r="O1105" t="e">
        <f>VLOOKUP(A1105, KeyData!A:C,1,FALSE)</f>
        <v>#N/A</v>
      </c>
    </row>
    <row r="1106" spans="1:15">
      <c r="A1106" s="451" t="str">
        <f t="shared" si="17"/>
        <v>0_0</v>
      </c>
      <c r="N1106" t="e">
        <f>VLOOKUP(A1106, 'P&amp;L'!A:B,1,FALSE)</f>
        <v>#N/A</v>
      </c>
      <c r="O1106" t="e">
        <f>VLOOKUP(A1106, KeyData!A:C,1,FALSE)</f>
        <v>#N/A</v>
      </c>
    </row>
    <row r="1107" spans="1:15">
      <c r="A1107" s="451" t="str">
        <f t="shared" si="17"/>
        <v>0_0</v>
      </c>
      <c r="N1107" t="e">
        <f>VLOOKUP(A1107, 'P&amp;L'!A:B,1,FALSE)</f>
        <v>#N/A</v>
      </c>
      <c r="O1107" t="e">
        <f>VLOOKUP(A1107, KeyData!A:C,1,FALSE)</f>
        <v>#N/A</v>
      </c>
    </row>
    <row r="1108" spans="1:15">
      <c r="A1108" s="451" t="str">
        <f t="shared" si="17"/>
        <v>0_0</v>
      </c>
      <c r="N1108" t="e">
        <f>VLOOKUP(A1108, 'P&amp;L'!A:B,1,FALSE)</f>
        <v>#N/A</v>
      </c>
      <c r="O1108" t="e">
        <f>VLOOKUP(A1108, KeyData!A:C,1,FALSE)</f>
        <v>#N/A</v>
      </c>
    </row>
    <row r="1109" spans="1:15">
      <c r="A1109" s="451" t="str">
        <f t="shared" si="17"/>
        <v>0_0</v>
      </c>
      <c r="N1109" t="e">
        <f>VLOOKUP(A1109, 'P&amp;L'!A:B,1,FALSE)</f>
        <v>#N/A</v>
      </c>
      <c r="O1109" t="e">
        <f>VLOOKUP(A1109, KeyData!A:C,1,FALSE)</f>
        <v>#N/A</v>
      </c>
    </row>
    <row r="1110" spans="1:15">
      <c r="A1110" s="451" t="str">
        <f t="shared" si="17"/>
        <v>0_0</v>
      </c>
      <c r="N1110" t="e">
        <f>VLOOKUP(A1110, 'P&amp;L'!A:B,1,FALSE)</f>
        <v>#N/A</v>
      </c>
      <c r="O1110" t="e">
        <f>VLOOKUP(A1110, KeyData!A:C,1,FALSE)</f>
        <v>#N/A</v>
      </c>
    </row>
    <row r="1111" spans="1:15">
      <c r="A1111" s="451" t="str">
        <f t="shared" si="17"/>
        <v>0_0</v>
      </c>
      <c r="N1111" t="e">
        <f>VLOOKUP(A1111, 'P&amp;L'!A:B,1,FALSE)</f>
        <v>#N/A</v>
      </c>
      <c r="O1111" t="e">
        <f>VLOOKUP(A1111, KeyData!A:C,1,FALSE)</f>
        <v>#N/A</v>
      </c>
    </row>
    <row r="1112" spans="1:15">
      <c r="A1112" s="451" t="str">
        <f t="shared" si="17"/>
        <v>0_0</v>
      </c>
      <c r="N1112" t="e">
        <f>VLOOKUP(A1112, 'P&amp;L'!A:B,1,FALSE)</f>
        <v>#N/A</v>
      </c>
      <c r="O1112" t="e">
        <f>VLOOKUP(A1112, KeyData!A:C,1,FALSE)</f>
        <v>#N/A</v>
      </c>
    </row>
    <row r="1113" spans="1:15">
      <c r="A1113" s="451" t="str">
        <f t="shared" si="17"/>
        <v>0_0</v>
      </c>
      <c r="N1113" t="e">
        <f>VLOOKUP(A1113, 'P&amp;L'!A:B,1,FALSE)</f>
        <v>#N/A</v>
      </c>
      <c r="O1113" t="e">
        <f>VLOOKUP(A1113, KeyData!A:C,1,FALSE)</f>
        <v>#N/A</v>
      </c>
    </row>
    <row r="1114" spans="1:15">
      <c r="A1114" s="451" t="str">
        <f t="shared" si="17"/>
        <v>0_0</v>
      </c>
      <c r="N1114" t="e">
        <f>VLOOKUP(A1114, 'P&amp;L'!A:B,1,FALSE)</f>
        <v>#N/A</v>
      </c>
      <c r="O1114" t="e">
        <f>VLOOKUP(A1114, KeyData!A:C,1,FALSE)</f>
        <v>#N/A</v>
      </c>
    </row>
    <row r="1115" spans="1:15">
      <c r="A1115" s="451" t="str">
        <f t="shared" si="17"/>
        <v>0_0</v>
      </c>
      <c r="N1115" t="e">
        <f>VLOOKUP(A1115, 'P&amp;L'!A:B,1,FALSE)</f>
        <v>#N/A</v>
      </c>
      <c r="O1115" t="e">
        <f>VLOOKUP(A1115, KeyData!A:C,1,FALSE)</f>
        <v>#N/A</v>
      </c>
    </row>
    <row r="1116" spans="1:15">
      <c r="A1116" s="451" t="str">
        <f t="shared" si="17"/>
        <v>0_0</v>
      </c>
      <c r="N1116" t="e">
        <f>VLOOKUP(A1116, 'P&amp;L'!A:B,1,FALSE)</f>
        <v>#N/A</v>
      </c>
      <c r="O1116" t="e">
        <f>VLOOKUP(A1116, KeyData!A:C,1,FALSE)</f>
        <v>#N/A</v>
      </c>
    </row>
    <row r="1117" spans="1:15">
      <c r="A1117" s="451" t="str">
        <f t="shared" si="17"/>
        <v>0_0</v>
      </c>
      <c r="N1117" t="e">
        <f>VLOOKUP(A1117, 'P&amp;L'!A:B,1,FALSE)</f>
        <v>#N/A</v>
      </c>
      <c r="O1117" t="e">
        <f>VLOOKUP(A1117, KeyData!A:C,1,FALSE)</f>
        <v>#N/A</v>
      </c>
    </row>
    <row r="1118" spans="1:15">
      <c r="A1118" s="451" t="str">
        <f t="shared" si="17"/>
        <v>0_0</v>
      </c>
      <c r="N1118" t="e">
        <f>VLOOKUP(A1118, 'P&amp;L'!A:B,1,FALSE)</f>
        <v>#N/A</v>
      </c>
      <c r="O1118" t="e">
        <f>VLOOKUP(A1118, KeyData!A:C,1,FALSE)</f>
        <v>#N/A</v>
      </c>
    </row>
    <row r="1119" spans="1:15">
      <c r="A1119" s="451" t="str">
        <f t="shared" si="17"/>
        <v>0_0</v>
      </c>
      <c r="N1119" t="e">
        <f>VLOOKUP(A1119, 'P&amp;L'!A:B,1,FALSE)</f>
        <v>#N/A</v>
      </c>
      <c r="O1119" t="e">
        <f>VLOOKUP(A1119, KeyData!A:C,1,FALSE)</f>
        <v>#N/A</v>
      </c>
    </row>
    <row r="1120" spans="1:15">
      <c r="A1120" s="451" t="str">
        <f t="shared" si="17"/>
        <v>0_0</v>
      </c>
      <c r="N1120" t="e">
        <f>VLOOKUP(A1120, 'P&amp;L'!A:B,1,FALSE)</f>
        <v>#N/A</v>
      </c>
      <c r="O1120" t="e">
        <f>VLOOKUP(A1120, KeyData!A:C,1,FALSE)</f>
        <v>#N/A</v>
      </c>
    </row>
    <row r="1121" spans="1:15">
      <c r="A1121" s="451" t="str">
        <f t="shared" si="17"/>
        <v>0_0</v>
      </c>
      <c r="N1121" t="e">
        <f>VLOOKUP(A1121, 'P&amp;L'!A:B,1,FALSE)</f>
        <v>#N/A</v>
      </c>
      <c r="O1121" t="e">
        <f>VLOOKUP(A1121, KeyData!A:C,1,FALSE)</f>
        <v>#N/A</v>
      </c>
    </row>
    <row r="1122" spans="1:15">
      <c r="A1122" s="451" t="str">
        <f t="shared" si="17"/>
        <v>0_0</v>
      </c>
      <c r="N1122" t="e">
        <f>VLOOKUP(A1122, 'P&amp;L'!A:B,1,FALSE)</f>
        <v>#N/A</v>
      </c>
      <c r="O1122" t="e">
        <f>VLOOKUP(A1122, KeyData!A:C,1,FALSE)</f>
        <v>#N/A</v>
      </c>
    </row>
    <row r="1123" spans="1:15">
      <c r="A1123" s="451" t="str">
        <f t="shared" si="17"/>
        <v>0_0</v>
      </c>
      <c r="N1123" t="e">
        <f>VLOOKUP(A1123, 'P&amp;L'!A:B,1,FALSE)</f>
        <v>#N/A</v>
      </c>
      <c r="O1123" t="e">
        <f>VLOOKUP(A1123, KeyData!A:C,1,FALSE)</f>
        <v>#N/A</v>
      </c>
    </row>
    <row r="1124" spans="1:15">
      <c r="A1124" s="451" t="str">
        <f t="shared" si="17"/>
        <v>0_0</v>
      </c>
      <c r="N1124" t="e">
        <f>VLOOKUP(A1124, 'P&amp;L'!A:B,1,FALSE)</f>
        <v>#N/A</v>
      </c>
      <c r="O1124" t="e">
        <f>VLOOKUP(A1124, KeyData!A:C,1,FALSE)</f>
        <v>#N/A</v>
      </c>
    </row>
    <row r="1125" spans="1:15">
      <c r="A1125" s="451" t="str">
        <f t="shared" si="17"/>
        <v>0_0</v>
      </c>
      <c r="N1125" t="e">
        <f>VLOOKUP(A1125, 'P&amp;L'!A:B,1,FALSE)</f>
        <v>#N/A</v>
      </c>
      <c r="O1125" t="e">
        <f>VLOOKUP(A1125, KeyData!A:C,1,FALSE)</f>
        <v>#N/A</v>
      </c>
    </row>
    <row r="1126" spans="1:15">
      <c r="A1126" s="451" t="str">
        <f t="shared" si="17"/>
        <v>0_0</v>
      </c>
      <c r="N1126" t="e">
        <f>VLOOKUP(A1126, 'P&amp;L'!A:B,1,FALSE)</f>
        <v>#N/A</v>
      </c>
      <c r="O1126" t="e">
        <f>VLOOKUP(A1126, KeyData!A:C,1,FALSE)</f>
        <v>#N/A</v>
      </c>
    </row>
    <row r="1127" spans="1:15">
      <c r="A1127" s="451" t="str">
        <f t="shared" si="17"/>
        <v>0_0</v>
      </c>
      <c r="N1127" t="e">
        <f>VLOOKUP(A1127, 'P&amp;L'!A:B,1,FALSE)</f>
        <v>#N/A</v>
      </c>
      <c r="O1127" t="e">
        <f>VLOOKUP(A1127, KeyData!A:C,1,FALSE)</f>
        <v>#N/A</v>
      </c>
    </row>
    <row r="1128" spans="1:15">
      <c r="A1128" s="451" t="str">
        <f t="shared" si="17"/>
        <v>0_0</v>
      </c>
      <c r="N1128" t="e">
        <f>VLOOKUP(A1128, 'P&amp;L'!A:B,1,FALSE)</f>
        <v>#N/A</v>
      </c>
      <c r="O1128" t="e">
        <f>VLOOKUP(A1128, KeyData!A:C,1,FALSE)</f>
        <v>#N/A</v>
      </c>
    </row>
    <row r="1129" spans="1:15">
      <c r="A1129" s="451" t="str">
        <f t="shared" si="17"/>
        <v>0_0</v>
      </c>
      <c r="N1129" t="e">
        <f>VLOOKUP(A1129, 'P&amp;L'!A:B,1,FALSE)</f>
        <v>#N/A</v>
      </c>
      <c r="O1129" t="e">
        <f>VLOOKUP(A1129, KeyData!A:C,1,FALSE)</f>
        <v>#N/A</v>
      </c>
    </row>
    <row r="1130" spans="1:15">
      <c r="A1130" s="451" t="str">
        <f t="shared" si="17"/>
        <v>0_0</v>
      </c>
      <c r="N1130" t="e">
        <f>VLOOKUP(A1130, 'P&amp;L'!A:B,1,FALSE)</f>
        <v>#N/A</v>
      </c>
      <c r="O1130" t="e">
        <f>VLOOKUP(A1130, KeyData!A:C,1,FALSE)</f>
        <v>#N/A</v>
      </c>
    </row>
    <row r="1131" spans="1:15">
      <c r="A1131" s="451" t="str">
        <f t="shared" si="17"/>
        <v>0_0</v>
      </c>
      <c r="N1131" t="e">
        <f>VLOOKUP(A1131, 'P&amp;L'!A:B,1,FALSE)</f>
        <v>#N/A</v>
      </c>
      <c r="O1131" t="e">
        <f>VLOOKUP(A1131, KeyData!A:C,1,FALSE)</f>
        <v>#N/A</v>
      </c>
    </row>
    <row r="1132" spans="1:15">
      <c r="A1132" s="451" t="str">
        <f t="shared" si="17"/>
        <v>0_0</v>
      </c>
      <c r="N1132" t="e">
        <f>VLOOKUP(A1132, 'P&amp;L'!A:B,1,FALSE)</f>
        <v>#N/A</v>
      </c>
      <c r="O1132" t="e">
        <f>VLOOKUP(A1132, KeyData!A:C,1,FALSE)</f>
        <v>#N/A</v>
      </c>
    </row>
    <row r="1133" spans="1:15">
      <c r="A1133" s="451" t="str">
        <f t="shared" si="17"/>
        <v>0_0</v>
      </c>
      <c r="N1133" t="e">
        <f>VLOOKUP(A1133, 'P&amp;L'!A:B,1,FALSE)</f>
        <v>#N/A</v>
      </c>
      <c r="O1133" t="e">
        <f>VLOOKUP(A1133, KeyData!A:C,1,FALSE)</f>
        <v>#N/A</v>
      </c>
    </row>
    <row r="1134" spans="1:15">
      <c r="A1134" s="451" t="str">
        <f t="shared" si="17"/>
        <v>0_0</v>
      </c>
      <c r="N1134" t="e">
        <f>VLOOKUP(A1134, 'P&amp;L'!A:B,1,FALSE)</f>
        <v>#N/A</v>
      </c>
      <c r="O1134" t="e">
        <f>VLOOKUP(A1134, KeyData!A:C,1,FALSE)</f>
        <v>#N/A</v>
      </c>
    </row>
    <row r="1135" spans="1:15">
      <c r="A1135" s="451" t="str">
        <f t="shared" si="17"/>
        <v>0_0</v>
      </c>
      <c r="N1135" t="e">
        <f>VLOOKUP(A1135, 'P&amp;L'!A:B,1,FALSE)</f>
        <v>#N/A</v>
      </c>
      <c r="O1135" t="e">
        <f>VLOOKUP(A1135, KeyData!A:C,1,FALSE)</f>
        <v>#N/A</v>
      </c>
    </row>
    <row r="1136" spans="1:15">
      <c r="A1136" s="451" t="str">
        <f t="shared" si="17"/>
        <v>0_0</v>
      </c>
      <c r="N1136" t="e">
        <f>VLOOKUP(A1136, 'P&amp;L'!A:B,1,FALSE)</f>
        <v>#N/A</v>
      </c>
      <c r="O1136" t="e">
        <f>VLOOKUP(A1136, KeyData!A:C,1,FALSE)</f>
        <v>#N/A</v>
      </c>
    </row>
    <row r="1137" spans="1:15">
      <c r="A1137" s="451" t="str">
        <f t="shared" si="17"/>
        <v>0_0</v>
      </c>
      <c r="N1137" t="e">
        <f>VLOOKUP(A1137, 'P&amp;L'!A:B,1,FALSE)</f>
        <v>#N/A</v>
      </c>
      <c r="O1137" t="e">
        <f>VLOOKUP(A1137, KeyData!A:C,1,FALSE)</f>
        <v>#N/A</v>
      </c>
    </row>
    <row r="1138" spans="1:15">
      <c r="A1138" s="451" t="str">
        <f t="shared" si="17"/>
        <v>0_0</v>
      </c>
      <c r="N1138" t="e">
        <f>VLOOKUP(A1138, 'P&amp;L'!A:B,1,FALSE)</f>
        <v>#N/A</v>
      </c>
      <c r="O1138" t="e">
        <f>VLOOKUP(A1138, KeyData!A:C,1,FALSE)</f>
        <v>#N/A</v>
      </c>
    </row>
    <row r="1139" spans="1:15">
      <c r="A1139" s="451" t="str">
        <f t="shared" si="17"/>
        <v>0_0</v>
      </c>
      <c r="N1139" t="e">
        <f>VLOOKUP(A1139, 'P&amp;L'!A:B,1,FALSE)</f>
        <v>#N/A</v>
      </c>
      <c r="O1139" t="e">
        <f>VLOOKUP(A1139, KeyData!A:C,1,FALSE)</f>
        <v>#N/A</v>
      </c>
    </row>
    <row r="1140" spans="1:15">
      <c r="A1140" s="451" t="str">
        <f t="shared" si="17"/>
        <v>0_0</v>
      </c>
      <c r="N1140" t="e">
        <f>VLOOKUP(A1140, 'P&amp;L'!A:B,1,FALSE)</f>
        <v>#N/A</v>
      </c>
      <c r="O1140" t="e">
        <f>VLOOKUP(A1140, KeyData!A:C,1,FALSE)</f>
        <v>#N/A</v>
      </c>
    </row>
    <row r="1141" spans="1:15">
      <c r="A1141" s="451" t="str">
        <f t="shared" si="17"/>
        <v>0_0</v>
      </c>
      <c r="N1141" t="e">
        <f>VLOOKUP(A1141, 'P&amp;L'!A:B,1,FALSE)</f>
        <v>#N/A</v>
      </c>
      <c r="O1141" t="e">
        <f>VLOOKUP(A1141, KeyData!A:C,1,FALSE)</f>
        <v>#N/A</v>
      </c>
    </row>
    <row r="1142" spans="1:15">
      <c r="A1142" s="451" t="str">
        <f t="shared" si="17"/>
        <v>0_0</v>
      </c>
      <c r="N1142" t="e">
        <f>VLOOKUP(A1142, 'P&amp;L'!A:B,1,FALSE)</f>
        <v>#N/A</v>
      </c>
      <c r="O1142" t="e">
        <f>VLOOKUP(A1142, KeyData!A:C,1,FALSE)</f>
        <v>#N/A</v>
      </c>
    </row>
    <row r="1143" spans="1:15">
      <c r="A1143" s="451" t="str">
        <f t="shared" si="17"/>
        <v>0_0</v>
      </c>
      <c r="N1143" t="e">
        <f>VLOOKUP(A1143, 'P&amp;L'!A:B,1,FALSE)</f>
        <v>#N/A</v>
      </c>
      <c r="O1143" t="e">
        <f>VLOOKUP(A1143, KeyData!A:C,1,FALSE)</f>
        <v>#N/A</v>
      </c>
    </row>
    <row r="1144" spans="1:15">
      <c r="A1144" s="451" t="str">
        <f t="shared" si="17"/>
        <v>0_0</v>
      </c>
      <c r="N1144" t="e">
        <f>VLOOKUP(A1144, 'P&amp;L'!A:B,1,FALSE)</f>
        <v>#N/A</v>
      </c>
      <c r="O1144" t="e">
        <f>VLOOKUP(A1144, KeyData!A:C,1,FALSE)</f>
        <v>#N/A</v>
      </c>
    </row>
    <row r="1145" spans="1:15">
      <c r="A1145" s="451" t="str">
        <f t="shared" si="17"/>
        <v>0_0</v>
      </c>
      <c r="N1145" t="e">
        <f>VLOOKUP(A1145, 'P&amp;L'!A:B,1,FALSE)</f>
        <v>#N/A</v>
      </c>
      <c r="O1145" t="e">
        <f>VLOOKUP(A1145, KeyData!A:C,1,FALSE)</f>
        <v>#N/A</v>
      </c>
    </row>
    <row r="1146" spans="1:15">
      <c r="A1146" s="451" t="str">
        <f t="shared" si="17"/>
        <v>0_0</v>
      </c>
      <c r="N1146" t="e">
        <f>VLOOKUP(A1146, 'P&amp;L'!A:B,1,FALSE)</f>
        <v>#N/A</v>
      </c>
      <c r="O1146" t="e">
        <f>VLOOKUP(A1146, KeyData!A:C,1,FALSE)</f>
        <v>#N/A</v>
      </c>
    </row>
    <row r="1147" spans="1:15">
      <c r="A1147" s="451" t="str">
        <f t="shared" si="17"/>
        <v>0_0</v>
      </c>
      <c r="N1147" t="e">
        <f>VLOOKUP(A1147, 'P&amp;L'!A:B,1,FALSE)</f>
        <v>#N/A</v>
      </c>
      <c r="O1147" t="e">
        <f>VLOOKUP(A1147, KeyData!A:C,1,FALSE)</f>
        <v>#N/A</v>
      </c>
    </row>
    <row r="1148" spans="1:15">
      <c r="A1148" s="451" t="str">
        <f t="shared" si="17"/>
        <v>0_0</v>
      </c>
      <c r="N1148" t="e">
        <f>VLOOKUP(A1148, 'P&amp;L'!A:B,1,FALSE)</f>
        <v>#N/A</v>
      </c>
      <c r="O1148" t="e">
        <f>VLOOKUP(A1148, KeyData!A:C,1,FALSE)</f>
        <v>#N/A</v>
      </c>
    </row>
    <row r="1149" spans="1:15">
      <c r="A1149" s="451" t="str">
        <f t="shared" si="17"/>
        <v>0_0</v>
      </c>
      <c r="N1149" t="e">
        <f>VLOOKUP(A1149, 'P&amp;L'!A:B,1,FALSE)</f>
        <v>#N/A</v>
      </c>
      <c r="O1149" t="e">
        <f>VLOOKUP(A1149, KeyData!A:C,1,FALSE)</f>
        <v>#N/A</v>
      </c>
    </row>
    <row r="1150" spans="1:15">
      <c r="A1150" s="451" t="str">
        <f t="shared" si="17"/>
        <v>0_0</v>
      </c>
      <c r="N1150" t="e">
        <f>VLOOKUP(A1150, 'P&amp;L'!A:B,1,FALSE)</f>
        <v>#N/A</v>
      </c>
      <c r="O1150" t="e">
        <f>VLOOKUP(A1150, KeyData!A:C,1,FALSE)</f>
        <v>#N/A</v>
      </c>
    </row>
    <row r="1151" spans="1:15">
      <c r="A1151" s="451" t="str">
        <f t="shared" si="17"/>
        <v>0_0</v>
      </c>
      <c r="N1151" t="e">
        <f>VLOOKUP(A1151, 'P&amp;L'!A:B,1,FALSE)</f>
        <v>#N/A</v>
      </c>
      <c r="O1151" t="e">
        <f>VLOOKUP(A1151, KeyData!A:C,1,FALSE)</f>
        <v>#N/A</v>
      </c>
    </row>
    <row r="1152" spans="1:15">
      <c r="A1152" s="451" t="str">
        <f t="shared" si="17"/>
        <v>0_0</v>
      </c>
      <c r="N1152" t="e">
        <f>VLOOKUP(A1152, 'P&amp;L'!A:B,1,FALSE)</f>
        <v>#N/A</v>
      </c>
      <c r="O1152" t="e">
        <f>VLOOKUP(A1152, KeyData!A:C,1,FALSE)</f>
        <v>#N/A</v>
      </c>
    </row>
    <row r="1153" spans="1:15">
      <c r="A1153" s="451" t="str">
        <f t="shared" si="17"/>
        <v>0_0</v>
      </c>
      <c r="N1153" t="e">
        <f>VLOOKUP(A1153, 'P&amp;L'!A:B,1,FALSE)</f>
        <v>#N/A</v>
      </c>
      <c r="O1153" t="e">
        <f>VLOOKUP(A1153, KeyData!A:C,1,FALSE)</f>
        <v>#N/A</v>
      </c>
    </row>
    <row r="1154" spans="1:15">
      <c r="A1154" s="451" t="str">
        <f t="shared" si="17"/>
        <v>0_0</v>
      </c>
      <c r="N1154" t="e">
        <f>VLOOKUP(A1154, 'P&amp;L'!A:B,1,FALSE)</f>
        <v>#N/A</v>
      </c>
      <c r="O1154" t="e">
        <f>VLOOKUP(A1154, KeyData!A:C,1,FALSE)</f>
        <v>#N/A</v>
      </c>
    </row>
    <row r="1155" spans="1:15">
      <c r="A1155" s="451" t="str">
        <f t="shared" ref="A1155:A1216" si="18" xml:space="preserve"> IFERROR(+B1155*1,B1155)&amp;"_"&amp;IFERROR(+D1155*1,D1155)</f>
        <v>0_0</v>
      </c>
      <c r="N1155" t="e">
        <f>VLOOKUP(A1155, 'P&amp;L'!A:B,1,FALSE)</f>
        <v>#N/A</v>
      </c>
      <c r="O1155" t="e">
        <f>VLOOKUP(A1155, KeyData!A:C,1,FALSE)</f>
        <v>#N/A</v>
      </c>
    </row>
    <row r="1156" spans="1:15">
      <c r="A1156" s="451" t="str">
        <f t="shared" si="18"/>
        <v>0_0</v>
      </c>
      <c r="N1156" t="e">
        <f>VLOOKUP(A1156, 'P&amp;L'!A:B,1,FALSE)</f>
        <v>#N/A</v>
      </c>
      <c r="O1156" t="e">
        <f>VLOOKUP(A1156, KeyData!A:C,1,FALSE)</f>
        <v>#N/A</v>
      </c>
    </row>
    <row r="1157" spans="1:15">
      <c r="A1157" s="451" t="str">
        <f t="shared" si="18"/>
        <v>0_0</v>
      </c>
      <c r="N1157" t="e">
        <f>VLOOKUP(A1157, 'P&amp;L'!A:B,1,FALSE)</f>
        <v>#N/A</v>
      </c>
      <c r="O1157" t="e">
        <f>VLOOKUP(A1157, KeyData!A:C,1,FALSE)</f>
        <v>#N/A</v>
      </c>
    </row>
    <row r="1158" spans="1:15">
      <c r="A1158" s="451" t="str">
        <f t="shared" si="18"/>
        <v>0_0</v>
      </c>
      <c r="N1158" t="e">
        <f>VLOOKUP(A1158, 'P&amp;L'!A:B,1,FALSE)</f>
        <v>#N/A</v>
      </c>
      <c r="O1158" t="e">
        <f>VLOOKUP(A1158, KeyData!A:C,1,FALSE)</f>
        <v>#N/A</v>
      </c>
    </row>
    <row r="1159" spans="1:15">
      <c r="A1159" s="451" t="str">
        <f t="shared" si="18"/>
        <v>0_0</v>
      </c>
      <c r="N1159" t="e">
        <f>VLOOKUP(A1159, 'P&amp;L'!A:B,1,FALSE)</f>
        <v>#N/A</v>
      </c>
      <c r="O1159" t="e">
        <f>VLOOKUP(A1159, KeyData!A:C,1,FALSE)</f>
        <v>#N/A</v>
      </c>
    </row>
    <row r="1160" spans="1:15">
      <c r="A1160" s="451" t="str">
        <f t="shared" si="18"/>
        <v>0_0</v>
      </c>
      <c r="N1160" t="e">
        <f>VLOOKUP(A1160, 'P&amp;L'!A:B,1,FALSE)</f>
        <v>#N/A</v>
      </c>
      <c r="O1160" t="e">
        <f>VLOOKUP(A1160, KeyData!A:C,1,FALSE)</f>
        <v>#N/A</v>
      </c>
    </row>
    <row r="1161" spans="1:15">
      <c r="A1161" s="451" t="str">
        <f t="shared" si="18"/>
        <v>0_0</v>
      </c>
      <c r="N1161" t="e">
        <f>VLOOKUP(A1161, 'P&amp;L'!A:B,1,FALSE)</f>
        <v>#N/A</v>
      </c>
      <c r="O1161" t="e">
        <f>VLOOKUP(A1161, KeyData!A:C,1,FALSE)</f>
        <v>#N/A</v>
      </c>
    </row>
    <row r="1162" spans="1:15">
      <c r="A1162" s="451" t="str">
        <f t="shared" si="18"/>
        <v>0_0</v>
      </c>
      <c r="N1162" t="e">
        <f>VLOOKUP(A1162, 'P&amp;L'!A:B,1,FALSE)</f>
        <v>#N/A</v>
      </c>
      <c r="O1162" t="e">
        <f>VLOOKUP(A1162, KeyData!A:C,1,FALSE)</f>
        <v>#N/A</v>
      </c>
    </row>
    <row r="1163" spans="1:15">
      <c r="A1163" s="451" t="str">
        <f t="shared" si="18"/>
        <v>0_0</v>
      </c>
      <c r="N1163" t="e">
        <f>VLOOKUP(A1163, 'P&amp;L'!A:B,1,FALSE)</f>
        <v>#N/A</v>
      </c>
      <c r="O1163" t="e">
        <f>VLOOKUP(A1163, KeyData!A:C,1,FALSE)</f>
        <v>#N/A</v>
      </c>
    </row>
    <row r="1164" spans="1:15">
      <c r="A1164" s="451" t="str">
        <f t="shared" si="18"/>
        <v>0_0</v>
      </c>
      <c r="N1164" t="e">
        <f>VLOOKUP(A1164, 'P&amp;L'!A:B,1,FALSE)</f>
        <v>#N/A</v>
      </c>
      <c r="O1164" t="e">
        <f>VLOOKUP(A1164, KeyData!A:C,1,FALSE)</f>
        <v>#N/A</v>
      </c>
    </row>
    <row r="1165" spans="1:15">
      <c r="A1165" s="451" t="str">
        <f t="shared" si="18"/>
        <v>0_0</v>
      </c>
      <c r="N1165" t="e">
        <f>VLOOKUP(A1165, 'P&amp;L'!A:B,1,FALSE)</f>
        <v>#N/A</v>
      </c>
      <c r="O1165" t="e">
        <f>VLOOKUP(A1165, KeyData!A:C,1,FALSE)</f>
        <v>#N/A</v>
      </c>
    </row>
    <row r="1166" spans="1:15">
      <c r="A1166" s="451" t="str">
        <f t="shared" si="18"/>
        <v>0_0</v>
      </c>
      <c r="N1166" t="e">
        <f>VLOOKUP(A1166, 'P&amp;L'!A:B,1,FALSE)</f>
        <v>#N/A</v>
      </c>
      <c r="O1166" t="e">
        <f>VLOOKUP(A1166, KeyData!A:C,1,FALSE)</f>
        <v>#N/A</v>
      </c>
    </row>
    <row r="1167" spans="1:15">
      <c r="A1167" s="451" t="str">
        <f t="shared" si="18"/>
        <v>0_0</v>
      </c>
      <c r="N1167" t="e">
        <f>VLOOKUP(A1167, 'P&amp;L'!A:B,1,FALSE)</f>
        <v>#N/A</v>
      </c>
      <c r="O1167" t="e">
        <f>VLOOKUP(A1167, KeyData!A:C,1,FALSE)</f>
        <v>#N/A</v>
      </c>
    </row>
    <row r="1168" spans="1:15">
      <c r="A1168" s="451" t="str">
        <f t="shared" si="18"/>
        <v>0_0</v>
      </c>
      <c r="N1168" t="e">
        <f>VLOOKUP(A1168, 'P&amp;L'!A:B,1,FALSE)</f>
        <v>#N/A</v>
      </c>
      <c r="O1168" t="e">
        <f>VLOOKUP(A1168, KeyData!A:C,1,FALSE)</f>
        <v>#N/A</v>
      </c>
    </row>
    <row r="1169" spans="1:15">
      <c r="A1169" s="451" t="str">
        <f t="shared" si="18"/>
        <v>0_0</v>
      </c>
      <c r="N1169" t="e">
        <f>VLOOKUP(A1169, 'P&amp;L'!A:B,1,FALSE)</f>
        <v>#N/A</v>
      </c>
      <c r="O1169" t="e">
        <f>VLOOKUP(A1169, KeyData!A:C,1,FALSE)</f>
        <v>#N/A</v>
      </c>
    </row>
    <row r="1170" spans="1:15">
      <c r="A1170" s="451" t="str">
        <f t="shared" si="18"/>
        <v>0_0</v>
      </c>
      <c r="N1170" t="e">
        <f>VLOOKUP(A1170, 'P&amp;L'!A:B,1,FALSE)</f>
        <v>#N/A</v>
      </c>
      <c r="O1170" t="e">
        <f>VLOOKUP(A1170, KeyData!A:C,1,FALSE)</f>
        <v>#N/A</v>
      </c>
    </row>
    <row r="1171" spans="1:15">
      <c r="A1171" s="451" t="str">
        <f t="shared" si="18"/>
        <v>0_0</v>
      </c>
      <c r="N1171" t="e">
        <f>VLOOKUP(A1171, 'P&amp;L'!A:B,1,FALSE)</f>
        <v>#N/A</v>
      </c>
      <c r="O1171" t="e">
        <f>VLOOKUP(A1171, KeyData!A:C,1,FALSE)</f>
        <v>#N/A</v>
      </c>
    </row>
    <row r="1172" spans="1:15">
      <c r="A1172" s="451" t="str">
        <f t="shared" si="18"/>
        <v>0_0</v>
      </c>
      <c r="N1172" t="e">
        <f>VLOOKUP(A1172, 'P&amp;L'!A:B,1,FALSE)</f>
        <v>#N/A</v>
      </c>
      <c r="O1172" t="e">
        <f>VLOOKUP(A1172, KeyData!A:C,1,FALSE)</f>
        <v>#N/A</v>
      </c>
    </row>
    <row r="1173" spans="1:15">
      <c r="A1173" s="451" t="str">
        <f t="shared" si="18"/>
        <v>0_0</v>
      </c>
      <c r="N1173" t="e">
        <f>VLOOKUP(A1173, 'P&amp;L'!A:B,1,FALSE)</f>
        <v>#N/A</v>
      </c>
      <c r="O1173" t="e">
        <f>VLOOKUP(A1173, KeyData!A:C,1,FALSE)</f>
        <v>#N/A</v>
      </c>
    </row>
    <row r="1174" spans="1:15">
      <c r="A1174" s="451" t="str">
        <f t="shared" si="18"/>
        <v>0_0</v>
      </c>
      <c r="N1174" t="e">
        <f>VLOOKUP(A1174, 'P&amp;L'!A:B,1,FALSE)</f>
        <v>#N/A</v>
      </c>
      <c r="O1174" t="e">
        <f>VLOOKUP(A1174, KeyData!A:C,1,FALSE)</f>
        <v>#N/A</v>
      </c>
    </row>
    <row r="1175" spans="1:15">
      <c r="A1175" s="451" t="str">
        <f t="shared" si="18"/>
        <v>0_0</v>
      </c>
      <c r="N1175" t="e">
        <f>VLOOKUP(A1175, 'P&amp;L'!A:B,1,FALSE)</f>
        <v>#N/A</v>
      </c>
      <c r="O1175" t="e">
        <f>VLOOKUP(A1175, KeyData!A:C,1,FALSE)</f>
        <v>#N/A</v>
      </c>
    </row>
    <row r="1176" spans="1:15">
      <c r="A1176" s="451" t="str">
        <f t="shared" si="18"/>
        <v>0_0</v>
      </c>
      <c r="N1176" t="e">
        <f>VLOOKUP(A1176, 'P&amp;L'!A:B,1,FALSE)</f>
        <v>#N/A</v>
      </c>
      <c r="O1176" t="e">
        <f>VLOOKUP(A1176, KeyData!A:C,1,FALSE)</f>
        <v>#N/A</v>
      </c>
    </row>
    <row r="1177" spans="1:15">
      <c r="A1177" s="451" t="str">
        <f t="shared" si="18"/>
        <v>0_0</v>
      </c>
      <c r="N1177" t="e">
        <f>VLOOKUP(A1177, 'P&amp;L'!A:B,1,FALSE)</f>
        <v>#N/A</v>
      </c>
      <c r="O1177" t="e">
        <f>VLOOKUP(A1177, KeyData!A:C,1,FALSE)</f>
        <v>#N/A</v>
      </c>
    </row>
    <row r="1178" spans="1:15">
      <c r="A1178" s="451" t="str">
        <f t="shared" si="18"/>
        <v>0_0</v>
      </c>
      <c r="N1178" t="e">
        <f>VLOOKUP(A1178, 'P&amp;L'!A:B,1,FALSE)</f>
        <v>#N/A</v>
      </c>
      <c r="O1178" t="e">
        <f>VLOOKUP(A1178, KeyData!A:C,1,FALSE)</f>
        <v>#N/A</v>
      </c>
    </row>
    <row r="1179" spans="1:15">
      <c r="A1179" s="451" t="str">
        <f t="shared" si="18"/>
        <v>0_0</v>
      </c>
      <c r="N1179" t="e">
        <f>VLOOKUP(A1179, 'P&amp;L'!A:B,1,FALSE)</f>
        <v>#N/A</v>
      </c>
      <c r="O1179" t="e">
        <f>VLOOKUP(A1179, KeyData!A:C,1,FALSE)</f>
        <v>#N/A</v>
      </c>
    </row>
    <row r="1180" spans="1:15">
      <c r="A1180" s="451" t="str">
        <f t="shared" si="18"/>
        <v>0_0</v>
      </c>
      <c r="N1180" t="e">
        <f>VLOOKUP(A1180, 'P&amp;L'!A:B,1,FALSE)</f>
        <v>#N/A</v>
      </c>
      <c r="O1180" t="e">
        <f>VLOOKUP(A1180, KeyData!A:C,1,FALSE)</f>
        <v>#N/A</v>
      </c>
    </row>
    <row r="1181" spans="1:15">
      <c r="A1181" s="451" t="str">
        <f t="shared" si="18"/>
        <v>0_0</v>
      </c>
      <c r="N1181" t="e">
        <f>VLOOKUP(A1181, 'P&amp;L'!A:B,1,FALSE)</f>
        <v>#N/A</v>
      </c>
      <c r="O1181" t="e">
        <f>VLOOKUP(A1181, KeyData!A:C,1,FALSE)</f>
        <v>#N/A</v>
      </c>
    </row>
    <row r="1182" spans="1:15">
      <c r="A1182" s="451" t="str">
        <f t="shared" si="18"/>
        <v>0_0</v>
      </c>
      <c r="N1182" t="e">
        <f>VLOOKUP(A1182, 'P&amp;L'!A:B,1,FALSE)</f>
        <v>#N/A</v>
      </c>
      <c r="O1182" t="e">
        <f>VLOOKUP(A1182, KeyData!A:C,1,FALSE)</f>
        <v>#N/A</v>
      </c>
    </row>
    <row r="1183" spans="1:15">
      <c r="A1183" s="451" t="str">
        <f t="shared" si="18"/>
        <v>0_0</v>
      </c>
      <c r="N1183" t="e">
        <f>VLOOKUP(A1183, 'P&amp;L'!A:B,1,FALSE)</f>
        <v>#N/A</v>
      </c>
      <c r="O1183" t="e">
        <f>VLOOKUP(A1183, KeyData!A:C,1,FALSE)</f>
        <v>#N/A</v>
      </c>
    </row>
    <row r="1184" spans="1:15">
      <c r="A1184" s="451" t="str">
        <f t="shared" si="18"/>
        <v>0_0</v>
      </c>
      <c r="N1184" t="e">
        <f>VLOOKUP(A1184, 'P&amp;L'!A:B,1,FALSE)</f>
        <v>#N/A</v>
      </c>
      <c r="O1184" t="e">
        <f>VLOOKUP(A1184, KeyData!A:C,1,FALSE)</f>
        <v>#N/A</v>
      </c>
    </row>
    <row r="1185" spans="1:15">
      <c r="A1185" s="451" t="str">
        <f t="shared" si="18"/>
        <v>0_0</v>
      </c>
      <c r="N1185" t="e">
        <f>VLOOKUP(A1185, 'P&amp;L'!A:B,1,FALSE)</f>
        <v>#N/A</v>
      </c>
      <c r="O1185" t="e">
        <f>VLOOKUP(A1185, KeyData!A:C,1,FALSE)</f>
        <v>#N/A</v>
      </c>
    </row>
    <row r="1186" spans="1:15">
      <c r="A1186" s="451" t="str">
        <f t="shared" si="18"/>
        <v>0_0</v>
      </c>
      <c r="N1186" t="e">
        <f>VLOOKUP(A1186, 'P&amp;L'!A:B,1,FALSE)</f>
        <v>#N/A</v>
      </c>
      <c r="O1186" t="e">
        <f>VLOOKUP(A1186, KeyData!A:C,1,FALSE)</f>
        <v>#N/A</v>
      </c>
    </row>
    <row r="1187" spans="1:15">
      <c r="A1187" s="451" t="str">
        <f t="shared" si="18"/>
        <v>0_0</v>
      </c>
      <c r="N1187" t="e">
        <f>VLOOKUP(A1187, 'P&amp;L'!A:B,1,FALSE)</f>
        <v>#N/A</v>
      </c>
      <c r="O1187" t="e">
        <f>VLOOKUP(A1187, KeyData!A:C,1,FALSE)</f>
        <v>#N/A</v>
      </c>
    </row>
    <row r="1188" spans="1:15">
      <c r="A1188" s="451" t="str">
        <f t="shared" si="18"/>
        <v>0_0</v>
      </c>
      <c r="N1188" t="e">
        <f>VLOOKUP(A1188, 'P&amp;L'!A:B,1,FALSE)</f>
        <v>#N/A</v>
      </c>
      <c r="O1188" t="e">
        <f>VLOOKUP(A1188, KeyData!A:C,1,FALSE)</f>
        <v>#N/A</v>
      </c>
    </row>
    <row r="1189" spans="1:15">
      <c r="A1189" s="451" t="str">
        <f t="shared" si="18"/>
        <v>0_0</v>
      </c>
      <c r="N1189" t="e">
        <f>VLOOKUP(A1189, 'P&amp;L'!A:B,1,FALSE)</f>
        <v>#N/A</v>
      </c>
      <c r="O1189" t="e">
        <f>VLOOKUP(A1189, KeyData!A:C,1,FALSE)</f>
        <v>#N/A</v>
      </c>
    </row>
    <row r="1190" spans="1:15">
      <c r="A1190" s="451" t="str">
        <f t="shared" si="18"/>
        <v>0_0</v>
      </c>
      <c r="N1190" t="e">
        <f>VLOOKUP(A1190, 'P&amp;L'!A:B,1,FALSE)</f>
        <v>#N/A</v>
      </c>
      <c r="O1190" t="e">
        <f>VLOOKUP(A1190, KeyData!A:C,1,FALSE)</f>
        <v>#N/A</v>
      </c>
    </row>
    <row r="1191" spans="1:15">
      <c r="A1191" s="451" t="str">
        <f t="shared" si="18"/>
        <v>0_0</v>
      </c>
      <c r="N1191" t="e">
        <f>VLOOKUP(A1191, 'P&amp;L'!A:B,1,FALSE)</f>
        <v>#N/A</v>
      </c>
      <c r="O1191" t="e">
        <f>VLOOKUP(A1191, KeyData!A:C,1,FALSE)</f>
        <v>#N/A</v>
      </c>
    </row>
    <row r="1192" spans="1:15">
      <c r="A1192" s="451" t="str">
        <f t="shared" si="18"/>
        <v>0_0</v>
      </c>
      <c r="N1192" t="e">
        <f>VLOOKUP(A1192, 'P&amp;L'!A:B,1,FALSE)</f>
        <v>#N/A</v>
      </c>
      <c r="O1192" t="e">
        <f>VLOOKUP(A1192, KeyData!A:C,1,FALSE)</f>
        <v>#N/A</v>
      </c>
    </row>
    <row r="1193" spans="1:15">
      <c r="A1193" s="451" t="str">
        <f t="shared" si="18"/>
        <v>0_0</v>
      </c>
      <c r="N1193" t="e">
        <f>VLOOKUP(A1193, 'P&amp;L'!A:B,1,FALSE)</f>
        <v>#N/A</v>
      </c>
      <c r="O1193" t="e">
        <f>VLOOKUP(A1193, KeyData!A:C,1,FALSE)</f>
        <v>#N/A</v>
      </c>
    </row>
    <row r="1194" spans="1:15">
      <c r="A1194" s="451" t="str">
        <f t="shared" si="18"/>
        <v>0_0</v>
      </c>
      <c r="N1194" t="e">
        <f>VLOOKUP(A1194, 'P&amp;L'!A:B,1,FALSE)</f>
        <v>#N/A</v>
      </c>
      <c r="O1194" t="e">
        <f>VLOOKUP(A1194, KeyData!A:C,1,FALSE)</f>
        <v>#N/A</v>
      </c>
    </row>
    <row r="1195" spans="1:15">
      <c r="A1195" s="451" t="str">
        <f t="shared" si="18"/>
        <v>0_0</v>
      </c>
      <c r="N1195" t="e">
        <f>VLOOKUP(A1195, 'P&amp;L'!A:B,1,FALSE)</f>
        <v>#N/A</v>
      </c>
      <c r="O1195" t="e">
        <f>VLOOKUP(A1195, KeyData!A:C,1,FALSE)</f>
        <v>#N/A</v>
      </c>
    </row>
    <row r="1196" spans="1:15">
      <c r="A1196" s="451" t="str">
        <f t="shared" si="18"/>
        <v>0_0</v>
      </c>
      <c r="N1196" t="e">
        <f>VLOOKUP(A1196, 'P&amp;L'!A:B,1,FALSE)</f>
        <v>#N/A</v>
      </c>
      <c r="O1196" t="e">
        <f>VLOOKUP(A1196, KeyData!A:C,1,FALSE)</f>
        <v>#N/A</v>
      </c>
    </row>
    <row r="1197" spans="1:15">
      <c r="A1197" s="451" t="str">
        <f t="shared" si="18"/>
        <v>0_0</v>
      </c>
      <c r="N1197" t="e">
        <f>VLOOKUP(A1197, 'P&amp;L'!A:B,1,FALSE)</f>
        <v>#N/A</v>
      </c>
      <c r="O1197" t="e">
        <f>VLOOKUP(A1197, KeyData!A:C,1,FALSE)</f>
        <v>#N/A</v>
      </c>
    </row>
    <row r="1198" spans="1:15">
      <c r="A1198" s="451" t="str">
        <f t="shared" si="18"/>
        <v>0_0</v>
      </c>
      <c r="N1198" t="e">
        <f>VLOOKUP(A1198, 'P&amp;L'!A:B,1,FALSE)</f>
        <v>#N/A</v>
      </c>
      <c r="O1198" t="e">
        <f>VLOOKUP(A1198, KeyData!A:C,1,FALSE)</f>
        <v>#N/A</v>
      </c>
    </row>
    <row r="1199" spans="1:15">
      <c r="A1199" s="451" t="str">
        <f t="shared" si="18"/>
        <v>0_0</v>
      </c>
      <c r="N1199" t="e">
        <f>VLOOKUP(A1199, 'P&amp;L'!A:B,1,FALSE)</f>
        <v>#N/A</v>
      </c>
      <c r="O1199" t="e">
        <f>VLOOKUP(A1199, KeyData!A:C,1,FALSE)</f>
        <v>#N/A</v>
      </c>
    </row>
    <row r="1200" spans="1:15">
      <c r="A1200" s="451" t="str">
        <f t="shared" si="18"/>
        <v>0_0</v>
      </c>
      <c r="N1200" t="e">
        <f>VLOOKUP(A1200, 'P&amp;L'!A:B,1,FALSE)</f>
        <v>#N/A</v>
      </c>
      <c r="O1200" t="e">
        <f>VLOOKUP(A1200, KeyData!A:C,1,FALSE)</f>
        <v>#N/A</v>
      </c>
    </row>
    <row r="1201" spans="1:15">
      <c r="A1201" s="451" t="str">
        <f t="shared" si="18"/>
        <v>0_0</v>
      </c>
      <c r="N1201" t="e">
        <f>VLOOKUP(A1201, 'P&amp;L'!A:B,1,FALSE)</f>
        <v>#N/A</v>
      </c>
      <c r="O1201" t="e">
        <f>VLOOKUP(A1201, KeyData!A:C,1,FALSE)</f>
        <v>#N/A</v>
      </c>
    </row>
    <row r="1202" spans="1:15">
      <c r="A1202" s="451" t="str">
        <f t="shared" si="18"/>
        <v>0_0</v>
      </c>
      <c r="N1202" t="e">
        <f>VLOOKUP(A1202, 'P&amp;L'!A:B,1,FALSE)</f>
        <v>#N/A</v>
      </c>
      <c r="O1202" t="e">
        <f>VLOOKUP(A1202, KeyData!A:C,1,FALSE)</f>
        <v>#N/A</v>
      </c>
    </row>
    <row r="1203" spans="1:15">
      <c r="A1203" s="451" t="str">
        <f t="shared" si="18"/>
        <v>0_0</v>
      </c>
      <c r="N1203" t="e">
        <f>VLOOKUP(A1203, 'P&amp;L'!A:B,1,FALSE)</f>
        <v>#N/A</v>
      </c>
      <c r="O1203" t="e">
        <f>VLOOKUP(A1203, KeyData!A:C,1,FALSE)</f>
        <v>#N/A</v>
      </c>
    </row>
    <row r="1204" spans="1:15">
      <c r="A1204" s="451" t="str">
        <f t="shared" si="18"/>
        <v>0_0</v>
      </c>
      <c r="N1204" t="e">
        <f>VLOOKUP(A1204, 'P&amp;L'!A:B,1,FALSE)</f>
        <v>#N/A</v>
      </c>
      <c r="O1204" t="e">
        <f>VLOOKUP(A1204, KeyData!A:C,1,FALSE)</f>
        <v>#N/A</v>
      </c>
    </row>
    <row r="1205" spans="1:15">
      <c r="A1205" s="451" t="str">
        <f t="shared" si="18"/>
        <v>0_0</v>
      </c>
      <c r="N1205" t="e">
        <f>VLOOKUP(A1205, 'P&amp;L'!A:B,1,FALSE)</f>
        <v>#N/A</v>
      </c>
      <c r="O1205" t="e">
        <f>VLOOKUP(A1205, KeyData!A:C,1,FALSE)</f>
        <v>#N/A</v>
      </c>
    </row>
    <row r="1206" spans="1:15">
      <c r="A1206" s="451" t="str">
        <f t="shared" si="18"/>
        <v>0_0</v>
      </c>
      <c r="N1206" t="e">
        <f>VLOOKUP(A1206, 'P&amp;L'!A:B,1,FALSE)</f>
        <v>#N/A</v>
      </c>
      <c r="O1206" t="e">
        <f>VLOOKUP(A1206, KeyData!A:C,1,FALSE)</f>
        <v>#N/A</v>
      </c>
    </row>
    <row r="1207" spans="1:15">
      <c r="A1207" s="451" t="str">
        <f t="shared" si="18"/>
        <v>0_0</v>
      </c>
      <c r="N1207" t="e">
        <f>VLOOKUP(A1207, 'P&amp;L'!A:B,1,FALSE)</f>
        <v>#N/A</v>
      </c>
      <c r="O1207" t="e">
        <f>VLOOKUP(A1207, KeyData!A:C,1,FALSE)</f>
        <v>#N/A</v>
      </c>
    </row>
    <row r="1208" spans="1:15">
      <c r="A1208" s="451" t="str">
        <f t="shared" si="18"/>
        <v>0_0</v>
      </c>
      <c r="N1208" t="e">
        <f>VLOOKUP(A1208, 'P&amp;L'!A:B,1,FALSE)</f>
        <v>#N/A</v>
      </c>
      <c r="O1208" t="e">
        <f>VLOOKUP(A1208, KeyData!A:C,1,FALSE)</f>
        <v>#N/A</v>
      </c>
    </row>
    <row r="1209" spans="1:15">
      <c r="A1209" s="451" t="str">
        <f t="shared" si="18"/>
        <v>0_0</v>
      </c>
      <c r="N1209" t="e">
        <f>VLOOKUP(A1209, 'P&amp;L'!A:B,1,FALSE)</f>
        <v>#N/A</v>
      </c>
      <c r="O1209" t="e">
        <f>VLOOKUP(A1209, KeyData!A:C,1,FALSE)</f>
        <v>#N/A</v>
      </c>
    </row>
    <row r="1210" spans="1:15">
      <c r="A1210" s="451" t="str">
        <f t="shared" si="18"/>
        <v>0_0</v>
      </c>
      <c r="N1210" t="e">
        <f>VLOOKUP(A1210, 'P&amp;L'!A:B,1,FALSE)</f>
        <v>#N/A</v>
      </c>
      <c r="O1210" t="e">
        <f>VLOOKUP(A1210, KeyData!A:C,1,FALSE)</f>
        <v>#N/A</v>
      </c>
    </row>
    <row r="1211" spans="1:15">
      <c r="A1211" s="451" t="str">
        <f t="shared" si="18"/>
        <v>0_0</v>
      </c>
      <c r="N1211" t="e">
        <f>VLOOKUP(A1211, 'P&amp;L'!A:B,1,FALSE)</f>
        <v>#N/A</v>
      </c>
      <c r="O1211" t="e">
        <f>VLOOKUP(A1211, KeyData!A:C,1,FALSE)</f>
        <v>#N/A</v>
      </c>
    </row>
    <row r="1212" spans="1:15">
      <c r="A1212" s="451" t="str">
        <f t="shared" si="18"/>
        <v>0_0</v>
      </c>
      <c r="N1212" t="e">
        <f>VLOOKUP(A1212, 'P&amp;L'!A:B,1,FALSE)</f>
        <v>#N/A</v>
      </c>
      <c r="O1212" t="e">
        <f>VLOOKUP(A1212, KeyData!A:C,1,FALSE)</f>
        <v>#N/A</v>
      </c>
    </row>
    <row r="1213" spans="1:15">
      <c r="A1213" s="451" t="str">
        <f t="shared" si="18"/>
        <v>0_0</v>
      </c>
      <c r="N1213" t="e">
        <f>VLOOKUP(A1213, 'P&amp;L'!A:B,1,FALSE)</f>
        <v>#N/A</v>
      </c>
      <c r="O1213" t="e">
        <f>VLOOKUP(A1213, KeyData!A:C,1,FALSE)</f>
        <v>#N/A</v>
      </c>
    </row>
    <row r="1214" spans="1:15">
      <c r="A1214" s="451" t="str">
        <f t="shared" si="18"/>
        <v>0_0</v>
      </c>
      <c r="N1214" t="e">
        <f>VLOOKUP(A1214, 'P&amp;L'!A:B,1,FALSE)</f>
        <v>#N/A</v>
      </c>
      <c r="O1214" t="e">
        <f>VLOOKUP(A1214, KeyData!A:C,1,FALSE)</f>
        <v>#N/A</v>
      </c>
    </row>
    <row r="1215" spans="1:15">
      <c r="A1215" s="451" t="str">
        <f t="shared" si="18"/>
        <v>0_0</v>
      </c>
      <c r="N1215" t="e">
        <f>VLOOKUP(A1215, 'P&amp;L'!A:B,1,FALSE)</f>
        <v>#N/A</v>
      </c>
      <c r="O1215" t="e">
        <f>VLOOKUP(A1215, KeyData!A:C,1,FALSE)</f>
        <v>#N/A</v>
      </c>
    </row>
    <row r="1216" spans="1:15">
      <c r="A1216" s="451" t="str">
        <f t="shared" si="18"/>
        <v>0_0</v>
      </c>
      <c r="N1216" t="e">
        <f>VLOOKUP(A1216, 'P&amp;L'!A:B,1,FALSE)</f>
        <v>#N/A</v>
      </c>
      <c r="O1216" t="e">
        <f>VLOOKUP(A1216, KeyData!A:C,1,FALSE)</f>
        <v>#N/A</v>
      </c>
    </row>
  </sheetData>
  <phoneticPr fontId="65" type="noConversion"/>
  <pageMargins left="0.7" right="0.7" top="0.75" bottom="0.75" header="0.3" footer="0.3"/>
  <pageSetup paperSize="9" orientation="portrait" r:id="rId1"/>
  <customProperties>
    <customPr name="_pios_id" r:id="rId2"/>
    <customPr name="CofWorksheetType" r:id="rId3"/>
  </customProperties>
  <drawing r:id="rId4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A9FF2-A696-48BA-AD24-A355FFEAFA12}">
  <sheetPr>
    <tabColor rgb="FFFF0000"/>
  </sheetPr>
  <dimension ref="A1:V900"/>
  <sheetViews>
    <sheetView workbookViewId="0">
      <selection activeCell="F3" sqref="F3:F88"/>
    </sheetView>
  </sheetViews>
  <sheetFormatPr defaultRowHeight="15"/>
  <cols>
    <col min="1" max="1" width="16.140625" customWidth="1"/>
    <col min="2" max="2" width="23.42578125" bestFit="1" customWidth="1"/>
    <col min="3" max="3" width="19.140625" bestFit="1" customWidth="1"/>
    <col min="4" max="4" width="9.7109375" bestFit="1" customWidth="1"/>
    <col min="5" max="5" width="13.7109375" bestFit="1" customWidth="1"/>
    <col min="6" max="13" width="10.42578125" bestFit="1" customWidth="1"/>
    <col min="14" max="15" width="10.28515625" bestFit="1" customWidth="1"/>
    <col min="16" max="18" width="10.42578125" bestFit="1" customWidth="1"/>
    <col min="19" max="19" width="7.28515625" bestFit="1" customWidth="1"/>
    <col min="20" max="20" width="5.28515625" bestFit="1" customWidth="1"/>
    <col min="21" max="21" width="4.28515625" bestFit="1" customWidth="1"/>
    <col min="22" max="22" width="3.7109375" bestFit="1" customWidth="1"/>
    <col min="23" max="23" width="4.28515625" bestFit="1" customWidth="1"/>
    <col min="24" max="24" width="3.7109375" bestFit="1" customWidth="1"/>
    <col min="25" max="25" width="6" bestFit="1" customWidth="1"/>
    <col min="26" max="26" width="8.7109375" bestFit="1" customWidth="1"/>
    <col min="27" max="27" width="6.7109375" bestFit="1" customWidth="1"/>
    <col min="28" max="29" width="8.28515625" bestFit="1" customWidth="1"/>
  </cols>
  <sheetData>
    <row r="1" spans="1:22">
      <c r="B1" s="1012" t="s">
        <v>762</v>
      </c>
      <c r="C1" s="1012" t="s">
        <v>762</v>
      </c>
      <c r="D1" s="1012" t="s">
        <v>762</v>
      </c>
      <c r="E1" s="1012" t="s">
        <v>762</v>
      </c>
      <c r="F1" s="808" t="s">
        <v>1133</v>
      </c>
      <c r="G1" s="808" t="s">
        <v>1133</v>
      </c>
      <c r="H1" s="808" t="s">
        <v>1133</v>
      </c>
      <c r="I1" s="808" t="s">
        <v>1133</v>
      </c>
      <c r="J1" s="808" t="s">
        <v>1133</v>
      </c>
      <c r="K1" s="808" t="s">
        <v>1133</v>
      </c>
      <c r="L1" s="808" t="s">
        <v>1133</v>
      </c>
      <c r="M1" s="808" t="s">
        <v>1133</v>
      </c>
      <c r="N1" s="808" t="s">
        <v>1133</v>
      </c>
      <c r="O1" s="808" t="s">
        <v>1133</v>
      </c>
      <c r="P1" s="808" t="s">
        <v>1133</v>
      </c>
      <c r="Q1" s="808" t="s">
        <v>1133</v>
      </c>
      <c r="R1" s="808" t="s">
        <v>1133</v>
      </c>
      <c r="V1" t="s">
        <v>1134</v>
      </c>
    </row>
    <row r="2" spans="1:22">
      <c r="A2" s="451"/>
      <c r="B2" s="1012" t="s">
        <v>1125</v>
      </c>
      <c r="C2" s="1011"/>
      <c r="D2" s="1012" t="s">
        <v>1126</v>
      </c>
      <c r="E2" s="1012" t="s">
        <v>1420</v>
      </c>
      <c r="F2" s="808" t="s">
        <v>1421</v>
      </c>
      <c r="G2" s="808" t="s">
        <v>1422</v>
      </c>
      <c r="H2" s="808" t="s">
        <v>1423</v>
      </c>
      <c r="I2" s="808" t="s">
        <v>1424</v>
      </c>
      <c r="J2" s="808" t="s">
        <v>1425</v>
      </c>
      <c r="K2" s="808" t="s">
        <v>333</v>
      </c>
      <c r="L2" s="808" t="s">
        <v>171</v>
      </c>
      <c r="M2" s="808" t="s">
        <v>1426</v>
      </c>
      <c r="N2" s="808" t="s">
        <v>1427</v>
      </c>
      <c r="O2" s="808" t="s">
        <v>1428</v>
      </c>
      <c r="P2" s="808" t="s">
        <v>1429</v>
      </c>
      <c r="Q2" s="808" t="s">
        <v>1430</v>
      </c>
      <c r="R2" s="808" t="s">
        <v>1431</v>
      </c>
    </row>
    <row r="3" spans="1:22">
      <c r="A3" s="451" t="str">
        <f xml:space="preserve"> IFERROR(+B3*1,B3)&amp;"_"&amp;IFERROR(+D3*1,D3)</f>
        <v>122100000_100</v>
      </c>
      <c r="B3" s="1013" t="s">
        <v>1135</v>
      </c>
      <c r="C3" s="809" t="s">
        <v>1136</v>
      </c>
      <c r="D3" s="808" t="s">
        <v>1137</v>
      </c>
      <c r="E3" s="808" t="s">
        <v>1138</v>
      </c>
      <c r="F3" s="612">
        <v>11564651.297</v>
      </c>
      <c r="G3" s="612"/>
      <c r="H3" s="612"/>
      <c r="I3" s="612"/>
      <c r="J3" s="612"/>
      <c r="K3" s="612"/>
      <c r="L3" s="612"/>
      <c r="M3" s="612"/>
      <c r="N3" s="612"/>
      <c r="O3" s="612"/>
      <c r="P3" s="612"/>
      <c r="Q3" s="612"/>
      <c r="R3" s="613"/>
    </row>
    <row r="4" spans="1:22">
      <c r="A4" s="451" t="str">
        <f t="shared" ref="A4:A67" si="0" xml:space="preserve"> IFERROR(+B4*1,B4)&amp;"_"&amp;IFERROR(+D4*1,D4)</f>
        <v>122100000_110</v>
      </c>
      <c r="B4" s="1013" t="s">
        <v>1135</v>
      </c>
      <c r="C4" s="809" t="s">
        <v>1136</v>
      </c>
      <c r="D4" s="808" t="s">
        <v>1139</v>
      </c>
      <c r="E4" s="808" t="s">
        <v>1140</v>
      </c>
      <c r="F4" s="612"/>
      <c r="G4" s="612">
        <v>0</v>
      </c>
      <c r="H4" s="612">
        <v>0</v>
      </c>
      <c r="I4" s="612">
        <v>0</v>
      </c>
      <c r="J4" s="612">
        <v>0</v>
      </c>
      <c r="K4" s="612">
        <v>0</v>
      </c>
      <c r="L4" s="612">
        <v>0</v>
      </c>
      <c r="M4" s="612">
        <v>0</v>
      </c>
      <c r="N4" s="612">
        <v>7916.9449999999997</v>
      </c>
      <c r="O4" s="612">
        <v>0</v>
      </c>
      <c r="P4" s="612">
        <v>0</v>
      </c>
      <c r="Q4" s="612">
        <v>0</v>
      </c>
      <c r="R4" s="613">
        <v>0</v>
      </c>
    </row>
    <row r="5" spans="1:22">
      <c r="A5" s="451" t="str">
        <f t="shared" si="0"/>
        <v>122100000_200</v>
      </c>
      <c r="B5" s="1013" t="s">
        <v>1135</v>
      </c>
      <c r="C5" s="809" t="s">
        <v>1136</v>
      </c>
      <c r="D5" s="808" t="s">
        <v>1149</v>
      </c>
      <c r="E5" s="808" t="s">
        <v>1138</v>
      </c>
      <c r="F5" s="612">
        <v>-8676451.2420000006</v>
      </c>
      <c r="G5" s="612"/>
      <c r="H5" s="612"/>
      <c r="I5" s="612"/>
      <c r="J5" s="612"/>
      <c r="K5" s="612"/>
      <c r="L5" s="612"/>
      <c r="M5" s="612"/>
      <c r="N5" s="612"/>
      <c r="O5" s="612"/>
      <c r="P5" s="612"/>
      <c r="Q5" s="612"/>
      <c r="R5" s="613"/>
    </row>
    <row r="6" spans="1:22">
      <c r="A6" s="451" t="str">
        <f t="shared" si="0"/>
        <v>122100000_210</v>
      </c>
      <c r="B6" s="1013" t="s">
        <v>1135</v>
      </c>
      <c r="C6" s="809" t="s">
        <v>1136</v>
      </c>
      <c r="D6" s="808" t="s">
        <v>1150</v>
      </c>
      <c r="E6" s="808" t="s">
        <v>1151</v>
      </c>
      <c r="F6" s="612"/>
      <c r="G6" s="612">
        <v>-192761.696</v>
      </c>
      <c r="H6" s="612">
        <v>-192761.696</v>
      </c>
      <c r="I6" s="612">
        <v>-192761.696</v>
      </c>
      <c r="J6" s="612">
        <v>-192761.696</v>
      </c>
      <c r="K6" s="612">
        <v>-192761.696</v>
      </c>
      <c r="L6" s="612">
        <v>-192761.696</v>
      </c>
      <c r="M6" s="612">
        <v>-192761.696</v>
      </c>
      <c r="N6" s="612">
        <v>-192893.64499999999</v>
      </c>
      <c r="O6" s="612">
        <v>-192893.64499999999</v>
      </c>
      <c r="P6" s="612">
        <v>-192893.64499999999</v>
      </c>
      <c r="Q6" s="612">
        <v>-192893.64499999999</v>
      </c>
      <c r="R6" s="613">
        <v>-192893.64499999999</v>
      </c>
    </row>
    <row r="7" spans="1:22">
      <c r="A7" s="451" t="str">
        <f t="shared" si="0"/>
        <v>122100000_Result</v>
      </c>
      <c r="B7" s="1013" t="s">
        <v>1135</v>
      </c>
      <c r="C7" s="809" t="s">
        <v>1136</v>
      </c>
      <c r="D7" s="842" t="s">
        <v>1156</v>
      </c>
      <c r="E7" s="840"/>
      <c r="F7" s="836">
        <v>2888200.0550000002</v>
      </c>
      <c r="G7" s="836">
        <v>-192761.696</v>
      </c>
      <c r="H7" s="836">
        <v>-192761.696</v>
      </c>
      <c r="I7" s="836">
        <v>-192761.696</v>
      </c>
      <c r="J7" s="836">
        <v>-192761.696</v>
      </c>
      <c r="K7" s="836">
        <v>-192761.696</v>
      </c>
      <c r="L7" s="836">
        <v>-192761.696</v>
      </c>
      <c r="M7" s="836">
        <v>-192761.696</v>
      </c>
      <c r="N7" s="836">
        <v>-184976.7</v>
      </c>
      <c r="O7" s="836">
        <v>-192893.64499999999</v>
      </c>
      <c r="P7" s="836">
        <v>-192893.64499999999</v>
      </c>
      <c r="Q7" s="836">
        <v>-192893.64499999999</v>
      </c>
      <c r="R7" s="838">
        <v>-192893.64499999999</v>
      </c>
    </row>
    <row r="8" spans="1:22">
      <c r="A8" s="451" t="str">
        <f t="shared" si="0"/>
        <v>122133000_100</v>
      </c>
      <c r="B8" s="1014" t="s">
        <v>1157</v>
      </c>
      <c r="C8" s="810" t="s">
        <v>1158</v>
      </c>
      <c r="D8" s="808" t="s">
        <v>1137</v>
      </c>
      <c r="E8" s="808" t="s">
        <v>1138</v>
      </c>
      <c r="F8" s="612">
        <v>11541268.528000001</v>
      </c>
      <c r="G8" s="612"/>
      <c r="H8" s="612"/>
      <c r="I8" s="612"/>
      <c r="J8" s="612"/>
      <c r="K8" s="612"/>
      <c r="L8" s="612"/>
      <c r="M8" s="612"/>
      <c r="N8" s="612"/>
      <c r="O8" s="612"/>
      <c r="P8" s="612"/>
      <c r="Q8" s="612"/>
      <c r="R8" s="613"/>
    </row>
    <row r="9" spans="1:22">
      <c r="A9" s="451" t="str">
        <f t="shared" si="0"/>
        <v>122133000_200</v>
      </c>
      <c r="B9" s="1014" t="s">
        <v>1157</v>
      </c>
      <c r="C9" s="810" t="s">
        <v>1158</v>
      </c>
      <c r="D9" s="808" t="s">
        <v>1149</v>
      </c>
      <c r="E9" s="808" t="s">
        <v>1138</v>
      </c>
      <c r="F9" s="612">
        <v>-8655951.3969999999</v>
      </c>
      <c r="G9" s="612"/>
      <c r="H9" s="612"/>
      <c r="I9" s="612"/>
      <c r="J9" s="612"/>
      <c r="K9" s="612"/>
      <c r="L9" s="612"/>
      <c r="M9" s="612"/>
      <c r="N9" s="612"/>
      <c r="O9" s="612"/>
      <c r="P9" s="612"/>
      <c r="Q9" s="612"/>
      <c r="R9" s="613"/>
    </row>
    <row r="10" spans="1:22">
      <c r="A10" s="451" t="str">
        <f t="shared" si="0"/>
        <v>122133000_210</v>
      </c>
      <c r="B10" s="1014" t="s">
        <v>1157</v>
      </c>
      <c r="C10" s="810" t="s">
        <v>1158</v>
      </c>
      <c r="D10" s="808" t="s">
        <v>1150</v>
      </c>
      <c r="E10" s="808" t="s">
        <v>1151</v>
      </c>
      <c r="F10" s="612"/>
      <c r="G10" s="612">
        <v>-192354.476</v>
      </c>
      <c r="H10" s="612">
        <v>-192354.476</v>
      </c>
      <c r="I10" s="612">
        <v>-192354.476</v>
      </c>
      <c r="J10" s="612">
        <v>-192354.476</v>
      </c>
      <c r="K10" s="612">
        <v>-192354.476</v>
      </c>
      <c r="L10" s="612">
        <v>-192354.476</v>
      </c>
      <c r="M10" s="612">
        <v>-192354.476</v>
      </c>
      <c r="N10" s="612">
        <v>-192354.476</v>
      </c>
      <c r="O10" s="612">
        <v>-192354.476</v>
      </c>
      <c r="P10" s="612">
        <v>-192354.476</v>
      </c>
      <c r="Q10" s="612">
        <v>-192354.476</v>
      </c>
      <c r="R10" s="613">
        <v>-192354.476</v>
      </c>
    </row>
    <row r="11" spans="1:22">
      <c r="A11" s="451" t="str">
        <f t="shared" si="0"/>
        <v>122133000_Result</v>
      </c>
      <c r="B11" s="1014" t="s">
        <v>1157</v>
      </c>
      <c r="C11" s="810" t="s">
        <v>1158</v>
      </c>
      <c r="D11" s="842" t="s">
        <v>1156</v>
      </c>
      <c r="E11" s="840"/>
      <c r="F11" s="836">
        <v>2885317.1310000001</v>
      </c>
      <c r="G11" s="836">
        <v>-192354.476</v>
      </c>
      <c r="H11" s="836">
        <v>-192354.476</v>
      </c>
      <c r="I11" s="836">
        <v>-192354.476</v>
      </c>
      <c r="J11" s="836">
        <v>-192354.476</v>
      </c>
      <c r="K11" s="836">
        <v>-192354.476</v>
      </c>
      <c r="L11" s="836">
        <v>-192354.476</v>
      </c>
      <c r="M11" s="836">
        <v>-192354.476</v>
      </c>
      <c r="N11" s="836">
        <v>-192354.476</v>
      </c>
      <c r="O11" s="836">
        <v>-192354.476</v>
      </c>
      <c r="P11" s="836">
        <v>-192354.476</v>
      </c>
      <c r="Q11" s="836">
        <v>-192354.476</v>
      </c>
      <c r="R11" s="838">
        <v>-192354.476</v>
      </c>
    </row>
    <row r="12" spans="1:22">
      <c r="A12" s="451" t="str">
        <f t="shared" si="0"/>
        <v>122133100_100</v>
      </c>
      <c r="B12" s="1015" t="s">
        <v>1159</v>
      </c>
      <c r="C12" s="811" t="s">
        <v>1160</v>
      </c>
      <c r="D12" s="808" t="s">
        <v>1137</v>
      </c>
      <c r="E12" s="808" t="s">
        <v>1138</v>
      </c>
      <c r="F12" s="612">
        <v>11541268.528000001</v>
      </c>
      <c r="G12" s="612"/>
      <c r="H12" s="612"/>
      <c r="I12" s="612"/>
      <c r="J12" s="612"/>
      <c r="K12" s="612"/>
      <c r="L12" s="612"/>
      <c r="M12" s="612"/>
      <c r="N12" s="612"/>
      <c r="O12" s="612"/>
      <c r="P12" s="612"/>
      <c r="Q12" s="612"/>
      <c r="R12" s="613"/>
    </row>
    <row r="13" spans="1:22">
      <c r="A13" s="451" t="str">
        <f t="shared" si="0"/>
        <v>122133100_200</v>
      </c>
      <c r="B13" s="1015" t="s">
        <v>1159</v>
      </c>
      <c r="C13" s="811" t="s">
        <v>1160</v>
      </c>
      <c r="D13" s="808" t="s">
        <v>1149</v>
      </c>
      <c r="E13" s="808" t="s">
        <v>1138</v>
      </c>
      <c r="F13" s="612">
        <v>-8655951.3969999999</v>
      </c>
      <c r="G13" s="612"/>
      <c r="H13" s="612"/>
      <c r="I13" s="612"/>
      <c r="J13" s="612"/>
      <c r="K13" s="612"/>
      <c r="L13" s="612"/>
      <c r="M13" s="612"/>
      <c r="N13" s="612"/>
      <c r="O13" s="612"/>
      <c r="P13" s="612"/>
      <c r="Q13" s="612"/>
      <c r="R13" s="613"/>
    </row>
    <row r="14" spans="1:22">
      <c r="A14" s="451" t="str">
        <f t="shared" si="0"/>
        <v>122133100_210</v>
      </c>
      <c r="B14" s="1015" t="s">
        <v>1159</v>
      </c>
      <c r="C14" s="811" t="s">
        <v>1160</v>
      </c>
      <c r="D14" s="808" t="s">
        <v>1150</v>
      </c>
      <c r="E14" s="808" t="s">
        <v>1151</v>
      </c>
      <c r="F14" s="612"/>
      <c r="G14" s="612">
        <v>-192354.476</v>
      </c>
      <c r="H14" s="612">
        <v>-192354.476</v>
      </c>
      <c r="I14" s="612">
        <v>-192354.476</v>
      </c>
      <c r="J14" s="612">
        <v>-192354.476</v>
      </c>
      <c r="K14" s="612">
        <v>-192354.476</v>
      </c>
      <c r="L14" s="612">
        <v>-192354.476</v>
      </c>
      <c r="M14" s="612">
        <v>-192354.476</v>
      </c>
      <c r="N14" s="612">
        <v>-192354.476</v>
      </c>
      <c r="O14" s="612">
        <v>-192354.476</v>
      </c>
      <c r="P14" s="612">
        <v>-192354.476</v>
      </c>
      <c r="Q14" s="612">
        <v>-192354.476</v>
      </c>
      <c r="R14" s="613">
        <v>-192354.476</v>
      </c>
    </row>
    <row r="15" spans="1:22">
      <c r="A15" s="451" t="str">
        <f t="shared" si="0"/>
        <v>122133100_Result</v>
      </c>
      <c r="B15" s="1015" t="s">
        <v>1159</v>
      </c>
      <c r="C15" s="811" t="s">
        <v>1160</v>
      </c>
      <c r="D15" s="842" t="s">
        <v>1156</v>
      </c>
      <c r="E15" s="840"/>
      <c r="F15" s="836">
        <v>2885317.1310000001</v>
      </c>
      <c r="G15" s="836">
        <v>-192354.476</v>
      </c>
      <c r="H15" s="836">
        <v>-192354.476</v>
      </c>
      <c r="I15" s="836">
        <v>-192354.476</v>
      </c>
      <c r="J15" s="836">
        <v>-192354.476</v>
      </c>
      <c r="K15" s="836">
        <v>-192354.476</v>
      </c>
      <c r="L15" s="836">
        <v>-192354.476</v>
      </c>
      <c r="M15" s="836">
        <v>-192354.476</v>
      </c>
      <c r="N15" s="836">
        <v>-192354.476</v>
      </c>
      <c r="O15" s="836">
        <v>-192354.476</v>
      </c>
      <c r="P15" s="836">
        <v>-192354.476</v>
      </c>
      <c r="Q15" s="836">
        <v>-192354.476</v>
      </c>
      <c r="R15" s="838">
        <v>-192354.476</v>
      </c>
    </row>
    <row r="16" spans="1:22">
      <c r="A16" s="451" t="str">
        <f t="shared" si="0"/>
        <v>122142000_100</v>
      </c>
      <c r="B16" s="1016" t="s">
        <v>1163</v>
      </c>
      <c r="C16" s="810" t="s">
        <v>1164</v>
      </c>
      <c r="D16" s="808" t="s">
        <v>1137</v>
      </c>
      <c r="E16" s="808" t="s">
        <v>1138</v>
      </c>
      <c r="F16" s="612">
        <v>23382.769</v>
      </c>
      <c r="G16" s="612"/>
      <c r="H16" s="612"/>
      <c r="I16" s="612"/>
      <c r="J16" s="612"/>
      <c r="K16" s="612"/>
      <c r="L16" s="612"/>
      <c r="M16" s="612"/>
      <c r="N16" s="612"/>
      <c r="O16" s="612"/>
      <c r="P16" s="612"/>
      <c r="Q16" s="612"/>
      <c r="R16" s="613"/>
    </row>
    <row r="17" spans="1:18">
      <c r="A17" s="451" t="str">
        <f t="shared" si="0"/>
        <v>122142000_110</v>
      </c>
      <c r="B17" s="1016" t="s">
        <v>1163</v>
      </c>
      <c r="C17" s="810" t="s">
        <v>1164</v>
      </c>
      <c r="D17" s="808" t="s">
        <v>1139</v>
      </c>
      <c r="E17" s="808" t="s">
        <v>1140</v>
      </c>
      <c r="F17" s="612"/>
      <c r="G17" s="612">
        <v>0</v>
      </c>
      <c r="H17" s="612">
        <v>0</v>
      </c>
      <c r="I17" s="612">
        <v>0</v>
      </c>
      <c r="J17" s="612">
        <v>0</v>
      </c>
      <c r="K17" s="612">
        <v>0</v>
      </c>
      <c r="L17" s="612">
        <v>0</v>
      </c>
      <c r="M17" s="612">
        <v>0</v>
      </c>
      <c r="N17" s="612">
        <v>7916.9449999999997</v>
      </c>
      <c r="O17" s="612">
        <v>0</v>
      </c>
      <c r="P17" s="612">
        <v>0</v>
      </c>
      <c r="Q17" s="612">
        <v>0</v>
      </c>
      <c r="R17" s="613">
        <v>0</v>
      </c>
    </row>
    <row r="18" spans="1:18">
      <c r="A18" s="451" t="str">
        <f t="shared" si="0"/>
        <v>122142000_200</v>
      </c>
      <c r="B18" s="1016" t="s">
        <v>1163</v>
      </c>
      <c r="C18" s="810" t="s">
        <v>1164</v>
      </c>
      <c r="D18" s="808" t="s">
        <v>1149</v>
      </c>
      <c r="E18" s="808" t="s">
        <v>1138</v>
      </c>
      <c r="F18" s="612">
        <v>-20499.845000000001</v>
      </c>
      <c r="G18" s="612"/>
      <c r="H18" s="612"/>
      <c r="I18" s="612"/>
      <c r="J18" s="612"/>
      <c r="K18" s="612"/>
      <c r="L18" s="612"/>
      <c r="M18" s="612"/>
      <c r="N18" s="612"/>
      <c r="O18" s="612"/>
      <c r="P18" s="612"/>
      <c r="Q18" s="612"/>
      <c r="R18" s="613"/>
    </row>
    <row r="19" spans="1:18">
      <c r="A19" s="451" t="str">
        <f t="shared" si="0"/>
        <v>122142000_210</v>
      </c>
      <c r="B19" s="1016" t="s">
        <v>1163</v>
      </c>
      <c r="C19" s="810" t="s">
        <v>1164</v>
      </c>
      <c r="D19" s="808" t="s">
        <v>1150</v>
      </c>
      <c r="E19" s="808" t="s">
        <v>1151</v>
      </c>
      <c r="F19" s="612"/>
      <c r="G19" s="612">
        <v>-407.22</v>
      </c>
      <c r="H19" s="612">
        <v>-407.22</v>
      </c>
      <c r="I19" s="612">
        <v>-407.22</v>
      </c>
      <c r="J19" s="612">
        <v>-407.22</v>
      </c>
      <c r="K19" s="612">
        <v>-407.22</v>
      </c>
      <c r="L19" s="612">
        <v>-407.22</v>
      </c>
      <c r="M19" s="612">
        <v>-407.22</v>
      </c>
      <c r="N19" s="612">
        <v>-539.16899999999998</v>
      </c>
      <c r="O19" s="612">
        <v>-539.16899999999998</v>
      </c>
      <c r="P19" s="612">
        <v>-539.16899999999998</v>
      </c>
      <c r="Q19" s="612">
        <v>-539.16899999999998</v>
      </c>
      <c r="R19" s="613">
        <v>-539.16899999999998</v>
      </c>
    </row>
    <row r="20" spans="1:18">
      <c r="A20" s="451" t="str">
        <f t="shared" si="0"/>
        <v>122142000_Result</v>
      </c>
      <c r="B20" s="1016" t="s">
        <v>1163</v>
      </c>
      <c r="C20" s="810" t="s">
        <v>1164</v>
      </c>
      <c r="D20" s="842" t="s">
        <v>1156</v>
      </c>
      <c r="E20" s="840"/>
      <c r="F20" s="836">
        <v>2882.924</v>
      </c>
      <c r="G20" s="836">
        <v>-407.22</v>
      </c>
      <c r="H20" s="836">
        <v>-407.22</v>
      </c>
      <c r="I20" s="836">
        <v>-407.22</v>
      </c>
      <c r="J20" s="836">
        <v>-407.22</v>
      </c>
      <c r="K20" s="836">
        <v>-407.22</v>
      </c>
      <c r="L20" s="836">
        <v>-407.22</v>
      </c>
      <c r="M20" s="836">
        <v>-407.22</v>
      </c>
      <c r="N20" s="836">
        <v>7377.7759999999998</v>
      </c>
      <c r="O20" s="836">
        <v>-539.16899999999998</v>
      </c>
      <c r="P20" s="836">
        <v>-539.16899999999998</v>
      </c>
      <c r="Q20" s="836">
        <v>-539.16899999999998</v>
      </c>
      <c r="R20" s="838">
        <v>-539.16899999999998</v>
      </c>
    </row>
    <row r="21" spans="1:18">
      <c r="A21" s="451" t="str">
        <f t="shared" si="0"/>
        <v>122600000_100</v>
      </c>
      <c r="B21" s="1013" t="s">
        <v>1165</v>
      </c>
      <c r="C21" s="809" t="s">
        <v>1166</v>
      </c>
      <c r="D21" s="808" t="s">
        <v>1137</v>
      </c>
      <c r="E21" s="808" t="s">
        <v>1138</v>
      </c>
      <c r="F21" s="612">
        <v>49280429.979000002</v>
      </c>
      <c r="G21" s="612"/>
      <c r="H21" s="612"/>
      <c r="I21" s="612"/>
      <c r="J21" s="612"/>
      <c r="K21" s="612"/>
      <c r="L21" s="612"/>
      <c r="M21" s="612"/>
      <c r="N21" s="612"/>
      <c r="O21" s="612"/>
      <c r="P21" s="612"/>
      <c r="Q21" s="612"/>
      <c r="R21" s="613"/>
    </row>
    <row r="22" spans="1:18">
      <c r="A22" s="451" t="str">
        <f t="shared" si="0"/>
        <v>122600000_110</v>
      </c>
      <c r="B22" s="1013" t="s">
        <v>1165</v>
      </c>
      <c r="C22" s="809" t="s">
        <v>1166</v>
      </c>
      <c r="D22" s="808" t="s">
        <v>1139</v>
      </c>
      <c r="E22" s="808" t="s">
        <v>1140</v>
      </c>
      <c r="F22" s="612"/>
      <c r="G22" s="612">
        <v>269077.03200000001</v>
      </c>
      <c r="H22" s="612">
        <v>345726.63900000002</v>
      </c>
      <c r="I22" s="612">
        <v>369604.80099999998</v>
      </c>
      <c r="J22" s="612">
        <v>118205.395</v>
      </c>
      <c r="K22" s="612">
        <v>211044.03</v>
      </c>
      <c r="L22" s="612">
        <v>138417.435</v>
      </c>
      <c r="M22" s="612">
        <v>209396.96400000001</v>
      </c>
      <c r="N22" s="612">
        <v>1202053.121</v>
      </c>
      <c r="O22" s="612">
        <v>6899.0519999999997</v>
      </c>
      <c r="P22" s="612">
        <v>270260.96600000001</v>
      </c>
      <c r="Q22" s="612">
        <v>2652.0630000000001</v>
      </c>
      <c r="R22" s="613">
        <v>196824.97099999999</v>
      </c>
    </row>
    <row r="23" spans="1:18">
      <c r="A23" s="451" t="str">
        <f t="shared" si="0"/>
        <v>122600000_200</v>
      </c>
      <c r="B23" s="1013" t="s">
        <v>1165</v>
      </c>
      <c r="C23" s="809" t="s">
        <v>1166</v>
      </c>
      <c r="D23" s="808" t="s">
        <v>1149</v>
      </c>
      <c r="E23" s="808" t="s">
        <v>1138</v>
      </c>
      <c r="F23" s="612">
        <v>-28441069.065000001</v>
      </c>
      <c r="G23" s="612"/>
      <c r="H23" s="612"/>
      <c r="I23" s="612"/>
      <c r="J23" s="612"/>
      <c r="K23" s="612"/>
      <c r="L23" s="612"/>
      <c r="M23" s="612"/>
      <c r="N23" s="612"/>
      <c r="O23" s="612"/>
      <c r="P23" s="612"/>
      <c r="Q23" s="612"/>
      <c r="R23" s="613"/>
    </row>
    <row r="24" spans="1:18">
      <c r="A24" s="451" t="str">
        <f t="shared" si="0"/>
        <v>122600000_210</v>
      </c>
      <c r="B24" s="1013" t="s">
        <v>1165</v>
      </c>
      <c r="C24" s="809" t="s">
        <v>1166</v>
      </c>
      <c r="D24" s="808" t="s">
        <v>1150</v>
      </c>
      <c r="E24" s="808" t="s">
        <v>1151</v>
      </c>
      <c r="F24" s="612"/>
      <c r="G24" s="612">
        <v>-354436.11800000002</v>
      </c>
      <c r="H24" s="612">
        <v>-356928.89500000002</v>
      </c>
      <c r="I24" s="612">
        <v>-357286.80699999997</v>
      </c>
      <c r="J24" s="612">
        <v>-358518.11300000001</v>
      </c>
      <c r="K24" s="612">
        <v>-358593.51299999998</v>
      </c>
      <c r="L24" s="612">
        <v>-360564.72399999999</v>
      </c>
      <c r="M24" s="612">
        <v>-362990.47399999999</v>
      </c>
      <c r="N24" s="612">
        <v>-374546.74400000001</v>
      </c>
      <c r="O24" s="612">
        <v>-374604.23599999998</v>
      </c>
      <c r="P24" s="612">
        <v>-374604.23599999998</v>
      </c>
      <c r="Q24" s="612">
        <v>-374648.43599999999</v>
      </c>
      <c r="R24" s="613">
        <v>-374648.43599999999</v>
      </c>
    </row>
    <row r="25" spans="1:18">
      <c r="A25" s="451" t="str">
        <f t="shared" si="0"/>
        <v>122600000_211</v>
      </c>
      <c r="B25" s="1013" t="s">
        <v>1165</v>
      </c>
      <c r="C25" s="809" t="s">
        <v>1166</v>
      </c>
      <c r="D25" s="808" t="s">
        <v>1171</v>
      </c>
      <c r="E25" s="808" t="s">
        <v>1172</v>
      </c>
      <c r="F25" s="612"/>
      <c r="G25" s="612">
        <v>-10103.189</v>
      </c>
      <c r="H25" s="612">
        <v>-10103.189</v>
      </c>
      <c r="I25" s="612">
        <v>-13302.252</v>
      </c>
      <c r="J25" s="612">
        <v>-13302.252</v>
      </c>
      <c r="K25" s="612">
        <v>-13302.252</v>
      </c>
      <c r="L25" s="612">
        <v>-13302.252</v>
      </c>
      <c r="M25" s="612">
        <v>-13302.252</v>
      </c>
      <c r="N25" s="612">
        <v>-13302.252</v>
      </c>
      <c r="O25" s="612">
        <v>-13302.252</v>
      </c>
      <c r="P25" s="612">
        <v>-13302.252</v>
      </c>
      <c r="Q25" s="612">
        <v>-13302.252</v>
      </c>
      <c r="R25" s="613">
        <v>-13302.252</v>
      </c>
    </row>
    <row r="26" spans="1:18">
      <c r="A26" s="451" t="str">
        <f t="shared" si="0"/>
        <v>122600000_Result</v>
      </c>
      <c r="B26" s="1013" t="s">
        <v>1165</v>
      </c>
      <c r="C26" s="809" t="s">
        <v>1166</v>
      </c>
      <c r="D26" s="842" t="s">
        <v>1156</v>
      </c>
      <c r="E26" s="840"/>
      <c r="F26" s="836">
        <v>20839360.914000001</v>
      </c>
      <c r="G26" s="836">
        <v>-95462.274999999994</v>
      </c>
      <c r="H26" s="836">
        <v>-21305.445</v>
      </c>
      <c r="I26" s="836">
        <v>-984.25800000000004</v>
      </c>
      <c r="J26" s="836">
        <v>-253614.97</v>
      </c>
      <c r="K26" s="836">
        <v>-160851.73499999999</v>
      </c>
      <c r="L26" s="836">
        <v>-235449.541</v>
      </c>
      <c r="M26" s="836">
        <v>-166895.76199999999</v>
      </c>
      <c r="N26" s="836">
        <v>814204.125</v>
      </c>
      <c r="O26" s="836">
        <v>-381007.43599999999</v>
      </c>
      <c r="P26" s="836">
        <v>-117645.522</v>
      </c>
      <c r="Q26" s="836">
        <v>-385298.625</v>
      </c>
      <c r="R26" s="838">
        <v>-191125.717</v>
      </c>
    </row>
    <row r="27" spans="1:18">
      <c r="A27" s="451" t="str">
        <f t="shared" si="0"/>
        <v>122612000_100</v>
      </c>
      <c r="B27" s="1016" t="s">
        <v>1177</v>
      </c>
      <c r="C27" s="810" t="s">
        <v>1178</v>
      </c>
      <c r="D27" s="808" t="s">
        <v>1137</v>
      </c>
      <c r="E27" s="808" t="s">
        <v>1138</v>
      </c>
      <c r="F27" s="612">
        <v>1136423.5249999999</v>
      </c>
      <c r="G27" s="612"/>
      <c r="H27" s="612"/>
      <c r="I27" s="612"/>
      <c r="J27" s="612"/>
      <c r="K27" s="612"/>
      <c r="L27" s="612"/>
      <c r="M27" s="612"/>
      <c r="N27" s="612"/>
      <c r="O27" s="612"/>
      <c r="P27" s="612"/>
      <c r="Q27" s="612"/>
      <c r="R27" s="613"/>
    </row>
    <row r="28" spans="1:18">
      <c r="A28" s="451" t="str">
        <f t="shared" si="0"/>
        <v>122612000_Result</v>
      </c>
      <c r="B28" s="1016" t="s">
        <v>1177</v>
      </c>
      <c r="C28" s="810" t="s">
        <v>1178</v>
      </c>
      <c r="D28" s="842" t="s">
        <v>1156</v>
      </c>
      <c r="E28" s="840"/>
      <c r="F28" s="836">
        <v>1136423.5249999999</v>
      </c>
      <c r="G28" s="836"/>
      <c r="H28" s="836"/>
      <c r="I28" s="836"/>
      <c r="J28" s="836"/>
      <c r="K28" s="836"/>
      <c r="L28" s="836"/>
      <c r="M28" s="836"/>
      <c r="N28" s="836"/>
      <c r="O28" s="836"/>
      <c r="P28" s="836"/>
      <c r="Q28" s="836"/>
      <c r="R28" s="838"/>
    </row>
    <row r="29" spans="1:18">
      <c r="A29" s="451" t="str">
        <f t="shared" si="0"/>
        <v>122613000_100</v>
      </c>
      <c r="B29" s="1016" t="s">
        <v>1179</v>
      </c>
      <c r="C29" s="810" t="s">
        <v>1180</v>
      </c>
      <c r="D29" s="808" t="s">
        <v>1137</v>
      </c>
      <c r="E29" s="808" t="s">
        <v>1138</v>
      </c>
      <c r="F29" s="612">
        <v>-7266.0389999999998</v>
      </c>
      <c r="G29" s="612"/>
      <c r="H29" s="612"/>
      <c r="I29" s="612"/>
      <c r="J29" s="612"/>
      <c r="K29" s="612"/>
      <c r="L29" s="612"/>
      <c r="M29" s="612"/>
      <c r="N29" s="612"/>
      <c r="O29" s="612"/>
      <c r="P29" s="612"/>
      <c r="Q29" s="612"/>
      <c r="R29" s="613"/>
    </row>
    <row r="30" spans="1:18">
      <c r="A30" s="451" t="str">
        <f t="shared" si="0"/>
        <v>122613000_200</v>
      </c>
      <c r="B30" s="1016" t="s">
        <v>1179</v>
      </c>
      <c r="C30" s="810" t="s">
        <v>1180</v>
      </c>
      <c r="D30" s="808" t="s">
        <v>1149</v>
      </c>
      <c r="E30" s="808" t="s">
        <v>1138</v>
      </c>
      <c r="F30" s="612">
        <v>6982.5569999999998</v>
      </c>
      <c r="G30" s="612"/>
      <c r="H30" s="612"/>
      <c r="I30" s="612"/>
      <c r="J30" s="612"/>
      <c r="K30" s="612"/>
      <c r="L30" s="612"/>
      <c r="M30" s="612"/>
      <c r="N30" s="612"/>
      <c r="O30" s="612"/>
      <c r="P30" s="612"/>
      <c r="Q30" s="612"/>
      <c r="R30" s="613"/>
    </row>
    <row r="31" spans="1:18">
      <c r="A31" s="451" t="str">
        <f t="shared" si="0"/>
        <v>122613000_Result</v>
      </c>
      <c r="B31" s="1016" t="s">
        <v>1179</v>
      </c>
      <c r="C31" s="810" t="s">
        <v>1180</v>
      </c>
      <c r="D31" s="842" t="s">
        <v>1156</v>
      </c>
      <c r="E31" s="840"/>
      <c r="F31" s="836">
        <v>-283.48200000000003</v>
      </c>
      <c r="G31" s="836"/>
      <c r="H31" s="836"/>
      <c r="I31" s="836"/>
      <c r="J31" s="836"/>
      <c r="K31" s="836"/>
      <c r="L31" s="836"/>
      <c r="M31" s="836"/>
      <c r="N31" s="836"/>
      <c r="O31" s="836"/>
      <c r="P31" s="836"/>
      <c r="Q31" s="836"/>
      <c r="R31" s="838"/>
    </row>
    <row r="32" spans="1:18">
      <c r="A32" s="451" t="str">
        <f t="shared" si="0"/>
        <v>122617100_100</v>
      </c>
      <c r="B32" s="1016" t="s">
        <v>1181</v>
      </c>
      <c r="C32" s="810" t="s">
        <v>1182</v>
      </c>
      <c r="D32" s="808" t="s">
        <v>1137</v>
      </c>
      <c r="E32" s="808" t="s">
        <v>1138</v>
      </c>
      <c r="F32" s="612">
        <v>4433828.5360000003</v>
      </c>
      <c r="G32" s="612"/>
      <c r="H32" s="612"/>
      <c r="I32" s="612"/>
      <c r="J32" s="612"/>
      <c r="K32" s="612"/>
      <c r="L32" s="612"/>
      <c r="M32" s="612"/>
      <c r="N32" s="612"/>
      <c r="O32" s="612"/>
      <c r="P32" s="612"/>
      <c r="Q32" s="612"/>
      <c r="R32" s="613"/>
    </row>
    <row r="33" spans="1:18">
      <c r="A33" s="451" t="str">
        <f t="shared" si="0"/>
        <v>122617100_110</v>
      </c>
      <c r="B33" s="1016" t="s">
        <v>1181</v>
      </c>
      <c r="C33" s="810" t="s">
        <v>1182</v>
      </c>
      <c r="D33" s="808" t="s">
        <v>1139</v>
      </c>
      <c r="E33" s="808" t="s">
        <v>1140</v>
      </c>
      <c r="F33" s="612"/>
      <c r="G33" s="612">
        <v>227061.253</v>
      </c>
      <c r="H33" s="612">
        <v>37322.739000000001</v>
      </c>
      <c r="I33" s="612">
        <v>172999.49100000001</v>
      </c>
      <c r="J33" s="612">
        <v>0</v>
      </c>
      <c r="K33" s="612">
        <v>201996.09299999999</v>
      </c>
      <c r="L33" s="612">
        <v>0</v>
      </c>
      <c r="M33" s="612">
        <v>0</v>
      </c>
      <c r="N33" s="612">
        <v>249198.04800000001</v>
      </c>
      <c r="O33" s="612">
        <v>0</v>
      </c>
      <c r="P33" s="612">
        <v>246031.27</v>
      </c>
      <c r="Q33" s="612">
        <v>0</v>
      </c>
      <c r="R33" s="613">
        <v>196824.97099999999</v>
      </c>
    </row>
    <row r="34" spans="1:18">
      <c r="A34" s="451" t="str">
        <f t="shared" si="0"/>
        <v>122617100_200</v>
      </c>
      <c r="B34" s="1016" t="s">
        <v>1181</v>
      </c>
      <c r="C34" s="810" t="s">
        <v>1182</v>
      </c>
      <c r="D34" s="808" t="s">
        <v>1149</v>
      </c>
      <c r="E34" s="808" t="s">
        <v>1138</v>
      </c>
      <c r="F34" s="612">
        <v>-2270024.608</v>
      </c>
      <c r="G34" s="612"/>
      <c r="H34" s="612"/>
      <c r="I34" s="612"/>
      <c r="J34" s="612"/>
      <c r="K34" s="612"/>
      <c r="L34" s="612"/>
      <c r="M34" s="612"/>
      <c r="N34" s="612"/>
      <c r="O34" s="612"/>
      <c r="P34" s="612"/>
      <c r="Q34" s="612"/>
      <c r="R34" s="613"/>
    </row>
    <row r="35" spans="1:18">
      <c r="A35" s="451" t="str">
        <f t="shared" si="0"/>
        <v>122617100_210</v>
      </c>
      <c r="B35" s="1016" t="s">
        <v>1181</v>
      </c>
      <c r="C35" s="810" t="s">
        <v>1182</v>
      </c>
      <c r="D35" s="808" t="s">
        <v>1150</v>
      </c>
      <c r="E35" s="808" t="s">
        <v>1151</v>
      </c>
      <c r="F35" s="612"/>
      <c r="G35" s="612">
        <v>-25743.978999999999</v>
      </c>
      <c r="H35" s="612">
        <v>-25743.978999999999</v>
      </c>
      <c r="I35" s="612">
        <v>-25743.978999999999</v>
      </c>
      <c r="J35" s="612">
        <v>-25743.978999999999</v>
      </c>
      <c r="K35" s="612">
        <v>-25819.379000000001</v>
      </c>
      <c r="L35" s="612">
        <v>-26315.654999999999</v>
      </c>
      <c r="M35" s="612">
        <v>-26315.654999999999</v>
      </c>
      <c r="N35" s="612">
        <v>-27354.282999999999</v>
      </c>
      <c r="O35" s="612">
        <v>-27411.775000000001</v>
      </c>
      <c r="P35" s="612">
        <v>-27411.775000000001</v>
      </c>
      <c r="Q35" s="612">
        <v>-27411.775000000001</v>
      </c>
      <c r="R35" s="613">
        <v>-27411.775000000001</v>
      </c>
    </row>
    <row r="36" spans="1:18">
      <c r="A36" s="451" t="str">
        <f t="shared" si="0"/>
        <v>122617100_Result</v>
      </c>
      <c r="B36" s="1016" t="s">
        <v>1181</v>
      </c>
      <c r="C36" s="810" t="s">
        <v>1182</v>
      </c>
      <c r="D36" s="842" t="s">
        <v>1156</v>
      </c>
      <c r="E36" s="840"/>
      <c r="F36" s="836">
        <v>2163803.9279999998</v>
      </c>
      <c r="G36" s="836">
        <v>201317.274</v>
      </c>
      <c r="H36" s="836">
        <v>11578.76</v>
      </c>
      <c r="I36" s="836">
        <v>147255.51199999999</v>
      </c>
      <c r="J36" s="836">
        <v>-25743.978999999999</v>
      </c>
      <c r="K36" s="836">
        <v>176176.71400000001</v>
      </c>
      <c r="L36" s="836">
        <v>-26315.654999999999</v>
      </c>
      <c r="M36" s="836">
        <v>-26315.654999999999</v>
      </c>
      <c r="N36" s="836">
        <v>221843.76500000001</v>
      </c>
      <c r="O36" s="836">
        <v>-27411.775000000001</v>
      </c>
      <c r="P36" s="836">
        <v>218619.495</v>
      </c>
      <c r="Q36" s="836">
        <v>-27411.775000000001</v>
      </c>
      <c r="R36" s="838">
        <v>169413.196</v>
      </c>
    </row>
    <row r="37" spans="1:18">
      <c r="A37" s="451" t="str">
        <f t="shared" si="0"/>
        <v>122617200_100</v>
      </c>
      <c r="B37" s="1016" t="s">
        <v>1183</v>
      </c>
      <c r="C37" s="810" t="s">
        <v>1184</v>
      </c>
      <c r="D37" s="808" t="s">
        <v>1137</v>
      </c>
      <c r="E37" s="808" t="s">
        <v>1138</v>
      </c>
      <c r="F37" s="612">
        <v>244794.79399999999</v>
      </c>
      <c r="G37" s="612"/>
      <c r="H37" s="612"/>
      <c r="I37" s="612"/>
      <c r="J37" s="612"/>
      <c r="K37" s="612"/>
      <c r="L37" s="612"/>
      <c r="M37" s="612"/>
      <c r="N37" s="612"/>
      <c r="O37" s="612"/>
      <c r="P37" s="612"/>
      <c r="Q37" s="612"/>
      <c r="R37" s="613"/>
    </row>
    <row r="38" spans="1:18">
      <c r="A38" s="451" t="str">
        <f t="shared" si="0"/>
        <v>122617200_200</v>
      </c>
      <c r="B38" s="1016" t="s">
        <v>1183</v>
      </c>
      <c r="C38" s="810" t="s">
        <v>1184</v>
      </c>
      <c r="D38" s="808" t="s">
        <v>1149</v>
      </c>
      <c r="E38" s="808" t="s">
        <v>1138</v>
      </c>
      <c r="F38" s="612">
        <v>-89630.733999999997</v>
      </c>
      <c r="G38" s="612"/>
      <c r="H38" s="612"/>
      <c r="I38" s="612"/>
      <c r="J38" s="612"/>
      <c r="K38" s="612"/>
      <c r="L38" s="612"/>
      <c r="M38" s="612"/>
      <c r="N38" s="612"/>
      <c r="O38" s="612"/>
      <c r="P38" s="612"/>
      <c r="Q38" s="612"/>
      <c r="R38" s="613"/>
    </row>
    <row r="39" spans="1:18">
      <c r="A39" s="451" t="str">
        <f t="shared" si="0"/>
        <v>122617200_Result</v>
      </c>
      <c r="B39" s="1016" t="s">
        <v>1183</v>
      </c>
      <c r="C39" s="810" t="s">
        <v>1184</v>
      </c>
      <c r="D39" s="842" t="s">
        <v>1156</v>
      </c>
      <c r="E39" s="840"/>
      <c r="F39" s="836">
        <v>155164.06</v>
      </c>
      <c r="G39" s="836"/>
      <c r="H39" s="836"/>
      <c r="I39" s="836"/>
      <c r="J39" s="836"/>
      <c r="K39" s="836"/>
      <c r="L39" s="836"/>
      <c r="M39" s="836"/>
      <c r="N39" s="836"/>
      <c r="O39" s="836"/>
      <c r="P39" s="836"/>
      <c r="Q39" s="836"/>
      <c r="R39" s="838"/>
    </row>
    <row r="40" spans="1:18">
      <c r="A40" s="451" t="str">
        <f t="shared" si="0"/>
        <v>122622000_100</v>
      </c>
      <c r="B40" s="1016" t="s">
        <v>1185</v>
      </c>
      <c r="C40" s="810" t="s">
        <v>1186</v>
      </c>
      <c r="D40" s="808" t="s">
        <v>1137</v>
      </c>
      <c r="E40" s="808" t="s">
        <v>1138</v>
      </c>
      <c r="F40" s="612">
        <v>36727889.386</v>
      </c>
      <c r="G40" s="612"/>
      <c r="H40" s="612"/>
      <c r="I40" s="612"/>
      <c r="J40" s="612"/>
      <c r="K40" s="612"/>
      <c r="L40" s="612"/>
      <c r="M40" s="612"/>
      <c r="N40" s="612"/>
      <c r="O40" s="612"/>
      <c r="P40" s="612"/>
      <c r="Q40" s="612"/>
      <c r="R40" s="613"/>
    </row>
    <row r="41" spans="1:18">
      <c r="A41" s="451" t="str">
        <f t="shared" si="0"/>
        <v>122622000_110</v>
      </c>
      <c r="B41" s="1016" t="s">
        <v>1185</v>
      </c>
      <c r="C41" s="810" t="s">
        <v>1186</v>
      </c>
      <c r="D41" s="808" t="s">
        <v>1139</v>
      </c>
      <c r="E41" s="808" t="s">
        <v>1140</v>
      </c>
      <c r="F41" s="612"/>
      <c r="G41" s="612">
        <v>31667.778999999999</v>
      </c>
      <c r="H41" s="612">
        <v>308403.90000000002</v>
      </c>
      <c r="I41" s="612">
        <v>30270.098999999998</v>
      </c>
      <c r="J41" s="612">
        <v>118205.395</v>
      </c>
      <c r="K41" s="612">
        <v>9047.9369999999999</v>
      </c>
      <c r="L41" s="612">
        <v>107921.364</v>
      </c>
      <c r="M41" s="612">
        <v>193108.416</v>
      </c>
      <c r="N41" s="612">
        <v>952855.07299999997</v>
      </c>
      <c r="O41" s="612">
        <v>6899.0519999999997</v>
      </c>
      <c r="P41" s="612">
        <v>24229.696</v>
      </c>
      <c r="Q41" s="612">
        <v>0</v>
      </c>
      <c r="R41" s="613">
        <v>0</v>
      </c>
    </row>
    <row r="42" spans="1:18">
      <c r="A42" s="451" t="str">
        <f t="shared" si="0"/>
        <v>122622000_200</v>
      </c>
      <c r="B42" s="1016" t="s">
        <v>1185</v>
      </c>
      <c r="C42" s="810" t="s">
        <v>1186</v>
      </c>
      <c r="D42" s="808" t="s">
        <v>1149</v>
      </c>
      <c r="E42" s="808" t="s">
        <v>1138</v>
      </c>
      <c r="F42" s="612">
        <v>-20994689.510000002</v>
      </c>
      <c r="G42" s="612"/>
      <c r="H42" s="612"/>
      <c r="I42" s="612"/>
      <c r="J42" s="612"/>
      <c r="K42" s="612"/>
      <c r="L42" s="612"/>
      <c r="M42" s="612"/>
      <c r="N42" s="612"/>
      <c r="O42" s="612"/>
      <c r="P42" s="612"/>
      <c r="Q42" s="612"/>
      <c r="R42" s="613"/>
    </row>
    <row r="43" spans="1:18">
      <c r="A43" s="451" t="str">
        <f t="shared" si="0"/>
        <v>122622000_210</v>
      </c>
      <c r="B43" s="1016" t="s">
        <v>1185</v>
      </c>
      <c r="C43" s="810" t="s">
        <v>1186</v>
      </c>
      <c r="D43" s="808" t="s">
        <v>1150</v>
      </c>
      <c r="E43" s="808" t="s">
        <v>1151</v>
      </c>
      <c r="F43" s="612"/>
      <c r="G43" s="612">
        <v>-322906.34100000001</v>
      </c>
      <c r="H43" s="612">
        <v>-325399.11800000002</v>
      </c>
      <c r="I43" s="612">
        <v>-325544.027</v>
      </c>
      <c r="J43" s="612">
        <v>-326775.33299999998</v>
      </c>
      <c r="K43" s="612">
        <v>-326775.33299999998</v>
      </c>
      <c r="L43" s="612">
        <v>-327742</v>
      </c>
      <c r="M43" s="612">
        <v>-330126.84600000002</v>
      </c>
      <c r="N43" s="612">
        <v>-340644.48800000001</v>
      </c>
      <c r="O43" s="612">
        <v>-340644.48800000001</v>
      </c>
      <c r="P43" s="612">
        <v>-340644.48800000001</v>
      </c>
      <c r="Q43" s="612">
        <v>-340644.48800000001</v>
      </c>
      <c r="R43" s="613">
        <v>-340644.48800000001</v>
      </c>
    </row>
    <row r="44" spans="1:18">
      <c r="A44" s="451" t="str">
        <f t="shared" si="0"/>
        <v>122622000_Result</v>
      </c>
      <c r="B44" s="1016" t="s">
        <v>1185</v>
      </c>
      <c r="C44" s="810" t="s">
        <v>1186</v>
      </c>
      <c r="D44" s="842" t="s">
        <v>1156</v>
      </c>
      <c r="E44" s="840"/>
      <c r="F44" s="836">
        <v>15733199.876</v>
      </c>
      <c r="G44" s="836">
        <v>-291238.56199999998</v>
      </c>
      <c r="H44" s="836">
        <v>-16995.218000000001</v>
      </c>
      <c r="I44" s="836">
        <v>-295273.92800000001</v>
      </c>
      <c r="J44" s="836">
        <v>-208569.93799999999</v>
      </c>
      <c r="K44" s="836">
        <v>-317727.39600000001</v>
      </c>
      <c r="L44" s="836">
        <v>-219820.636</v>
      </c>
      <c r="M44" s="836">
        <v>-137018.43</v>
      </c>
      <c r="N44" s="836">
        <v>612210.58499999996</v>
      </c>
      <c r="O44" s="836">
        <v>-333745.43599999999</v>
      </c>
      <c r="P44" s="836">
        <v>-316414.79200000002</v>
      </c>
      <c r="Q44" s="836">
        <v>-340644.48800000001</v>
      </c>
      <c r="R44" s="838">
        <v>-340644.48800000001</v>
      </c>
    </row>
    <row r="45" spans="1:18">
      <c r="A45" s="451" t="str">
        <f t="shared" si="0"/>
        <v>122627000_100</v>
      </c>
      <c r="B45" s="1016" t="s">
        <v>1187</v>
      </c>
      <c r="C45" s="810" t="s">
        <v>1188</v>
      </c>
      <c r="D45" s="808" t="s">
        <v>1137</v>
      </c>
      <c r="E45" s="808" t="s">
        <v>1138</v>
      </c>
      <c r="F45" s="612">
        <v>888745.79700000002</v>
      </c>
      <c r="G45" s="612"/>
      <c r="H45" s="612"/>
      <c r="I45" s="612"/>
      <c r="J45" s="612"/>
      <c r="K45" s="612"/>
      <c r="L45" s="612"/>
      <c r="M45" s="612"/>
      <c r="N45" s="612"/>
      <c r="O45" s="612"/>
      <c r="P45" s="612"/>
      <c r="Q45" s="612"/>
      <c r="R45" s="613"/>
    </row>
    <row r="46" spans="1:18">
      <c r="A46" s="451" t="str">
        <f t="shared" si="0"/>
        <v>122627000_110</v>
      </c>
      <c r="B46" s="1016" t="s">
        <v>1187</v>
      </c>
      <c r="C46" s="810" t="s">
        <v>1188</v>
      </c>
      <c r="D46" s="808" t="s">
        <v>1139</v>
      </c>
      <c r="E46" s="808" t="s">
        <v>1140</v>
      </c>
      <c r="F46" s="612"/>
      <c r="G46" s="612">
        <v>0</v>
      </c>
      <c r="H46" s="612">
        <v>0</v>
      </c>
      <c r="I46" s="612">
        <v>12780.210999999999</v>
      </c>
      <c r="J46" s="612">
        <v>0</v>
      </c>
      <c r="K46" s="612">
        <v>0</v>
      </c>
      <c r="L46" s="612">
        <v>30496.071</v>
      </c>
      <c r="M46" s="612">
        <v>2454.2530000000002</v>
      </c>
      <c r="N46" s="612">
        <v>0</v>
      </c>
      <c r="O46" s="612">
        <v>0</v>
      </c>
      <c r="P46" s="612">
        <v>0</v>
      </c>
      <c r="Q46" s="612">
        <v>2652.0630000000001</v>
      </c>
      <c r="R46" s="613">
        <v>0</v>
      </c>
    </row>
    <row r="47" spans="1:18">
      <c r="A47" s="451" t="str">
        <f t="shared" si="0"/>
        <v>122627000_200</v>
      </c>
      <c r="B47" s="1016" t="s">
        <v>1187</v>
      </c>
      <c r="C47" s="810" t="s">
        <v>1188</v>
      </c>
      <c r="D47" s="808" t="s">
        <v>1149</v>
      </c>
      <c r="E47" s="808" t="s">
        <v>1138</v>
      </c>
      <c r="F47" s="612">
        <v>-725091.82799999998</v>
      </c>
      <c r="G47" s="612"/>
      <c r="H47" s="612"/>
      <c r="I47" s="612"/>
      <c r="J47" s="612"/>
      <c r="K47" s="612"/>
      <c r="L47" s="612"/>
      <c r="M47" s="612"/>
      <c r="N47" s="612"/>
      <c r="O47" s="612"/>
      <c r="P47" s="612"/>
      <c r="Q47" s="612"/>
      <c r="R47" s="613"/>
    </row>
    <row r="48" spans="1:18">
      <c r="A48" s="451" t="str">
        <f t="shared" si="0"/>
        <v>122627000_210</v>
      </c>
      <c r="B48" s="1016" t="s">
        <v>1187</v>
      </c>
      <c r="C48" s="810" t="s">
        <v>1188</v>
      </c>
      <c r="D48" s="808" t="s">
        <v>1150</v>
      </c>
      <c r="E48" s="808" t="s">
        <v>1151</v>
      </c>
      <c r="F48" s="612"/>
      <c r="G48" s="612">
        <v>-4692.3549999999996</v>
      </c>
      <c r="H48" s="612">
        <v>-4692.3549999999996</v>
      </c>
      <c r="I48" s="612">
        <v>-4905.3580000000002</v>
      </c>
      <c r="J48" s="612">
        <v>-4905.3580000000002</v>
      </c>
      <c r="K48" s="612">
        <v>-4905.3580000000002</v>
      </c>
      <c r="L48" s="612">
        <v>-5413.6260000000002</v>
      </c>
      <c r="M48" s="612">
        <v>-5454.53</v>
      </c>
      <c r="N48" s="612">
        <v>-5454.53</v>
      </c>
      <c r="O48" s="612">
        <v>-5454.53</v>
      </c>
      <c r="P48" s="612">
        <v>-5454.53</v>
      </c>
      <c r="Q48" s="612">
        <v>-5498.73</v>
      </c>
      <c r="R48" s="613">
        <v>-5498.73</v>
      </c>
    </row>
    <row r="49" spans="1:18">
      <c r="A49" s="451" t="str">
        <f t="shared" si="0"/>
        <v>122627000_Result</v>
      </c>
      <c r="B49" s="1016" t="s">
        <v>1187</v>
      </c>
      <c r="C49" s="810" t="s">
        <v>1188</v>
      </c>
      <c r="D49" s="842" t="s">
        <v>1156</v>
      </c>
      <c r="E49" s="840"/>
      <c r="F49" s="836">
        <v>163653.96900000001</v>
      </c>
      <c r="G49" s="836">
        <v>-4692.3549999999996</v>
      </c>
      <c r="H49" s="836">
        <v>-4692.3549999999996</v>
      </c>
      <c r="I49" s="836">
        <v>7874.8530000000001</v>
      </c>
      <c r="J49" s="836">
        <v>-4905.3580000000002</v>
      </c>
      <c r="K49" s="836">
        <v>-4905.3580000000002</v>
      </c>
      <c r="L49" s="836">
        <v>25082.445</v>
      </c>
      <c r="M49" s="836">
        <v>-3000.277</v>
      </c>
      <c r="N49" s="836">
        <v>-5454.53</v>
      </c>
      <c r="O49" s="836">
        <v>-5454.53</v>
      </c>
      <c r="P49" s="836">
        <v>-5454.53</v>
      </c>
      <c r="Q49" s="836">
        <v>-2846.6669999999999</v>
      </c>
      <c r="R49" s="838">
        <v>-5498.73</v>
      </c>
    </row>
    <row r="50" spans="1:18">
      <c r="A50" s="451" t="str">
        <f t="shared" si="0"/>
        <v>122628000_100</v>
      </c>
      <c r="B50" s="1016" t="s">
        <v>1189</v>
      </c>
      <c r="C50" s="810" t="s">
        <v>1190</v>
      </c>
      <c r="D50" s="808" t="s">
        <v>1137</v>
      </c>
      <c r="E50" s="808" t="s">
        <v>1138</v>
      </c>
      <c r="F50" s="612">
        <v>29434.407999999999</v>
      </c>
      <c r="G50" s="612"/>
      <c r="H50" s="612"/>
      <c r="I50" s="612"/>
      <c r="J50" s="612"/>
      <c r="K50" s="612"/>
      <c r="L50" s="612"/>
      <c r="M50" s="612"/>
      <c r="N50" s="612"/>
      <c r="O50" s="612"/>
      <c r="P50" s="612"/>
      <c r="Q50" s="612"/>
      <c r="R50" s="613"/>
    </row>
    <row r="51" spans="1:18">
      <c r="A51" s="451" t="str">
        <f t="shared" si="0"/>
        <v>122628000_110</v>
      </c>
      <c r="B51" s="1016" t="s">
        <v>1189</v>
      </c>
      <c r="C51" s="810" t="s">
        <v>1190</v>
      </c>
      <c r="D51" s="808" t="s">
        <v>1139</v>
      </c>
      <c r="E51" s="808" t="s">
        <v>1140</v>
      </c>
      <c r="F51" s="612"/>
      <c r="G51" s="612">
        <v>0</v>
      </c>
      <c r="H51" s="612">
        <v>0</v>
      </c>
      <c r="I51" s="612">
        <v>0</v>
      </c>
      <c r="J51" s="612">
        <v>0</v>
      </c>
      <c r="K51" s="612">
        <v>0</v>
      </c>
      <c r="L51" s="612">
        <v>0</v>
      </c>
      <c r="M51" s="612">
        <v>13834.295</v>
      </c>
      <c r="N51" s="612">
        <v>0</v>
      </c>
      <c r="O51" s="612">
        <v>0</v>
      </c>
      <c r="P51" s="612">
        <v>0</v>
      </c>
      <c r="Q51" s="612">
        <v>0</v>
      </c>
      <c r="R51" s="613">
        <v>0</v>
      </c>
    </row>
    <row r="52" spans="1:18">
      <c r="A52" s="451" t="str">
        <f t="shared" si="0"/>
        <v>122628000_200</v>
      </c>
      <c r="B52" s="1016" t="s">
        <v>1189</v>
      </c>
      <c r="C52" s="810" t="s">
        <v>1190</v>
      </c>
      <c r="D52" s="808" t="s">
        <v>1149</v>
      </c>
      <c r="E52" s="808" t="s">
        <v>1138</v>
      </c>
      <c r="F52" s="612">
        <v>-27620.853999999999</v>
      </c>
      <c r="G52" s="612"/>
      <c r="H52" s="612"/>
      <c r="I52" s="612"/>
      <c r="J52" s="612"/>
      <c r="K52" s="612"/>
      <c r="L52" s="612"/>
      <c r="M52" s="612"/>
      <c r="N52" s="612"/>
      <c r="O52" s="612"/>
      <c r="P52" s="612"/>
      <c r="Q52" s="612"/>
      <c r="R52" s="613"/>
    </row>
    <row r="53" spans="1:18">
      <c r="A53" s="451" t="str">
        <f t="shared" si="0"/>
        <v>122628000_210</v>
      </c>
      <c r="B53" s="1016" t="s">
        <v>1189</v>
      </c>
      <c r="C53" s="810" t="s">
        <v>1190</v>
      </c>
      <c r="D53" s="808" t="s">
        <v>1150</v>
      </c>
      <c r="E53" s="808" t="s">
        <v>1151</v>
      </c>
      <c r="F53" s="612"/>
      <c r="G53" s="612">
        <v>-1093.443</v>
      </c>
      <c r="H53" s="612">
        <v>-1093.443</v>
      </c>
      <c r="I53" s="612">
        <v>-1093.443</v>
      </c>
      <c r="J53" s="612">
        <v>-1093.443</v>
      </c>
      <c r="K53" s="612">
        <v>-1093.443</v>
      </c>
      <c r="L53" s="612">
        <v>-1093.443</v>
      </c>
      <c r="M53" s="612">
        <v>-1093.443</v>
      </c>
      <c r="N53" s="612">
        <v>-1093.443</v>
      </c>
      <c r="O53" s="612">
        <v>-1093.443</v>
      </c>
      <c r="P53" s="612">
        <v>-1093.443</v>
      </c>
      <c r="Q53" s="612">
        <v>-1093.443</v>
      </c>
      <c r="R53" s="613">
        <v>-1093.443</v>
      </c>
    </row>
    <row r="54" spans="1:18">
      <c r="A54" s="451" t="str">
        <f t="shared" si="0"/>
        <v>122628000_Result</v>
      </c>
      <c r="B54" s="1016" t="s">
        <v>1189</v>
      </c>
      <c r="C54" s="810" t="s">
        <v>1190</v>
      </c>
      <c r="D54" s="842" t="s">
        <v>1156</v>
      </c>
      <c r="E54" s="840"/>
      <c r="F54" s="836">
        <v>1813.5540000000001</v>
      </c>
      <c r="G54" s="836">
        <v>-1093.443</v>
      </c>
      <c r="H54" s="836">
        <v>-1093.443</v>
      </c>
      <c r="I54" s="836">
        <v>-1093.443</v>
      </c>
      <c r="J54" s="836">
        <v>-1093.443</v>
      </c>
      <c r="K54" s="836">
        <v>-1093.443</v>
      </c>
      <c r="L54" s="836">
        <v>-1093.443</v>
      </c>
      <c r="M54" s="836">
        <v>12740.852000000001</v>
      </c>
      <c r="N54" s="836">
        <v>-1093.443</v>
      </c>
      <c r="O54" s="836">
        <v>-1093.443</v>
      </c>
      <c r="P54" s="836">
        <v>-1093.443</v>
      </c>
      <c r="Q54" s="836">
        <v>-1093.443</v>
      </c>
      <c r="R54" s="838">
        <v>-1093.443</v>
      </c>
    </row>
    <row r="55" spans="1:18">
      <c r="A55" s="451" t="str">
        <f t="shared" si="0"/>
        <v>122632000_100</v>
      </c>
      <c r="B55" s="1016" t="s">
        <v>1191</v>
      </c>
      <c r="C55" s="810" t="s">
        <v>1192</v>
      </c>
      <c r="D55" s="808" t="s">
        <v>1137</v>
      </c>
      <c r="E55" s="808" t="s">
        <v>1138</v>
      </c>
      <c r="F55" s="612">
        <v>1322272.848</v>
      </c>
      <c r="G55" s="612"/>
      <c r="H55" s="612"/>
      <c r="I55" s="612"/>
      <c r="J55" s="612"/>
      <c r="K55" s="612"/>
      <c r="L55" s="612"/>
      <c r="M55" s="612"/>
      <c r="N55" s="612"/>
      <c r="O55" s="612"/>
      <c r="P55" s="612"/>
      <c r="Q55" s="612"/>
      <c r="R55" s="613"/>
    </row>
    <row r="56" spans="1:18">
      <c r="A56" s="451" t="str">
        <f t="shared" si="0"/>
        <v>122632000_Result</v>
      </c>
      <c r="B56" s="1016" t="s">
        <v>1191</v>
      </c>
      <c r="C56" s="810" t="s">
        <v>1192</v>
      </c>
      <c r="D56" s="842" t="s">
        <v>1156</v>
      </c>
      <c r="E56" s="840"/>
      <c r="F56" s="836">
        <v>1322272.848</v>
      </c>
      <c r="G56" s="836"/>
      <c r="H56" s="836"/>
      <c r="I56" s="836"/>
      <c r="J56" s="836"/>
      <c r="K56" s="836"/>
      <c r="L56" s="836"/>
      <c r="M56" s="836"/>
      <c r="N56" s="836"/>
      <c r="O56" s="836"/>
      <c r="P56" s="836"/>
      <c r="Q56" s="836"/>
      <c r="R56" s="838"/>
    </row>
    <row r="57" spans="1:18">
      <c r="A57" s="451" t="str">
        <f t="shared" si="0"/>
        <v>122637000_100</v>
      </c>
      <c r="B57" s="1016" t="s">
        <v>1193</v>
      </c>
      <c r="C57" s="810" t="s">
        <v>1194</v>
      </c>
      <c r="D57" s="808" t="s">
        <v>1137</v>
      </c>
      <c r="E57" s="808" t="s">
        <v>1138</v>
      </c>
      <c r="F57" s="612">
        <v>4504306.7240000004</v>
      </c>
      <c r="G57" s="612"/>
      <c r="H57" s="612"/>
      <c r="I57" s="612"/>
      <c r="J57" s="612"/>
      <c r="K57" s="612"/>
      <c r="L57" s="612"/>
      <c r="M57" s="612"/>
      <c r="N57" s="612"/>
      <c r="O57" s="612"/>
      <c r="P57" s="612"/>
      <c r="Q57" s="612"/>
      <c r="R57" s="613"/>
    </row>
    <row r="58" spans="1:18">
      <c r="A58" s="451" t="str">
        <f t="shared" si="0"/>
        <v>122637000_110</v>
      </c>
      <c r="B58" s="1016" t="s">
        <v>1193</v>
      </c>
      <c r="C58" s="810" t="s">
        <v>1194</v>
      </c>
      <c r="D58" s="808" t="s">
        <v>1139</v>
      </c>
      <c r="E58" s="808" t="s">
        <v>1140</v>
      </c>
      <c r="F58" s="612"/>
      <c r="G58" s="612">
        <v>10348</v>
      </c>
      <c r="H58" s="612">
        <v>0</v>
      </c>
      <c r="I58" s="612">
        <v>153555</v>
      </c>
      <c r="J58" s="612">
        <v>0</v>
      </c>
      <c r="K58" s="612">
        <v>0</v>
      </c>
      <c r="L58" s="612">
        <v>0</v>
      </c>
      <c r="M58" s="612">
        <v>0</v>
      </c>
      <c r="N58" s="612">
        <v>0</v>
      </c>
      <c r="O58" s="612">
        <v>0</v>
      </c>
      <c r="P58" s="612">
        <v>0</v>
      </c>
      <c r="Q58" s="612">
        <v>0</v>
      </c>
      <c r="R58" s="613">
        <v>0</v>
      </c>
    </row>
    <row r="59" spans="1:18">
      <c r="A59" s="451" t="str">
        <f t="shared" si="0"/>
        <v>122637000_200</v>
      </c>
      <c r="B59" s="1016" t="s">
        <v>1193</v>
      </c>
      <c r="C59" s="810" t="s">
        <v>1194</v>
      </c>
      <c r="D59" s="808" t="s">
        <v>1149</v>
      </c>
      <c r="E59" s="808" t="s">
        <v>1138</v>
      </c>
      <c r="F59" s="612">
        <v>-4340994.0880000005</v>
      </c>
      <c r="G59" s="612"/>
      <c r="H59" s="612"/>
      <c r="I59" s="612"/>
      <c r="J59" s="612"/>
      <c r="K59" s="612"/>
      <c r="L59" s="612"/>
      <c r="M59" s="612"/>
      <c r="N59" s="612"/>
      <c r="O59" s="612"/>
      <c r="P59" s="612"/>
      <c r="Q59" s="612"/>
      <c r="R59" s="613"/>
    </row>
    <row r="60" spans="1:18">
      <c r="A60" s="451" t="str">
        <f t="shared" si="0"/>
        <v>122637000_211</v>
      </c>
      <c r="B60" s="1016" t="s">
        <v>1193</v>
      </c>
      <c r="C60" s="810" t="s">
        <v>1194</v>
      </c>
      <c r="D60" s="808" t="s">
        <v>1171</v>
      </c>
      <c r="E60" s="808" t="s">
        <v>1172</v>
      </c>
      <c r="F60" s="612"/>
      <c r="G60" s="612">
        <v>-10103.189</v>
      </c>
      <c r="H60" s="612">
        <v>-10103.189</v>
      </c>
      <c r="I60" s="612">
        <v>-13302.252</v>
      </c>
      <c r="J60" s="612">
        <v>-13302.252</v>
      </c>
      <c r="K60" s="612">
        <v>-13302.252</v>
      </c>
      <c r="L60" s="612">
        <v>-13302.252</v>
      </c>
      <c r="M60" s="612">
        <v>-13302.252</v>
      </c>
      <c r="N60" s="612">
        <v>-13302.252</v>
      </c>
      <c r="O60" s="612">
        <v>-13302.252</v>
      </c>
      <c r="P60" s="612">
        <v>-13302.252</v>
      </c>
      <c r="Q60" s="612">
        <v>-13302.252</v>
      </c>
      <c r="R60" s="613">
        <v>-13302.252</v>
      </c>
    </row>
    <row r="61" spans="1:18">
      <c r="A61" s="451" t="str">
        <f t="shared" si="0"/>
        <v>122637000_Result</v>
      </c>
      <c r="B61" s="1016" t="s">
        <v>1193</v>
      </c>
      <c r="C61" s="810" t="s">
        <v>1194</v>
      </c>
      <c r="D61" s="842" t="s">
        <v>1156</v>
      </c>
      <c r="E61" s="840"/>
      <c r="F61" s="836">
        <v>163312.636</v>
      </c>
      <c r="G61" s="836">
        <v>244.81100000000001</v>
      </c>
      <c r="H61" s="836">
        <v>-10103.189</v>
      </c>
      <c r="I61" s="836">
        <v>140252.74799999999</v>
      </c>
      <c r="J61" s="836">
        <v>-13302.252</v>
      </c>
      <c r="K61" s="836">
        <v>-13302.252</v>
      </c>
      <c r="L61" s="836">
        <v>-13302.252</v>
      </c>
      <c r="M61" s="836">
        <v>-13302.252</v>
      </c>
      <c r="N61" s="836">
        <v>-13302.252</v>
      </c>
      <c r="O61" s="836">
        <v>-13302.252</v>
      </c>
      <c r="P61" s="836">
        <v>-13302.252</v>
      </c>
      <c r="Q61" s="836">
        <v>-13302.252</v>
      </c>
      <c r="R61" s="838">
        <v>-13302.252</v>
      </c>
    </row>
    <row r="62" spans="1:18">
      <c r="A62" s="451" t="str">
        <f t="shared" si="0"/>
        <v>131100000_300</v>
      </c>
      <c r="B62" s="1013" t="s">
        <v>1195</v>
      </c>
      <c r="C62" s="809" t="s">
        <v>678</v>
      </c>
      <c r="D62" s="808" t="s">
        <v>1196</v>
      </c>
      <c r="E62" s="808" t="s">
        <v>1138</v>
      </c>
      <c r="F62" s="612">
        <v>5066792.9579999996</v>
      </c>
      <c r="G62" s="612"/>
      <c r="H62" s="612"/>
      <c r="I62" s="612"/>
      <c r="J62" s="612"/>
      <c r="K62" s="612"/>
      <c r="L62" s="612"/>
      <c r="M62" s="612"/>
      <c r="N62" s="612"/>
      <c r="O62" s="612"/>
      <c r="P62" s="612"/>
      <c r="Q62" s="612"/>
      <c r="R62" s="613"/>
    </row>
    <row r="63" spans="1:18">
      <c r="A63" s="451" t="str">
        <f t="shared" si="0"/>
        <v>131100000_310</v>
      </c>
      <c r="B63" s="1013" t="s">
        <v>1195</v>
      </c>
      <c r="C63" s="809" t="s">
        <v>678</v>
      </c>
      <c r="D63" s="808" t="s">
        <v>1197</v>
      </c>
      <c r="E63" s="808" t="s">
        <v>1198</v>
      </c>
      <c r="F63" s="612"/>
      <c r="G63" s="612">
        <v>-231989.73800000001</v>
      </c>
      <c r="H63" s="612">
        <v>9969.3379999999997</v>
      </c>
      <c r="I63" s="612">
        <v>68829.554000000004</v>
      </c>
      <c r="J63" s="612">
        <v>-224640.446</v>
      </c>
      <c r="K63" s="612">
        <v>-258486.62299999999</v>
      </c>
      <c r="L63" s="612">
        <v>822019.87199999997</v>
      </c>
      <c r="M63" s="612">
        <v>-400411.89199999999</v>
      </c>
      <c r="N63" s="612">
        <v>-547321.04299999995</v>
      </c>
      <c r="O63" s="612">
        <v>480816.17599999998</v>
      </c>
      <c r="P63" s="612">
        <v>-395768.56800000003</v>
      </c>
      <c r="Q63" s="612">
        <v>-198028.59099999999</v>
      </c>
      <c r="R63" s="613">
        <v>595289.76599999995</v>
      </c>
    </row>
    <row r="64" spans="1:18">
      <c r="A64" s="451" t="str">
        <f t="shared" si="0"/>
        <v>131100000_400</v>
      </c>
      <c r="B64" s="1013" t="s">
        <v>1195</v>
      </c>
      <c r="C64" s="809" t="s">
        <v>678</v>
      </c>
      <c r="D64" s="808" t="s">
        <v>1201</v>
      </c>
      <c r="E64" s="808" t="s">
        <v>1138</v>
      </c>
      <c r="F64" s="612">
        <v>-374630.73499999999</v>
      </c>
      <c r="G64" s="612">
        <v>0</v>
      </c>
      <c r="H64" s="612"/>
      <c r="I64" s="612"/>
      <c r="J64" s="612"/>
      <c r="K64" s="612"/>
      <c r="L64" s="612"/>
      <c r="M64" s="612"/>
      <c r="N64" s="612"/>
      <c r="O64" s="612"/>
      <c r="P64" s="612"/>
      <c r="Q64" s="612"/>
      <c r="R64" s="613"/>
    </row>
    <row r="65" spans="1:18">
      <c r="A65" s="451" t="str">
        <f t="shared" si="0"/>
        <v>131100000_Result</v>
      </c>
      <c r="B65" s="1013" t="s">
        <v>1195</v>
      </c>
      <c r="C65" s="809" t="s">
        <v>678</v>
      </c>
      <c r="D65" s="842" t="s">
        <v>1156</v>
      </c>
      <c r="E65" s="840"/>
      <c r="F65" s="836">
        <v>4692162.2230000002</v>
      </c>
      <c r="G65" s="836">
        <v>-231989.73800000001</v>
      </c>
      <c r="H65" s="836">
        <v>9969.3379999999997</v>
      </c>
      <c r="I65" s="836">
        <v>68829.554000000004</v>
      </c>
      <c r="J65" s="836">
        <v>-224640.446</v>
      </c>
      <c r="K65" s="836">
        <v>-258486.62299999999</v>
      </c>
      <c r="L65" s="836">
        <v>822019.87199999997</v>
      </c>
      <c r="M65" s="836">
        <v>-400411.89199999999</v>
      </c>
      <c r="N65" s="836">
        <v>-547321.04299999995</v>
      </c>
      <c r="O65" s="836">
        <v>480816.17599999998</v>
      </c>
      <c r="P65" s="836">
        <v>-395768.56800000003</v>
      </c>
      <c r="Q65" s="836">
        <v>-198028.59099999999</v>
      </c>
      <c r="R65" s="838">
        <v>595289.76599999995</v>
      </c>
    </row>
    <row r="66" spans="1:18">
      <c r="A66" s="451" t="str">
        <f t="shared" si="0"/>
        <v>131111000_300</v>
      </c>
      <c r="B66" s="1014" t="s">
        <v>1207</v>
      </c>
      <c r="C66" s="810" t="s">
        <v>1208</v>
      </c>
      <c r="D66" s="808" t="s">
        <v>1196</v>
      </c>
      <c r="E66" s="808" t="s">
        <v>1138</v>
      </c>
      <c r="F66" s="612">
        <v>4112649.1579999998</v>
      </c>
      <c r="G66" s="612"/>
      <c r="H66" s="612"/>
      <c r="I66" s="612"/>
      <c r="J66" s="612"/>
      <c r="K66" s="612"/>
      <c r="L66" s="612"/>
      <c r="M66" s="612"/>
      <c r="N66" s="612"/>
      <c r="O66" s="612"/>
      <c r="P66" s="612"/>
      <c r="Q66" s="612"/>
      <c r="R66" s="613"/>
    </row>
    <row r="67" spans="1:18">
      <c r="A67" s="451" t="str">
        <f t="shared" si="0"/>
        <v>131111000_310</v>
      </c>
      <c r="B67" s="1014" t="s">
        <v>1207</v>
      </c>
      <c r="C67" s="810" t="s">
        <v>1208</v>
      </c>
      <c r="D67" s="808" t="s">
        <v>1197</v>
      </c>
      <c r="E67" s="808" t="s">
        <v>1198</v>
      </c>
      <c r="F67" s="612"/>
      <c r="G67" s="612">
        <v>-90360.597999999998</v>
      </c>
      <c r="H67" s="612">
        <v>-286594.755</v>
      </c>
      <c r="I67" s="612">
        <v>110943.583</v>
      </c>
      <c r="J67" s="612">
        <v>-7865.665</v>
      </c>
      <c r="K67" s="612">
        <v>-185646.28599999999</v>
      </c>
      <c r="L67" s="612">
        <v>648096.21699999995</v>
      </c>
      <c r="M67" s="612">
        <v>-400411.89199999999</v>
      </c>
      <c r="N67" s="612">
        <v>-475585.89500000002</v>
      </c>
      <c r="O67" s="612">
        <v>638119.48199999996</v>
      </c>
      <c r="P67" s="612">
        <v>-415481.402</v>
      </c>
      <c r="Q67" s="612">
        <v>-391795.81300000002</v>
      </c>
      <c r="R67" s="613">
        <v>766101.74100000004</v>
      </c>
    </row>
    <row r="68" spans="1:18">
      <c r="A68" s="451" t="str">
        <f t="shared" ref="A68:A131" si="1" xml:space="preserve"> IFERROR(+B68*1,B68)&amp;"_"&amp;IFERROR(+D68*1,D68)</f>
        <v>131111000_400</v>
      </c>
      <c r="B68" s="1014" t="s">
        <v>1207</v>
      </c>
      <c r="C68" s="810" t="s">
        <v>1208</v>
      </c>
      <c r="D68" s="808" t="s">
        <v>1201</v>
      </c>
      <c r="E68" s="808" t="s">
        <v>1138</v>
      </c>
      <c r="F68" s="612">
        <v>-292975.74599999998</v>
      </c>
      <c r="G68" s="612">
        <v>0</v>
      </c>
      <c r="H68" s="612"/>
      <c r="I68" s="612"/>
      <c r="J68" s="612"/>
      <c r="K68" s="612"/>
      <c r="L68" s="612"/>
      <c r="M68" s="612"/>
      <c r="N68" s="612"/>
      <c r="O68" s="612"/>
      <c r="P68" s="612"/>
      <c r="Q68" s="612"/>
      <c r="R68" s="613"/>
    </row>
    <row r="69" spans="1:18">
      <c r="A69" s="451" t="str">
        <f t="shared" si="1"/>
        <v>131111000_Result</v>
      </c>
      <c r="B69" s="1014" t="s">
        <v>1207</v>
      </c>
      <c r="C69" s="810" t="s">
        <v>1208</v>
      </c>
      <c r="D69" s="842" t="s">
        <v>1156</v>
      </c>
      <c r="E69" s="840"/>
      <c r="F69" s="836">
        <v>3819673.412</v>
      </c>
      <c r="G69" s="836">
        <v>-90360.597999999998</v>
      </c>
      <c r="H69" s="836">
        <v>-286594.755</v>
      </c>
      <c r="I69" s="836">
        <v>110943.583</v>
      </c>
      <c r="J69" s="836">
        <v>-7865.665</v>
      </c>
      <c r="K69" s="836">
        <v>-185646.28599999999</v>
      </c>
      <c r="L69" s="836">
        <v>648096.21699999995</v>
      </c>
      <c r="M69" s="836">
        <v>-400411.89199999999</v>
      </c>
      <c r="N69" s="836">
        <v>-475585.89500000002</v>
      </c>
      <c r="O69" s="836">
        <v>638119.48199999996</v>
      </c>
      <c r="P69" s="836">
        <v>-415481.402</v>
      </c>
      <c r="Q69" s="836">
        <v>-391795.81300000002</v>
      </c>
      <c r="R69" s="838">
        <v>766101.74100000004</v>
      </c>
    </row>
    <row r="70" spans="1:18">
      <c r="A70" s="451" t="str">
        <f t="shared" si="1"/>
        <v>131111100_300</v>
      </c>
      <c r="B70" s="1015" t="s">
        <v>1209</v>
      </c>
      <c r="C70" s="811" t="s">
        <v>1210</v>
      </c>
      <c r="D70" s="808" t="s">
        <v>1196</v>
      </c>
      <c r="E70" s="808" t="s">
        <v>1138</v>
      </c>
      <c r="F70" s="612">
        <v>4112649.1579999998</v>
      </c>
      <c r="G70" s="612"/>
      <c r="H70" s="612"/>
      <c r="I70" s="612"/>
      <c r="J70" s="612"/>
      <c r="K70" s="612"/>
      <c r="L70" s="612"/>
      <c r="M70" s="612"/>
      <c r="N70" s="612"/>
      <c r="O70" s="612"/>
      <c r="P70" s="612"/>
      <c r="Q70" s="612"/>
      <c r="R70" s="613"/>
    </row>
    <row r="71" spans="1:18">
      <c r="A71" s="451" t="str">
        <f t="shared" si="1"/>
        <v>131111100_310</v>
      </c>
      <c r="B71" s="1015" t="s">
        <v>1209</v>
      </c>
      <c r="C71" s="811" t="s">
        <v>1210</v>
      </c>
      <c r="D71" s="808" t="s">
        <v>1197</v>
      </c>
      <c r="E71" s="808" t="s">
        <v>1198</v>
      </c>
      <c r="F71" s="612"/>
      <c r="G71" s="612">
        <v>-90360.597999999998</v>
      </c>
      <c r="H71" s="612">
        <v>-286594.755</v>
      </c>
      <c r="I71" s="612">
        <v>110943.583</v>
      </c>
      <c r="J71" s="612">
        <v>-7865.665</v>
      </c>
      <c r="K71" s="612">
        <v>-185646.28599999999</v>
      </c>
      <c r="L71" s="612">
        <v>648096.21699999995</v>
      </c>
      <c r="M71" s="612">
        <v>-400411.89199999999</v>
      </c>
      <c r="N71" s="612">
        <v>-475585.89500000002</v>
      </c>
      <c r="O71" s="612">
        <v>638119.48199999996</v>
      </c>
      <c r="P71" s="612">
        <v>-415481.402</v>
      </c>
      <c r="Q71" s="612">
        <v>-391795.81300000002</v>
      </c>
      <c r="R71" s="613">
        <v>766101.74100000004</v>
      </c>
    </row>
    <row r="72" spans="1:18">
      <c r="A72" s="451" t="str">
        <f t="shared" si="1"/>
        <v>131111100_400</v>
      </c>
      <c r="B72" s="1015" t="s">
        <v>1209</v>
      </c>
      <c r="C72" s="811" t="s">
        <v>1210</v>
      </c>
      <c r="D72" s="808" t="s">
        <v>1201</v>
      </c>
      <c r="E72" s="808" t="s">
        <v>1138</v>
      </c>
      <c r="F72" s="612">
        <v>-292975.74599999998</v>
      </c>
      <c r="G72" s="612">
        <v>0</v>
      </c>
      <c r="H72" s="612"/>
      <c r="I72" s="612"/>
      <c r="J72" s="612"/>
      <c r="K72" s="612"/>
      <c r="L72" s="612"/>
      <c r="M72" s="612"/>
      <c r="N72" s="612"/>
      <c r="O72" s="612"/>
      <c r="P72" s="612"/>
      <c r="Q72" s="612"/>
      <c r="R72" s="613"/>
    </row>
    <row r="73" spans="1:18">
      <c r="A73" s="451" t="str">
        <f t="shared" si="1"/>
        <v>131111100_Result</v>
      </c>
      <c r="B73" s="1015" t="s">
        <v>1209</v>
      </c>
      <c r="C73" s="811" t="s">
        <v>1210</v>
      </c>
      <c r="D73" s="842" t="s">
        <v>1156</v>
      </c>
      <c r="E73" s="840"/>
      <c r="F73" s="836">
        <v>3819673.412</v>
      </c>
      <c r="G73" s="836">
        <v>-90360.597999999998</v>
      </c>
      <c r="H73" s="836">
        <v>-286594.755</v>
      </c>
      <c r="I73" s="836">
        <v>110943.583</v>
      </c>
      <c r="J73" s="836">
        <v>-7865.665</v>
      </c>
      <c r="K73" s="836">
        <v>-185646.28599999999</v>
      </c>
      <c r="L73" s="836">
        <v>648096.21699999995</v>
      </c>
      <c r="M73" s="836">
        <v>-400411.89199999999</v>
      </c>
      <c r="N73" s="836">
        <v>-475585.89500000002</v>
      </c>
      <c r="O73" s="836">
        <v>638119.48199999996</v>
      </c>
      <c r="P73" s="836">
        <v>-415481.402</v>
      </c>
      <c r="Q73" s="836">
        <v>-391795.81300000002</v>
      </c>
      <c r="R73" s="838">
        <v>766101.74100000004</v>
      </c>
    </row>
    <row r="74" spans="1:18">
      <c r="A74" s="451" t="str">
        <f t="shared" si="1"/>
        <v>131116000_300</v>
      </c>
      <c r="B74" s="1016" t="s">
        <v>1215</v>
      </c>
      <c r="C74" s="810" t="s">
        <v>1216</v>
      </c>
      <c r="D74" s="808" t="s">
        <v>1196</v>
      </c>
      <c r="E74" s="808" t="s">
        <v>1138</v>
      </c>
      <c r="F74" s="612">
        <v>361098.859</v>
      </c>
      <c r="G74" s="612"/>
      <c r="H74" s="612"/>
      <c r="I74" s="612"/>
      <c r="J74" s="612"/>
      <c r="K74" s="612"/>
      <c r="L74" s="612"/>
      <c r="M74" s="612"/>
      <c r="N74" s="612"/>
      <c r="O74" s="612"/>
      <c r="P74" s="612"/>
      <c r="Q74" s="612"/>
      <c r="R74" s="613"/>
    </row>
    <row r="75" spans="1:18">
      <c r="A75" s="451" t="str">
        <f t="shared" si="1"/>
        <v>131116000_310</v>
      </c>
      <c r="B75" s="1016" t="s">
        <v>1215</v>
      </c>
      <c r="C75" s="810" t="s">
        <v>1216</v>
      </c>
      <c r="D75" s="808" t="s">
        <v>1197</v>
      </c>
      <c r="E75" s="808" t="s">
        <v>1198</v>
      </c>
      <c r="F75" s="612"/>
      <c r="G75" s="612">
        <v>-68650.237999999998</v>
      </c>
      <c r="H75" s="612">
        <v>117371.288</v>
      </c>
      <c r="I75" s="612">
        <v>-16667.486000000001</v>
      </c>
      <c r="J75" s="612">
        <v>-85793.04</v>
      </c>
      <c r="K75" s="612">
        <v>-28828.048999999999</v>
      </c>
      <c r="L75" s="612">
        <v>68833.832999999999</v>
      </c>
      <c r="M75" s="612"/>
      <c r="N75" s="612">
        <v>-28390.648000000001</v>
      </c>
      <c r="O75" s="612">
        <v>-62255.991000000002</v>
      </c>
      <c r="P75" s="612">
        <v>7801.7560000000003</v>
      </c>
      <c r="Q75" s="612">
        <v>76687.33</v>
      </c>
      <c r="R75" s="613">
        <v>-67602.323000000004</v>
      </c>
    </row>
    <row r="76" spans="1:18">
      <c r="A76" s="451" t="str">
        <f t="shared" si="1"/>
        <v>131116000_400</v>
      </c>
      <c r="B76" s="1016" t="s">
        <v>1215</v>
      </c>
      <c r="C76" s="810" t="s">
        <v>1216</v>
      </c>
      <c r="D76" s="808" t="s">
        <v>1201</v>
      </c>
      <c r="E76" s="808" t="s">
        <v>1138</v>
      </c>
      <c r="F76" s="612">
        <v>-3196.002</v>
      </c>
      <c r="G76" s="612">
        <v>0</v>
      </c>
      <c r="H76" s="612"/>
      <c r="I76" s="612"/>
      <c r="J76" s="612"/>
      <c r="K76" s="612"/>
      <c r="L76" s="612"/>
      <c r="M76" s="612"/>
      <c r="N76" s="612"/>
      <c r="O76" s="612"/>
      <c r="P76" s="612"/>
      <c r="Q76" s="612"/>
      <c r="R76" s="613"/>
    </row>
    <row r="77" spans="1:18">
      <c r="A77" s="451" t="str">
        <f t="shared" si="1"/>
        <v>131116000_Result</v>
      </c>
      <c r="B77" s="1016" t="s">
        <v>1215</v>
      </c>
      <c r="C77" s="810" t="s">
        <v>1216</v>
      </c>
      <c r="D77" s="842" t="s">
        <v>1156</v>
      </c>
      <c r="E77" s="840"/>
      <c r="F77" s="836">
        <v>357902.85700000002</v>
      </c>
      <c r="G77" s="836">
        <v>-68650.237999999998</v>
      </c>
      <c r="H77" s="836">
        <v>117371.288</v>
      </c>
      <c r="I77" s="836">
        <v>-16667.486000000001</v>
      </c>
      <c r="J77" s="836">
        <v>-85793.04</v>
      </c>
      <c r="K77" s="836">
        <v>-28828.048999999999</v>
      </c>
      <c r="L77" s="836">
        <v>68833.832999999999</v>
      </c>
      <c r="M77" s="836"/>
      <c r="N77" s="836">
        <v>-28390.648000000001</v>
      </c>
      <c r="O77" s="836">
        <v>-62255.991000000002</v>
      </c>
      <c r="P77" s="836">
        <v>7801.7560000000003</v>
      </c>
      <c r="Q77" s="836">
        <v>76687.33</v>
      </c>
      <c r="R77" s="838">
        <v>-67602.323000000004</v>
      </c>
    </row>
    <row r="78" spans="1:18">
      <c r="A78" s="451" t="str">
        <f t="shared" si="1"/>
        <v>131121000_300</v>
      </c>
      <c r="B78" s="1014" t="s">
        <v>1217</v>
      </c>
      <c r="C78" s="810" t="s">
        <v>1048</v>
      </c>
      <c r="D78" s="808" t="s">
        <v>1196</v>
      </c>
      <c r="E78" s="808" t="s">
        <v>1138</v>
      </c>
      <c r="F78" s="612">
        <v>593044.94099999999</v>
      </c>
      <c r="G78" s="612"/>
      <c r="H78" s="612"/>
      <c r="I78" s="612"/>
      <c r="J78" s="612"/>
      <c r="K78" s="612"/>
      <c r="L78" s="612"/>
      <c r="M78" s="612"/>
      <c r="N78" s="612"/>
      <c r="O78" s="612"/>
      <c r="P78" s="612"/>
      <c r="Q78" s="612"/>
      <c r="R78" s="613"/>
    </row>
    <row r="79" spans="1:18">
      <c r="A79" s="451" t="str">
        <f t="shared" si="1"/>
        <v>131121000_310</v>
      </c>
      <c r="B79" s="1014" t="s">
        <v>1217</v>
      </c>
      <c r="C79" s="810" t="s">
        <v>1048</v>
      </c>
      <c r="D79" s="808" t="s">
        <v>1197</v>
      </c>
      <c r="E79" s="808" t="s">
        <v>1198</v>
      </c>
      <c r="F79" s="612"/>
      <c r="G79" s="612">
        <v>-72978.902000000002</v>
      </c>
      <c r="H79" s="612">
        <v>179192.80499999999</v>
      </c>
      <c r="I79" s="612">
        <v>-25446.543000000001</v>
      </c>
      <c r="J79" s="612">
        <v>-130981.74099999999</v>
      </c>
      <c r="K79" s="612">
        <v>-44012.288</v>
      </c>
      <c r="L79" s="612">
        <v>105089.822</v>
      </c>
      <c r="M79" s="612"/>
      <c r="N79" s="612">
        <v>-43344.5</v>
      </c>
      <c r="O79" s="612">
        <v>-95047.315000000002</v>
      </c>
      <c r="P79" s="612">
        <v>11911.078</v>
      </c>
      <c r="Q79" s="612">
        <v>117079.89200000001</v>
      </c>
      <c r="R79" s="613">
        <v>-103209.652</v>
      </c>
    </row>
    <row r="80" spans="1:18">
      <c r="A80" s="451" t="str">
        <f t="shared" si="1"/>
        <v>131121000_400</v>
      </c>
      <c r="B80" s="1014" t="s">
        <v>1217</v>
      </c>
      <c r="C80" s="810" t="s">
        <v>1048</v>
      </c>
      <c r="D80" s="808" t="s">
        <v>1201</v>
      </c>
      <c r="E80" s="808" t="s">
        <v>1138</v>
      </c>
      <c r="F80" s="612">
        <v>-78458.986999999994</v>
      </c>
      <c r="G80" s="612"/>
      <c r="H80" s="612"/>
      <c r="I80" s="612"/>
      <c r="J80" s="612"/>
      <c r="K80" s="612"/>
      <c r="L80" s="612"/>
      <c r="M80" s="612"/>
      <c r="N80" s="612"/>
      <c r="O80" s="612"/>
      <c r="P80" s="612"/>
      <c r="Q80" s="612"/>
      <c r="R80" s="613"/>
    </row>
    <row r="81" spans="1:18">
      <c r="A81" s="451" t="str">
        <f t="shared" si="1"/>
        <v>131121000_Result</v>
      </c>
      <c r="B81" s="1014" t="s">
        <v>1217</v>
      </c>
      <c r="C81" s="810" t="s">
        <v>1048</v>
      </c>
      <c r="D81" s="842" t="s">
        <v>1156</v>
      </c>
      <c r="E81" s="840"/>
      <c r="F81" s="836">
        <v>514585.95400000003</v>
      </c>
      <c r="G81" s="836">
        <v>-72978.902000000002</v>
      </c>
      <c r="H81" s="836">
        <v>179192.80499999999</v>
      </c>
      <c r="I81" s="836">
        <v>-25446.543000000001</v>
      </c>
      <c r="J81" s="836">
        <v>-130981.74099999999</v>
      </c>
      <c r="K81" s="836">
        <v>-44012.288</v>
      </c>
      <c r="L81" s="836">
        <v>105089.822</v>
      </c>
      <c r="M81" s="836"/>
      <c r="N81" s="836">
        <v>-43344.5</v>
      </c>
      <c r="O81" s="836">
        <v>-95047.315000000002</v>
      </c>
      <c r="P81" s="836">
        <v>11911.078</v>
      </c>
      <c r="Q81" s="836">
        <v>117079.89200000001</v>
      </c>
      <c r="R81" s="838">
        <v>-103209.652</v>
      </c>
    </row>
    <row r="82" spans="1:18">
      <c r="A82" s="451" t="str">
        <f t="shared" si="1"/>
        <v>131121100_300</v>
      </c>
      <c r="B82" s="1015" t="s">
        <v>1218</v>
      </c>
      <c r="C82" s="811" t="s">
        <v>1219</v>
      </c>
      <c r="D82" s="808" t="s">
        <v>1196</v>
      </c>
      <c r="E82" s="808" t="s">
        <v>1138</v>
      </c>
      <c r="F82" s="612">
        <v>593044.94099999999</v>
      </c>
      <c r="G82" s="612"/>
      <c r="H82" s="612"/>
      <c r="I82" s="612"/>
      <c r="J82" s="612"/>
      <c r="K82" s="612"/>
      <c r="L82" s="612"/>
      <c r="M82" s="612"/>
      <c r="N82" s="612"/>
      <c r="O82" s="612"/>
      <c r="P82" s="612"/>
      <c r="Q82" s="612"/>
      <c r="R82" s="613"/>
    </row>
    <row r="83" spans="1:18">
      <c r="A83" s="451" t="str">
        <f t="shared" si="1"/>
        <v>131121100_310</v>
      </c>
      <c r="B83" s="1015" t="s">
        <v>1218</v>
      </c>
      <c r="C83" s="811" t="s">
        <v>1219</v>
      </c>
      <c r="D83" s="808" t="s">
        <v>1197</v>
      </c>
      <c r="E83" s="808" t="s">
        <v>1198</v>
      </c>
      <c r="F83" s="612"/>
      <c r="G83" s="612">
        <v>-72978.902000000002</v>
      </c>
      <c r="H83" s="612">
        <v>179192.80499999999</v>
      </c>
      <c r="I83" s="612">
        <v>-25446.543000000001</v>
      </c>
      <c r="J83" s="612">
        <v>-130981.74099999999</v>
      </c>
      <c r="K83" s="612">
        <v>-44012.288</v>
      </c>
      <c r="L83" s="612">
        <v>105089.822</v>
      </c>
      <c r="M83" s="612"/>
      <c r="N83" s="612">
        <v>-43344.5</v>
      </c>
      <c r="O83" s="612">
        <v>-95047.315000000002</v>
      </c>
      <c r="P83" s="612">
        <v>11911.078</v>
      </c>
      <c r="Q83" s="612">
        <v>117079.89200000001</v>
      </c>
      <c r="R83" s="613">
        <v>-103209.652</v>
      </c>
    </row>
    <row r="84" spans="1:18">
      <c r="A84" s="451" t="str">
        <f t="shared" si="1"/>
        <v>131121100_400</v>
      </c>
      <c r="B84" s="1015" t="s">
        <v>1218</v>
      </c>
      <c r="C84" s="811" t="s">
        <v>1219</v>
      </c>
      <c r="D84" s="808" t="s">
        <v>1201</v>
      </c>
      <c r="E84" s="808" t="s">
        <v>1138</v>
      </c>
      <c r="F84" s="612">
        <v>-78458.986999999994</v>
      </c>
      <c r="G84" s="612"/>
      <c r="H84" s="612"/>
      <c r="I84" s="612"/>
      <c r="J84" s="612"/>
      <c r="K84" s="612"/>
      <c r="L84" s="612"/>
      <c r="M84" s="612"/>
      <c r="N84" s="612"/>
      <c r="O84" s="612"/>
      <c r="P84" s="612"/>
      <c r="Q84" s="612"/>
      <c r="R84" s="613"/>
    </row>
    <row r="85" spans="1:18">
      <c r="A85" s="451" t="str">
        <f t="shared" si="1"/>
        <v>131121100_Result</v>
      </c>
      <c r="B85" s="1015" t="s">
        <v>1218</v>
      </c>
      <c r="C85" s="811" t="s">
        <v>1219</v>
      </c>
      <c r="D85" s="842" t="s">
        <v>1156</v>
      </c>
      <c r="E85" s="840"/>
      <c r="F85" s="836">
        <v>514585.95400000003</v>
      </c>
      <c r="G85" s="836">
        <v>-72978.902000000002</v>
      </c>
      <c r="H85" s="836">
        <v>179192.80499999999</v>
      </c>
      <c r="I85" s="836">
        <v>-25446.543000000001</v>
      </c>
      <c r="J85" s="836">
        <v>-130981.74099999999</v>
      </c>
      <c r="K85" s="836">
        <v>-44012.288</v>
      </c>
      <c r="L85" s="836">
        <v>105089.822</v>
      </c>
      <c r="M85" s="836"/>
      <c r="N85" s="836">
        <v>-43344.5</v>
      </c>
      <c r="O85" s="836">
        <v>-95047.315000000002</v>
      </c>
      <c r="P85" s="836">
        <v>11911.078</v>
      </c>
      <c r="Q85" s="836">
        <v>117079.89200000001</v>
      </c>
      <c r="R85" s="838">
        <v>-103209.652</v>
      </c>
    </row>
    <row r="86" spans="1:18">
      <c r="A86" s="451" t="str">
        <f t="shared" si="1"/>
        <v>131600000_300</v>
      </c>
      <c r="B86" s="1013" t="s">
        <v>1222</v>
      </c>
      <c r="C86" s="809" t="s">
        <v>1050</v>
      </c>
      <c r="D86" s="808" t="s">
        <v>1196</v>
      </c>
      <c r="E86" s="808" t="s">
        <v>1138</v>
      </c>
      <c r="F86" s="612">
        <v>25658367.877</v>
      </c>
      <c r="G86" s="612"/>
      <c r="H86" s="612"/>
      <c r="I86" s="612"/>
      <c r="J86" s="612"/>
      <c r="K86" s="612"/>
      <c r="L86" s="612"/>
      <c r="M86" s="612"/>
      <c r="N86" s="612"/>
      <c r="O86" s="612"/>
      <c r="P86" s="612"/>
      <c r="Q86" s="612"/>
      <c r="R86" s="613"/>
    </row>
    <row r="87" spans="1:18">
      <c r="A87" s="451" t="str">
        <f t="shared" si="1"/>
        <v>131600000_310</v>
      </c>
      <c r="B87" s="1013" t="s">
        <v>1222</v>
      </c>
      <c r="C87" s="809" t="s">
        <v>1050</v>
      </c>
      <c r="D87" s="808" t="s">
        <v>1197</v>
      </c>
      <c r="E87" s="808" t="s">
        <v>1198</v>
      </c>
      <c r="F87" s="612"/>
      <c r="G87" s="612">
        <v>5072450.8550000004</v>
      </c>
      <c r="H87" s="612">
        <v>2830067.838</v>
      </c>
      <c r="I87" s="612">
        <v>-3160653.5580000002</v>
      </c>
      <c r="J87" s="612">
        <v>-2659304.5049999999</v>
      </c>
      <c r="K87" s="612">
        <v>-1164822.9010000001</v>
      </c>
      <c r="L87" s="612">
        <v>-3381955.284</v>
      </c>
      <c r="M87" s="612">
        <v>-393821.64399999997</v>
      </c>
      <c r="N87" s="612">
        <v>-1094099.733</v>
      </c>
      <c r="O87" s="612">
        <v>-560923.32900000003</v>
      </c>
      <c r="P87" s="612">
        <v>103757.89</v>
      </c>
      <c r="Q87" s="612">
        <v>763483.848</v>
      </c>
      <c r="R87" s="613">
        <v>321210.96399999998</v>
      </c>
    </row>
    <row r="88" spans="1:18">
      <c r="A88" s="451" t="str">
        <f t="shared" si="1"/>
        <v>131600000_400</v>
      </c>
      <c r="B88" s="1013" t="s">
        <v>1222</v>
      </c>
      <c r="C88" s="809" t="s">
        <v>1050</v>
      </c>
      <c r="D88" s="808" t="s">
        <v>1201</v>
      </c>
      <c r="E88" s="808" t="s">
        <v>1138</v>
      </c>
      <c r="F88" s="612">
        <v>-36287.851999999999</v>
      </c>
      <c r="G88" s="612">
        <v>0</v>
      </c>
      <c r="H88" s="612"/>
      <c r="I88" s="612"/>
      <c r="J88" s="612"/>
      <c r="K88" s="612"/>
      <c r="L88" s="612"/>
      <c r="M88" s="612"/>
      <c r="N88" s="612"/>
      <c r="O88" s="612"/>
      <c r="P88" s="612"/>
      <c r="Q88" s="612"/>
      <c r="R88" s="613"/>
    </row>
    <row r="89" spans="1:18">
      <c r="A89" s="451" t="str">
        <f t="shared" si="1"/>
        <v>131600000_Result</v>
      </c>
      <c r="B89" s="1013" t="s">
        <v>1222</v>
      </c>
      <c r="C89" s="809" t="s">
        <v>1050</v>
      </c>
      <c r="D89" s="842" t="s">
        <v>1156</v>
      </c>
      <c r="E89" s="840"/>
      <c r="F89" s="836">
        <v>25622080.024999999</v>
      </c>
      <c r="G89" s="836">
        <v>5072450.8550000004</v>
      </c>
      <c r="H89" s="836">
        <v>2830067.838</v>
      </c>
      <c r="I89" s="836">
        <v>-3160653.5580000002</v>
      </c>
      <c r="J89" s="836">
        <v>-2659304.5049999999</v>
      </c>
      <c r="K89" s="836">
        <v>-1164822.9010000001</v>
      </c>
      <c r="L89" s="836">
        <v>-3381955.284</v>
      </c>
      <c r="M89" s="836">
        <v>-393821.64399999997</v>
      </c>
      <c r="N89" s="836">
        <v>-1094099.733</v>
      </c>
      <c r="O89" s="836">
        <v>-560923.32900000003</v>
      </c>
      <c r="P89" s="836">
        <v>103757.89</v>
      </c>
      <c r="Q89" s="836">
        <v>763483.848</v>
      </c>
      <c r="R89" s="838">
        <v>321210.96399999998</v>
      </c>
    </row>
    <row r="90" spans="1:18">
      <c r="A90" s="451" t="str">
        <f t="shared" si="1"/>
        <v>131611000_300</v>
      </c>
      <c r="B90" s="1014" t="s">
        <v>1227</v>
      </c>
      <c r="C90" s="810" t="s">
        <v>1228</v>
      </c>
      <c r="D90" s="808" t="s">
        <v>1196</v>
      </c>
      <c r="E90" s="808" t="s">
        <v>1138</v>
      </c>
      <c r="F90" s="612">
        <v>25658367.877</v>
      </c>
      <c r="G90" s="612"/>
      <c r="H90" s="612"/>
      <c r="I90" s="612"/>
      <c r="J90" s="612"/>
      <c r="K90" s="612"/>
      <c r="L90" s="612"/>
      <c r="M90" s="612"/>
      <c r="N90" s="612"/>
      <c r="O90" s="612"/>
      <c r="P90" s="612"/>
      <c r="Q90" s="612"/>
      <c r="R90" s="613"/>
    </row>
    <row r="91" spans="1:18">
      <c r="A91" s="451" t="str">
        <f t="shared" si="1"/>
        <v>131611000_310</v>
      </c>
      <c r="B91" s="1014" t="s">
        <v>1227</v>
      </c>
      <c r="C91" s="810" t="s">
        <v>1228</v>
      </c>
      <c r="D91" s="808" t="s">
        <v>1197</v>
      </c>
      <c r="E91" s="808" t="s">
        <v>1198</v>
      </c>
      <c r="F91" s="612"/>
      <c r="G91" s="612">
        <v>5072450.8550000004</v>
      </c>
      <c r="H91" s="612">
        <v>2830067.838</v>
      </c>
      <c r="I91" s="612">
        <v>-3160653.5580000002</v>
      </c>
      <c r="J91" s="612">
        <v>-2659304.5049999999</v>
      </c>
      <c r="K91" s="612">
        <v>-1164822.9010000001</v>
      </c>
      <c r="L91" s="612">
        <v>-3381955.284</v>
      </c>
      <c r="M91" s="612">
        <v>-393821.64399999997</v>
      </c>
      <c r="N91" s="612">
        <v>-1094099.733</v>
      </c>
      <c r="O91" s="612">
        <v>-560923.32900000003</v>
      </c>
      <c r="P91" s="612">
        <v>103757.89</v>
      </c>
      <c r="Q91" s="612">
        <v>763483.848</v>
      </c>
      <c r="R91" s="613">
        <v>321210.96399999998</v>
      </c>
    </row>
    <row r="92" spans="1:18">
      <c r="A92" s="451" t="str">
        <f t="shared" si="1"/>
        <v>131611000_400</v>
      </c>
      <c r="B92" s="1014" t="s">
        <v>1227</v>
      </c>
      <c r="C92" s="810" t="s">
        <v>1228</v>
      </c>
      <c r="D92" s="808" t="s">
        <v>1201</v>
      </c>
      <c r="E92" s="808" t="s">
        <v>1138</v>
      </c>
      <c r="F92" s="612">
        <v>-36287.851999999999</v>
      </c>
      <c r="G92" s="612">
        <v>0</v>
      </c>
      <c r="H92" s="612"/>
      <c r="I92" s="612"/>
      <c r="J92" s="612"/>
      <c r="K92" s="612"/>
      <c r="L92" s="612"/>
      <c r="M92" s="612"/>
      <c r="N92" s="612"/>
      <c r="O92" s="612"/>
      <c r="P92" s="612"/>
      <c r="Q92" s="612"/>
      <c r="R92" s="613"/>
    </row>
    <row r="93" spans="1:18">
      <c r="A93" s="451" t="str">
        <f t="shared" si="1"/>
        <v>131611000_Result</v>
      </c>
      <c r="B93" s="1014" t="s">
        <v>1227</v>
      </c>
      <c r="C93" s="810" t="s">
        <v>1228</v>
      </c>
      <c r="D93" s="842" t="s">
        <v>1156</v>
      </c>
      <c r="E93" s="840"/>
      <c r="F93" s="836">
        <v>25622080.024999999</v>
      </c>
      <c r="G93" s="836">
        <v>5072450.8550000004</v>
      </c>
      <c r="H93" s="836">
        <v>2830067.838</v>
      </c>
      <c r="I93" s="836">
        <v>-3160653.5580000002</v>
      </c>
      <c r="J93" s="836">
        <v>-2659304.5049999999</v>
      </c>
      <c r="K93" s="836">
        <v>-1164822.9010000001</v>
      </c>
      <c r="L93" s="836">
        <v>-3381955.284</v>
      </c>
      <c r="M93" s="836">
        <v>-393821.64399999997</v>
      </c>
      <c r="N93" s="836">
        <v>-1094099.733</v>
      </c>
      <c r="O93" s="836">
        <v>-560923.32900000003</v>
      </c>
      <c r="P93" s="836">
        <v>103757.89</v>
      </c>
      <c r="Q93" s="836">
        <v>763483.848</v>
      </c>
      <c r="R93" s="838">
        <v>321210.96399999998</v>
      </c>
    </row>
    <row r="94" spans="1:18">
      <c r="A94" s="451" t="str">
        <f t="shared" si="1"/>
        <v>131611110_300</v>
      </c>
      <c r="B94" s="1015" t="s">
        <v>1229</v>
      </c>
      <c r="C94" s="811" t="s">
        <v>1228</v>
      </c>
      <c r="D94" s="808" t="s">
        <v>1196</v>
      </c>
      <c r="E94" s="808" t="s">
        <v>1138</v>
      </c>
      <c r="F94" s="612">
        <v>25634405.673</v>
      </c>
      <c r="G94" s="612"/>
      <c r="H94" s="612"/>
      <c r="I94" s="612"/>
      <c r="J94" s="612"/>
      <c r="K94" s="612"/>
      <c r="L94" s="612"/>
      <c r="M94" s="612"/>
      <c r="N94" s="612"/>
      <c r="O94" s="612"/>
      <c r="P94" s="612"/>
      <c r="Q94" s="612"/>
      <c r="R94" s="613"/>
    </row>
    <row r="95" spans="1:18">
      <c r="A95" s="451" t="str">
        <f t="shared" si="1"/>
        <v>131611110_310</v>
      </c>
      <c r="B95" s="1015" t="s">
        <v>1229</v>
      </c>
      <c r="C95" s="811" t="s">
        <v>1228</v>
      </c>
      <c r="D95" s="808" t="s">
        <v>1197</v>
      </c>
      <c r="E95" s="808" t="s">
        <v>1198</v>
      </c>
      <c r="F95" s="612"/>
      <c r="G95" s="612">
        <v>5072450.8550000004</v>
      </c>
      <c r="H95" s="612">
        <v>2830067.838</v>
      </c>
      <c r="I95" s="612">
        <v>-3160653.5580000002</v>
      </c>
      <c r="J95" s="612">
        <v>-2659304.5049999999</v>
      </c>
      <c r="K95" s="612">
        <v>-1164822.9010000001</v>
      </c>
      <c r="L95" s="612">
        <v>-3381955.284</v>
      </c>
      <c r="M95" s="612">
        <v>-393821.64399999997</v>
      </c>
      <c r="N95" s="612">
        <v>-1094099.733</v>
      </c>
      <c r="O95" s="612">
        <v>-560923.32900000003</v>
      </c>
      <c r="P95" s="612">
        <v>103757.89</v>
      </c>
      <c r="Q95" s="612">
        <v>763483.848</v>
      </c>
      <c r="R95" s="613">
        <v>321210.96399999998</v>
      </c>
    </row>
    <row r="96" spans="1:18">
      <c r="A96" s="451" t="str">
        <f t="shared" si="1"/>
        <v>131611110_400</v>
      </c>
      <c r="B96" s="1015" t="s">
        <v>1229</v>
      </c>
      <c r="C96" s="811" t="s">
        <v>1228</v>
      </c>
      <c r="D96" s="808" t="s">
        <v>1201</v>
      </c>
      <c r="E96" s="808" t="s">
        <v>1138</v>
      </c>
      <c r="F96" s="612">
        <v>-12325.647999999999</v>
      </c>
      <c r="G96" s="612"/>
      <c r="H96" s="612"/>
      <c r="I96" s="612"/>
      <c r="J96" s="612"/>
      <c r="K96" s="612"/>
      <c r="L96" s="612"/>
      <c r="M96" s="612"/>
      <c r="N96" s="612"/>
      <c r="O96" s="612"/>
      <c r="P96" s="612"/>
      <c r="Q96" s="612"/>
      <c r="R96" s="613"/>
    </row>
    <row r="97" spans="1:18">
      <c r="A97" s="451" t="str">
        <f t="shared" si="1"/>
        <v>131611110_Result</v>
      </c>
      <c r="B97" s="1015" t="s">
        <v>1229</v>
      </c>
      <c r="C97" s="811" t="s">
        <v>1228</v>
      </c>
      <c r="D97" s="842" t="s">
        <v>1156</v>
      </c>
      <c r="E97" s="840"/>
      <c r="F97" s="836">
        <v>25622080.024999999</v>
      </c>
      <c r="G97" s="836">
        <v>5072450.8550000004</v>
      </c>
      <c r="H97" s="836">
        <v>2830067.838</v>
      </c>
      <c r="I97" s="836">
        <v>-3160653.5580000002</v>
      </c>
      <c r="J97" s="836">
        <v>-2659304.5049999999</v>
      </c>
      <c r="K97" s="836">
        <v>-1164822.9010000001</v>
      </c>
      <c r="L97" s="836">
        <v>-3381955.284</v>
      </c>
      <c r="M97" s="836">
        <v>-393821.64399999997</v>
      </c>
      <c r="N97" s="836">
        <v>-1094099.733</v>
      </c>
      <c r="O97" s="836">
        <v>-560923.32900000003</v>
      </c>
      <c r="P97" s="836">
        <v>103757.89</v>
      </c>
      <c r="Q97" s="836">
        <v>763483.848</v>
      </c>
      <c r="R97" s="838">
        <v>321210.96399999998</v>
      </c>
    </row>
    <row r="98" spans="1:18">
      <c r="A98" s="451" t="str">
        <f t="shared" si="1"/>
        <v>131611500_300</v>
      </c>
      <c r="B98" s="1015" t="s">
        <v>1230</v>
      </c>
      <c r="C98" s="811" t="s">
        <v>1231</v>
      </c>
      <c r="D98" s="808" t="s">
        <v>1196</v>
      </c>
      <c r="E98" s="808" t="s">
        <v>1138</v>
      </c>
      <c r="F98" s="612">
        <v>2.323</v>
      </c>
      <c r="G98" s="612"/>
      <c r="H98" s="612"/>
      <c r="I98" s="612"/>
      <c r="J98" s="612"/>
      <c r="K98" s="612"/>
      <c r="L98" s="612"/>
      <c r="M98" s="612"/>
      <c r="N98" s="612"/>
      <c r="O98" s="612"/>
      <c r="P98" s="612"/>
      <c r="Q98" s="612"/>
      <c r="R98" s="613"/>
    </row>
    <row r="99" spans="1:18">
      <c r="A99" s="451" t="str">
        <f t="shared" si="1"/>
        <v>131611500_400</v>
      </c>
      <c r="B99" s="1015" t="s">
        <v>1230</v>
      </c>
      <c r="C99" s="811" t="s">
        <v>1231</v>
      </c>
      <c r="D99" s="808" t="s">
        <v>1201</v>
      </c>
      <c r="E99" s="808" t="s">
        <v>1138</v>
      </c>
      <c r="F99" s="612">
        <v>-2.323</v>
      </c>
      <c r="G99" s="612">
        <v>0</v>
      </c>
      <c r="H99" s="612"/>
      <c r="I99" s="612"/>
      <c r="J99" s="612"/>
      <c r="K99" s="612"/>
      <c r="L99" s="612"/>
      <c r="M99" s="612"/>
      <c r="N99" s="612"/>
      <c r="O99" s="612"/>
      <c r="P99" s="612"/>
      <c r="Q99" s="612"/>
      <c r="R99" s="613"/>
    </row>
    <row r="100" spans="1:18">
      <c r="A100" s="451" t="str">
        <f t="shared" si="1"/>
        <v>131611500_Result</v>
      </c>
      <c r="B100" s="1015" t="s">
        <v>1230</v>
      </c>
      <c r="C100" s="811" t="s">
        <v>1231</v>
      </c>
      <c r="D100" s="842" t="s">
        <v>1156</v>
      </c>
      <c r="E100" s="840"/>
      <c r="F100" s="836">
        <v>0</v>
      </c>
      <c r="G100" s="836">
        <v>0</v>
      </c>
      <c r="H100" s="836"/>
      <c r="I100" s="836"/>
      <c r="J100" s="836"/>
      <c r="K100" s="836"/>
      <c r="L100" s="836"/>
      <c r="M100" s="836"/>
      <c r="N100" s="836"/>
      <c r="O100" s="836"/>
      <c r="P100" s="836"/>
      <c r="Q100" s="836"/>
      <c r="R100" s="838"/>
    </row>
    <row r="101" spans="1:18">
      <c r="A101" s="451" t="str">
        <f t="shared" si="1"/>
        <v>131611900_300</v>
      </c>
      <c r="B101" s="1015" t="s">
        <v>1232</v>
      </c>
      <c r="C101" s="811" t="s">
        <v>1233</v>
      </c>
      <c r="D101" s="808" t="s">
        <v>1196</v>
      </c>
      <c r="E101" s="808" t="s">
        <v>1138</v>
      </c>
      <c r="F101" s="612">
        <v>23959.881000000001</v>
      </c>
      <c r="G101" s="612"/>
      <c r="H101" s="612"/>
      <c r="I101" s="612"/>
      <c r="J101" s="612"/>
      <c r="K101" s="612"/>
      <c r="L101" s="612"/>
      <c r="M101" s="612"/>
      <c r="N101" s="612"/>
      <c r="O101" s="612"/>
      <c r="P101" s="612"/>
      <c r="Q101" s="612"/>
      <c r="R101" s="613"/>
    </row>
    <row r="102" spans="1:18">
      <c r="A102" s="451" t="str">
        <f t="shared" si="1"/>
        <v>131611900_400</v>
      </c>
      <c r="B102" s="1015" t="s">
        <v>1232</v>
      </c>
      <c r="C102" s="811" t="s">
        <v>1233</v>
      </c>
      <c r="D102" s="808" t="s">
        <v>1201</v>
      </c>
      <c r="E102" s="808" t="s">
        <v>1138</v>
      </c>
      <c r="F102" s="612">
        <v>-23959.881000000001</v>
      </c>
      <c r="G102" s="612"/>
      <c r="H102" s="612"/>
      <c r="I102" s="612"/>
      <c r="J102" s="612"/>
      <c r="K102" s="612"/>
      <c r="L102" s="612"/>
      <c r="M102" s="612"/>
      <c r="N102" s="612"/>
      <c r="O102" s="612"/>
      <c r="P102" s="612"/>
      <c r="Q102" s="612"/>
      <c r="R102" s="613"/>
    </row>
    <row r="103" spans="1:18">
      <c r="A103" s="451" t="str">
        <f t="shared" si="1"/>
        <v>131611900_Result</v>
      </c>
      <c r="B103" s="1015" t="s">
        <v>1232</v>
      </c>
      <c r="C103" s="811" t="s">
        <v>1233</v>
      </c>
      <c r="D103" s="842" t="s">
        <v>1156</v>
      </c>
      <c r="E103" s="840"/>
      <c r="F103" s="836">
        <v>0</v>
      </c>
      <c r="G103" s="836"/>
      <c r="H103" s="836"/>
      <c r="I103" s="836"/>
      <c r="J103" s="836"/>
      <c r="K103" s="836"/>
      <c r="L103" s="836"/>
      <c r="M103" s="836"/>
      <c r="N103" s="836"/>
      <c r="O103" s="836"/>
      <c r="P103" s="836"/>
      <c r="Q103" s="836"/>
      <c r="R103" s="838"/>
    </row>
    <row r="104" spans="1:18">
      <c r="A104" s="451" t="str">
        <f t="shared" si="1"/>
        <v>231100000_700</v>
      </c>
      <c r="B104" s="1013" t="s">
        <v>1234</v>
      </c>
      <c r="C104" s="809" t="s">
        <v>1235</v>
      </c>
      <c r="D104" s="808" t="s">
        <v>1236</v>
      </c>
      <c r="E104" s="808" t="s">
        <v>1138</v>
      </c>
      <c r="F104" s="612">
        <v>15663757.57</v>
      </c>
      <c r="G104" s="612"/>
      <c r="H104" s="612"/>
      <c r="I104" s="612"/>
      <c r="J104" s="612"/>
      <c r="K104" s="612"/>
      <c r="L104" s="612"/>
      <c r="M104" s="612"/>
      <c r="N104" s="612"/>
      <c r="O104" s="612"/>
      <c r="P104" s="612"/>
      <c r="Q104" s="612"/>
      <c r="R104" s="613"/>
    </row>
    <row r="105" spans="1:18">
      <c r="A105" s="451" t="str">
        <f t="shared" si="1"/>
        <v>231100000_710</v>
      </c>
      <c r="B105" s="1013" t="s">
        <v>1234</v>
      </c>
      <c r="C105" s="809" t="s">
        <v>1235</v>
      </c>
      <c r="D105" s="808" t="s">
        <v>1237</v>
      </c>
      <c r="E105" s="808" t="s">
        <v>1198</v>
      </c>
      <c r="F105" s="612"/>
      <c r="G105" s="612">
        <v>3961442.3530000001</v>
      </c>
      <c r="H105" s="612">
        <v>-4737602.6710000001</v>
      </c>
      <c r="I105" s="612">
        <v>-615042.17500000005</v>
      </c>
      <c r="J105" s="612">
        <v>243198.80900000001</v>
      </c>
      <c r="K105" s="612">
        <v>131207.93</v>
      </c>
      <c r="L105" s="612">
        <v>393200.51400000002</v>
      </c>
      <c r="M105" s="612">
        <v>36235.036999999997</v>
      </c>
      <c r="N105" s="612">
        <v>1308759.612</v>
      </c>
      <c r="O105" s="612">
        <v>-450446.09700000001</v>
      </c>
      <c r="P105" s="612">
        <v>105032.531</v>
      </c>
      <c r="Q105" s="612">
        <v>-389745.88199999998</v>
      </c>
      <c r="R105" s="613">
        <v>-1331306.496</v>
      </c>
    </row>
    <row r="106" spans="1:18">
      <c r="A106" s="451" t="str">
        <f t="shared" si="1"/>
        <v>231100000_Result</v>
      </c>
      <c r="B106" s="1013" t="s">
        <v>1234</v>
      </c>
      <c r="C106" s="809" t="s">
        <v>1235</v>
      </c>
      <c r="D106" s="842" t="s">
        <v>1156</v>
      </c>
      <c r="E106" s="840"/>
      <c r="F106" s="836">
        <v>15663757.57</v>
      </c>
      <c r="G106" s="836">
        <v>3961442.3530000001</v>
      </c>
      <c r="H106" s="836">
        <v>-4737602.6710000001</v>
      </c>
      <c r="I106" s="836">
        <v>-615042.17500000005</v>
      </c>
      <c r="J106" s="836">
        <v>243198.80900000001</v>
      </c>
      <c r="K106" s="836">
        <v>131207.93</v>
      </c>
      <c r="L106" s="836">
        <v>393200.51400000002</v>
      </c>
      <c r="M106" s="836">
        <v>36235.036999999997</v>
      </c>
      <c r="N106" s="836">
        <v>1308759.612</v>
      </c>
      <c r="O106" s="836">
        <v>-450446.09700000001</v>
      </c>
      <c r="P106" s="836">
        <v>105032.531</v>
      </c>
      <c r="Q106" s="836">
        <v>-389745.88199999998</v>
      </c>
      <c r="R106" s="838">
        <v>-1331306.496</v>
      </c>
    </row>
    <row r="107" spans="1:18">
      <c r="A107" s="451" t="str">
        <f t="shared" si="1"/>
        <v>231111000_700</v>
      </c>
      <c r="B107" s="1016" t="s">
        <v>1241</v>
      </c>
      <c r="C107" s="810" t="s">
        <v>1242</v>
      </c>
      <c r="D107" s="808" t="s">
        <v>1236</v>
      </c>
      <c r="E107" s="808" t="s">
        <v>1138</v>
      </c>
      <c r="F107" s="612">
        <v>14911238.27</v>
      </c>
      <c r="G107" s="612"/>
      <c r="H107" s="612"/>
      <c r="I107" s="612"/>
      <c r="J107" s="612"/>
      <c r="K107" s="612"/>
      <c r="L107" s="612"/>
      <c r="M107" s="612"/>
      <c r="N107" s="612"/>
      <c r="O107" s="612"/>
      <c r="P107" s="612"/>
      <c r="Q107" s="612"/>
      <c r="R107" s="613"/>
    </row>
    <row r="108" spans="1:18">
      <c r="A108" s="451" t="str">
        <f t="shared" si="1"/>
        <v>231111000_710</v>
      </c>
      <c r="B108" s="1016" t="s">
        <v>1241</v>
      </c>
      <c r="C108" s="810" t="s">
        <v>1242</v>
      </c>
      <c r="D108" s="808" t="s">
        <v>1237</v>
      </c>
      <c r="E108" s="808" t="s">
        <v>1198</v>
      </c>
      <c r="F108" s="612"/>
      <c r="G108" s="612">
        <v>796866.73800000001</v>
      </c>
      <c r="H108" s="612">
        <v>-2331797.6719999998</v>
      </c>
      <c r="I108" s="612">
        <v>240963.35699999999</v>
      </c>
      <c r="J108" s="612">
        <v>306558.04499999998</v>
      </c>
      <c r="K108" s="612">
        <v>523704.37</v>
      </c>
      <c r="L108" s="612">
        <v>427650.07699999999</v>
      </c>
      <c r="M108" s="612">
        <v>-212514.29800000001</v>
      </c>
      <c r="N108" s="612">
        <v>-581446.49600000004</v>
      </c>
      <c r="O108" s="612">
        <v>-209688.35699999999</v>
      </c>
      <c r="P108" s="612">
        <v>-129302.55</v>
      </c>
      <c r="Q108" s="612">
        <v>-92288.442999999999</v>
      </c>
      <c r="R108" s="613">
        <v>348546.72899999999</v>
      </c>
    </row>
    <row r="109" spans="1:18">
      <c r="A109" s="451" t="str">
        <f t="shared" si="1"/>
        <v>231111000_Result</v>
      </c>
      <c r="B109" s="1016" t="s">
        <v>1241</v>
      </c>
      <c r="C109" s="810" t="s">
        <v>1242</v>
      </c>
      <c r="D109" s="842" t="s">
        <v>1156</v>
      </c>
      <c r="E109" s="840"/>
      <c r="F109" s="836">
        <v>14911238.27</v>
      </c>
      <c r="G109" s="836">
        <v>796866.73800000001</v>
      </c>
      <c r="H109" s="836">
        <v>-2331797.6719999998</v>
      </c>
      <c r="I109" s="836">
        <v>240963.35699999999</v>
      </c>
      <c r="J109" s="836">
        <v>306558.04499999998</v>
      </c>
      <c r="K109" s="836">
        <v>523704.37</v>
      </c>
      <c r="L109" s="836">
        <v>427650.07699999999</v>
      </c>
      <c r="M109" s="836">
        <v>-212514.29800000001</v>
      </c>
      <c r="N109" s="836">
        <v>-581446.49600000004</v>
      </c>
      <c r="O109" s="836">
        <v>-209688.35699999999</v>
      </c>
      <c r="P109" s="836">
        <v>-129302.55</v>
      </c>
      <c r="Q109" s="836">
        <v>-92288.442999999999</v>
      </c>
      <c r="R109" s="838">
        <v>348546.72899999999</v>
      </c>
    </row>
    <row r="110" spans="1:18">
      <c r="A110" s="451" t="str">
        <f t="shared" si="1"/>
        <v>231116000_700</v>
      </c>
      <c r="B110" s="1016" t="s">
        <v>1243</v>
      </c>
      <c r="C110" s="810" t="s">
        <v>1244</v>
      </c>
      <c r="D110" s="808" t="s">
        <v>1236</v>
      </c>
      <c r="E110" s="808" t="s">
        <v>1138</v>
      </c>
      <c r="F110" s="612">
        <v>752519.3</v>
      </c>
      <c r="G110" s="612"/>
      <c r="H110" s="612"/>
      <c r="I110" s="612"/>
      <c r="J110" s="612"/>
      <c r="K110" s="612"/>
      <c r="L110" s="612"/>
      <c r="M110" s="612"/>
      <c r="N110" s="612"/>
      <c r="O110" s="612"/>
      <c r="P110" s="612"/>
      <c r="Q110" s="612"/>
      <c r="R110" s="613"/>
    </row>
    <row r="111" spans="1:18">
      <c r="A111" s="451" t="str">
        <f t="shared" si="1"/>
        <v>231116000_710</v>
      </c>
      <c r="B111" s="1016" t="s">
        <v>1243</v>
      </c>
      <c r="C111" s="810" t="s">
        <v>1244</v>
      </c>
      <c r="D111" s="808" t="s">
        <v>1237</v>
      </c>
      <c r="E111" s="808" t="s">
        <v>1198</v>
      </c>
      <c r="F111" s="612"/>
      <c r="G111" s="612">
        <v>-537077.83799999999</v>
      </c>
      <c r="H111" s="612">
        <v>104624.781</v>
      </c>
      <c r="I111" s="612">
        <v>335218.141</v>
      </c>
      <c r="J111" s="612">
        <v>-63359.235999999997</v>
      </c>
      <c r="K111" s="612">
        <v>-392496.44</v>
      </c>
      <c r="L111" s="612">
        <v>-34449.563000000002</v>
      </c>
      <c r="M111" s="612">
        <v>248749.33499999999</v>
      </c>
      <c r="N111" s="612">
        <v>1890206.108</v>
      </c>
      <c r="O111" s="612">
        <v>-240757.74</v>
      </c>
      <c r="P111" s="612">
        <v>234335.08100000001</v>
      </c>
      <c r="Q111" s="612">
        <v>-297457.43900000001</v>
      </c>
      <c r="R111" s="613">
        <v>-1679853.2250000001</v>
      </c>
    </row>
    <row r="112" spans="1:18">
      <c r="A112" s="451" t="str">
        <f t="shared" si="1"/>
        <v>231116000_Result</v>
      </c>
      <c r="B112" s="1016" t="s">
        <v>1243</v>
      </c>
      <c r="C112" s="810" t="s">
        <v>1244</v>
      </c>
      <c r="D112" s="842" t="s">
        <v>1156</v>
      </c>
      <c r="E112" s="840"/>
      <c r="F112" s="836">
        <v>752519.3</v>
      </c>
      <c r="G112" s="836">
        <v>-537077.83799999999</v>
      </c>
      <c r="H112" s="836">
        <v>104624.781</v>
      </c>
      <c r="I112" s="836">
        <v>335218.141</v>
      </c>
      <c r="J112" s="836">
        <v>-63359.235999999997</v>
      </c>
      <c r="K112" s="836">
        <v>-392496.44</v>
      </c>
      <c r="L112" s="836">
        <v>-34449.563000000002</v>
      </c>
      <c r="M112" s="836">
        <v>248749.33499999999</v>
      </c>
      <c r="N112" s="836">
        <v>1890206.108</v>
      </c>
      <c r="O112" s="836">
        <v>-240757.74</v>
      </c>
      <c r="P112" s="836">
        <v>234335.08100000001</v>
      </c>
      <c r="Q112" s="836">
        <v>-297457.43900000001</v>
      </c>
      <c r="R112" s="838">
        <v>-1679853.2250000001</v>
      </c>
    </row>
    <row r="113" spans="1:18">
      <c r="A113" s="451" t="str">
        <f t="shared" si="1"/>
        <v>231117000_700</v>
      </c>
      <c r="B113" s="1016" t="s">
        <v>1245</v>
      </c>
      <c r="C113" s="810" t="s">
        <v>1246</v>
      </c>
      <c r="D113" s="808" t="s">
        <v>1236</v>
      </c>
      <c r="E113" s="808" t="s">
        <v>1138</v>
      </c>
      <c r="F113" s="612">
        <v>0</v>
      </c>
      <c r="G113" s="612"/>
      <c r="H113" s="612"/>
      <c r="I113" s="612"/>
      <c r="J113" s="612"/>
      <c r="K113" s="612"/>
      <c r="L113" s="612"/>
      <c r="M113" s="612"/>
      <c r="N113" s="612"/>
      <c r="O113" s="612"/>
      <c r="P113" s="612"/>
      <c r="Q113" s="612"/>
      <c r="R113" s="613"/>
    </row>
    <row r="114" spans="1:18">
      <c r="A114" s="451" t="str">
        <f t="shared" si="1"/>
        <v>231117000_710</v>
      </c>
      <c r="B114" s="1016" t="s">
        <v>1245</v>
      </c>
      <c r="C114" s="810" t="s">
        <v>1246</v>
      </c>
      <c r="D114" s="808" t="s">
        <v>1237</v>
      </c>
      <c r="E114" s="808" t="s">
        <v>1198</v>
      </c>
      <c r="F114" s="612"/>
      <c r="G114" s="612">
        <v>3701653.4530000002</v>
      </c>
      <c r="H114" s="612">
        <v>-2510429.7799999998</v>
      </c>
      <c r="I114" s="612">
        <v>-1191223.673</v>
      </c>
      <c r="J114" s="612"/>
      <c r="K114" s="612"/>
      <c r="L114" s="612"/>
      <c r="M114" s="612"/>
      <c r="N114" s="612"/>
      <c r="O114" s="612"/>
      <c r="P114" s="612"/>
      <c r="Q114" s="612"/>
      <c r="R114" s="613"/>
    </row>
    <row r="115" spans="1:18">
      <c r="A115" s="451" t="str">
        <f t="shared" si="1"/>
        <v>231117000_Result</v>
      </c>
      <c r="B115" s="1016" t="s">
        <v>1245</v>
      </c>
      <c r="C115" s="810" t="s">
        <v>1246</v>
      </c>
      <c r="D115" s="842" t="s">
        <v>1156</v>
      </c>
      <c r="E115" s="840"/>
      <c r="F115" s="836">
        <v>0</v>
      </c>
      <c r="G115" s="836">
        <v>3701653.4530000002</v>
      </c>
      <c r="H115" s="836">
        <v>-2510429.7799999998</v>
      </c>
      <c r="I115" s="836">
        <v>-1191223.673</v>
      </c>
      <c r="J115" s="836"/>
      <c r="K115" s="836"/>
      <c r="L115" s="836"/>
      <c r="M115" s="836"/>
      <c r="N115" s="836"/>
      <c r="O115" s="836"/>
      <c r="P115" s="836"/>
      <c r="Q115" s="836"/>
      <c r="R115" s="838"/>
    </row>
    <row r="116" spans="1:18">
      <c r="A116" s="451" t="str">
        <f t="shared" si="1"/>
        <v>302500000_#</v>
      </c>
      <c r="B116" s="1013" t="s">
        <v>1249</v>
      </c>
      <c r="C116" s="809" t="s">
        <v>207</v>
      </c>
      <c r="D116" s="808" t="s">
        <v>1250</v>
      </c>
      <c r="E116" s="808" t="s">
        <v>1251</v>
      </c>
      <c r="F116" s="612"/>
      <c r="G116" s="612">
        <v>597647.56400000001</v>
      </c>
      <c r="H116" s="612">
        <v>464181.69500000001</v>
      </c>
      <c r="I116" s="612">
        <v>892582.81900000002</v>
      </c>
      <c r="J116" s="612">
        <v>848631.56200000003</v>
      </c>
      <c r="K116" s="612">
        <v>532357.60400000005</v>
      </c>
      <c r="L116" s="612">
        <v>532150.18999999994</v>
      </c>
      <c r="M116" s="612">
        <v>429732.00400000002</v>
      </c>
      <c r="N116" s="612">
        <v>185781.505</v>
      </c>
      <c r="O116" s="612">
        <v>248609.09</v>
      </c>
      <c r="P116" s="612">
        <v>347438.91800000001</v>
      </c>
      <c r="Q116" s="612">
        <v>428096.79300000001</v>
      </c>
      <c r="R116" s="613">
        <v>431150.88400000002</v>
      </c>
    </row>
    <row r="117" spans="1:18">
      <c r="A117" s="451" t="str">
        <f t="shared" si="1"/>
        <v>302500000_Result</v>
      </c>
      <c r="B117" s="1013" t="s">
        <v>1249</v>
      </c>
      <c r="C117" s="809" t="s">
        <v>207</v>
      </c>
      <c r="D117" s="842" t="s">
        <v>1156</v>
      </c>
      <c r="E117" s="840"/>
      <c r="F117" s="836"/>
      <c r="G117" s="836">
        <v>597647.56400000001</v>
      </c>
      <c r="H117" s="836">
        <v>464181.69500000001</v>
      </c>
      <c r="I117" s="836">
        <v>892582.81900000002</v>
      </c>
      <c r="J117" s="836">
        <v>848631.56200000003</v>
      </c>
      <c r="K117" s="836">
        <v>532357.60400000005</v>
      </c>
      <c r="L117" s="836">
        <v>532150.18999999994</v>
      </c>
      <c r="M117" s="836">
        <v>429732.00400000002</v>
      </c>
      <c r="N117" s="836">
        <v>185781.505</v>
      </c>
      <c r="O117" s="836">
        <v>248609.09</v>
      </c>
      <c r="P117" s="836">
        <v>347438.91800000001</v>
      </c>
      <c r="Q117" s="836">
        <v>428096.79300000001</v>
      </c>
      <c r="R117" s="838">
        <v>431150.88400000002</v>
      </c>
    </row>
    <row r="118" spans="1:18">
      <c r="A118" s="451" t="str">
        <f t="shared" si="1"/>
        <v>303000000_#</v>
      </c>
      <c r="B118" s="1014" t="s">
        <v>1252</v>
      </c>
      <c r="C118" s="810" t="s">
        <v>1253</v>
      </c>
      <c r="D118" s="808" t="s">
        <v>1250</v>
      </c>
      <c r="E118" s="808" t="s">
        <v>1251</v>
      </c>
      <c r="F118" s="612"/>
      <c r="G118" s="612">
        <v>597647.56400000001</v>
      </c>
      <c r="H118" s="612">
        <v>464181.69500000001</v>
      </c>
      <c r="I118" s="612">
        <v>892582.81900000002</v>
      </c>
      <c r="J118" s="612">
        <v>848631.56200000003</v>
      </c>
      <c r="K118" s="612">
        <v>532357.60400000005</v>
      </c>
      <c r="L118" s="612">
        <v>532150.18999999994</v>
      </c>
      <c r="M118" s="612">
        <v>429732.00400000002</v>
      </c>
      <c r="N118" s="612">
        <v>185781.505</v>
      </c>
      <c r="O118" s="612">
        <v>248609.09</v>
      </c>
      <c r="P118" s="612">
        <v>347438.91800000001</v>
      </c>
      <c r="Q118" s="612">
        <v>428096.79300000001</v>
      </c>
      <c r="R118" s="613">
        <v>431150.88400000002</v>
      </c>
    </row>
    <row r="119" spans="1:18">
      <c r="A119" s="451" t="str">
        <f t="shared" si="1"/>
        <v>303000000_Result</v>
      </c>
      <c r="B119" s="1014" t="s">
        <v>1252</v>
      </c>
      <c r="C119" s="810" t="s">
        <v>1253</v>
      </c>
      <c r="D119" s="842" t="s">
        <v>1156</v>
      </c>
      <c r="E119" s="840"/>
      <c r="F119" s="836"/>
      <c r="G119" s="836">
        <v>597647.56400000001</v>
      </c>
      <c r="H119" s="836">
        <v>464181.69500000001</v>
      </c>
      <c r="I119" s="836">
        <v>892582.81900000002</v>
      </c>
      <c r="J119" s="836">
        <v>848631.56200000003</v>
      </c>
      <c r="K119" s="836">
        <v>532357.60400000005</v>
      </c>
      <c r="L119" s="836">
        <v>532150.18999999994</v>
      </c>
      <c r="M119" s="836">
        <v>429732.00400000002</v>
      </c>
      <c r="N119" s="836">
        <v>185781.505</v>
      </c>
      <c r="O119" s="836">
        <v>248609.09</v>
      </c>
      <c r="P119" s="836">
        <v>347438.91800000001</v>
      </c>
      <c r="Q119" s="836">
        <v>428096.79300000001</v>
      </c>
      <c r="R119" s="838">
        <v>431150.88400000002</v>
      </c>
    </row>
    <row r="120" spans="1:18">
      <c r="A120" s="451" t="str">
        <f t="shared" si="1"/>
        <v>303500000_#</v>
      </c>
      <c r="B120" s="1017" t="s">
        <v>1254</v>
      </c>
      <c r="C120" s="811" t="s">
        <v>874</v>
      </c>
      <c r="D120" s="808" t="s">
        <v>1250</v>
      </c>
      <c r="E120" s="808" t="s">
        <v>1251</v>
      </c>
      <c r="F120" s="612"/>
      <c r="G120" s="612">
        <v>1950375.6470000001</v>
      </c>
      <c r="H120" s="612">
        <v>1755213.365</v>
      </c>
      <c r="I120" s="612">
        <v>2184244.125</v>
      </c>
      <c r="J120" s="612">
        <v>2134381.327</v>
      </c>
      <c r="K120" s="612">
        <v>1821375.997</v>
      </c>
      <c r="L120" s="612">
        <v>1820141.956</v>
      </c>
      <c r="M120" s="612">
        <v>1733171.0619999999</v>
      </c>
      <c r="N120" s="612">
        <v>1477135.987</v>
      </c>
      <c r="O120" s="612">
        <v>1540543.0090000001</v>
      </c>
      <c r="P120" s="612">
        <v>1635318.07</v>
      </c>
      <c r="Q120" s="612">
        <v>1717084.392</v>
      </c>
      <c r="R120" s="613">
        <v>1721329.9450000001</v>
      </c>
    </row>
    <row r="121" spans="1:18">
      <c r="A121" s="451" t="str">
        <f t="shared" si="1"/>
        <v>303500000_Result</v>
      </c>
      <c r="B121" s="1017" t="s">
        <v>1254</v>
      </c>
      <c r="C121" s="811" t="s">
        <v>874</v>
      </c>
      <c r="D121" s="842" t="s">
        <v>1156</v>
      </c>
      <c r="E121" s="840"/>
      <c r="F121" s="836"/>
      <c r="G121" s="836">
        <v>1950375.6470000001</v>
      </c>
      <c r="H121" s="836">
        <v>1755213.365</v>
      </c>
      <c r="I121" s="836">
        <v>2184244.125</v>
      </c>
      <c r="J121" s="836">
        <v>2134381.327</v>
      </c>
      <c r="K121" s="836">
        <v>1821375.997</v>
      </c>
      <c r="L121" s="836">
        <v>1820141.956</v>
      </c>
      <c r="M121" s="836">
        <v>1733171.0619999999</v>
      </c>
      <c r="N121" s="836">
        <v>1477135.987</v>
      </c>
      <c r="O121" s="836">
        <v>1540543.0090000001</v>
      </c>
      <c r="P121" s="836">
        <v>1635318.07</v>
      </c>
      <c r="Q121" s="836">
        <v>1717084.392</v>
      </c>
      <c r="R121" s="838">
        <v>1721329.9450000001</v>
      </c>
    </row>
    <row r="122" spans="1:18">
      <c r="A122" s="451" t="str">
        <f t="shared" si="1"/>
        <v>304000000_#</v>
      </c>
      <c r="B122" s="1019" t="s">
        <v>1255</v>
      </c>
      <c r="C122" s="812" t="s">
        <v>1256</v>
      </c>
      <c r="D122" s="808" t="s">
        <v>1250</v>
      </c>
      <c r="E122" s="808" t="s">
        <v>1251</v>
      </c>
      <c r="F122" s="612"/>
      <c r="G122" s="612">
        <v>3677542.3119999999</v>
      </c>
      <c r="H122" s="612">
        <v>3450512.94</v>
      </c>
      <c r="I122" s="612">
        <v>3967491.7650000001</v>
      </c>
      <c r="J122" s="612">
        <v>3852330.9449999998</v>
      </c>
      <c r="K122" s="612">
        <v>3488347.21</v>
      </c>
      <c r="L122" s="612">
        <v>3492087.8640000001</v>
      </c>
      <c r="M122" s="612">
        <v>3485338.3480000002</v>
      </c>
      <c r="N122" s="612">
        <v>3202780.4759999998</v>
      </c>
      <c r="O122" s="612">
        <v>3217579.7259999998</v>
      </c>
      <c r="P122" s="612">
        <v>3310585.327</v>
      </c>
      <c r="Q122" s="612">
        <v>3424814.182</v>
      </c>
      <c r="R122" s="613">
        <v>3425376.892</v>
      </c>
    </row>
    <row r="123" spans="1:18">
      <c r="A123" s="451" t="str">
        <f t="shared" si="1"/>
        <v>304000000_Result</v>
      </c>
      <c r="B123" s="1019" t="s">
        <v>1255</v>
      </c>
      <c r="C123" s="812" t="s">
        <v>1256</v>
      </c>
      <c r="D123" s="842" t="s">
        <v>1156</v>
      </c>
      <c r="E123" s="840"/>
      <c r="F123" s="836"/>
      <c r="G123" s="836">
        <v>3677542.3119999999</v>
      </c>
      <c r="H123" s="836">
        <v>3450512.94</v>
      </c>
      <c r="I123" s="836">
        <v>3967491.7650000001</v>
      </c>
      <c r="J123" s="836">
        <v>3852330.9449999998</v>
      </c>
      <c r="K123" s="836">
        <v>3488347.21</v>
      </c>
      <c r="L123" s="836">
        <v>3492087.8640000001</v>
      </c>
      <c r="M123" s="836">
        <v>3485338.3480000002</v>
      </c>
      <c r="N123" s="836">
        <v>3202780.4759999998</v>
      </c>
      <c r="O123" s="836">
        <v>3217579.7259999998</v>
      </c>
      <c r="P123" s="836">
        <v>3310585.327</v>
      </c>
      <c r="Q123" s="836">
        <v>3424814.182</v>
      </c>
      <c r="R123" s="838">
        <v>3425376.892</v>
      </c>
    </row>
    <row r="124" spans="1:18">
      <c r="A124" s="451" t="str">
        <f t="shared" si="1"/>
        <v>304500000_#</v>
      </c>
      <c r="B124" s="614" t="s">
        <v>1257</v>
      </c>
      <c r="C124" s="843" t="s">
        <v>195</v>
      </c>
      <c r="D124" s="808" t="s">
        <v>1250</v>
      </c>
      <c r="E124" s="808" t="s">
        <v>1251</v>
      </c>
      <c r="F124" s="612"/>
      <c r="G124" s="612">
        <v>11127901.289999999</v>
      </c>
      <c r="H124" s="612">
        <v>10434389.289999999</v>
      </c>
      <c r="I124" s="612">
        <v>11994791.289999999</v>
      </c>
      <c r="J124" s="612">
        <v>11697014.333000001</v>
      </c>
      <c r="K124" s="612">
        <v>10596707.132999999</v>
      </c>
      <c r="L124" s="612">
        <v>10596707.132999999</v>
      </c>
      <c r="M124" s="612">
        <v>10596707.132999999</v>
      </c>
      <c r="N124" s="612">
        <v>9729817.1339999996</v>
      </c>
      <c r="O124" s="612">
        <v>9764157.2880000006</v>
      </c>
      <c r="P124" s="612">
        <v>10061934.243000001</v>
      </c>
      <c r="Q124" s="612">
        <v>10408690.243000001</v>
      </c>
      <c r="R124" s="613">
        <v>10408690.245999999</v>
      </c>
    </row>
    <row r="125" spans="1:18">
      <c r="A125" s="451" t="str">
        <f t="shared" si="1"/>
        <v>304500000_Result</v>
      </c>
      <c r="B125" s="614" t="s">
        <v>1257</v>
      </c>
      <c r="C125" s="843" t="s">
        <v>195</v>
      </c>
      <c r="D125" s="842" t="s">
        <v>1156</v>
      </c>
      <c r="E125" s="840"/>
      <c r="F125" s="836"/>
      <c r="G125" s="836">
        <v>11127901.289999999</v>
      </c>
      <c r="H125" s="836">
        <v>10434389.289999999</v>
      </c>
      <c r="I125" s="836">
        <v>11994791.289999999</v>
      </c>
      <c r="J125" s="836">
        <v>11697014.333000001</v>
      </c>
      <c r="K125" s="836">
        <v>10596707.132999999</v>
      </c>
      <c r="L125" s="836">
        <v>10596707.132999999</v>
      </c>
      <c r="M125" s="836">
        <v>10596707.132999999</v>
      </c>
      <c r="N125" s="836">
        <v>9729817.1339999996</v>
      </c>
      <c r="O125" s="836">
        <v>9764157.2880000006</v>
      </c>
      <c r="P125" s="836">
        <v>10061934.243000001</v>
      </c>
      <c r="Q125" s="836">
        <v>10408690.243000001</v>
      </c>
      <c r="R125" s="838">
        <v>10408690.245999999</v>
      </c>
    </row>
    <row r="126" spans="1:18">
      <c r="A126" s="451" t="str">
        <f t="shared" si="1"/>
        <v>305000000_#</v>
      </c>
      <c r="B126" s="813" t="s">
        <v>1258</v>
      </c>
      <c r="C126" s="813" t="s">
        <v>767</v>
      </c>
      <c r="D126" s="808" t="s">
        <v>1250</v>
      </c>
      <c r="E126" s="808" t="s">
        <v>1251</v>
      </c>
      <c r="F126" s="612"/>
      <c r="G126" s="612">
        <v>11127901.289999999</v>
      </c>
      <c r="H126" s="612">
        <v>10434389.289999999</v>
      </c>
      <c r="I126" s="612">
        <v>11994791.289999999</v>
      </c>
      <c r="J126" s="612">
        <v>11697014.333000001</v>
      </c>
      <c r="K126" s="612">
        <v>10596707.132999999</v>
      </c>
      <c r="L126" s="612">
        <v>10596707.132999999</v>
      </c>
      <c r="M126" s="612">
        <v>10596707.132999999</v>
      </c>
      <c r="N126" s="612">
        <v>9729817.1339999996</v>
      </c>
      <c r="O126" s="612">
        <v>9764157.2880000006</v>
      </c>
      <c r="P126" s="612">
        <v>10061934.243000001</v>
      </c>
      <c r="Q126" s="612">
        <v>10408690.243000001</v>
      </c>
      <c r="R126" s="613">
        <v>10408690.245999999</v>
      </c>
    </row>
    <row r="127" spans="1:18">
      <c r="A127" s="451" t="str">
        <f t="shared" si="1"/>
        <v>305000000_Result</v>
      </c>
      <c r="B127" s="813" t="s">
        <v>1258</v>
      </c>
      <c r="C127" s="813" t="s">
        <v>767</v>
      </c>
      <c r="D127" s="842" t="s">
        <v>1156</v>
      </c>
      <c r="E127" s="840"/>
      <c r="F127" s="836"/>
      <c r="G127" s="836">
        <v>11127901.289999999</v>
      </c>
      <c r="H127" s="836">
        <v>10434389.289999999</v>
      </c>
      <c r="I127" s="836">
        <v>11994791.289999999</v>
      </c>
      <c r="J127" s="836">
        <v>11697014.333000001</v>
      </c>
      <c r="K127" s="836">
        <v>10596707.132999999</v>
      </c>
      <c r="L127" s="836">
        <v>10596707.132999999</v>
      </c>
      <c r="M127" s="836">
        <v>10596707.132999999</v>
      </c>
      <c r="N127" s="836">
        <v>9729817.1339999996</v>
      </c>
      <c r="O127" s="836">
        <v>9764157.2880000006</v>
      </c>
      <c r="P127" s="836">
        <v>10061934.243000001</v>
      </c>
      <c r="Q127" s="836">
        <v>10408690.243000001</v>
      </c>
      <c r="R127" s="838">
        <v>10408690.245999999</v>
      </c>
    </row>
    <row r="128" spans="1:18">
      <c r="A128" s="451" t="str">
        <f t="shared" si="1"/>
        <v>305002100_#</v>
      </c>
      <c r="B128" s="1020" t="s">
        <v>1262</v>
      </c>
      <c r="C128" s="814" t="s">
        <v>775</v>
      </c>
      <c r="D128" s="808" t="s">
        <v>1250</v>
      </c>
      <c r="E128" s="808" t="s">
        <v>1251</v>
      </c>
      <c r="F128" s="612"/>
      <c r="G128" s="612">
        <v>11127901.289999999</v>
      </c>
      <c r="H128" s="612">
        <v>10434389.289999999</v>
      </c>
      <c r="I128" s="612">
        <v>11994791.289999999</v>
      </c>
      <c r="J128" s="612">
        <v>11697014.333000001</v>
      </c>
      <c r="K128" s="612">
        <v>10596707.132999999</v>
      </c>
      <c r="L128" s="612">
        <v>10596707.132999999</v>
      </c>
      <c r="M128" s="612">
        <v>10596707.132999999</v>
      </c>
      <c r="N128" s="612">
        <v>9729817.1339999996</v>
      </c>
      <c r="O128" s="612">
        <v>9764157.2880000006</v>
      </c>
      <c r="P128" s="612">
        <v>10061934.243000001</v>
      </c>
      <c r="Q128" s="612">
        <v>10408690.243000001</v>
      </c>
      <c r="R128" s="613">
        <v>10408690.245999999</v>
      </c>
    </row>
    <row r="129" spans="1:18">
      <c r="A129" s="451" t="str">
        <f t="shared" si="1"/>
        <v>305002100_Result</v>
      </c>
      <c r="B129" s="1020" t="s">
        <v>1262</v>
      </c>
      <c r="C129" s="814" t="s">
        <v>775</v>
      </c>
      <c r="D129" s="842" t="s">
        <v>1156</v>
      </c>
      <c r="E129" s="840"/>
      <c r="F129" s="836"/>
      <c r="G129" s="836">
        <v>11127901.289999999</v>
      </c>
      <c r="H129" s="836">
        <v>10434389.289999999</v>
      </c>
      <c r="I129" s="836">
        <v>11994791.289999999</v>
      </c>
      <c r="J129" s="836">
        <v>11697014.333000001</v>
      </c>
      <c r="K129" s="836">
        <v>10596707.132999999</v>
      </c>
      <c r="L129" s="836">
        <v>10596707.132999999</v>
      </c>
      <c r="M129" s="836">
        <v>10596707.132999999</v>
      </c>
      <c r="N129" s="836">
        <v>9729817.1339999996</v>
      </c>
      <c r="O129" s="836">
        <v>9764157.2880000006</v>
      </c>
      <c r="P129" s="836">
        <v>10061934.243000001</v>
      </c>
      <c r="Q129" s="836">
        <v>10408690.243000001</v>
      </c>
      <c r="R129" s="838">
        <v>10408690.245999999</v>
      </c>
    </row>
    <row r="130" spans="1:18">
      <c r="A130" s="451" t="str">
        <f t="shared" si="1"/>
        <v>306000000_#</v>
      </c>
      <c r="B130" s="614" t="s">
        <v>1266</v>
      </c>
      <c r="C130" s="843" t="s">
        <v>783</v>
      </c>
      <c r="D130" s="808" t="s">
        <v>1250</v>
      </c>
      <c r="E130" s="808" t="s">
        <v>1251</v>
      </c>
      <c r="F130" s="612"/>
      <c r="G130" s="612">
        <v>-7450358.9780000001</v>
      </c>
      <c r="H130" s="612">
        <v>-6983876.3499999996</v>
      </c>
      <c r="I130" s="612">
        <v>-8027299.5250000004</v>
      </c>
      <c r="J130" s="612">
        <v>-7844683.3880000003</v>
      </c>
      <c r="K130" s="612">
        <v>-7108359.9230000004</v>
      </c>
      <c r="L130" s="612">
        <v>-7104619.2690000003</v>
      </c>
      <c r="M130" s="612">
        <v>-7111368.7850000001</v>
      </c>
      <c r="N130" s="612">
        <v>-6527036.6579999998</v>
      </c>
      <c r="O130" s="612">
        <v>-6546577.5619999999</v>
      </c>
      <c r="P130" s="612">
        <v>-6751348.9160000002</v>
      </c>
      <c r="Q130" s="612">
        <v>-6983876.0609999998</v>
      </c>
      <c r="R130" s="613">
        <v>-6983313.3540000003</v>
      </c>
    </row>
    <row r="131" spans="1:18">
      <c r="A131" s="451" t="str">
        <f t="shared" si="1"/>
        <v>306000000_Result</v>
      </c>
      <c r="B131" s="614" t="s">
        <v>1266</v>
      </c>
      <c r="C131" s="843" t="s">
        <v>783</v>
      </c>
      <c r="D131" s="842" t="s">
        <v>1156</v>
      </c>
      <c r="E131" s="840"/>
      <c r="F131" s="836"/>
      <c r="G131" s="836">
        <v>-7450358.9780000001</v>
      </c>
      <c r="H131" s="836">
        <v>-6983876.3499999996</v>
      </c>
      <c r="I131" s="836">
        <v>-8027299.5250000004</v>
      </c>
      <c r="J131" s="836">
        <v>-7844683.3880000003</v>
      </c>
      <c r="K131" s="836">
        <v>-7108359.9230000004</v>
      </c>
      <c r="L131" s="836">
        <v>-7104619.2690000003</v>
      </c>
      <c r="M131" s="836">
        <v>-7111368.7850000001</v>
      </c>
      <c r="N131" s="836">
        <v>-6527036.6579999998</v>
      </c>
      <c r="O131" s="836">
        <v>-6546577.5619999999</v>
      </c>
      <c r="P131" s="836">
        <v>-6751348.9160000002</v>
      </c>
      <c r="Q131" s="836">
        <v>-6983876.0609999998</v>
      </c>
      <c r="R131" s="838">
        <v>-6983313.3540000003</v>
      </c>
    </row>
    <row r="132" spans="1:18">
      <c r="A132" s="451" t="str">
        <f t="shared" ref="A132:A195" si="2" xml:space="preserve"> IFERROR(+B132*1,B132)&amp;"_"&amp;IFERROR(+D132*1,D132)</f>
        <v>306500000_#</v>
      </c>
      <c r="B132" s="813" t="s">
        <v>1267</v>
      </c>
      <c r="C132" s="813" t="s">
        <v>1268</v>
      </c>
      <c r="D132" s="808" t="s">
        <v>1250</v>
      </c>
      <c r="E132" s="808" t="s">
        <v>1251</v>
      </c>
      <c r="F132" s="612"/>
      <c r="G132" s="612">
        <v>-7381909.8849999998</v>
      </c>
      <c r="H132" s="612">
        <v>-6919727.0319999997</v>
      </c>
      <c r="I132" s="612">
        <v>-7953475.7139999997</v>
      </c>
      <c r="J132" s="612">
        <v>-7772705.7939999998</v>
      </c>
      <c r="K132" s="612">
        <v>-7043204.233</v>
      </c>
      <c r="L132" s="612">
        <v>-7039463.5789999999</v>
      </c>
      <c r="M132" s="612">
        <v>-7046213.0949999997</v>
      </c>
      <c r="N132" s="612">
        <v>-6467255.6859999998</v>
      </c>
      <c r="O132" s="612">
        <v>-6486583.682</v>
      </c>
      <c r="P132" s="612">
        <v>-6689508.8190000001</v>
      </c>
      <c r="Q132" s="612">
        <v>-6919886.0769999996</v>
      </c>
      <c r="R132" s="613">
        <v>-6919323.3710000003</v>
      </c>
    </row>
    <row r="133" spans="1:18">
      <c r="A133" s="451" t="str">
        <f t="shared" si="2"/>
        <v>306500000_Result</v>
      </c>
      <c r="B133" s="813" t="s">
        <v>1267</v>
      </c>
      <c r="C133" s="813" t="s">
        <v>1268</v>
      </c>
      <c r="D133" s="842" t="s">
        <v>1156</v>
      </c>
      <c r="E133" s="840"/>
      <c r="F133" s="836"/>
      <c r="G133" s="836">
        <v>-7381909.8849999998</v>
      </c>
      <c r="H133" s="836">
        <v>-6919727.0319999997</v>
      </c>
      <c r="I133" s="836">
        <v>-7953475.7139999997</v>
      </c>
      <c r="J133" s="836">
        <v>-7772705.7939999998</v>
      </c>
      <c r="K133" s="836">
        <v>-7043204.233</v>
      </c>
      <c r="L133" s="836">
        <v>-7039463.5789999999</v>
      </c>
      <c r="M133" s="836">
        <v>-7046213.0949999997</v>
      </c>
      <c r="N133" s="836">
        <v>-6467255.6859999998</v>
      </c>
      <c r="O133" s="836">
        <v>-6486583.682</v>
      </c>
      <c r="P133" s="836">
        <v>-6689508.8190000001</v>
      </c>
      <c r="Q133" s="836">
        <v>-6919886.0769999996</v>
      </c>
      <c r="R133" s="838">
        <v>-6919323.3710000003</v>
      </c>
    </row>
    <row r="134" spans="1:18">
      <c r="A134" s="451" t="str">
        <f t="shared" si="2"/>
        <v>306501600_#</v>
      </c>
      <c r="B134" s="1020" t="s">
        <v>1270</v>
      </c>
      <c r="C134" s="814" t="s">
        <v>1271</v>
      </c>
      <c r="D134" s="808" t="s">
        <v>1250</v>
      </c>
      <c r="E134" s="808" t="s">
        <v>1251</v>
      </c>
      <c r="F134" s="612"/>
      <c r="G134" s="612">
        <v>-7282728.7350000003</v>
      </c>
      <c r="H134" s="612">
        <v>-6826615.5829999996</v>
      </c>
      <c r="I134" s="612">
        <v>-7846707.443</v>
      </c>
      <c r="J134" s="612">
        <v>-7668583.7740000002</v>
      </c>
      <c r="K134" s="612">
        <v>-6948778.4589999998</v>
      </c>
      <c r="L134" s="612">
        <v>-6945037.8049999997</v>
      </c>
      <c r="M134" s="612">
        <v>-6951787.3210000005</v>
      </c>
      <c r="N134" s="612">
        <v>-6380417.0300000003</v>
      </c>
      <c r="O134" s="612">
        <v>-6399503.7470000004</v>
      </c>
      <c r="P134" s="612">
        <v>-6599782.6320000002</v>
      </c>
      <c r="Q134" s="612">
        <v>-6827125.04</v>
      </c>
      <c r="R134" s="613">
        <v>-6826562.3339999998</v>
      </c>
    </row>
    <row r="135" spans="1:18">
      <c r="A135" s="451" t="str">
        <f t="shared" si="2"/>
        <v>306501600_Result</v>
      </c>
      <c r="B135" s="1020" t="s">
        <v>1270</v>
      </c>
      <c r="C135" s="814" t="s">
        <v>1271</v>
      </c>
      <c r="D135" s="842" t="s">
        <v>1156</v>
      </c>
      <c r="E135" s="840"/>
      <c r="F135" s="836"/>
      <c r="G135" s="836">
        <v>-7282728.7350000003</v>
      </c>
      <c r="H135" s="836">
        <v>-6826615.5829999996</v>
      </c>
      <c r="I135" s="836">
        <v>-7846707.443</v>
      </c>
      <c r="J135" s="836">
        <v>-7668583.7740000002</v>
      </c>
      <c r="K135" s="836">
        <v>-6948778.4589999998</v>
      </c>
      <c r="L135" s="836">
        <v>-6945037.8049999997</v>
      </c>
      <c r="M135" s="836">
        <v>-6951787.3210000005</v>
      </c>
      <c r="N135" s="836">
        <v>-6380417.0300000003</v>
      </c>
      <c r="O135" s="836">
        <v>-6399503.7470000004</v>
      </c>
      <c r="P135" s="836">
        <v>-6599782.6320000002</v>
      </c>
      <c r="Q135" s="836">
        <v>-6827125.04</v>
      </c>
      <c r="R135" s="838">
        <v>-6826562.3339999998</v>
      </c>
    </row>
    <row r="136" spans="1:18">
      <c r="A136" s="451" t="str">
        <f t="shared" si="2"/>
        <v>307000000_#</v>
      </c>
      <c r="B136" s="1021" t="s">
        <v>1272</v>
      </c>
      <c r="C136" s="814" t="s">
        <v>1273</v>
      </c>
      <c r="D136" s="808" t="s">
        <v>1250</v>
      </c>
      <c r="E136" s="808" t="s">
        <v>1251</v>
      </c>
      <c r="F136" s="612"/>
      <c r="G136" s="612">
        <v>-99181.15</v>
      </c>
      <c r="H136" s="612">
        <v>-93111.448999999993</v>
      </c>
      <c r="I136" s="612">
        <v>-106768.27099999999</v>
      </c>
      <c r="J136" s="612">
        <v>-104122.02</v>
      </c>
      <c r="K136" s="612">
        <v>-94425.774000000005</v>
      </c>
      <c r="L136" s="612">
        <v>-94425.774000000005</v>
      </c>
      <c r="M136" s="612">
        <v>-94425.774000000005</v>
      </c>
      <c r="N136" s="612">
        <v>-86838.656000000003</v>
      </c>
      <c r="O136" s="612">
        <v>-87079.934999999998</v>
      </c>
      <c r="P136" s="612">
        <v>-89726.187000000005</v>
      </c>
      <c r="Q136" s="612">
        <v>-92761.036999999997</v>
      </c>
      <c r="R136" s="613">
        <v>-92761.036999999997</v>
      </c>
    </row>
    <row r="137" spans="1:18">
      <c r="A137" s="451" t="str">
        <f t="shared" si="2"/>
        <v>307000000_Result</v>
      </c>
      <c r="B137" s="1021" t="s">
        <v>1272</v>
      </c>
      <c r="C137" s="814" t="s">
        <v>1273</v>
      </c>
      <c r="D137" s="842" t="s">
        <v>1156</v>
      </c>
      <c r="E137" s="840"/>
      <c r="F137" s="836"/>
      <c r="G137" s="836">
        <v>-99181.15</v>
      </c>
      <c r="H137" s="836">
        <v>-93111.448999999993</v>
      </c>
      <c r="I137" s="836">
        <v>-106768.27099999999</v>
      </c>
      <c r="J137" s="836">
        <v>-104122.02</v>
      </c>
      <c r="K137" s="836">
        <v>-94425.774000000005</v>
      </c>
      <c r="L137" s="836">
        <v>-94425.774000000005</v>
      </c>
      <c r="M137" s="836">
        <v>-94425.774000000005</v>
      </c>
      <c r="N137" s="836">
        <v>-86838.656000000003</v>
      </c>
      <c r="O137" s="836">
        <v>-87079.934999999998</v>
      </c>
      <c r="P137" s="836">
        <v>-89726.187000000005</v>
      </c>
      <c r="Q137" s="836">
        <v>-92761.036999999997</v>
      </c>
      <c r="R137" s="838">
        <v>-92761.036999999997</v>
      </c>
    </row>
    <row r="138" spans="1:18">
      <c r="A138" s="451" t="str">
        <f t="shared" si="2"/>
        <v>307001600_#</v>
      </c>
      <c r="B138" s="1022" t="s">
        <v>1274</v>
      </c>
      <c r="C138" s="814" t="s">
        <v>793</v>
      </c>
      <c r="D138" s="808" t="s">
        <v>1250</v>
      </c>
      <c r="E138" s="808" t="s">
        <v>1251</v>
      </c>
      <c r="F138" s="612"/>
      <c r="G138" s="612">
        <v>-35168.659</v>
      </c>
      <c r="H138" s="612">
        <v>-32993.254000000001</v>
      </c>
      <c r="I138" s="612">
        <v>-37887.910000000003</v>
      </c>
      <c r="J138" s="612">
        <v>-36945.413999999997</v>
      </c>
      <c r="K138" s="612">
        <v>-33480.042000000001</v>
      </c>
      <c r="L138" s="612">
        <v>-33480.042000000001</v>
      </c>
      <c r="M138" s="612">
        <v>-33480.042000000001</v>
      </c>
      <c r="N138" s="612">
        <v>-30760.794000000002</v>
      </c>
      <c r="O138" s="612">
        <v>-30856.036</v>
      </c>
      <c r="P138" s="612">
        <v>-31798.534</v>
      </c>
      <c r="Q138" s="612">
        <v>-32886.235999999997</v>
      </c>
      <c r="R138" s="613">
        <v>-32886.235999999997</v>
      </c>
    </row>
    <row r="139" spans="1:18">
      <c r="A139" s="451" t="str">
        <f t="shared" si="2"/>
        <v>307001600_Result</v>
      </c>
      <c r="B139" s="1022" t="s">
        <v>1274</v>
      </c>
      <c r="C139" s="814" t="s">
        <v>793</v>
      </c>
      <c r="D139" s="842" t="s">
        <v>1156</v>
      </c>
      <c r="E139" s="840"/>
      <c r="F139" s="836"/>
      <c r="G139" s="836">
        <v>-35168.659</v>
      </c>
      <c r="H139" s="836">
        <v>-32993.254000000001</v>
      </c>
      <c r="I139" s="836">
        <v>-37887.910000000003</v>
      </c>
      <c r="J139" s="836">
        <v>-36945.413999999997</v>
      </c>
      <c r="K139" s="836">
        <v>-33480.042000000001</v>
      </c>
      <c r="L139" s="836">
        <v>-33480.042000000001</v>
      </c>
      <c r="M139" s="836">
        <v>-33480.042000000001</v>
      </c>
      <c r="N139" s="836">
        <v>-30760.794000000002</v>
      </c>
      <c r="O139" s="836">
        <v>-30856.036</v>
      </c>
      <c r="P139" s="836">
        <v>-31798.534</v>
      </c>
      <c r="Q139" s="836">
        <v>-32886.235999999997</v>
      </c>
      <c r="R139" s="838">
        <v>-32886.235999999997</v>
      </c>
    </row>
    <row r="140" spans="1:18">
      <c r="A140" s="451" t="str">
        <f t="shared" si="2"/>
        <v>307002100_#</v>
      </c>
      <c r="B140" s="1022" t="s">
        <v>1275</v>
      </c>
      <c r="C140" s="814" t="s">
        <v>795</v>
      </c>
      <c r="D140" s="808" t="s">
        <v>1250</v>
      </c>
      <c r="E140" s="808" t="s">
        <v>1251</v>
      </c>
      <c r="F140" s="612"/>
      <c r="G140" s="612">
        <v>-64012.491000000002</v>
      </c>
      <c r="H140" s="612">
        <v>-60118.195</v>
      </c>
      <c r="I140" s="612">
        <v>-68880.361000000004</v>
      </c>
      <c r="J140" s="612">
        <v>-67176.606</v>
      </c>
      <c r="K140" s="612">
        <v>-60945.732000000004</v>
      </c>
      <c r="L140" s="612">
        <v>-60945.732000000004</v>
      </c>
      <c r="M140" s="612">
        <v>-60945.732000000004</v>
      </c>
      <c r="N140" s="612">
        <v>-56077.862000000001</v>
      </c>
      <c r="O140" s="612">
        <v>-56223.898999999998</v>
      </c>
      <c r="P140" s="612">
        <v>-57927.652999999998</v>
      </c>
      <c r="Q140" s="612">
        <v>-59874.800999999999</v>
      </c>
      <c r="R140" s="613">
        <v>-59874.800999999999</v>
      </c>
    </row>
    <row r="141" spans="1:18">
      <c r="A141" s="451" t="str">
        <f t="shared" si="2"/>
        <v>307002100_Result</v>
      </c>
      <c r="B141" s="1022" t="s">
        <v>1275</v>
      </c>
      <c r="C141" s="814" t="s">
        <v>795</v>
      </c>
      <c r="D141" s="842" t="s">
        <v>1156</v>
      </c>
      <c r="E141" s="840"/>
      <c r="F141" s="836"/>
      <c r="G141" s="836">
        <v>-64012.491000000002</v>
      </c>
      <c r="H141" s="836">
        <v>-60118.195</v>
      </c>
      <c r="I141" s="836">
        <v>-68880.361000000004</v>
      </c>
      <c r="J141" s="836">
        <v>-67176.606</v>
      </c>
      <c r="K141" s="836">
        <v>-60945.732000000004</v>
      </c>
      <c r="L141" s="836">
        <v>-60945.732000000004</v>
      </c>
      <c r="M141" s="836">
        <v>-60945.732000000004</v>
      </c>
      <c r="N141" s="836">
        <v>-56077.862000000001</v>
      </c>
      <c r="O141" s="836">
        <v>-56223.898999999998</v>
      </c>
      <c r="P141" s="836">
        <v>-57927.652999999998</v>
      </c>
      <c r="Q141" s="836">
        <v>-59874.800999999999</v>
      </c>
      <c r="R141" s="838">
        <v>-59874.800999999999</v>
      </c>
    </row>
    <row r="142" spans="1:18">
      <c r="A142" s="451" t="str">
        <f t="shared" si="2"/>
        <v>307500000_#</v>
      </c>
      <c r="B142" s="813" t="s">
        <v>1276</v>
      </c>
      <c r="C142" s="813" t="s">
        <v>799</v>
      </c>
      <c r="D142" s="808" t="s">
        <v>1250</v>
      </c>
      <c r="E142" s="808" t="s">
        <v>1251</v>
      </c>
      <c r="F142" s="612"/>
      <c r="G142" s="612">
        <v>-68449.092999999993</v>
      </c>
      <c r="H142" s="612">
        <v>-64149.317999999999</v>
      </c>
      <c r="I142" s="612">
        <v>-73823.811000000002</v>
      </c>
      <c r="J142" s="612">
        <v>-71977.593999999997</v>
      </c>
      <c r="K142" s="612">
        <v>-65155.69</v>
      </c>
      <c r="L142" s="612">
        <v>-65155.69</v>
      </c>
      <c r="M142" s="612">
        <v>-65155.69</v>
      </c>
      <c r="N142" s="612">
        <v>-59780.972000000002</v>
      </c>
      <c r="O142" s="612">
        <v>-59993.88</v>
      </c>
      <c r="P142" s="612">
        <v>-61840.097000000002</v>
      </c>
      <c r="Q142" s="612">
        <v>-63989.983999999997</v>
      </c>
      <c r="R142" s="613">
        <v>-63989.983</v>
      </c>
    </row>
    <row r="143" spans="1:18">
      <c r="A143" s="451" t="str">
        <f t="shared" si="2"/>
        <v>307500000_Result</v>
      </c>
      <c r="B143" s="813" t="s">
        <v>1276</v>
      </c>
      <c r="C143" s="813" t="s">
        <v>799</v>
      </c>
      <c r="D143" s="842" t="s">
        <v>1156</v>
      </c>
      <c r="E143" s="840"/>
      <c r="F143" s="836"/>
      <c r="G143" s="836">
        <v>-68449.092999999993</v>
      </c>
      <c r="H143" s="836">
        <v>-64149.317999999999</v>
      </c>
      <c r="I143" s="836">
        <v>-73823.811000000002</v>
      </c>
      <c r="J143" s="836">
        <v>-71977.593999999997</v>
      </c>
      <c r="K143" s="836">
        <v>-65155.69</v>
      </c>
      <c r="L143" s="836">
        <v>-65155.69</v>
      </c>
      <c r="M143" s="836">
        <v>-65155.69</v>
      </c>
      <c r="N143" s="836">
        <v>-59780.972000000002</v>
      </c>
      <c r="O143" s="836">
        <v>-59993.88</v>
      </c>
      <c r="P143" s="836">
        <v>-61840.097000000002</v>
      </c>
      <c r="Q143" s="836">
        <v>-63989.983999999997</v>
      </c>
      <c r="R143" s="838">
        <v>-63989.983</v>
      </c>
    </row>
    <row r="144" spans="1:18">
      <c r="A144" s="451" t="str">
        <f t="shared" si="2"/>
        <v>308500000_#</v>
      </c>
      <c r="B144" s="1021" t="s">
        <v>1289</v>
      </c>
      <c r="C144" s="814" t="s">
        <v>1290</v>
      </c>
      <c r="D144" s="808" t="s">
        <v>1250</v>
      </c>
      <c r="E144" s="808" t="s">
        <v>1251</v>
      </c>
      <c r="F144" s="612"/>
      <c r="G144" s="612">
        <v>-13248.212</v>
      </c>
      <c r="H144" s="612">
        <v>-12415.996999999999</v>
      </c>
      <c r="I144" s="612">
        <v>-14288.48</v>
      </c>
      <c r="J144" s="612">
        <v>-13931.147000000001</v>
      </c>
      <c r="K144" s="612">
        <v>-12610.779</v>
      </c>
      <c r="L144" s="612">
        <v>-12610.779</v>
      </c>
      <c r="M144" s="612">
        <v>-12610.779</v>
      </c>
      <c r="N144" s="612">
        <v>-11570.511</v>
      </c>
      <c r="O144" s="612">
        <v>-11611.718999999999</v>
      </c>
      <c r="P144" s="612">
        <v>-11969.050999999999</v>
      </c>
      <c r="Q144" s="612">
        <v>-12385.157999999999</v>
      </c>
      <c r="R144" s="613">
        <v>-12385.156000000001</v>
      </c>
    </row>
    <row r="145" spans="1:18">
      <c r="A145" s="451" t="str">
        <f t="shared" si="2"/>
        <v>308500000_Result</v>
      </c>
      <c r="B145" s="1021" t="s">
        <v>1289</v>
      </c>
      <c r="C145" s="814" t="s">
        <v>1290</v>
      </c>
      <c r="D145" s="842" t="s">
        <v>1156</v>
      </c>
      <c r="E145" s="840"/>
      <c r="F145" s="836"/>
      <c r="G145" s="836">
        <v>-13248.212</v>
      </c>
      <c r="H145" s="836">
        <v>-12415.996999999999</v>
      </c>
      <c r="I145" s="836">
        <v>-14288.48</v>
      </c>
      <c r="J145" s="836">
        <v>-13931.147000000001</v>
      </c>
      <c r="K145" s="836">
        <v>-12610.779</v>
      </c>
      <c r="L145" s="836">
        <v>-12610.779</v>
      </c>
      <c r="M145" s="836">
        <v>-12610.779</v>
      </c>
      <c r="N145" s="836">
        <v>-11570.511</v>
      </c>
      <c r="O145" s="836">
        <v>-11611.718999999999</v>
      </c>
      <c r="P145" s="836">
        <v>-11969.050999999999</v>
      </c>
      <c r="Q145" s="836">
        <v>-12385.157999999999</v>
      </c>
      <c r="R145" s="838">
        <v>-12385.156000000001</v>
      </c>
    </row>
    <row r="146" spans="1:18">
      <c r="A146" s="451" t="str">
        <f t="shared" si="2"/>
        <v>309500000_#</v>
      </c>
      <c r="B146" s="1023" t="s">
        <v>1291</v>
      </c>
      <c r="C146" s="814" t="s">
        <v>1292</v>
      </c>
      <c r="D146" s="808" t="s">
        <v>1250</v>
      </c>
      <c r="E146" s="808" t="s">
        <v>1251</v>
      </c>
      <c r="F146" s="612"/>
      <c r="G146" s="612">
        <v>-13248.212</v>
      </c>
      <c r="H146" s="612">
        <v>-12415.996999999999</v>
      </c>
      <c r="I146" s="612">
        <v>-14288.48</v>
      </c>
      <c r="J146" s="612">
        <v>-13931.147000000001</v>
      </c>
      <c r="K146" s="612">
        <v>-12610.779</v>
      </c>
      <c r="L146" s="612">
        <v>-12610.779</v>
      </c>
      <c r="M146" s="612">
        <v>-12610.779</v>
      </c>
      <c r="N146" s="612">
        <v>-11570.511</v>
      </c>
      <c r="O146" s="612">
        <v>-11611.718999999999</v>
      </c>
      <c r="P146" s="612">
        <v>-11969.050999999999</v>
      </c>
      <c r="Q146" s="612">
        <v>-12385.157999999999</v>
      </c>
      <c r="R146" s="613">
        <v>-12385.156000000001</v>
      </c>
    </row>
    <row r="147" spans="1:18">
      <c r="A147" s="451" t="str">
        <f t="shared" si="2"/>
        <v>309500000_Result</v>
      </c>
      <c r="B147" s="1023" t="s">
        <v>1291</v>
      </c>
      <c r="C147" s="814" t="s">
        <v>1292</v>
      </c>
      <c r="D147" s="842" t="s">
        <v>1156</v>
      </c>
      <c r="E147" s="840"/>
      <c r="F147" s="836"/>
      <c r="G147" s="836">
        <v>-13248.212</v>
      </c>
      <c r="H147" s="836">
        <v>-12415.996999999999</v>
      </c>
      <c r="I147" s="836">
        <v>-14288.48</v>
      </c>
      <c r="J147" s="836">
        <v>-13931.147000000001</v>
      </c>
      <c r="K147" s="836">
        <v>-12610.779</v>
      </c>
      <c r="L147" s="836">
        <v>-12610.779</v>
      </c>
      <c r="M147" s="836">
        <v>-12610.779</v>
      </c>
      <c r="N147" s="836">
        <v>-11570.511</v>
      </c>
      <c r="O147" s="836">
        <v>-11611.718999999999</v>
      </c>
      <c r="P147" s="836">
        <v>-11969.050999999999</v>
      </c>
      <c r="Q147" s="836">
        <v>-12385.157999999999</v>
      </c>
      <c r="R147" s="838">
        <v>-12385.156000000001</v>
      </c>
    </row>
    <row r="148" spans="1:18">
      <c r="A148" s="451" t="str">
        <f t="shared" si="2"/>
        <v>309503100_#</v>
      </c>
      <c r="B148" s="1024" t="s">
        <v>1308</v>
      </c>
      <c r="C148" s="814" t="s">
        <v>1309</v>
      </c>
      <c r="D148" s="808" t="s">
        <v>1250</v>
      </c>
      <c r="E148" s="808" t="s">
        <v>1251</v>
      </c>
      <c r="F148" s="612"/>
      <c r="G148" s="612">
        <v>-13248.212</v>
      </c>
      <c r="H148" s="612">
        <v>-12415.996999999999</v>
      </c>
      <c r="I148" s="612">
        <v>-14288.48</v>
      </c>
      <c r="J148" s="612">
        <v>-13931.147000000001</v>
      </c>
      <c r="K148" s="612">
        <v>-12610.779</v>
      </c>
      <c r="L148" s="612">
        <v>-12610.779</v>
      </c>
      <c r="M148" s="612">
        <v>-12610.779</v>
      </c>
      <c r="N148" s="612">
        <v>-11570.511</v>
      </c>
      <c r="O148" s="612">
        <v>-11611.718999999999</v>
      </c>
      <c r="P148" s="612">
        <v>-11969.050999999999</v>
      </c>
      <c r="Q148" s="612">
        <v>-12385.157999999999</v>
      </c>
      <c r="R148" s="613">
        <v>-12385.156000000001</v>
      </c>
    </row>
    <row r="149" spans="1:18">
      <c r="A149" s="451" t="str">
        <f t="shared" si="2"/>
        <v>309503100_Result</v>
      </c>
      <c r="B149" s="1024" t="s">
        <v>1308</v>
      </c>
      <c r="C149" s="814" t="s">
        <v>1309</v>
      </c>
      <c r="D149" s="842" t="s">
        <v>1156</v>
      </c>
      <c r="E149" s="840"/>
      <c r="F149" s="836"/>
      <c r="G149" s="836">
        <v>-13248.212</v>
      </c>
      <c r="H149" s="836">
        <v>-12415.996999999999</v>
      </c>
      <c r="I149" s="836">
        <v>-14288.48</v>
      </c>
      <c r="J149" s="836">
        <v>-13931.147000000001</v>
      </c>
      <c r="K149" s="836">
        <v>-12610.779</v>
      </c>
      <c r="L149" s="836">
        <v>-12610.779</v>
      </c>
      <c r="M149" s="836">
        <v>-12610.779</v>
      </c>
      <c r="N149" s="836">
        <v>-11570.511</v>
      </c>
      <c r="O149" s="836">
        <v>-11611.718999999999</v>
      </c>
      <c r="P149" s="836">
        <v>-11969.050999999999</v>
      </c>
      <c r="Q149" s="836">
        <v>-12385.157999999999</v>
      </c>
      <c r="R149" s="838">
        <v>-12385.156000000001</v>
      </c>
    </row>
    <row r="150" spans="1:18">
      <c r="A150" s="451" t="str">
        <f t="shared" si="2"/>
        <v>310000000_#</v>
      </c>
      <c r="B150" s="1021" t="s">
        <v>1314</v>
      </c>
      <c r="C150" s="814" t="s">
        <v>1315</v>
      </c>
      <c r="D150" s="808" t="s">
        <v>1250</v>
      </c>
      <c r="E150" s="808" t="s">
        <v>1251</v>
      </c>
      <c r="F150" s="612"/>
      <c r="G150" s="612">
        <v>-55200.881000000001</v>
      </c>
      <c r="H150" s="612">
        <v>-51733.321000000004</v>
      </c>
      <c r="I150" s="612">
        <v>-59535.330999999998</v>
      </c>
      <c r="J150" s="612">
        <v>-58046.447</v>
      </c>
      <c r="K150" s="612">
        <v>-52544.911</v>
      </c>
      <c r="L150" s="612">
        <v>-52544.911</v>
      </c>
      <c r="M150" s="612">
        <v>-52544.911</v>
      </c>
      <c r="N150" s="612">
        <v>-48210.461000000003</v>
      </c>
      <c r="O150" s="612">
        <v>-48382.161</v>
      </c>
      <c r="P150" s="612">
        <v>-49871.046000000002</v>
      </c>
      <c r="Q150" s="612">
        <v>-51604.826000000001</v>
      </c>
      <c r="R150" s="613">
        <v>-51604.826999999997</v>
      </c>
    </row>
    <row r="151" spans="1:18">
      <c r="A151" s="451" t="str">
        <f t="shared" si="2"/>
        <v>310000000_Result</v>
      </c>
      <c r="B151" s="1021" t="s">
        <v>1314</v>
      </c>
      <c r="C151" s="814" t="s">
        <v>1315</v>
      </c>
      <c r="D151" s="842" t="s">
        <v>1156</v>
      </c>
      <c r="E151" s="840"/>
      <c r="F151" s="836"/>
      <c r="G151" s="836">
        <v>-55200.881000000001</v>
      </c>
      <c r="H151" s="836">
        <v>-51733.321000000004</v>
      </c>
      <c r="I151" s="836">
        <v>-59535.330999999998</v>
      </c>
      <c r="J151" s="836">
        <v>-58046.447</v>
      </c>
      <c r="K151" s="836">
        <v>-52544.911</v>
      </c>
      <c r="L151" s="836">
        <v>-52544.911</v>
      </c>
      <c r="M151" s="836">
        <v>-52544.911</v>
      </c>
      <c r="N151" s="836">
        <v>-48210.461000000003</v>
      </c>
      <c r="O151" s="836">
        <v>-48382.161</v>
      </c>
      <c r="P151" s="836">
        <v>-49871.046000000002</v>
      </c>
      <c r="Q151" s="836">
        <v>-51604.826000000001</v>
      </c>
      <c r="R151" s="838">
        <v>-51604.826999999997</v>
      </c>
    </row>
    <row r="152" spans="1:18">
      <c r="A152" s="451" t="str">
        <f t="shared" si="2"/>
        <v>310003100_#</v>
      </c>
      <c r="B152" s="1022" t="s">
        <v>1316</v>
      </c>
      <c r="C152" s="814" t="s">
        <v>1317</v>
      </c>
      <c r="D152" s="808" t="s">
        <v>1250</v>
      </c>
      <c r="E152" s="808" t="s">
        <v>1251</v>
      </c>
      <c r="F152" s="612"/>
      <c r="G152" s="612">
        <v>-55200.881000000001</v>
      </c>
      <c r="H152" s="612">
        <v>-51733.321000000004</v>
      </c>
      <c r="I152" s="612">
        <v>-59535.330999999998</v>
      </c>
      <c r="J152" s="612">
        <v>-58046.447</v>
      </c>
      <c r="K152" s="612">
        <v>-52544.911</v>
      </c>
      <c r="L152" s="612">
        <v>-52544.911</v>
      </c>
      <c r="M152" s="612">
        <v>-52544.911</v>
      </c>
      <c r="N152" s="612">
        <v>-48210.461000000003</v>
      </c>
      <c r="O152" s="612">
        <v>-48382.161</v>
      </c>
      <c r="P152" s="612">
        <v>-49871.046000000002</v>
      </c>
      <c r="Q152" s="612">
        <v>-51604.826000000001</v>
      </c>
      <c r="R152" s="613">
        <v>-51604.826999999997</v>
      </c>
    </row>
    <row r="153" spans="1:18">
      <c r="A153" s="451" t="str">
        <f t="shared" si="2"/>
        <v>310003100_Result</v>
      </c>
      <c r="B153" s="1022" t="s">
        <v>1316</v>
      </c>
      <c r="C153" s="814" t="s">
        <v>1317</v>
      </c>
      <c r="D153" s="842" t="s">
        <v>1156</v>
      </c>
      <c r="E153" s="840"/>
      <c r="F153" s="836"/>
      <c r="G153" s="836">
        <v>-55200.881000000001</v>
      </c>
      <c r="H153" s="836">
        <v>-51733.321000000004</v>
      </c>
      <c r="I153" s="836">
        <v>-59535.330999999998</v>
      </c>
      <c r="J153" s="836">
        <v>-58046.447</v>
      </c>
      <c r="K153" s="836">
        <v>-52544.911</v>
      </c>
      <c r="L153" s="836">
        <v>-52544.911</v>
      </c>
      <c r="M153" s="836">
        <v>-52544.911</v>
      </c>
      <c r="N153" s="836">
        <v>-48210.461000000003</v>
      </c>
      <c r="O153" s="836">
        <v>-48382.161</v>
      </c>
      <c r="P153" s="836">
        <v>-49871.046000000002</v>
      </c>
      <c r="Q153" s="836">
        <v>-51604.826000000001</v>
      </c>
      <c r="R153" s="838">
        <v>-51604.826999999997</v>
      </c>
    </row>
    <row r="154" spans="1:18">
      <c r="A154" s="451" t="str">
        <f t="shared" si="2"/>
        <v>310500000_#</v>
      </c>
      <c r="B154" s="1019" t="s">
        <v>1324</v>
      </c>
      <c r="C154" s="812" t="s">
        <v>1325</v>
      </c>
      <c r="D154" s="808" t="s">
        <v>1250</v>
      </c>
      <c r="E154" s="808" t="s">
        <v>1251</v>
      </c>
      <c r="F154" s="612"/>
      <c r="G154" s="612">
        <v>-1727166.665</v>
      </c>
      <c r="H154" s="612">
        <v>-1695299.575</v>
      </c>
      <c r="I154" s="612">
        <v>-1783247.64</v>
      </c>
      <c r="J154" s="612">
        <v>-1717949.618</v>
      </c>
      <c r="K154" s="612">
        <v>-1666971.213</v>
      </c>
      <c r="L154" s="612">
        <v>-1671945.9080000001</v>
      </c>
      <c r="M154" s="612">
        <v>-1752167.2860000001</v>
      </c>
      <c r="N154" s="612">
        <v>-1725644.4890000001</v>
      </c>
      <c r="O154" s="612">
        <v>-1677036.7169999999</v>
      </c>
      <c r="P154" s="612">
        <v>-1675267.257</v>
      </c>
      <c r="Q154" s="612">
        <v>-1707729.79</v>
      </c>
      <c r="R154" s="613">
        <v>-1704046.9469999999</v>
      </c>
    </row>
    <row r="155" spans="1:18">
      <c r="A155" s="451" t="str">
        <f t="shared" si="2"/>
        <v>310500000_Result</v>
      </c>
      <c r="B155" s="1019" t="s">
        <v>1324</v>
      </c>
      <c r="C155" s="812" t="s">
        <v>1325</v>
      </c>
      <c r="D155" s="842" t="s">
        <v>1156</v>
      </c>
      <c r="E155" s="840"/>
      <c r="F155" s="836"/>
      <c r="G155" s="836">
        <v>-1727166.665</v>
      </c>
      <c r="H155" s="836">
        <v>-1695299.575</v>
      </c>
      <c r="I155" s="836">
        <v>-1783247.64</v>
      </c>
      <c r="J155" s="836">
        <v>-1717949.618</v>
      </c>
      <c r="K155" s="836">
        <v>-1666971.213</v>
      </c>
      <c r="L155" s="836">
        <v>-1671945.9080000001</v>
      </c>
      <c r="M155" s="836">
        <v>-1752167.2860000001</v>
      </c>
      <c r="N155" s="836">
        <v>-1725644.4890000001</v>
      </c>
      <c r="O155" s="836">
        <v>-1677036.7169999999</v>
      </c>
      <c r="P155" s="836">
        <v>-1675267.257</v>
      </c>
      <c r="Q155" s="836">
        <v>-1707729.79</v>
      </c>
      <c r="R155" s="838">
        <v>-1704046.9469999999</v>
      </c>
    </row>
    <row r="156" spans="1:18">
      <c r="A156" s="451" t="str">
        <f t="shared" si="2"/>
        <v>310501100_#</v>
      </c>
      <c r="B156" s="615" t="s">
        <v>1326</v>
      </c>
      <c r="C156" s="843" t="s">
        <v>858</v>
      </c>
      <c r="D156" s="808" t="s">
        <v>1250</v>
      </c>
      <c r="E156" s="808" t="s">
        <v>1251</v>
      </c>
      <c r="F156" s="612"/>
      <c r="G156" s="612">
        <v>-970403.93799999997</v>
      </c>
      <c r="H156" s="612">
        <v>-989967.57499999995</v>
      </c>
      <c r="I156" s="612">
        <v>-975053.38600000006</v>
      </c>
      <c r="J156" s="612">
        <v>-942492.60100000002</v>
      </c>
      <c r="K156" s="612">
        <v>-957147.35400000005</v>
      </c>
      <c r="L156" s="612">
        <v>-959040.54399999999</v>
      </c>
      <c r="M156" s="612">
        <v>-1009347.089</v>
      </c>
      <c r="N156" s="612">
        <v>-1063193.8030000001</v>
      </c>
      <c r="O156" s="612">
        <v>-1000285.872</v>
      </c>
      <c r="P156" s="612">
        <v>-966681.89099999995</v>
      </c>
      <c r="Q156" s="612">
        <v>-979603.005</v>
      </c>
      <c r="R156" s="613">
        <v>-968073.18900000001</v>
      </c>
    </row>
    <row r="157" spans="1:18">
      <c r="A157" s="451" t="str">
        <f t="shared" si="2"/>
        <v>310501100_Result</v>
      </c>
      <c r="B157" s="615" t="s">
        <v>1326</v>
      </c>
      <c r="C157" s="843" t="s">
        <v>858</v>
      </c>
      <c r="D157" s="842" t="s">
        <v>1156</v>
      </c>
      <c r="E157" s="840"/>
      <c r="F157" s="836"/>
      <c r="G157" s="836">
        <v>-970403.93799999997</v>
      </c>
      <c r="H157" s="836">
        <v>-989967.57499999995</v>
      </c>
      <c r="I157" s="836">
        <v>-975053.38600000006</v>
      </c>
      <c r="J157" s="836">
        <v>-942492.60100000002</v>
      </c>
      <c r="K157" s="836">
        <v>-957147.35400000005</v>
      </c>
      <c r="L157" s="836">
        <v>-959040.54399999999</v>
      </c>
      <c r="M157" s="836">
        <v>-1009347.089</v>
      </c>
      <c r="N157" s="836">
        <v>-1063193.8030000001</v>
      </c>
      <c r="O157" s="836">
        <v>-1000285.872</v>
      </c>
      <c r="P157" s="836">
        <v>-966681.89099999995</v>
      </c>
      <c r="Q157" s="836">
        <v>-979603.005</v>
      </c>
      <c r="R157" s="838">
        <v>-968073.18900000001</v>
      </c>
    </row>
    <row r="158" spans="1:18">
      <c r="A158" s="451" t="str">
        <f t="shared" si="2"/>
        <v>310501600_#</v>
      </c>
      <c r="B158" s="615" t="s">
        <v>1327</v>
      </c>
      <c r="C158" s="843" t="s">
        <v>1328</v>
      </c>
      <c r="D158" s="808" t="s">
        <v>1250</v>
      </c>
      <c r="E158" s="808" t="s">
        <v>1251</v>
      </c>
      <c r="F158" s="612"/>
      <c r="G158" s="612">
        <v>-189844.736</v>
      </c>
      <c r="H158" s="612">
        <v>-185351.997</v>
      </c>
      <c r="I158" s="612">
        <v>-178109.48199999999</v>
      </c>
      <c r="J158" s="612">
        <v>-173215.978</v>
      </c>
      <c r="K158" s="612">
        <v>-176738.49900000001</v>
      </c>
      <c r="L158" s="612">
        <v>-177309.408</v>
      </c>
      <c r="M158" s="612">
        <v>-199680.00399999999</v>
      </c>
      <c r="N158" s="612">
        <v>-188899.698</v>
      </c>
      <c r="O158" s="612">
        <v>-189867.53599999999</v>
      </c>
      <c r="P158" s="612">
        <v>-198092.66699999999</v>
      </c>
      <c r="Q158" s="612">
        <v>-196219.91800000001</v>
      </c>
      <c r="R158" s="613">
        <v>-197882.03700000001</v>
      </c>
    </row>
    <row r="159" spans="1:18">
      <c r="A159" s="451" t="str">
        <f t="shared" si="2"/>
        <v>310501600_Result</v>
      </c>
      <c r="B159" s="615" t="s">
        <v>1327</v>
      </c>
      <c r="C159" s="843" t="s">
        <v>1328</v>
      </c>
      <c r="D159" s="842" t="s">
        <v>1156</v>
      </c>
      <c r="E159" s="840"/>
      <c r="F159" s="836"/>
      <c r="G159" s="836">
        <v>-189844.736</v>
      </c>
      <c r="H159" s="836">
        <v>-185351.997</v>
      </c>
      <c r="I159" s="836">
        <v>-178109.48199999999</v>
      </c>
      <c r="J159" s="836">
        <v>-173215.978</v>
      </c>
      <c r="K159" s="836">
        <v>-176738.49900000001</v>
      </c>
      <c r="L159" s="836">
        <v>-177309.408</v>
      </c>
      <c r="M159" s="836">
        <v>-199680.00399999999</v>
      </c>
      <c r="N159" s="836">
        <v>-188899.698</v>
      </c>
      <c r="O159" s="836">
        <v>-189867.53599999999</v>
      </c>
      <c r="P159" s="836">
        <v>-198092.66699999999</v>
      </c>
      <c r="Q159" s="836">
        <v>-196219.91800000001</v>
      </c>
      <c r="R159" s="838">
        <v>-197882.03700000001</v>
      </c>
    </row>
    <row r="160" spans="1:18">
      <c r="A160" s="451" t="str">
        <f t="shared" si="2"/>
        <v>310502100_#</v>
      </c>
      <c r="B160" s="615" t="s">
        <v>1329</v>
      </c>
      <c r="C160" s="843" t="s">
        <v>1330</v>
      </c>
      <c r="D160" s="808" t="s">
        <v>1250</v>
      </c>
      <c r="E160" s="808" t="s">
        <v>1251</v>
      </c>
      <c r="F160" s="612"/>
      <c r="G160" s="612">
        <v>-46012.082000000002</v>
      </c>
      <c r="H160" s="612">
        <v>-47530.457999999999</v>
      </c>
      <c r="I160" s="612">
        <v>-48608.408000000003</v>
      </c>
      <c r="J160" s="612">
        <v>-44992.857000000004</v>
      </c>
      <c r="K160" s="612">
        <v>-48521.724000000002</v>
      </c>
      <c r="L160" s="612">
        <v>-51032.32</v>
      </c>
      <c r="M160" s="612">
        <v>-58576.557000000001</v>
      </c>
      <c r="N160" s="612">
        <v>-49557.805999999997</v>
      </c>
      <c r="O160" s="612">
        <v>-50776.036</v>
      </c>
      <c r="P160" s="612">
        <v>-50157.243999999999</v>
      </c>
      <c r="Q160" s="612">
        <v>-47343.231</v>
      </c>
      <c r="R160" s="613">
        <v>-53528.084000000003</v>
      </c>
    </row>
    <row r="161" spans="1:18">
      <c r="A161" s="451" t="str">
        <f t="shared" si="2"/>
        <v>310502100_Result</v>
      </c>
      <c r="B161" s="615" t="s">
        <v>1329</v>
      </c>
      <c r="C161" s="843" t="s">
        <v>1330</v>
      </c>
      <c r="D161" s="842" t="s">
        <v>1156</v>
      </c>
      <c r="E161" s="840"/>
      <c r="F161" s="836"/>
      <c r="G161" s="836">
        <v>-46012.082000000002</v>
      </c>
      <c r="H161" s="836">
        <v>-47530.457999999999</v>
      </c>
      <c r="I161" s="836">
        <v>-48608.408000000003</v>
      </c>
      <c r="J161" s="836">
        <v>-44992.857000000004</v>
      </c>
      <c r="K161" s="836">
        <v>-48521.724000000002</v>
      </c>
      <c r="L161" s="836">
        <v>-51032.32</v>
      </c>
      <c r="M161" s="836">
        <v>-58576.557000000001</v>
      </c>
      <c r="N161" s="836">
        <v>-49557.805999999997</v>
      </c>
      <c r="O161" s="836">
        <v>-50776.036</v>
      </c>
      <c r="P161" s="836">
        <v>-50157.243999999999</v>
      </c>
      <c r="Q161" s="836">
        <v>-47343.231</v>
      </c>
      <c r="R161" s="838">
        <v>-53528.084000000003</v>
      </c>
    </row>
    <row r="162" spans="1:18">
      <c r="A162" s="451" t="str">
        <f t="shared" si="2"/>
        <v>310503100_#</v>
      </c>
      <c r="B162" s="615" t="s">
        <v>1331</v>
      </c>
      <c r="C162" s="843" t="s">
        <v>473</v>
      </c>
      <c r="D162" s="808" t="s">
        <v>1250</v>
      </c>
      <c r="E162" s="808" t="s">
        <v>1251</v>
      </c>
      <c r="F162" s="612"/>
      <c r="G162" s="612">
        <v>-520905.90899999999</v>
      </c>
      <c r="H162" s="612">
        <v>-472449.54499999998</v>
      </c>
      <c r="I162" s="612">
        <v>-581476.36399999994</v>
      </c>
      <c r="J162" s="612">
        <v>-557248.18200000003</v>
      </c>
      <c r="K162" s="612">
        <v>-484563.636</v>
      </c>
      <c r="L162" s="612">
        <v>-484563.636</v>
      </c>
      <c r="M162" s="612">
        <v>-484563.636</v>
      </c>
      <c r="N162" s="612">
        <v>-423993.18199999997</v>
      </c>
      <c r="O162" s="612">
        <v>-436107.27299999999</v>
      </c>
      <c r="P162" s="612">
        <v>-460335.45500000002</v>
      </c>
      <c r="Q162" s="612">
        <v>-484563.636</v>
      </c>
      <c r="R162" s="613">
        <v>-484563.63699999999</v>
      </c>
    </row>
    <row r="163" spans="1:18">
      <c r="A163" s="451" t="str">
        <f t="shared" si="2"/>
        <v>310503100_Result</v>
      </c>
      <c r="B163" s="615" t="s">
        <v>1331</v>
      </c>
      <c r="C163" s="843" t="s">
        <v>473</v>
      </c>
      <c r="D163" s="842" t="s">
        <v>1156</v>
      </c>
      <c r="E163" s="840"/>
      <c r="F163" s="836"/>
      <c r="G163" s="836">
        <v>-520905.90899999999</v>
      </c>
      <c r="H163" s="836">
        <v>-472449.54499999998</v>
      </c>
      <c r="I163" s="836">
        <v>-581476.36399999994</v>
      </c>
      <c r="J163" s="836">
        <v>-557248.18200000003</v>
      </c>
      <c r="K163" s="836">
        <v>-484563.636</v>
      </c>
      <c r="L163" s="836">
        <v>-484563.636</v>
      </c>
      <c r="M163" s="836">
        <v>-484563.636</v>
      </c>
      <c r="N163" s="836">
        <v>-423993.18199999997</v>
      </c>
      <c r="O163" s="836">
        <v>-436107.27299999999</v>
      </c>
      <c r="P163" s="836">
        <v>-460335.45500000002</v>
      </c>
      <c r="Q163" s="836">
        <v>-484563.636</v>
      </c>
      <c r="R163" s="838">
        <v>-484563.63699999999</v>
      </c>
    </row>
    <row r="164" spans="1:18">
      <c r="A164" s="451" t="str">
        <f t="shared" si="2"/>
        <v>311500000_#</v>
      </c>
      <c r="B164" s="1017" t="s">
        <v>1339</v>
      </c>
      <c r="C164" s="811" t="s">
        <v>876</v>
      </c>
      <c r="D164" s="808" t="s">
        <v>1250</v>
      </c>
      <c r="E164" s="808" t="s">
        <v>1251</v>
      </c>
      <c r="F164" s="612"/>
      <c r="G164" s="612">
        <v>-905337.12199999997</v>
      </c>
      <c r="H164" s="612">
        <v>-905337.12199999997</v>
      </c>
      <c r="I164" s="612">
        <v>-905337.12199999997</v>
      </c>
      <c r="J164" s="612">
        <v>-905337.12199999997</v>
      </c>
      <c r="K164" s="612">
        <v>-905337.12199999997</v>
      </c>
      <c r="L164" s="612">
        <v>-905337.12199999997</v>
      </c>
      <c r="M164" s="612">
        <v>-905337.12199999997</v>
      </c>
      <c r="N164" s="612">
        <v>-905337.12199999997</v>
      </c>
      <c r="O164" s="612">
        <v>-905337.12199999997</v>
      </c>
      <c r="P164" s="612">
        <v>-905337.12199999997</v>
      </c>
      <c r="Q164" s="612">
        <v>-905337.12199999997</v>
      </c>
      <c r="R164" s="613">
        <v>-905337.12199999997</v>
      </c>
    </row>
    <row r="165" spans="1:18">
      <c r="A165" s="451" t="str">
        <f t="shared" si="2"/>
        <v>311500000_Result</v>
      </c>
      <c r="B165" s="1017" t="s">
        <v>1339</v>
      </c>
      <c r="C165" s="811" t="s">
        <v>876</v>
      </c>
      <c r="D165" s="842" t="s">
        <v>1156</v>
      </c>
      <c r="E165" s="840"/>
      <c r="F165" s="836"/>
      <c r="G165" s="836">
        <v>-905337.12199999997</v>
      </c>
      <c r="H165" s="836">
        <v>-905337.12199999997</v>
      </c>
      <c r="I165" s="836">
        <v>-905337.12199999997</v>
      </c>
      <c r="J165" s="836">
        <v>-905337.12199999997</v>
      </c>
      <c r="K165" s="836">
        <v>-905337.12199999997</v>
      </c>
      <c r="L165" s="836">
        <v>-905337.12199999997</v>
      </c>
      <c r="M165" s="836">
        <v>-905337.12199999997</v>
      </c>
      <c r="N165" s="836">
        <v>-905337.12199999997</v>
      </c>
      <c r="O165" s="836">
        <v>-905337.12199999997</v>
      </c>
      <c r="P165" s="836">
        <v>-905337.12199999997</v>
      </c>
      <c r="Q165" s="836">
        <v>-905337.12199999997</v>
      </c>
      <c r="R165" s="838">
        <v>-905337.12199999997</v>
      </c>
    </row>
    <row r="166" spans="1:18">
      <c r="A166" s="451" t="str">
        <f t="shared" si="2"/>
        <v>311503100_#</v>
      </c>
      <c r="B166" s="1018" t="s">
        <v>1340</v>
      </c>
      <c r="C166" s="812" t="s">
        <v>1341</v>
      </c>
      <c r="D166" s="808" t="s">
        <v>1250</v>
      </c>
      <c r="E166" s="808" t="s">
        <v>1251</v>
      </c>
      <c r="F166" s="612"/>
      <c r="G166" s="612">
        <v>-905337.12199999997</v>
      </c>
      <c r="H166" s="612">
        <v>-905337.12199999997</v>
      </c>
      <c r="I166" s="612">
        <v>-905337.12199999997</v>
      </c>
      <c r="J166" s="612">
        <v>-905337.12199999997</v>
      </c>
      <c r="K166" s="612">
        <v>-905337.12199999997</v>
      </c>
      <c r="L166" s="612">
        <v>-905337.12199999997</v>
      </c>
      <c r="M166" s="612">
        <v>-905337.12199999997</v>
      </c>
      <c r="N166" s="612">
        <v>-905337.12199999997</v>
      </c>
      <c r="O166" s="612">
        <v>-905337.12199999997</v>
      </c>
      <c r="P166" s="612">
        <v>-905337.12199999997</v>
      </c>
      <c r="Q166" s="612">
        <v>-905337.12199999997</v>
      </c>
      <c r="R166" s="613">
        <v>-905337.12199999997</v>
      </c>
    </row>
    <row r="167" spans="1:18">
      <c r="A167" s="451" t="str">
        <f t="shared" si="2"/>
        <v>311503100_Result</v>
      </c>
      <c r="B167" s="1018" t="s">
        <v>1340</v>
      </c>
      <c r="C167" s="812" t="s">
        <v>1341</v>
      </c>
      <c r="D167" s="842" t="s">
        <v>1156</v>
      </c>
      <c r="E167" s="840"/>
      <c r="F167" s="836"/>
      <c r="G167" s="836">
        <v>-905337.12199999997</v>
      </c>
      <c r="H167" s="836">
        <v>-905337.12199999997</v>
      </c>
      <c r="I167" s="836">
        <v>-905337.12199999997</v>
      </c>
      <c r="J167" s="836">
        <v>-905337.12199999997</v>
      </c>
      <c r="K167" s="836">
        <v>-905337.12199999997</v>
      </c>
      <c r="L167" s="836">
        <v>-905337.12199999997</v>
      </c>
      <c r="M167" s="836">
        <v>-905337.12199999997</v>
      </c>
      <c r="N167" s="836">
        <v>-905337.12199999997</v>
      </c>
      <c r="O167" s="836">
        <v>-905337.12199999997</v>
      </c>
      <c r="P167" s="836">
        <v>-905337.12199999997</v>
      </c>
      <c r="Q167" s="836">
        <v>-905337.12199999997</v>
      </c>
      <c r="R167" s="838">
        <v>-905337.12199999997</v>
      </c>
    </row>
    <row r="168" spans="1:18">
      <c r="A168" s="451" t="str">
        <f t="shared" si="2"/>
        <v>312000000_#</v>
      </c>
      <c r="B168" s="1017" t="s">
        <v>1343</v>
      </c>
      <c r="C168" s="811" t="s">
        <v>1344</v>
      </c>
      <c r="D168" s="808" t="s">
        <v>1250</v>
      </c>
      <c r="E168" s="808" t="s">
        <v>1251</v>
      </c>
      <c r="F168" s="612"/>
      <c r="G168" s="612">
        <v>-183279.122</v>
      </c>
      <c r="H168" s="612">
        <v>-174810.88399999999</v>
      </c>
      <c r="I168" s="612">
        <v>-174459.223</v>
      </c>
      <c r="J168" s="612">
        <v>-170680.01699999999</v>
      </c>
      <c r="K168" s="612">
        <v>-173696.3</v>
      </c>
      <c r="L168" s="612">
        <v>-172287.356</v>
      </c>
      <c r="M168" s="612">
        <v>-185429.372</v>
      </c>
      <c r="N168" s="612">
        <v>-175048.18400000001</v>
      </c>
      <c r="O168" s="612">
        <v>-175391.33</v>
      </c>
      <c r="P168" s="612">
        <v>-172395.622</v>
      </c>
      <c r="Q168" s="612">
        <v>-173361.59099999999</v>
      </c>
      <c r="R168" s="613">
        <v>-173814.864</v>
      </c>
    </row>
    <row r="169" spans="1:18">
      <c r="A169" s="451" t="str">
        <f t="shared" si="2"/>
        <v>312000000_Result</v>
      </c>
      <c r="B169" s="1017" t="s">
        <v>1343</v>
      </c>
      <c r="C169" s="811" t="s">
        <v>1344</v>
      </c>
      <c r="D169" s="842" t="s">
        <v>1156</v>
      </c>
      <c r="E169" s="840"/>
      <c r="F169" s="836"/>
      <c r="G169" s="836">
        <v>-183279.122</v>
      </c>
      <c r="H169" s="836">
        <v>-174810.88399999999</v>
      </c>
      <c r="I169" s="836">
        <v>-174459.223</v>
      </c>
      <c r="J169" s="836">
        <v>-170680.01699999999</v>
      </c>
      <c r="K169" s="836">
        <v>-173696.3</v>
      </c>
      <c r="L169" s="836">
        <v>-172287.356</v>
      </c>
      <c r="M169" s="836">
        <v>-185429.372</v>
      </c>
      <c r="N169" s="836">
        <v>-175048.18400000001</v>
      </c>
      <c r="O169" s="836">
        <v>-175391.33</v>
      </c>
      <c r="P169" s="836">
        <v>-172395.622</v>
      </c>
      <c r="Q169" s="836">
        <v>-173361.59099999999</v>
      </c>
      <c r="R169" s="838">
        <v>-173814.864</v>
      </c>
    </row>
    <row r="170" spans="1:18">
      <c r="A170" s="451" t="str">
        <f t="shared" si="2"/>
        <v>312001100_#</v>
      </c>
      <c r="B170" s="1018" t="s">
        <v>1345</v>
      </c>
      <c r="C170" s="812" t="s">
        <v>908</v>
      </c>
      <c r="D170" s="808" t="s">
        <v>1250</v>
      </c>
      <c r="E170" s="808" t="s">
        <v>1251</v>
      </c>
      <c r="F170" s="612"/>
      <c r="G170" s="612">
        <v>-116328.686</v>
      </c>
      <c r="H170" s="612">
        <v>-116328.686</v>
      </c>
      <c r="I170" s="612">
        <v>-116328.686</v>
      </c>
      <c r="J170" s="612">
        <v>-116328.686</v>
      </c>
      <c r="K170" s="612">
        <v>-116328.686</v>
      </c>
      <c r="L170" s="612">
        <v>-116328.686</v>
      </c>
      <c r="M170" s="612">
        <v>-116328.686</v>
      </c>
      <c r="N170" s="612">
        <v>-116328.686</v>
      </c>
      <c r="O170" s="612">
        <v>-116328.686</v>
      </c>
      <c r="P170" s="612">
        <v>-116328.686</v>
      </c>
      <c r="Q170" s="612">
        <v>-116328.686</v>
      </c>
      <c r="R170" s="613">
        <v>-116328.686</v>
      </c>
    </row>
    <row r="171" spans="1:18">
      <c r="A171" s="451" t="str">
        <f t="shared" si="2"/>
        <v>312001100_Result</v>
      </c>
      <c r="B171" s="1018" t="s">
        <v>1345</v>
      </c>
      <c r="C171" s="812" t="s">
        <v>908</v>
      </c>
      <c r="D171" s="842" t="s">
        <v>1156</v>
      </c>
      <c r="E171" s="840"/>
      <c r="F171" s="836"/>
      <c r="G171" s="836">
        <v>-116328.686</v>
      </c>
      <c r="H171" s="836">
        <v>-116328.686</v>
      </c>
      <c r="I171" s="836">
        <v>-116328.686</v>
      </c>
      <c r="J171" s="836">
        <v>-116328.686</v>
      </c>
      <c r="K171" s="836">
        <v>-116328.686</v>
      </c>
      <c r="L171" s="836">
        <v>-116328.686</v>
      </c>
      <c r="M171" s="836">
        <v>-116328.686</v>
      </c>
      <c r="N171" s="836">
        <v>-116328.686</v>
      </c>
      <c r="O171" s="836">
        <v>-116328.686</v>
      </c>
      <c r="P171" s="836">
        <v>-116328.686</v>
      </c>
      <c r="Q171" s="836">
        <v>-116328.686</v>
      </c>
      <c r="R171" s="838">
        <v>-116328.686</v>
      </c>
    </row>
    <row r="172" spans="1:18">
      <c r="A172" s="451" t="str">
        <f t="shared" si="2"/>
        <v>312001600_#</v>
      </c>
      <c r="B172" s="1018" t="s">
        <v>1346</v>
      </c>
      <c r="C172" s="812" t="s">
        <v>910</v>
      </c>
      <c r="D172" s="808" t="s">
        <v>1250</v>
      </c>
      <c r="E172" s="808" t="s">
        <v>1251</v>
      </c>
      <c r="F172" s="612"/>
      <c r="G172" s="612">
        <v>-4898.4719999999998</v>
      </c>
      <c r="H172" s="612">
        <v>-4898.4719999999998</v>
      </c>
      <c r="I172" s="612">
        <v>-4898.4719999999998</v>
      </c>
      <c r="J172" s="612">
        <v>-4898.4719999999998</v>
      </c>
      <c r="K172" s="612">
        <v>-4898.4719999999998</v>
      </c>
      <c r="L172" s="612">
        <v>-4898.4719999999998</v>
      </c>
      <c r="M172" s="612">
        <v>-4898.4719999999998</v>
      </c>
      <c r="N172" s="612">
        <v>-4898.4719999999998</v>
      </c>
      <c r="O172" s="612">
        <v>-4898.4719999999998</v>
      </c>
      <c r="P172" s="612">
        <v>-4898.4719999999998</v>
      </c>
      <c r="Q172" s="612">
        <v>-4898.4719999999998</v>
      </c>
      <c r="R172" s="613">
        <v>-4898.4719999999998</v>
      </c>
    </row>
    <row r="173" spans="1:18">
      <c r="A173" s="451" t="str">
        <f t="shared" si="2"/>
        <v>312001600_Result</v>
      </c>
      <c r="B173" s="1018" t="s">
        <v>1346</v>
      </c>
      <c r="C173" s="812" t="s">
        <v>910</v>
      </c>
      <c r="D173" s="842" t="s">
        <v>1156</v>
      </c>
      <c r="E173" s="840"/>
      <c r="F173" s="836"/>
      <c r="G173" s="836">
        <v>-4898.4719999999998</v>
      </c>
      <c r="H173" s="836">
        <v>-4898.4719999999998</v>
      </c>
      <c r="I173" s="836">
        <v>-4898.4719999999998</v>
      </c>
      <c r="J173" s="836">
        <v>-4898.4719999999998</v>
      </c>
      <c r="K173" s="836">
        <v>-4898.4719999999998</v>
      </c>
      <c r="L173" s="836">
        <v>-4898.4719999999998</v>
      </c>
      <c r="M173" s="836">
        <v>-4898.4719999999998</v>
      </c>
      <c r="N173" s="836">
        <v>-4898.4719999999998</v>
      </c>
      <c r="O173" s="836">
        <v>-4898.4719999999998</v>
      </c>
      <c r="P173" s="836">
        <v>-4898.4719999999998</v>
      </c>
      <c r="Q173" s="836">
        <v>-4898.4719999999998</v>
      </c>
      <c r="R173" s="838">
        <v>-4898.4719999999998</v>
      </c>
    </row>
    <row r="174" spans="1:18">
      <c r="A174" s="451" t="str">
        <f t="shared" si="2"/>
        <v>312002100_#</v>
      </c>
      <c r="B174" s="1018" t="s">
        <v>1347</v>
      </c>
      <c r="C174" s="812" t="s">
        <v>484</v>
      </c>
      <c r="D174" s="808" t="s">
        <v>1250</v>
      </c>
      <c r="E174" s="808" t="s">
        <v>1251</v>
      </c>
      <c r="F174" s="612"/>
      <c r="G174" s="612">
        <v>-62051.964</v>
      </c>
      <c r="H174" s="612">
        <v>-53583.726000000002</v>
      </c>
      <c r="I174" s="612">
        <v>-53232.065000000002</v>
      </c>
      <c r="J174" s="612">
        <v>-49452.858999999997</v>
      </c>
      <c r="K174" s="612">
        <v>-52469.142</v>
      </c>
      <c r="L174" s="612">
        <v>-51060.197999999997</v>
      </c>
      <c r="M174" s="612">
        <v>-64202.214</v>
      </c>
      <c r="N174" s="612">
        <v>-53821.025999999998</v>
      </c>
      <c r="O174" s="612">
        <v>-54164.171999999999</v>
      </c>
      <c r="P174" s="612">
        <v>-51168.464</v>
      </c>
      <c r="Q174" s="612">
        <v>-52134.432999999997</v>
      </c>
      <c r="R174" s="613">
        <v>-52587.705999999998</v>
      </c>
    </row>
    <row r="175" spans="1:18">
      <c r="A175" s="451" t="str">
        <f t="shared" si="2"/>
        <v>312002100_Result</v>
      </c>
      <c r="B175" s="1018" t="s">
        <v>1347</v>
      </c>
      <c r="C175" s="812" t="s">
        <v>484</v>
      </c>
      <c r="D175" s="842" t="s">
        <v>1156</v>
      </c>
      <c r="E175" s="840"/>
      <c r="F175" s="836"/>
      <c r="G175" s="836">
        <v>-62051.964</v>
      </c>
      <c r="H175" s="836">
        <v>-53583.726000000002</v>
      </c>
      <c r="I175" s="836">
        <v>-53232.065000000002</v>
      </c>
      <c r="J175" s="836">
        <v>-49452.858999999997</v>
      </c>
      <c r="K175" s="836">
        <v>-52469.142</v>
      </c>
      <c r="L175" s="836">
        <v>-51060.197999999997</v>
      </c>
      <c r="M175" s="836">
        <v>-64202.214</v>
      </c>
      <c r="N175" s="836">
        <v>-53821.025999999998</v>
      </c>
      <c r="O175" s="836">
        <v>-54164.171999999999</v>
      </c>
      <c r="P175" s="836">
        <v>-51168.464</v>
      </c>
      <c r="Q175" s="836">
        <v>-52134.432999999997</v>
      </c>
      <c r="R175" s="838">
        <v>-52587.705999999998</v>
      </c>
    </row>
    <row r="176" spans="1:18">
      <c r="A176" s="451" t="str">
        <f t="shared" si="2"/>
        <v>312200000_#</v>
      </c>
      <c r="B176" s="1017" t="s">
        <v>1348</v>
      </c>
      <c r="C176" s="811" t="s">
        <v>1349</v>
      </c>
      <c r="D176" s="808" t="s">
        <v>1250</v>
      </c>
      <c r="E176" s="808" t="s">
        <v>1251</v>
      </c>
      <c r="F176" s="612"/>
      <c r="G176" s="612">
        <v>-264111.83899999998</v>
      </c>
      <c r="H176" s="612">
        <v>-210883.66399999999</v>
      </c>
      <c r="I176" s="612">
        <v>-211864.96100000001</v>
      </c>
      <c r="J176" s="612">
        <v>-209732.62599999999</v>
      </c>
      <c r="K176" s="612">
        <v>-209984.97099999999</v>
      </c>
      <c r="L176" s="612">
        <v>-210367.288</v>
      </c>
      <c r="M176" s="612">
        <v>-212672.56400000001</v>
      </c>
      <c r="N176" s="612">
        <v>-210969.17600000001</v>
      </c>
      <c r="O176" s="612">
        <v>-211205.467</v>
      </c>
      <c r="P176" s="612">
        <v>-210146.408</v>
      </c>
      <c r="Q176" s="612">
        <v>-210288.886</v>
      </c>
      <c r="R176" s="613">
        <v>-211027.07500000001</v>
      </c>
    </row>
    <row r="177" spans="1:18">
      <c r="A177" s="451" t="str">
        <f t="shared" si="2"/>
        <v>312200000_Result</v>
      </c>
      <c r="B177" s="1017" t="s">
        <v>1348</v>
      </c>
      <c r="C177" s="811" t="s">
        <v>1349</v>
      </c>
      <c r="D177" s="842" t="s">
        <v>1156</v>
      </c>
      <c r="E177" s="840"/>
      <c r="F177" s="836"/>
      <c r="G177" s="836">
        <v>-264111.83899999998</v>
      </c>
      <c r="H177" s="836">
        <v>-210883.66399999999</v>
      </c>
      <c r="I177" s="836">
        <v>-211864.96100000001</v>
      </c>
      <c r="J177" s="836">
        <v>-209732.62599999999</v>
      </c>
      <c r="K177" s="836">
        <v>-209984.97099999999</v>
      </c>
      <c r="L177" s="836">
        <v>-210367.288</v>
      </c>
      <c r="M177" s="836">
        <v>-212672.56400000001</v>
      </c>
      <c r="N177" s="836">
        <v>-210969.17600000001</v>
      </c>
      <c r="O177" s="836">
        <v>-211205.467</v>
      </c>
      <c r="P177" s="836">
        <v>-210146.408</v>
      </c>
      <c r="Q177" s="836">
        <v>-210288.886</v>
      </c>
      <c r="R177" s="838">
        <v>-211027.07500000001</v>
      </c>
    </row>
    <row r="178" spans="1:18">
      <c r="A178" s="451" t="str">
        <f t="shared" si="2"/>
        <v>312201100_#</v>
      </c>
      <c r="B178" s="1018" t="s">
        <v>1350</v>
      </c>
      <c r="C178" s="812" t="s">
        <v>1351</v>
      </c>
      <c r="D178" s="808" t="s">
        <v>1250</v>
      </c>
      <c r="E178" s="808" t="s">
        <v>1251</v>
      </c>
      <c r="F178" s="612"/>
      <c r="G178" s="612">
        <v>-264111.83899999998</v>
      </c>
      <c r="H178" s="612">
        <v>-210883.66399999999</v>
      </c>
      <c r="I178" s="612">
        <v>-211864.96100000001</v>
      </c>
      <c r="J178" s="612">
        <v>-209732.62599999999</v>
      </c>
      <c r="K178" s="612">
        <v>-209984.97099999999</v>
      </c>
      <c r="L178" s="612">
        <v>-210367.288</v>
      </c>
      <c r="M178" s="612">
        <v>-212672.56400000001</v>
      </c>
      <c r="N178" s="612">
        <v>-210969.17600000001</v>
      </c>
      <c r="O178" s="612">
        <v>-211205.467</v>
      </c>
      <c r="P178" s="612">
        <v>-210146.408</v>
      </c>
      <c r="Q178" s="612">
        <v>-210288.886</v>
      </c>
      <c r="R178" s="613">
        <v>-211027.07500000001</v>
      </c>
    </row>
    <row r="179" spans="1:18">
      <c r="A179" s="451" t="str">
        <f t="shared" si="2"/>
        <v>312201100_Result</v>
      </c>
      <c r="B179" s="1018" t="s">
        <v>1350</v>
      </c>
      <c r="C179" s="812" t="s">
        <v>1351</v>
      </c>
      <c r="D179" s="842" t="s">
        <v>1156</v>
      </c>
      <c r="E179" s="840"/>
      <c r="F179" s="836"/>
      <c r="G179" s="836">
        <v>-264111.83899999998</v>
      </c>
      <c r="H179" s="836">
        <v>-210883.66399999999</v>
      </c>
      <c r="I179" s="836">
        <v>-211864.96100000001</v>
      </c>
      <c r="J179" s="836">
        <v>-209732.62599999999</v>
      </c>
      <c r="K179" s="836">
        <v>-209984.97099999999</v>
      </c>
      <c r="L179" s="836">
        <v>-210367.288</v>
      </c>
      <c r="M179" s="836">
        <v>-212672.56400000001</v>
      </c>
      <c r="N179" s="836">
        <v>-210969.17600000001</v>
      </c>
      <c r="O179" s="836">
        <v>-211205.467</v>
      </c>
      <c r="P179" s="836">
        <v>-210146.408</v>
      </c>
      <c r="Q179" s="836">
        <v>-210288.886</v>
      </c>
      <c r="R179" s="838">
        <v>-211027.07500000001</v>
      </c>
    </row>
    <row r="180" spans="1:18">
      <c r="A180" s="451" t="str">
        <f t="shared" si="2"/>
        <v>CO-010000000_#</v>
      </c>
      <c r="B180" s="1013" t="s">
        <v>1375</v>
      </c>
      <c r="C180" s="809" t="s">
        <v>1376</v>
      </c>
      <c r="D180" s="808" t="s">
        <v>1250</v>
      </c>
      <c r="E180" s="808" t="s">
        <v>1251</v>
      </c>
      <c r="F180" s="612"/>
      <c r="G180" s="612">
        <v>73</v>
      </c>
      <c r="H180" s="612"/>
      <c r="I180" s="612"/>
      <c r="J180" s="612"/>
      <c r="K180" s="612"/>
      <c r="L180" s="612"/>
      <c r="M180" s="612"/>
      <c r="N180" s="612"/>
      <c r="O180" s="612"/>
      <c r="P180" s="612"/>
      <c r="Q180" s="612"/>
      <c r="R180" s="613"/>
    </row>
    <row r="181" spans="1:18">
      <c r="A181" s="451" t="str">
        <f t="shared" si="2"/>
        <v>CO-010000000_Result</v>
      </c>
      <c r="B181" s="1013" t="s">
        <v>1375</v>
      </c>
      <c r="C181" s="809" t="s">
        <v>1376</v>
      </c>
      <c r="D181" s="842" t="s">
        <v>1156</v>
      </c>
      <c r="E181" s="840"/>
      <c r="F181" s="836"/>
      <c r="G181" s="836">
        <v>73</v>
      </c>
      <c r="H181" s="836"/>
      <c r="I181" s="836"/>
      <c r="J181" s="836"/>
      <c r="K181" s="836"/>
      <c r="L181" s="836"/>
      <c r="M181" s="836"/>
      <c r="N181" s="836"/>
      <c r="O181" s="836"/>
      <c r="P181" s="836"/>
      <c r="Q181" s="836"/>
      <c r="R181" s="838"/>
    </row>
    <row r="182" spans="1:18">
      <c r="A182" s="451" t="str">
        <f t="shared" si="2"/>
        <v>CO-010100000_#</v>
      </c>
      <c r="B182" s="1014" t="s">
        <v>1377</v>
      </c>
      <c r="C182" s="810" t="s">
        <v>1071</v>
      </c>
      <c r="D182" s="808" t="s">
        <v>1250</v>
      </c>
      <c r="E182" s="808" t="s">
        <v>1251</v>
      </c>
      <c r="F182" s="612"/>
      <c r="G182" s="612">
        <v>73</v>
      </c>
      <c r="H182" s="612"/>
      <c r="I182" s="612"/>
      <c r="J182" s="612"/>
      <c r="K182" s="612"/>
      <c r="L182" s="612"/>
      <c r="M182" s="612"/>
      <c r="N182" s="612"/>
      <c r="O182" s="612"/>
      <c r="P182" s="612"/>
      <c r="Q182" s="612"/>
      <c r="R182" s="613"/>
    </row>
    <row r="183" spans="1:18">
      <c r="A183" s="451" t="str">
        <f t="shared" si="2"/>
        <v>CO-010100000_Result</v>
      </c>
      <c r="B183" s="1014" t="s">
        <v>1377</v>
      </c>
      <c r="C183" s="810" t="s">
        <v>1071</v>
      </c>
      <c r="D183" s="842" t="s">
        <v>1156</v>
      </c>
      <c r="E183" s="840"/>
      <c r="F183" s="836"/>
      <c r="G183" s="836">
        <v>73</v>
      </c>
      <c r="H183" s="836"/>
      <c r="I183" s="836"/>
      <c r="J183" s="836"/>
      <c r="K183" s="836"/>
      <c r="L183" s="836"/>
      <c r="M183" s="836"/>
      <c r="N183" s="836"/>
      <c r="O183" s="836"/>
      <c r="P183" s="836"/>
      <c r="Q183" s="836"/>
      <c r="R183" s="838"/>
    </row>
    <row r="184" spans="1:18">
      <c r="A184" s="451" t="str">
        <f t="shared" si="2"/>
        <v>CO-010101000_#</v>
      </c>
      <c r="B184" s="1017" t="s">
        <v>1378</v>
      </c>
      <c r="C184" s="811" t="s">
        <v>1055</v>
      </c>
      <c r="D184" s="808" t="s">
        <v>1250</v>
      </c>
      <c r="E184" s="808" t="s">
        <v>1251</v>
      </c>
      <c r="F184" s="612"/>
      <c r="G184" s="612">
        <v>50</v>
      </c>
      <c r="H184" s="612"/>
      <c r="I184" s="612"/>
      <c r="J184" s="612"/>
      <c r="K184" s="612"/>
      <c r="L184" s="612"/>
      <c r="M184" s="612"/>
      <c r="N184" s="612"/>
      <c r="O184" s="612"/>
      <c r="P184" s="612"/>
      <c r="Q184" s="612"/>
      <c r="R184" s="613"/>
    </row>
    <row r="185" spans="1:18">
      <c r="A185" s="451" t="str">
        <f t="shared" si="2"/>
        <v>CO-010101000_Result</v>
      </c>
      <c r="B185" s="1017" t="s">
        <v>1378</v>
      </c>
      <c r="C185" s="811" t="s">
        <v>1055</v>
      </c>
      <c r="D185" s="842" t="s">
        <v>1156</v>
      </c>
      <c r="E185" s="840"/>
      <c r="F185" s="836"/>
      <c r="G185" s="836">
        <v>50</v>
      </c>
      <c r="H185" s="836"/>
      <c r="I185" s="836"/>
      <c r="J185" s="836"/>
      <c r="K185" s="836"/>
      <c r="L185" s="836"/>
      <c r="M185" s="836"/>
      <c r="N185" s="836"/>
      <c r="O185" s="836"/>
      <c r="P185" s="836"/>
      <c r="Q185" s="836"/>
      <c r="R185" s="838"/>
    </row>
    <row r="186" spans="1:18">
      <c r="A186" s="451" t="str">
        <f t="shared" si="2"/>
        <v>CO-010101100_#</v>
      </c>
      <c r="B186" s="1018" t="s">
        <v>1379</v>
      </c>
      <c r="C186" s="812" t="s">
        <v>1063</v>
      </c>
      <c r="D186" s="808" t="s">
        <v>1250</v>
      </c>
      <c r="E186" s="808" t="s">
        <v>1251</v>
      </c>
      <c r="F186" s="612"/>
      <c r="G186" s="612">
        <v>50</v>
      </c>
      <c r="H186" s="612"/>
      <c r="I186" s="612"/>
      <c r="J186" s="612"/>
      <c r="K186" s="612"/>
      <c r="L186" s="612"/>
      <c r="M186" s="612"/>
      <c r="N186" s="612"/>
      <c r="O186" s="612"/>
      <c r="P186" s="612"/>
      <c r="Q186" s="612"/>
      <c r="R186" s="613"/>
    </row>
    <row r="187" spans="1:18">
      <c r="A187" s="451" t="str">
        <f t="shared" si="2"/>
        <v>CO-010101100_Result</v>
      </c>
      <c r="B187" s="1018" t="s">
        <v>1379</v>
      </c>
      <c r="C187" s="812" t="s">
        <v>1063</v>
      </c>
      <c r="D187" s="842" t="s">
        <v>1156</v>
      </c>
      <c r="E187" s="840"/>
      <c r="F187" s="836"/>
      <c r="G187" s="836">
        <v>50</v>
      </c>
      <c r="H187" s="836"/>
      <c r="I187" s="836"/>
      <c r="J187" s="836"/>
      <c r="K187" s="836"/>
      <c r="L187" s="836"/>
      <c r="M187" s="836"/>
      <c r="N187" s="836"/>
      <c r="O187" s="836"/>
      <c r="P187" s="836"/>
      <c r="Q187" s="836"/>
      <c r="R187" s="838"/>
    </row>
    <row r="188" spans="1:18">
      <c r="A188" s="451" t="str">
        <f t="shared" si="2"/>
        <v>CO-010106000_#</v>
      </c>
      <c r="B188" s="1017" t="s">
        <v>1380</v>
      </c>
      <c r="C188" s="811" t="s">
        <v>1057</v>
      </c>
      <c r="D188" s="808" t="s">
        <v>1250</v>
      </c>
      <c r="E188" s="808" t="s">
        <v>1251</v>
      </c>
      <c r="F188" s="612"/>
      <c r="G188" s="612">
        <v>23</v>
      </c>
      <c r="H188" s="612"/>
      <c r="I188" s="612"/>
      <c r="J188" s="612"/>
      <c r="K188" s="612"/>
      <c r="L188" s="612"/>
      <c r="M188" s="612"/>
      <c r="N188" s="612"/>
      <c r="O188" s="612"/>
      <c r="P188" s="612"/>
      <c r="Q188" s="612"/>
      <c r="R188" s="613"/>
    </row>
    <row r="189" spans="1:18">
      <c r="A189" s="451" t="str">
        <f t="shared" si="2"/>
        <v>CO-010106000_Result</v>
      </c>
      <c r="B189" s="1017" t="s">
        <v>1380</v>
      </c>
      <c r="C189" s="811" t="s">
        <v>1057</v>
      </c>
      <c r="D189" s="842" t="s">
        <v>1156</v>
      </c>
      <c r="E189" s="840"/>
      <c r="F189" s="836"/>
      <c r="G189" s="836">
        <v>23</v>
      </c>
      <c r="H189" s="836"/>
      <c r="I189" s="836"/>
      <c r="J189" s="836"/>
      <c r="K189" s="836"/>
      <c r="L189" s="836"/>
      <c r="M189" s="836"/>
      <c r="N189" s="836"/>
      <c r="O189" s="836"/>
      <c r="P189" s="836"/>
      <c r="Q189" s="836"/>
      <c r="R189" s="838"/>
    </row>
    <row r="190" spans="1:18">
      <c r="A190" s="451" t="str">
        <f t="shared" si="2"/>
        <v>CO-010106100_#</v>
      </c>
      <c r="B190" s="1018" t="s">
        <v>1381</v>
      </c>
      <c r="C190" s="812" t="s">
        <v>1065</v>
      </c>
      <c r="D190" s="808" t="s">
        <v>1250</v>
      </c>
      <c r="E190" s="808" t="s">
        <v>1251</v>
      </c>
      <c r="F190" s="612"/>
      <c r="G190" s="612">
        <v>23</v>
      </c>
      <c r="H190" s="612"/>
      <c r="I190" s="612"/>
      <c r="J190" s="612"/>
      <c r="K190" s="612"/>
      <c r="L190" s="612"/>
      <c r="M190" s="612"/>
      <c r="N190" s="612"/>
      <c r="O190" s="612"/>
      <c r="P190" s="612"/>
      <c r="Q190" s="612"/>
      <c r="R190" s="613"/>
    </row>
    <row r="191" spans="1:18">
      <c r="A191" s="451" t="str">
        <f t="shared" si="2"/>
        <v>CO-010106100_Result</v>
      </c>
      <c r="B191" s="1018" t="s">
        <v>1381</v>
      </c>
      <c r="C191" s="812" t="s">
        <v>1065</v>
      </c>
      <c r="D191" s="842" t="s">
        <v>1156</v>
      </c>
      <c r="E191" s="840"/>
      <c r="F191" s="836"/>
      <c r="G191" s="836">
        <v>23</v>
      </c>
      <c r="H191" s="836"/>
      <c r="I191" s="836"/>
      <c r="J191" s="836"/>
      <c r="K191" s="836"/>
      <c r="L191" s="836"/>
      <c r="M191" s="836"/>
      <c r="N191" s="836"/>
      <c r="O191" s="836"/>
      <c r="P191" s="836"/>
      <c r="Q191" s="836"/>
      <c r="R191" s="838"/>
    </row>
    <row r="192" spans="1:18">
      <c r="A192" s="451" t="str">
        <f t="shared" si="2"/>
        <v>CO-210000000_#</v>
      </c>
      <c r="B192" s="1013" t="s">
        <v>1383</v>
      </c>
      <c r="C192" s="809" t="s">
        <v>1384</v>
      </c>
      <c r="D192" s="808" t="s">
        <v>1250</v>
      </c>
      <c r="E192" s="808" t="s">
        <v>1251</v>
      </c>
      <c r="F192" s="612"/>
      <c r="G192" s="612">
        <v>-1206260.7560000001</v>
      </c>
      <c r="H192" s="612">
        <v>-1222850.03</v>
      </c>
      <c r="I192" s="612">
        <v>-1201771.2760000001</v>
      </c>
      <c r="J192" s="612">
        <v>-1160701.436</v>
      </c>
      <c r="K192" s="612">
        <v>-1182407.577</v>
      </c>
      <c r="L192" s="612">
        <v>-1187382.2720000001</v>
      </c>
      <c r="M192" s="612">
        <v>-1267603.6499999999</v>
      </c>
      <c r="N192" s="612">
        <v>-1301651.307</v>
      </c>
      <c r="O192" s="612">
        <v>-1240929.4439999999</v>
      </c>
      <c r="P192" s="612">
        <v>-1214931.8019999999</v>
      </c>
      <c r="Q192" s="612">
        <v>-1223166.1540000001</v>
      </c>
      <c r="R192" s="613">
        <v>-1219483.31</v>
      </c>
    </row>
    <row r="193" spans="1:18">
      <c r="A193" s="451" t="str">
        <f t="shared" si="2"/>
        <v>CO-210000000_Result</v>
      </c>
      <c r="B193" s="1013" t="s">
        <v>1383</v>
      </c>
      <c r="C193" s="809" t="s">
        <v>1384</v>
      </c>
      <c r="D193" s="842" t="s">
        <v>1156</v>
      </c>
      <c r="E193" s="840"/>
      <c r="F193" s="836"/>
      <c r="G193" s="836">
        <v>-1206260.7560000001</v>
      </c>
      <c r="H193" s="836">
        <v>-1222850.03</v>
      </c>
      <c r="I193" s="836">
        <v>-1201771.2760000001</v>
      </c>
      <c r="J193" s="836">
        <v>-1160701.436</v>
      </c>
      <c r="K193" s="836">
        <v>-1182407.577</v>
      </c>
      <c r="L193" s="836">
        <v>-1187382.2720000001</v>
      </c>
      <c r="M193" s="836">
        <v>-1267603.6499999999</v>
      </c>
      <c r="N193" s="836">
        <v>-1301651.307</v>
      </c>
      <c r="O193" s="836">
        <v>-1240929.4439999999</v>
      </c>
      <c r="P193" s="836">
        <v>-1214931.8019999999</v>
      </c>
      <c r="Q193" s="836">
        <v>-1223166.1540000001</v>
      </c>
      <c r="R193" s="838">
        <v>-1219483.31</v>
      </c>
    </row>
    <row r="194" spans="1:18">
      <c r="A194" s="451" t="str">
        <f t="shared" si="2"/>
        <v>CO-210000329_#</v>
      </c>
      <c r="B194" s="1016" t="s">
        <v>1385</v>
      </c>
      <c r="C194" s="810" t="s">
        <v>469</v>
      </c>
      <c r="D194" s="808" t="s">
        <v>1250</v>
      </c>
      <c r="E194" s="808" t="s">
        <v>1251</v>
      </c>
      <c r="F194" s="612"/>
      <c r="G194" s="612">
        <v>-29194.240000000002</v>
      </c>
      <c r="H194" s="612">
        <v>-29789.37</v>
      </c>
      <c r="I194" s="612">
        <v>-30822.288</v>
      </c>
      <c r="J194" s="612">
        <v>-35193.218999999997</v>
      </c>
      <c r="K194" s="612">
        <v>-29899.415000000001</v>
      </c>
      <c r="L194" s="612">
        <v>-37777.43</v>
      </c>
      <c r="M194" s="612">
        <v>-29140.21</v>
      </c>
      <c r="N194" s="612">
        <v>-93848.892000000007</v>
      </c>
      <c r="O194" s="612">
        <v>-35763.953999999998</v>
      </c>
      <c r="P194" s="612">
        <v>-29910.776999999998</v>
      </c>
      <c r="Q194" s="612">
        <v>-35382.095000000001</v>
      </c>
      <c r="R194" s="613">
        <v>-29485.054</v>
      </c>
    </row>
    <row r="195" spans="1:18">
      <c r="A195" s="451" t="str">
        <f t="shared" si="2"/>
        <v>CO-210000329_Result</v>
      </c>
      <c r="B195" s="1016" t="s">
        <v>1385</v>
      </c>
      <c r="C195" s="810" t="s">
        <v>469</v>
      </c>
      <c r="D195" s="842" t="s">
        <v>1156</v>
      </c>
      <c r="E195" s="840"/>
      <c r="F195" s="836"/>
      <c r="G195" s="836">
        <v>-29194.240000000002</v>
      </c>
      <c r="H195" s="836">
        <v>-29789.37</v>
      </c>
      <c r="I195" s="836">
        <v>-30822.288</v>
      </c>
      <c r="J195" s="836">
        <v>-35193.218999999997</v>
      </c>
      <c r="K195" s="836">
        <v>-29899.415000000001</v>
      </c>
      <c r="L195" s="836">
        <v>-37777.43</v>
      </c>
      <c r="M195" s="836">
        <v>-29140.21</v>
      </c>
      <c r="N195" s="836">
        <v>-93848.892000000007</v>
      </c>
      <c r="O195" s="836">
        <v>-35763.953999999998</v>
      </c>
      <c r="P195" s="836">
        <v>-29910.776999999998</v>
      </c>
      <c r="Q195" s="836">
        <v>-35382.095000000001</v>
      </c>
      <c r="R195" s="838">
        <v>-29485.054</v>
      </c>
    </row>
    <row r="196" spans="1:18">
      <c r="A196" s="451" t="str">
        <f t="shared" ref="A196:A259" si="3" xml:space="preserve"> IFERROR(+B196*1,B196)&amp;"_"&amp;IFERROR(+D196*1,D196)</f>
        <v>CO-210000325_#</v>
      </c>
      <c r="B196" s="1016" t="s">
        <v>1388</v>
      </c>
      <c r="C196" s="810" t="s">
        <v>1389</v>
      </c>
      <c r="D196" s="808" t="s">
        <v>1250</v>
      </c>
      <c r="E196" s="808" t="s">
        <v>1251</v>
      </c>
      <c r="F196" s="612"/>
      <c r="G196" s="612">
        <v>-15544.484</v>
      </c>
      <c r="H196" s="612">
        <v>-15544.484</v>
      </c>
      <c r="I196" s="612">
        <v>-15544.484</v>
      </c>
      <c r="J196" s="612">
        <v>-15544.484</v>
      </c>
      <c r="K196" s="612">
        <v>-15544.484</v>
      </c>
      <c r="L196" s="612">
        <v>-15544.484</v>
      </c>
      <c r="M196" s="612">
        <v>-15544.484</v>
      </c>
      <c r="N196" s="612">
        <v>-15544.484</v>
      </c>
      <c r="O196" s="612">
        <v>-15544.484</v>
      </c>
      <c r="P196" s="612">
        <v>-15544.484</v>
      </c>
      <c r="Q196" s="612">
        <v>-15544.484</v>
      </c>
      <c r="R196" s="613">
        <v>-15544.476000000001</v>
      </c>
    </row>
    <row r="197" spans="1:18">
      <c r="A197" s="451" t="str">
        <f t="shared" si="3"/>
        <v>CO-210000325_Result</v>
      </c>
      <c r="B197" s="1016" t="s">
        <v>1388</v>
      </c>
      <c r="C197" s="810" t="s">
        <v>1389</v>
      </c>
      <c r="D197" s="842" t="s">
        <v>1156</v>
      </c>
      <c r="E197" s="840"/>
      <c r="F197" s="836"/>
      <c r="G197" s="836">
        <v>-15544.484</v>
      </c>
      <c r="H197" s="836">
        <v>-15544.484</v>
      </c>
      <c r="I197" s="836">
        <v>-15544.484</v>
      </c>
      <c r="J197" s="836">
        <v>-15544.484</v>
      </c>
      <c r="K197" s="836">
        <v>-15544.484</v>
      </c>
      <c r="L197" s="836">
        <v>-15544.484</v>
      </c>
      <c r="M197" s="836">
        <v>-15544.484</v>
      </c>
      <c r="N197" s="836">
        <v>-15544.484</v>
      </c>
      <c r="O197" s="836">
        <v>-15544.484</v>
      </c>
      <c r="P197" s="836">
        <v>-15544.484</v>
      </c>
      <c r="Q197" s="836">
        <v>-15544.484</v>
      </c>
      <c r="R197" s="838">
        <v>-15544.476000000001</v>
      </c>
    </row>
    <row r="198" spans="1:18">
      <c r="A198" s="451" t="str">
        <f t="shared" si="3"/>
        <v>CO-210000323_#</v>
      </c>
      <c r="B198" s="1016" t="s">
        <v>1390</v>
      </c>
      <c r="C198" s="810" t="s">
        <v>1391</v>
      </c>
      <c r="D198" s="808" t="s">
        <v>1250</v>
      </c>
      <c r="E198" s="808" t="s">
        <v>1251</v>
      </c>
      <c r="F198" s="612"/>
      <c r="G198" s="612">
        <v>-314373.56</v>
      </c>
      <c r="H198" s="612">
        <v>-314373.56</v>
      </c>
      <c r="I198" s="612">
        <v>-314373.56</v>
      </c>
      <c r="J198" s="612">
        <v>-315522.98700000002</v>
      </c>
      <c r="K198" s="612">
        <v>-315522.98700000002</v>
      </c>
      <c r="L198" s="612">
        <v>-316489.65399999998</v>
      </c>
      <c r="M198" s="612">
        <v>-317667.77899999998</v>
      </c>
      <c r="N198" s="612">
        <v>-326443.3</v>
      </c>
      <c r="O198" s="612">
        <v>-326443.3</v>
      </c>
      <c r="P198" s="612">
        <v>-326443.3</v>
      </c>
      <c r="Q198" s="612">
        <v>-326443.3</v>
      </c>
      <c r="R198" s="613">
        <v>-326443.3</v>
      </c>
    </row>
    <row r="199" spans="1:18">
      <c r="A199" s="451" t="str">
        <f t="shared" si="3"/>
        <v>CO-210000323_Result</v>
      </c>
      <c r="B199" s="1016" t="s">
        <v>1390</v>
      </c>
      <c r="C199" s="810" t="s">
        <v>1391</v>
      </c>
      <c r="D199" s="842" t="s">
        <v>1156</v>
      </c>
      <c r="E199" s="840"/>
      <c r="F199" s="836"/>
      <c r="G199" s="836">
        <v>-314373.56</v>
      </c>
      <c r="H199" s="836">
        <v>-314373.56</v>
      </c>
      <c r="I199" s="836">
        <v>-314373.56</v>
      </c>
      <c r="J199" s="836">
        <v>-315522.98700000002</v>
      </c>
      <c r="K199" s="836">
        <v>-315522.98700000002</v>
      </c>
      <c r="L199" s="836">
        <v>-316489.65399999998</v>
      </c>
      <c r="M199" s="836">
        <v>-317667.77899999998</v>
      </c>
      <c r="N199" s="836">
        <v>-326443.3</v>
      </c>
      <c r="O199" s="836">
        <v>-326443.3</v>
      </c>
      <c r="P199" s="836">
        <v>-326443.3</v>
      </c>
      <c r="Q199" s="836">
        <v>-326443.3</v>
      </c>
      <c r="R199" s="838">
        <v>-326443.3</v>
      </c>
    </row>
    <row r="200" spans="1:18">
      <c r="A200" s="451" t="str">
        <f t="shared" si="3"/>
        <v>CO-210000322_#</v>
      </c>
      <c r="B200" s="1016" t="s">
        <v>1392</v>
      </c>
      <c r="C200" s="810" t="s">
        <v>1393</v>
      </c>
      <c r="D200" s="808" t="s">
        <v>1250</v>
      </c>
      <c r="E200" s="808" t="s">
        <v>1251</v>
      </c>
      <c r="F200" s="612"/>
      <c r="G200" s="612">
        <v>-192354.476</v>
      </c>
      <c r="H200" s="612">
        <v>-192354.476</v>
      </c>
      <c r="I200" s="612">
        <v>-192354.476</v>
      </c>
      <c r="J200" s="612">
        <v>-192354.476</v>
      </c>
      <c r="K200" s="612">
        <v>-192354.476</v>
      </c>
      <c r="L200" s="612">
        <v>-192354.476</v>
      </c>
      <c r="M200" s="612">
        <v>-192354.476</v>
      </c>
      <c r="N200" s="612">
        <v>-192354.476</v>
      </c>
      <c r="O200" s="612">
        <v>-192354.476</v>
      </c>
      <c r="P200" s="612">
        <v>-192354.476</v>
      </c>
      <c r="Q200" s="612">
        <v>-192354.476</v>
      </c>
      <c r="R200" s="613">
        <v>-192354.476</v>
      </c>
    </row>
    <row r="201" spans="1:18">
      <c r="A201" s="451" t="str">
        <f t="shared" si="3"/>
        <v>CO-210000322_Result</v>
      </c>
      <c r="B201" s="1016" t="s">
        <v>1392</v>
      </c>
      <c r="C201" s="810" t="s">
        <v>1393</v>
      </c>
      <c r="D201" s="842" t="s">
        <v>1156</v>
      </c>
      <c r="E201" s="840"/>
      <c r="F201" s="836"/>
      <c r="G201" s="836">
        <v>-192354.476</v>
      </c>
      <c r="H201" s="836">
        <v>-192354.476</v>
      </c>
      <c r="I201" s="836">
        <v>-192354.476</v>
      </c>
      <c r="J201" s="836">
        <v>-192354.476</v>
      </c>
      <c r="K201" s="836">
        <v>-192354.476</v>
      </c>
      <c r="L201" s="836">
        <v>-192354.476</v>
      </c>
      <c r="M201" s="836">
        <v>-192354.476</v>
      </c>
      <c r="N201" s="836">
        <v>-192354.476</v>
      </c>
      <c r="O201" s="836">
        <v>-192354.476</v>
      </c>
      <c r="P201" s="836">
        <v>-192354.476</v>
      </c>
      <c r="Q201" s="836">
        <v>-192354.476</v>
      </c>
      <c r="R201" s="838">
        <v>-192354.476</v>
      </c>
    </row>
    <row r="202" spans="1:18">
      <c r="A202" s="451" t="str">
        <f t="shared" si="3"/>
        <v>CO-210000321_#</v>
      </c>
      <c r="B202" s="1016" t="s">
        <v>1394</v>
      </c>
      <c r="C202" s="810" t="s">
        <v>1395</v>
      </c>
      <c r="D202" s="808" t="s">
        <v>1250</v>
      </c>
      <c r="E202" s="808" t="s">
        <v>1251</v>
      </c>
      <c r="F202" s="612"/>
      <c r="G202" s="612"/>
      <c r="H202" s="612"/>
      <c r="I202" s="612"/>
      <c r="J202" s="612"/>
      <c r="K202" s="612">
        <v>-5000</v>
      </c>
      <c r="L202" s="612"/>
      <c r="M202" s="612"/>
      <c r="N202" s="612">
        <v>-13000</v>
      </c>
      <c r="O202" s="612"/>
      <c r="P202" s="612"/>
      <c r="Q202" s="612"/>
      <c r="R202" s="613"/>
    </row>
    <row r="203" spans="1:18">
      <c r="A203" s="451" t="str">
        <f t="shared" si="3"/>
        <v>CO-210000321_Result</v>
      </c>
      <c r="B203" s="1016" t="s">
        <v>1394</v>
      </c>
      <c r="C203" s="810" t="s">
        <v>1395</v>
      </c>
      <c r="D203" s="842" t="s">
        <v>1156</v>
      </c>
      <c r="E203" s="840"/>
      <c r="F203" s="836"/>
      <c r="G203" s="836"/>
      <c r="H203" s="836"/>
      <c r="I203" s="836"/>
      <c r="J203" s="836"/>
      <c r="K203" s="836">
        <v>-5000</v>
      </c>
      <c r="L203" s="836"/>
      <c r="M203" s="836"/>
      <c r="N203" s="836">
        <v>-13000</v>
      </c>
      <c r="O203" s="836"/>
      <c r="P203" s="836"/>
      <c r="Q203" s="836"/>
      <c r="R203" s="838"/>
    </row>
    <row r="204" spans="1:18">
      <c r="A204" s="451" t="str">
        <f t="shared" si="3"/>
        <v>CO-210000320_#</v>
      </c>
      <c r="B204" s="1016" t="s">
        <v>1396</v>
      </c>
      <c r="C204" s="810" t="s">
        <v>1397</v>
      </c>
      <c r="D204" s="808" t="s">
        <v>1250</v>
      </c>
      <c r="E204" s="808" t="s">
        <v>1251</v>
      </c>
      <c r="F204" s="612"/>
      <c r="G204" s="612">
        <v>-70673.240000000005</v>
      </c>
      <c r="H204" s="612">
        <v>-82731.05</v>
      </c>
      <c r="I204" s="612">
        <v>-61443.425999999999</v>
      </c>
      <c r="J204" s="612">
        <v>-39957.754999999997</v>
      </c>
      <c r="K204" s="612">
        <v>-48828.54</v>
      </c>
      <c r="L204" s="612">
        <v>-39848.936999999998</v>
      </c>
      <c r="M204" s="612">
        <v>-50418.95</v>
      </c>
      <c r="N204" s="612">
        <v>-38532.838000000003</v>
      </c>
      <c r="O204" s="612">
        <v>-57055.716</v>
      </c>
      <c r="P204" s="612">
        <v>-40031.266000000003</v>
      </c>
      <c r="Q204" s="612">
        <v>-48109.358999999997</v>
      </c>
      <c r="R204" s="613">
        <v>-40348.781000000003</v>
      </c>
    </row>
    <row r="205" spans="1:18">
      <c r="A205" s="451" t="str">
        <f t="shared" si="3"/>
        <v>CO-210000320_Result</v>
      </c>
      <c r="B205" s="1016" t="s">
        <v>1396</v>
      </c>
      <c r="C205" s="810" t="s">
        <v>1397</v>
      </c>
      <c r="D205" s="842" t="s">
        <v>1156</v>
      </c>
      <c r="E205" s="840"/>
      <c r="F205" s="836"/>
      <c r="G205" s="836">
        <v>-70673.240000000005</v>
      </c>
      <c r="H205" s="836">
        <v>-82731.05</v>
      </c>
      <c r="I205" s="836">
        <v>-61443.425999999999</v>
      </c>
      <c r="J205" s="836">
        <v>-39957.754999999997</v>
      </c>
      <c r="K205" s="836">
        <v>-48828.54</v>
      </c>
      <c r="L205" s="836">
        <v>-39848.936999999998</v>
      </c>
      <c r="M205" s="836">
        <v>-50418.95</v>
      </c>
      <c r="N205" s="836">
        <v>-38532.838000000003</v>
      </c>
      <c r="O205" s="836">
        <v>-57055.716</v>
      </c>
      <c r="P205" s="836">
        <v>-40031.266000000003</v>
      </c>
      <c r="Q205" s="836">
        <v>-48109.358999999997</v>
      </c>
      <c r="R205" s="838">
        <v>-40348.781000000003</v>
      </c>
    </row>
    <row r="206" spans="1:18">
      <c r="A206" s="451" t="str">
        <f t="shared" si="3"/>
        <v>CO-210000314_#</v>
      </c>
      <c r="B206" s="1016" t="s">
        <v>1398</v>
      </c>
      <c r="C206" s="810" t="s">
        <v>1399</v>
      </c>
      <c r="D206" s="808" t="s">
        <v>1250</v>
      </c>
      <c r="E206" s="808" t="s">
        <v>1251</v>
      </c>
      <c r="F206" s="612"/>
      <c r="G206" s="612">
        <v>9757.3160000000007</v>
      </c>
      <c r="H206" s="612">
        <v>9757.3160000000007</v>
      </c>
      <c r="I206" s="612">
        <v>9757.3160000000007</v>
      </c>
      <c r="J206" s="612">
        <v>9757.3160000000007</v>
      </c>
      <c r="K206" s="612">
        <v>9757.3160000000007</v>
      </c>
      <c r="L206" s="612">
        <v>9757.3160000000007</v>
      </c>
      <c r="M206" s="612">
        <v>9757.3160000000007</v>
      </c>
      <c r="N206" s="612">
        <v>9757.3160000000007</v>
      </c>
      <c r="O206" s="612">
        <v>9757.3160000000007</v>
      </c>
      <c r="P206" s="612">
        <v>9757.3160000000007</v>
      </c>
      <c r="Q206" s="612">
        <v>9757.3160000000007</v>
      </c>
      <c r="R206" s="613">
        <v>9757.3160000000007</v>
      </c>
    </row>
    <row r="207" spans="1:18">
      <c r="A207" s="451" t="str">
        <f t="shared" si="3"/>
        <v>CO-210000314_Result</v>
      </c>
      <c r="B207" s="1016" t="s">
        <v>1398</v>
      </c>
      <c r="C207" s="810" t="s">
        <v>1399</v>
      </c>
      <c r="D207" s="842" t="s">
        <v>1156</v>
      </c>
      <c r="E207" s="840"/>
      <c r="F207" s="836"/>
      <c r="G207" s="836">
        <v>9757.3160000000007</v>
      </c>
      <c r="H207" s="836">
        <v>9757.3160000000007</v>
      </c>
      <c r="I207" s="836">
        <v>9757.3160000000007</v>
      </c>
      <c r="J207" s="836">
        <v>9757.3160000000007</v>
      </c>
      <c r="K207" s="836">
        <v>9757.3160000000007</v>
      </c>
      <c r="L207" s="836">
        <v>9757.3160000000007</v>
      </c>
      <c r="M207" s="836">
        <v>9757.3160000000007</v>
      </c>
      <c r="N207" s="836">
        <v>9757.3160000000007</v>
      </c>
      <c r="O207" s="836">
        <v>9757.3160000000007</v>
      </c>
      <c r="P207" s="836">
        <v>9757.3160000000007</v>
      </c>
      <c r="Q207" s="836">
        <v>9757.3160000000007</v>
      </c>
      <c r="R207" s="838">
        <v>9757.3160000000007</v>
      </c>
    </row>
    <row r="208" spans="1:18">
      <c r="A208" s="451" t="str">
        <f t="shared" si="3"/>
        <v>CO-210000313_#</v>
      </c>
      <c r="B208" s="1016" t="s">
        <v>1400</v>
      </c>
      <c r="C208" s="810" t="s">
        <v>1401</v>
      </c>
      <c r="D208" s="808" t="s">
        <v>1250</v>
      </c>
      <c r="E208" s="808" t="s">
        <v>1251</v>
      </c>
      <c r="F208" s="612"/>
      <c r="G208" s="612">
        <v>-28258.053</v>
      </c>
      <c r="H208" s="612">
        <v>-29969.393</v>
      </c>
      <c r="I208" s="612">
        <v>-28699.673999999999</v>
      </c>
      <c r="J208" s="612">
        <v>-26246.813999999998</v>
      </c>
      <c r="K208" s="612">
        <v>-26725.01</v>
      </c>
      <c r="L208" s="612">
        <v>-29354.675999999999</v>
      </c>
      <c r="M208" s="612">
        <v>-35514.9</v>
      </c>
      <c r="N208" s="612">
        <v>-29917.932000000001</v>
      </c>
      <c r="O208" s="612">
        <v>-32249.134999999998</v>
      </c>
      <c r="P208" s="612">
        <v>-29435.114000000001</v>
      </c>
      <c r="Q208" s="612">
        <v>-29894.879000000001</v>
      </c>
      <c r="R208" s="613">
        <v>-30517.768</v>
      </c>
    </row>
    <row r="209" spans="1:18">
      <c r="A209" s="451" t="str">
        <f t="shared" si="3"/>
        <v>CO-210000313_Result</v>
      </c>
      <c r="B209" s="1016" t="s">
        <v>1400</v>
      </c>
      <c r="C209" s="810" t="s">
        <v>1401</v>
      </c>
      <c r="D209" s="842" t="s">
        <v>1156</v>
      </c>
      <c r="E209" s="840"/>
      <c r="F209" s="836"/>
      <c r="G209" s="836">
        <v>-28258.053</v>
      </c>
      <c r="H209" s="836">
        <v>-29969.393</v>
      </c>
      <c r="I209" s="836">
        <v>-28699.673999999999</v>
      </c>
      <c r="J209" s="836">
        <v>-26246.813999999998</v>
      </c>
      <c r="K209" s="836">
        <v>-26725.01</v>
      </c>
      <c r="L209" s="836">
        <v>-29354.675999999999</v>
      </c>
      <c r="M209" s="836">
        <v>-35514.9</v>
      </c>
      <c r="N209" s="836">
        <v>-29917.932000000001</v>
      </c>
      <c r="O209" s="836">
        <v>-32249.134999999998</v>
      </c>
      <c r="P209" s="836">
        <v>-29435.114000000001</v>
      </c>
      <c r="Q209" s="836">
        <v>-29894.879000000001</v>
      </c>
      <c r="R209" s="838">
        <v>-30517.768</v>
      </c>
    </row>
    <row r="210" spans="1:18">
      <c r="A210" s="451" t="str">
        <f t="shared" si="3"/>
        <v>CO-210000312_#</v>
      </c>
      <c r="B210" s="1016" t="s">
        <v>1402</v>
      </c>
      <c r="C210" s="810" t="s">
        <v>1403</v>
      </c>
      <c r="D210" s="808" t="s">
        <v>1250</v>
      </c>
      <c r="E210" s="808" t="s">
        <v>1251</v>
      </c>
      <c r="F210" s="612"/>
      <c r="G210" s="612">
        <v>-253151.49900000001</v>
      </c>
      <c r="H210" s="612">
        <v>-255376.49299999999</v>
      </c>
      <c r="I210" s="612">
        <v>-255822.16399999999</v>
      </c>
      <c r="J210" s="612">
        <v>-233170.497</v>
      </c>
      <c r="K210" s="612">
        <v>-245821.46100000001</v>
      </c>
      <c r="L210" s="612">
        <v>-253301.41099999999</v>
      </c>
      <c r="M210" s="612">
        <v>-324251.647</v>
      </c>
      <c r="N210" s="612">
        <v>-289298.18099999998</v>
      </c>
      <c r="O210" s="612">
        <v>-278807.17499999999</v>
      </c>
      <c r="P210" s="612">
        <v>-278501.18099999998</v>
      </c>
      <c r="Q210" s="612">
        <v>-272726.35700000002</v>
      </c>
      <c r="R210" s="613">
        <v>-282078.25099999999</v>
      </c>
    </row>
    <row r="211" spans="1:18">
      <c r="A211" s="451" t="str">
        <f t="shared" si="3"/>
        <v>CO-210000312_Result</v>
      </c>
      <c r="B211" s="1016" t="s">
        <v>1402</v>
      </c>
      <c r="C211" s="810" t="s">
        <v>1403</v>
      </c>
      <c r="D211" s="842" t="s">
        <v>1156</v>
      </c>
      <c r="E211" s="840"/>
      <c r="F211" s="836"/>
      <c r="G211" s="836">
        <v>-253151.49900000001</v>
      </c>
      <c r="H211" s="836">
        <v>-255376.49299999999</v>
      </c>
      <c r="I211" s="836">
        <v>-255822.16399999999</v>
      </c>
      <c r="J211" s="836">
        <v>-233170.497</v>
      </c>
      <c r="K211" s="836">
        <v>-245821.46100000001</v>
      </c>
      <c r="L211" s="836">
        <v>-253301.41099999999</v>
      </c>
      <c r="M211" s="836">
        <v>-324251.647</v>
      </c>
      <c r="N211" s="836">
        <v>-289298.18099999998</v>
      </c>
      <c r="O211" s="836">
        <v>-278807.17499999999</v>
      </c>
      <c r="P211" s="836">
        <v>-278501.18099999998</v>
      </c>
      <c r="Q211" s="836">
        <v>-272726.35700000002</v>
      </c>
      <c r="R211" s="838">
        <v>-282078.25099999999</v>
      </c>
    </row>
    <row r="212" spans="1:18">
      <c r="A212" s="451" t="str">
        <f t="shared" si="3"/>
        <v>CO-210000311_#</v>
      </c>
      <c r="B212" s="1016" t="s">
        <v>1404</v>
      </c>
      <c r="C212" s="810" t="s">
        <v>1405</v>
      </c>
      <c r="D212" s="808" t="s">
        <v>1250</v>
      </c>
      <c r="E212" s="808" t="s">
        <v>1251</v>
      </c>
      <c r="F212" s="612"/>
      <c r="G212" s="612">
        <v>-96754.433000000005</v>
      </c>
      <c r="H212" s="612">
        <v>-96754.433000000005</v>
      </c>
      <c r="I212" s="612">
        <v>-96754.433000000005</v>
      </c>
      <c r="J212" s="612">
        <v>-96754.433000000005</v>
      </c>
      <c r="K212" s="612">
        <v>-96754.433000000005</v>
      </c>
      <c r="L212" s="612">
        <v>-96754.433000000005</v>
      </c>
      <c r="M212" s="612">
        <v>-96754.433000000005</v>
      </c>
      <c r="N212" s="612">
        <v>-96754.433000000005</v>
      </c>
      <c r="O212" s="612">
        <v>-96754.433000000005</v>
      </c>
      <c r="P212" s="612">
        <v>-96754.433000000005</v>
      </c>
      <c r="Q212" s="612">
        <v>-96754.433000000005</v>
      </c>
      <c r="R212" s="613">
        <v>-96754.433000000005</v>
      </c>
    </row>
    <row r="213" spans="1:18">
      <c r="A213" s="451" t="str">
        <f t="shared" si="3"/>
        <v>CO-210000311_Result</v>
      </c>
      <c r="B213" s="1016" t="s">
        <v>1404</v>
      </c>
      <c r="C213" s="810" t="s">
        <v>1405</v>
      </c>
      <c r="D213" s="842" t="s">
        <v>1156</v>
      </c>
      <c r="E213" s="840"/>
      <c r="F213" s="836"/>
      <c r="G213" s="836">
        <v>-96754.433000000005</v>
      </c>
      <c r="H213" s="836">
        <v>-96754.433000000005</v>
      </c>
      <c r="I213" s="836">
        <v>-96754.433000000005</v>
      </c>
      <c r="J213" s="836">
        <v>-96754.433000000005</v>
      </c>
      <c r="K213" s="836">
        <v>-96754.433000000005</v>
      </c>
      <c r="L213" s="836">
        <v>-96754.433000000005</v>
      </c>
      <c r="M213" s="836">
        <v>-96754.433000000005</v>
      </c>
      <c r="N213" s="836">
        <v>-96754.433000000005</v>
      </c>
      <c r="O213" s="836">
        <v>-96754.433000000005</v>
      </c>
      <c r="P213" s="836">
        <v>-96754.433000000005</v>
      </c>
      <c r="Q213" s="836">
        <v>-96754.433000000005</v>
      </c>
      <c r="R213" s="838">
        <v>-96754.433000000005</v>
      </c>
    </row>
    <row r="214" spans="1:18">
      <c r="A214" s="451" t="str">
        <f t="shared" si="3"/>
        <v>CO-210000310_#</v>
      </c>
      <c r="B214" s="1016" t="s">
        <v>1406</v>
      </c>
      <c r="C214" s="810" t="s">
        <v>1407</v>
      </c>
      <c r="D214" s="808" t="s">
        <v>1250</v>
      </c>
      <c r="E214" s="808" t="s">
        <v>1251</v>
      </c>
      <c r="F214" s="612"/>
      <c r="G214" s="612">
        <v>-215714.087</v>
      </c>
      <c r="H214" s="612">
        <v>-215714.087</v>
      </c>
      <c r="I214" s="612">
        <v>-215714.087</v>
      </c>
      <c r="J214" s="612">
        <v>-215714.087</v>
      </c>
      <c r="K214" s="612">
        <v>-215714.087</v>
      </c>
      <c r="L214" s="612">
        <v>-215714.087</v>
      </c>
      <c r="M214" s="612">
        <v>-215714.087</v>
      </c>
      <c r="N214" s="612">
        <v>-215714.087</v>
      </c>
      <c r="O214" s="612">
        <v>-215714.087</v>
      </c>
      <c r="P214" s="612">
        <v>-215714.087</v>
      </c>
      <c r="Q214" s="612">
        <v>-215714.087</v>
      </c>
      <c r="R214" s="613">
        <v>-215714.087</v>
      </c>
    </row>
    <row r="215" spans="1:18">
      <c r="A215" s="451" t="str">
        <f t="shared" si="3"/>
        <v>CO-210000310_Result</v>
      </c>
      <c r="B215" s="1016" t="s">
        <v>1406</v>
      </c>
      <c r="C215" s="810" t="s">
        <v>1407</v>
      </c>
      <c r="D215" s="844" t="s">
        <v>1156</v>
      </c>
      <c r="E215" s="841"/>
      <c r="F215" s="837"/>
      <c r="G215" s="837">
        <v>-215714.087</v>
      </c>
      <c r="H215" s="837">
        <v>-215714.087</v>
      </c>
      <c r="I215" s="837">
        <v>-215714.087</v>
      </c>
      <c r="J215" s="837">
        <v>-215714.087</v>
      </c>
      <c r="K215" s="837">
        <v>-215714.087</v>
      </c>
      <c r="L215" s="837">
        <v>-215714.087</v>
      </c>
      <c r="M215" s="837">
        <v>-215714.087</v>
      </c>
      <c r="N215" s="837">
        <v>-215714.087</v>
      </c>
      <c r="O215" s="837">
        <v>-215714.087</v>
      </c>
      <c r="P215" s="837">
        <v>-215714.087</v>
      </c>
      <c r="Q215" s="837">
        <v>-215714.087</v>
      </c>
      <c r="R215" s="839">
        <v>-215714.087</v>
      </c>
    </row>
    <row r="216" spans="1:18">
      <c r="A216" s="451" t="str">
        <f t="shared" si="3"/>
        <v>0_0</v>
      </c>
    </row>
    <row r="217" spans="1:18">
      <c r="A217" s="451" t="str">
        <f t="shared" si="3"/>
        <v>0_0</v>
      </c>
    </row>
    <row r="218" spans="1:18">
      <c r="A218" s="451" t="str">
        <f t="shared" si="3"/>
        <v>0_0</v>
      </c>
    </row>
    <row r="219" spans="1:18">
      <c r="A219" s="451" t="str">
        <f t="shared" si="3"/>
        <v>0_0</v>
      </c>
    </row>
    <row r="220" spans="1:18">
      <c r="A220" s="451" t="str">
        <f t="shared" si="3"/>
        <v>0_0</v>
      </c>
    </row>
    <row r="221" spans="1:18">
      <c r="A221" s="451" t="str">
        <f t="shared" si="3"/>
        <v>0_0</v>
      </c>
    </row>
    <row r="222" spans="1:18">
      <c r="A222" s="451" t="str">
        <f t="shared" si="3"/>
        <v>0_0</v>
      </c>
    </row>
    <row r="223" spans="1:18">
      <c r="A223" s="451" t="str">
        <f t="shared" si="3"/>
        <v>0_0</v>
      </c>
    </row>
    <row r="224" spans="1:18">
      <c r="A224" s="451" t="str">
        <f t="shared" si="3"/>
        <v>0_0</v>
      </c>
    </row>
    <row r="225" spans="1:1">
      <c r="A225" s="451" t="str">
        <f t="shared" si="3"/>
        <v>0_0</v>
      </c>
    </row>
    <row r="226" spans="1:1">
      <c r="A226" s="451" t="str">
        <f t="shared" si="3"/>
        <v>0_0</v>
      </c>
    </row>
    <row r="227" spans="1:1">
      <c r="A227" s="451" t="str">
        <f t="shared" si="3"/>
        <v>0_0</v>
      </c>
    </row>
    <row r="228" spans="1:1">
      <c r="A228" s="451" t="str">
        <f t="shared" si="3"/>
        <v>0_0</v>
      </c>
    </row>
    <row r="229" spans="1:1">
      <c r="A229" s="451" t="str">
        <f t="shared" si="3"/>
        <v>0_0</v>
      </c>
    </row>
    <row r="230" spans="1:1">
      <c r="A230" s="451" t="str">
        <f t="shared" si="3"/>
        <v>0_0</v>
      </c>
    </row>
    <row r="231" spans="1:1">
      <c r="A231" s="451" t="str">
        <f t="shared" si="3"/>
        <v>0_0</v>
      </c>
    </row>
    <row r="232" spans="1:1">
      <c r="A232" s="451" t="str">
        <f t="shared" si="3"/>
        <v>0_0</v>
      </c>
    </row>
    <row r="233" spans="1:1">
      <c r="A233" s="451" t="str">
        <f t="shared" si="3"/>
        <v>0_0</v>
      </c>
    </row>
    <row r="234" spans="1:1">
      <c r="A234" s="451" t="str">
        <f t="shared" si="3"/>
        <v>0_0</v>
      </c>
    </row>
    <row r="235" spans="1:1">
      <c r="A235" s="451" t="str">
        <f t="shared" si="3"/>
        <v>0_0</v>
      </c>
    </row>
    <row r="236" spans="1:1">
      <c r="A236" s="451" t="str">
        <f t="shared" si="3"/>
        <v>0_0</v>
      </c>
    </row>
    <row r="237" spans="1:1">
      <c r="A237" s="451" t="str">
        <f t="shared" si="3"/>
        <v>0_0</v>
      </c>
    </row>
    <row r="238" spans="1:1">
      <c r="A238" s="451" t="str">
        <f t="shared" si="3"/>
        <v>0_0</v>
      </c>
    </row>
    <row r="239" spans="1:1">
      <c r="A239" s="451" t="str">
        <f t="shared" si="3"/>
        <v>0_0</v>
      </c>
    </row>
    <row r="240" spans="1:1">
      <c r="A240" s="451" t="str">
        <f t="shared" si="3"/>
        <v>0_0</v>
      </c>
    </row>
    <row r="241" spans="1:1">
      <c r="A241" s="451" t="str">
        <f t="shared" si="3"/>
        <v>0_0</v>
      </c>
    </row>
    <row r="242" spans="1:1">
      <c r="A242" s="451" t="str">
        <f t="shared" si="3"/>
        <v>0_0</v>
      </c>
    </row>
    <row r="243" spans="1:1">
      <c r="A243" s="451" t="str">
        <f t="shared" si="3"/>
        <v>0_0</v>
      </c>
    </row>
    <row r="244" spans="1:1">
      <c r="A244" s="451" t="str">
        <f t="shared" si="3"/>
        <v>0_0</v>
      </c>
    </row>
    <row r="245" spans="1:1">
      <c r="A245" s="451" t="str">
        <f t="shared" si="3"/>
        <v>0_0</v>
      </c>
    </row>
    <row r="246" spans="1:1">
      <c r="A246" s="451" t="str">
        <f t="shared" si="3"/>
        <v>0_0</v>
      </c>
    </row>
    <row r="247" spans="1:1">
      <c r="A247" s="451" t="str">
        <f t="shared" si="3"/>
        <v>0_0</v>
      </c>
    </row>
    <row r="248" spans="1:1">
      <c r="A248" s="451" t="str">
        <f t="shared" si="3"/>
        <v>0_0</v>
      </c>
    </row>
    <row r="249" spans="1:1">
      <c r="A249" s="451" t="str">
        <f t="shared" si="3"/>
        <v>0_0</v>
      </c>
    </row>
    <row r="250" spans="1:1">
      <c r="A250" s="451" t="str">
        <f t="shared" si="3"/>
        <v>0_0</v>
      </c>
    </row>
    <row r="251" spans="1:1">
      <c r="A251" s="451" t="str">
        <f t="shared" si="3"/>
        <v>0_0</v>
      </c>
    </row>
    <row r="252" spans="1:1">
      <c r="A252" s="451" t="str">
        <f t="shared" si="3"/>
        <v>0_0</v>
      </c>
    </row>
    <row r="253" spans="1:1">
      <c r="A253" s="451" t="str">
        <f t="shared" si="3"/>
        <v>0_0</v>
      </c>
    </row>
    <row r="254" spans="1:1">
      <c r="A254" s="451" t="str">
        <f t="shared" si="3"/>
        <v>0_0</v>
      </c>
    </row>
    <row r="255" spans="1:1">
      <c r="A255" s="451" t="str">
        <f t="shared" si="3"/>
        <v>0_0</v>
      </c>
    </row>
    <row r="256" spans="1:1">
      <c r="A256" s="451" t="str">
        <f t="shared" si="3"/>
        <v>0_0</v>
      </c>
    </row>
    <row r="257" spans="1:1">
      <c r="A257" s="451" t="str">
        <f t="shared" si="3"/>
        <v>0_0</v>
      </c>
    </row>
    <row r="258" spans="1:1">
      <c r="A258" s="451" t="str">
        <f t="shared" si="3"/>
        <v>0_0</v>
      </c>
    </row>
    <row r="259" spans="1:1">
      <c r="A259" s="451" t="str">
        <f t="shared" si="3"/>
        <v>0_0</v>
      </c>
    </row>
    <row r="260" spans="1:1">
      <c r="A260" s="451" t="str">
        <f t="shared" ref="A260:A323" si="4" xml:space="preserve"> IFERROR(+B260*1,B260)&amp;"_"&amp;IFERROR(+D260*1,D260)</f>
        <v>0_0</v>
      </c>
    </row>
    <row r="261" spans="1:1">
      <c r="A261" s="451" t="str">
        <f t="shared" si="4"/>
        <v>0_0</v>
      </c>
    </row>
    <row r="262" spans="1:1">
      <c r="A262" s="451" t="str">
        <f t="shared" si="4"/>
        <v>0_0</v>
      </c>
    </row>
    <row r="263" spans="1:1">
      <c r="A263" s="451" t="str">
        <f t="shared" si="4"/>
        <v>0_0</v>
      </c>
    </row>
    <row r="264" spans="1:1">
      <c r="A264" s="451" t="str">
        <f t="shared" si="4"/>
        <v>0_0</v>
      </c>
    </row>
    <row r="265" spans="1:1">
      <c r="A265" s="451" t="str">
        <f t="shared" si="4"/>
        <v>0_0</v>
      </c>
    </row>
    <row r="266" spans="1:1">
      <c r="A266" s="451" t="str">
        <f t="shared" si="4"/>
        <v>0_0</v>
      </c>
    </row>
    <row r="267" spans="1:1">
      <c r="A267" s="451" t="str">
        <f t="shared" si="4"/>
        <v>0_0</v>
      </c>
    </row>
    <row r="268" spans="1:1">
      <c r="A268" s="451" t="str">
        <f t="shared" si="4"/>
        <v>0_0</v>
      </c>
    </row>
    <row r="269" spans="1:1">
      <c r="A269" s="451" t="str">
        <f t="shared" si="4"/>
        <v>0_0</v>
      </c>
    </row>
    <row r="270" spans="1:1">
      <c r="A270" s="451" t="str">
        <f t="shared" si="4"/>
        <v>0_0</v>
      </c>
    </row>
    <row r="271" spans="1:1">
      <c r="A271" s="451" t="str">
        <f t="shared" si="4"/>
        <v>0_0</v>
      </c>
    </row>
    <row r="272" spans="1:1">
      <c r="A272" s="451" t="str">
        <f t="shared" si="4"/>
        <v>0_0</v>
      </c>
    </row>
    <row r="273" spans="1:1">
      <c r="A273" s="451" t="str">
        <f t="shared" si="4"/>
        <v>0_0</v>
      </c>
    </row>
    <row r="274" spans="1:1">
      <c r="A274" s="451" t="str">
        <f t="shared" si="4"/>
        <v>0_0</v>
      </c>
    </row>
    <row r="275" spans="1:1">
      <c r="A275" s="451" t="str">
        <f t="shared" si="4"/>
        <v>0_0</v>
      </c>
    </row>
    <row r="276" spans="1:1">
      <c r="A276" s="451" t="str">
        <f t="shared" si="4"/>
        <v>0_0</v>
      </c>
    </row>
    <row r="277" spans="1:1">
      <c r="A277" s="451" t="str">
        <f t="shared" si="4"/>
        <v>0_0</v>
      </c>
    </row>
    <row r="278" spans="1:1">
      <c r="A278" s="451" t="str">
        <f t="shared" si="4"/>
        <v>0_0</v>
      </c>
    </row>
    <row r="279" spans="1:1">
      <c r="A279" s="451" t="str">
        <f t="shared" si="4"/>
        <v>0_0</v>
      </c>
    </row>
    <row r="280" spans="1:1">
      <c r="A280" s="451" t="str">
        <f t="shared" si="4"/>
        <v>0_0</v>
      </c>
    </row>
    <row r="281" spans="1:1">
      <c r="A281" s="451" t="str">
        <f t="shared" si="4"/>
        <v>0_0</v>
      </c>
    </row>
    <row r="282" spans="1:1">
      <c r="A282" s="451" t="str">
        <f t="shared" si="4"/>
        <v>0_0</v>
      </c>
    </row>
    <row r="283" spans="1:1">
      <c r="A283" s="451" t="str">
        <f t="shared" si="4"/>
        <v>0_0</v>
      </c>
    </row>
    <row r="284" spans="1:1">
      <c r="A284" s="451" t="str">
        <f t="shared" si="4"/>
        <v>0_0</v>
      </c>
    </row>
    <row r="285" spans="1:1">
      <c r="A285" s="451" t="str">
        <f t="shared" si="4"/>
        <v>0_0</v>
      </c>
    </row>
    <row r="286" spans="1:1">
      <c r="A286" s="451" t="str">
        <f t="shared" si="4"/>
        <v>0_0</v>
      </c>
    </row>
    <row r="287" spans="1:1">
      <c r="A287" s="451" t="str">
        <f t="shared" si="4"/>
        <v>0_0</v>
      </c>
    </row>
    <row r="288" spans="1:1">
      <c r="A288" s="451" t="str">
        <f t="shared" si="4"/>
        <v>0_0</v>
      </c>
    </row>
    <row r="289" spans="1:1">
      <c r="A289" s="451" t="str">
        <f t="shared" si="4"/>
        <v>0_0</v>
      </c>
    </row>
    <row r="290" spans="1:1">
      <c r="A290" s="451" t="str">
        <f t="shared" si="4"/>
        <v>0_0</v>
      </c>
    </row>
    <row r="291" spans="1:1">
      <c r="A291" s="451" t="str">
        <f t="shared" si="4"/>
        <v>0_0</v>
      </c>
    </row>
    <row r="292" spans="1:1">
      <c r="A292" s="451" t="str">
        <f t="shared" si="4"/>
        <v>0_0</v>
      </c>
    </row>
    <row r="293" spans="1:1">
      <c r="A293" s="451" t="str">
        <f t="shared" si="4"/>
        <v>0_0</v>
      </c>
    </row>
    <row r="294" spans="1:1">
      <c r="A294" s="451" t="str">
        <f t="shared" si="4"/>
        <v>0_0</v>
      </c>
    </row>
    <row r="295" spans="1:1">
      <c r="A295" s="451" t="str">
        <f t="shared" si="4"/>
        <v>0_0</v>
      </c>
    </row>
    <row r="296" spans="1:1">
      <c r="A296" s="451" t="str">
        <f t="shared" si="4"/>
        <v>0_0</v>
      </c>
    </row>
    <row r="297" spans="1:1">
      <c r="A297" s="451" t="str">
        <f t="shared" si="4"/>
        <v>0_0</v>
      </c>
    </row>
    <row r="298" spans="1:1">
      <c r="A298" s="451" t="str">
        <f t="shared" si="4"/>
        <v>0_0</v>
      </c>
    </row>
    <row r="299" spans="1:1">
      <c r="A299" s="451" t="str">
        <f t="shared" si="4"/>
        <v>0_0</v>
      </c>
    </row>
    <row r="300" spans="1:1">
      <c r="A300" s="451" t="str">
        <f t="shared" si="4"/>
        <v>0_0</v>
      </c>
    </row>
    <row r="301" spans="1:1">
      <c r="A301" s="451" t="str">
        <f t="shared" si="4"/>
        <v>0_0</v>
      </c>
    </row>
    <row r="302" spans="1:1">
      <c r="A302" s="451" t="str">
        <f t="shared" si="4"/>
        <v>0_0</v>
      </c>
    </row>
    <row r="303" spans="1:1">
      <c r="A303" s="451" t="str">
        <f t="shared" si="4"/>
        <v>0_0</v>
      </c>
    </row>
    <row r="304" spans="1:1">
      <c r="A304" s="451" t="str">
        <f t="shared" si="4"/>
        <v>0_0</v>
      </c>
    </row>
    <row r="305" spans="1:1">
      <c r="A305" s="451" t="str">
        <f t="shared" si="4"/>
        <v>0_0</v>
      </c>
    </row>
    <row r="306" spans="1:1">
      <c r="A306" s="451" t="str">
        <f t="shared" si="4"/>
        <v>0_0</v>
      </c>
    </row>
    <row r="307" spans="1:1">
      <c r="A307" s="451" t="str">
        <f t="shared" si="4"/>
        <v>0_0</v>
      </c>
    </row>
    <row r="308" spans="1:1">
      <c r="A308" s="451" t="str">
        <f t="shared" si="4"/>
        <v>0_0</v>
      </c>
    </row>
    <row r="309" spans="1:1">
      <c r="A309" s="451" t="str">
        <f t="shared" si="4"/>
        <v>0_0</v>
      </c>
    </row>
    <row r="310" spans="1:1">
      <c r="A310" s="451" t="str">
        <f t="shared" si="4"/>
        <v>0_0</v>
      </c>
    </row>
    <row r="311" spans="1:1">
      <c r="A311" s="451" t="str">
        <f t="shared" si="4"/>
        <v>0_0</v>
      </c>
    </row>
    <row r="312" spans="1:1">
      <c r="A312" s="451" t="str">
        <f t="shared" si="4"/>
        <v>0_0</v>
      </c>
    </row>
    <row r="313" spans="1:1">
      <c r="A313" s="451" t="str">
        <f t="shared" si="4"/>
        <v>0_0</v>
      </c>
    </row>
    <row r="314" spans="1:1">
      <c r="A314" s="451" t="str">
        <f t="shared" si="4"/>
        <v>0_0</v>
      </c>
    </row>
    <row r="315" spans="1:1">
      <c r="A315" s="451" t="str">
        <f t="shared" si="4"/>
        <v>0_0</v>
      </c>
    </row>
    <row r="316" spans="1:1">
      <c r="A316" s="451" t="str">
        <f t="shared" si="4"/>
        <v>0_0</v>
      </c>
    </row>
    <row r="317" spans="1:1">
      <c r="A317" s="451" t="str">
        <f t="shared" si="4"/>
        <v>0_0</v>
      </c>
    </row>
    <row r="318" spans="1:1">
      <c r="A318" s="451" t="str">
        <f t="shared" si="4"/>
        <v>0_0</v>
      </c>
    </row>
    <row r="319" spans="1:1">
      <c r="A319" s="451" t="str">
        <f t="shared" si="4"/>
        <v>0_0</v>
      </c>
    </row>
    <row r="320" spans="1:1">
      <c r="A320" s="451" t="str">
        <f t="shared" si="4"/>
        <v>0_0</v>
      </c>
    </row>
    <row r="321" spans="1:1">
      <c r="A321" s="451" t="str">
        <f t="shared" si="4"/>
        <v>0_0</v>
      </c>
    </row>
    <row r="322" spans="1:1">
      <c r="A322" s="451" t="str">
        <f t="shared" si="4"/>
        <v>0_0</v>
      </c>
    </row>
    <row r="323" spans="1:1">
      <c r="A323" s="451" t="str">
        <f t="shared" si="4"/>
        <v>0_0</v>
      </c>
    </row>
    <row r="324" spans="1:1">
      <c r="A324" s="451" t="str">
        <f t="shared" ref="A324:A387" si="5" xml:space="preserve"> IFERROR(+B324*1,B324)&amp;"_"&amp;IFERROR(+D324*1,D324)</f>
        <v>0_0</v>
      </c>
    </row>
    <row r="325" spans="1:1">
      <c r="A325" s="451" t="str">
        <f t="shared" si="5"/>
        <v>0_0</v>
      </c>
    </row>
    <row r="326" spans="1:1">
      <c r="A326" s="451" t="str">
        <f t="shared" si="5"/>
        <v>0_0</v>
      </c>
    </row>
    <row r="327" spans="1:1">
      <c r="A327" s="451" t="str">
        <f t="shared" si="5"/>
        <v>0_0</v>
      </c>
    </row>
    <row r="328" spans="1:1">
      <c r="A328" s="451" t="str">
        <f t="shared" si="5"/>
        <v>0_0</v>
      </c>
    </row>
    <row r="329" spans="1:1">
      <c r="A329" s="451" t="str">
        <f t="shared" si="5"/>
        <v>0_0</v>
      </c>
    </row>
    <row r="330" spans="1:1">
      <c r="A330" s="451" t="str">
        <f t="shared" si="5"/>
        <v>0_0</v>
      </c>
    </row>
    <row r="331" spans="1:1">
      <c r="A331" s="451" t="str">
        <f t="shared" si="5"/>
        <v>0_0</v>
      </c>
    </row>
    <row r="332" spans="1:1">
      <c r="A332" s="451" t="str">
        <f t="shared" si="5"/>
        <v>0_0</v>
      </c>
    </row>
    <row r="333" spans="1:1">
      <c r="A333" s="451" t="str">
        <f t="shared" si="5"/>
        <v>0_0</v>
      </c>
    </row>
    <row r="334" spans="1:1">
      <c r="A334" s="451" t="str">
        <f t="shared" si="5"/>
        <v>0_0</v>
      </c>
    </row>
    <row r="335" spans="1:1">
      <c r="A335" s="451" t="str">
        <f t="shared" si="5"/>
        <v>0_0</v>
      </c>
    </row>
    <row r="336" spans="1:1">
      <c r="A336" s="451" t="str">
        <f t="shared" si="5"/>
        <v>0_0</v>
      </c>
    </row>
    <row r="337" spans="1:1">
      <c r="A337" s="451" t="str">
        <f t="shared" si="5"/>
        <v>0_0</v>
      </c>
    </row>
    <row r="338" spans="1:1">
      <c r="A338" s="451" t="str">
        <f t="shared" si="5"/>
        <v>0_0</v>
      </c>
    </row>
    <row r="339" spans="1:1">
      <c r="A339" s="451" t="str">
        <f t="shared" si="5"/>
        <v>0_0</v>
      </c>
    </row>
    <row r="340" spans="1:1">
      <c r="A340" s="451" t="str">
        <f t="shared" si="5"/>
        <v>0_0</v>
      </c>
    </row>
    <row r="341" spans="1:1">
      <c r="A341" s="451" t="str">
        <f t="shared" si="5"/>
        <v>0_0</v>
      </c>
    </row>
    <row r="342" spans="1:1">
      <c r="A342" s="451" t="str">
        <f t="shared" si="5"/>
        <v>0_0</v>
      </c>
    </row>
    <row r="343" spans="1:1">
      <c r="A343" s="451" t="str">
        <f t="shared" si="5"/>
        <v>0_0</v>
      </c>
    </row>
    <row r="344" spans="1:1">
      <c r="A344" s="451" t="str">
        <f t="shared" si="5"/>
        <v>0_0</v>
      </c>
    </row>
    <row r="345" spans="1:1">
      <c r="A345" s="451" t="str">
        <f t="shared" si="5"/>
        <v>0_0</v>
      </c>
    </row>
    <row r="346" spans="1:1">
      <c r="A346" s="451" t="str">
        <f t="shared" si="5"/>
        <v>0_0</v>
      </c>
    </row>
    <row r="347" spans="1:1">
      <c r="A347" s="451" t="str">
        <f t="shared" si="5"/>
        <v>0_0</v>
      </c>
    </row>
    <row r="348" spans="1:1">
      <c r="A348" s="451" t="str">
        <f t="shared" si="5"/>
        <v>0_0</v>
      </c>
    </row>
    <row r="349" spans="1:1">
      <c r="A349" s="451" t="str">
        <f t="shared" si="5"/>
        <v>0_0</v>
      </c>
    </row>
    <row r="350" spans="1:1">
      <c r="A350" s="451" t="str">
        <f t="shared" si="5"/>
        <v>0_0</v>
      </c>
    </row>
    <row r="351" spans="1:1">
      <c r="A351" s="451" t="str">
        <f t="shared" si="5"/>
        <v>0_0</v>
      </c>
    </row>
    <row r="352" spans="1:1">
      <c r="A352" s="451" t="str">
        <f t="shared" si="5"/>
        <v>0_0</v>
      </c>
    </row>
    <row r="353" spans="1:1">
      <c r="A353" s="451" t="str">
        <f t="shared" si="5"/>
        <v>0_0</v>
      </c>
    </row>
    <row r="354" spans="1:1">
      <c r="A354" s="451" t="str">
        <f t="shared" si="5"/>
        <v>0_0</v>
      </c>
    </row>
    <row r="355" spans="1:1">
      <c r="A355" s="451" t="str">
        <f t="shared" si="5"/>
        <v>0_0</v>
      </c>
    </row>
    <row r="356" spans="1:1">
      <c r="A356" s="451" t="str">
        <f t="shared" si="5"/>
        <v>0_0</v>
      </c>
    </row>
    <row r="357" spans="1:1">
      <c r="A357" s="451" t="str">
        <f t="shared" si="5"/>
        <v>0_0</v>
      </c>
    </row>
    <row r="358" spans="1:1">
      <c r="A358" s="451" t="str">
        <f t="shared" si="5"/>
        <v>0_0</v>
      </c>
    </row>
    <row r="359" spans="1:1">
      <c r="A359" s="451" t="str">
        <f t="shared" si="5"/>
        <v>0_0</v>
      </c>
    </row>
    <row r="360" spans="1:1">
      <c r="A360" s="451" t="str">
        <f t="shared" si="5"/>
        <v>0_0</v>
      </c>
    </row>
    <row r="361" spans="1:1">
      <c r="A361" s="451" t="str">
        <f t="shared" si="5"/>
        <v>0_0</v>
      </c>
    </row>
    <row r="362" spans="1:1">
      <c r="A362" s="451" t="str">
        <f t="shared" si="5"/>
        <v>0_0</v>
      </c>
    </row>
    <row r="363" spans="1:1">
      <c r="A363" s="451" t="str">
        <f t="shared" si="5"/>
        <v>0_0</v>
      </c>
    </row>
    <row r="364" spans="1:1">
      <c r="A364" s="451" t="str">
        <f t="shared" si="5"/>
        <v>0_0</v>
      </c>
    </row>
    <row r="365" spans="1:1">
      <c r="A365" s="451" t="str">
        <f t="shared" si="5"/>
        <v>0_0</v>
      </c>
    </row>
    <row r="366" spans="1:1">
      <c r="A366" s="451" t="str">
        <f t="shared" si="5"/>
        <v>0_0</v>
      </c>
    </row>
    <row r="367" spans="1:1">
      <c r="A367" s="451" t="str">
        <f t="shared" si="5"/>
        <v>0_0</v>
      </c>
    </row>
    <row r="368" spans="1:1">
      <c r="A368" s="451" t="str">
        <f t="shared" si="5"/>
        <v>0_0</v>
      </c>
    </row>
    <row r="369" spans="1:1">
      <c r="A369" s="451" t="str">
        <f t="shared" si="5"/>
        <v>0_0</v>
      </c>
    </row>
    <row r="370" spans="1:1">
      <c r="A370" s="451" t="str">
        <f t="shared" si="5"/>
        <v>0_0</v>
      </c>
    </row>
    <row r="371" spans="1:1">
      <c r="A371" s="451" t="str">
        <f t="shared" si="5"/>
        <v>0_0</v>
      </c>
    </row>
    <row r="372" spans="1:1">
      <c r="A372" s="451" t="str">
        <f t="shared" si="5"/>
        <v>0_0</v>
      </c>
    </row>
    <row r="373" spans="1:1">
      <c r="A373" s="451" t="str">
        <f t="shared" si="5"/>
        <v>0_0</v>
      </c>
    </row>
    <row r="374" spans="1:1">
      <c r="A374" s="451" t="str">
        <f t="shared" si="5"/>
        <v>0_0</v>
      </c>
    </row>
    <row r="375" spans="1:1">
      <c r="A375" s="451" t="str">
        <f t="shared" si="5"/>
        <v>0_0</v>
      </c>
    </row>
    <row r="376" spans="1:1">
      <c r="A376" s="451" t="str">
        <f t="shared" si="5"/>
        <v>0_0</v>
      </c>
    </row>
    <row r="377" spans="1:1">
      <c r="A377" s="451" t="str">
        <f t="shared" si="5"/>
        <v>0_0</v>
      </c>
    </row>
    <row r="378" spans="1:1">
      <c r="A378" s="451" t="str">
        <f t="shared" si="5"/>
        <v>0_0</v>
      </c>
    </row>
    <row r="379" spans="1:1">
      <c r="A379" s="451" t="str">
        <f t="shared" si="5"/>
        <v>0_0</v>
      </c>
    </row>
    <row r="380" spans="1:1">
      <c r="A380" s="451" t="str">
        <f t="shared" si="5"/>
        <v>0_0</v>
      </c>
    </row>
    <row r="381" spans="1:1">
      <c r="A381" s="451" t="str">
        <f t="shared" si="5"/>
        <v>0_0</v>
      </c>
    </row>
    <row r="382" spans="1:1">
      <c r="A382" s="451" t="str">
        <f t="shared" si="5"/>
        <v>0_0</v>
      </c>
    </row>
    <row r="383" spans="1:1">
      <c r="A383" s="451" t="str">
        <f t="shared" si="5"/>
        <v>0_0</v>
      </c>
    </row>
    <row r="384" spans="1:1">
      <c r="A384" s="451" t="str">
        <f t="shared" si="5"/>
        <v>0_0</v>
      </c>
    </row>
    <row r="385" spans="1:1">
      <c r="A385" s="451" t="str">
        <f t="shared" si="5"/>
        <v>0_0</v>
      </c>
    </row>
    <row r="386" spans="1:1">
      <c r="A386" s="451" t="str">
        <f t="shared" si="5"/>
        <v>0_0</v>
      </c>
    </row>
    <row r="387" spans="1:1">
      <c r="A387" s="451" t="str">
        <f t="shared" si="5"/>
        <v>0_0</v>
      </c>
    </row>
    <row r="388" spans="1:1">
      <c r="A388" s="451" t="str">
        <f t="shared" ref="A388:A450" si="6" xml:space="preserve"> IFERROR(+B388*1,B388)&amp;"_"&amp;IFERROR(+D388*1,D388)</f>
        <v>0_0</v>
      </c>
    </row>
    <row r="389" spans="1:1">
      <c r="A389" s="451" t="str">
        <f t="shared" si="6"/>
        <v>0_0</v>
      </c>
    </row>
    <row r="390" spans="1:1">
      <c r="A390" s="451" t="str">
        <f t="shared" si="6"/>
        <v>0_0</v>
      </c>
    </row>
    <row r="391" spans="1:1">
      <c r="A391" s="451" t="str">
        <f t="shared" si="6"/>
        <v>0_0</v>
      </c>
    </row>
    <row r="392" spans="1:1">
      <c r="A392" s="451" t="str">
        <f t="shared" si="6"/>
        <v>0_0</v>
      </c>
    </row>
    <row r="393" spans="1:1">
      <c r="A393" s="451" t="str">
        <f t="shared" si="6"/>
        <v>0_0</v>
      </c>
    </row>
    <row r="394" spans="1:1">
      <c r="A394" s="451" t="str">
        <f t="shared" si="6"/>
        <v>0_0</v>
      </c>
    </row>
    <row r="395" spans="1:1">
      <c r="A395" s="451" t="str">
        <f t="shared" si="6"/>
        <v>0_0</v>
      </c>
    </row>
    <row r="396" spans="1:1">
      <c r="A396" s="451" t="str">
        <f t="shared" si="6"/>
        <v>0_0</v>
      </c>
    </row>
    <row r="397" spans="1:1">
      <c r="A397" s="451" t="str">
        <f t="shared" si="6"/>
        <v>0_0</v>
      </c>
    </row>
    <row r="398" spans="1:1">
      <c r="A398" s="451" t="str">
        <f t="shared" si="6"/>
        <v>0_0</v>
      </c>
    </row>
    <row r="399" spans="1:1">
      <c r="A399" s="451" t="str">
        <f t="shared" si="6"/>
        <v>0_0</v>
      </c>
    </row>
    <row r="400" spans="1:1">
      <c r="A400" s="451" t="str">
        <f t="shared" si="6"/>
        <v>0_0</v>
      </c>
    </row>
    <row r="401" spans="1:1">
      <c r="A401" s="451" t="str">
        <f t="shared" si="6"/>
        <v>0_0</v>
      </c>
    </row>
    <row r="402" spans="1:1">
      <c r="A402" s="451" t="str">
        <f t="shared" si="6"/>
        <v>0_0</v>
      </c>
    </row>
    <row r="403" spans="1:1">
      <c r="A403" s="451" t="str">
        <f t="shared" si="6"/>
        <v>0_0</v>
      </c>
    </row>
    <row r="404" spans="1:1">
      <c r="A404" s="451" t="str">
        <f t="shared" si="6"/>
        <v>0_0</v>
      </c>
    </row>
    <row r="405" spans="1:1">
      <c r="A405" s="451" t="str">
        <f t="shared" si="6"/>
        <v>0_0</v>
      </c>
    </row>
    <row r="406" spans="1:1">
      <c r="A406" s="451" t="str">
        <f t="shared" si="6"/>
        <v>0_0</v>
      </c>
    </row>
    <row r="407" spans="1:1">
      <c r="A407" s="451" t="str">
        <f t="shared" si="6"/>
        <v>0_0</v>
      </c>
    </row>
    <row r="408" spans="1:1">
      <c r="A408" s="451" t="str">
        <f t="shared" si="6"/>
        <v>0_0</v>
      </c>
    </row>
    <row r="409" spans="1:1">
      <c r="A409" s="451" t="str">
        <f t="shared" si="6"/>
        <v>0_0</v>
      </c>
    </row>
    <row r="410" spans="1:1">
      <c r="A410" s="451" t="str">
        <f t="shared" si="6"/>
        <v>0_0</v>
      </c>
    </row>
    <row r="411" spans="1:1">
      <c r="A411" s="451" t="str">
        <f t="shared" si="6"/>
        <v>0_0</v>
      </c>
    </row>
    <row r="412" spans="1:1">
      <c r="A412" s="451" t="str">
        <f t="shared" si="6"/>
        <v>0_0</v>
      </c>
    </row>
    <row r="413" spans="1:1">
      <c r="A413" s="451" t="str">
        <f t="shared" si="6"/>
        <v>0_0</v>
      </c>
    </row>
    <row r="414" spans="1:1">
      <c r="A414" s="451" t="str">
        <f t="shared" si="6"/>
        <v>0_0</v>
      </c>
    </row>
    <row r="415" spans="1:1">
      <c r="A415" s="451" t="str">
        <f t="shared" si="6"/>
        <v>0_0</v>
      </c>
    </row>
    <row r="416" spans="1:1">
      <c r="A416" s="451" t="str">
        <f t="shared" si="6"/>
        <v>0_0</v>
      </c>
    </row>
    <row r="417" spans="1:1">
      <c r="A417" s="451" t="str">
        <f t="shared" si="6"/>
        <v>0_0</v>
      </c>
    </row>
    <row r="418" spans="1:1">
      <c r="A418" s="451" t="str">
        <f t="shared" si="6"/>
        <v>0_0</v>
      </c>
    </row>
    <row r="419" spans="1:1">
      <c r="A419" s="451" t="str">
        <f t="shared" si="6"/>
        <v>0_0</v>
      </c>
    </row>
    <row r="420" spans="1:1">
      <c r="A420" s="451" t="str">
        <f t="shared" si="6"/>
        <v>0_0</v>
      </c>
    </row>
    <row r="421" spans="1:1">
      <c r="A421" s="451" t="str">
        <f t="shared" si="6"/>
        <v>0_0</v>
      </c>
    </row>
    <row r="422" spans="1:1">
      <c r="A422" s="451" t="str">
        <f t="shared" si="6"/>
        <v>0_0</v>
      </c>
    </row>
    <row r="423" spans="1:1">
      <c r="A423" s="451" t="str">
        <f t="shared" si="6"/>
        <v>0_0</v>
      </c>
    </row>
    <row r="424" spans="1:1">
      <c r="A424" s="451" t="str">
        <f t="shared" si="6"/>
        <v>0_0</v>
      </c>
    </row>
    <row r="425" spans="1:1">
      <c r="A425" s="451" t="str">
        <f t="shared" si="6"/>
        <v>0_0</v>
      </c>
    </row>
    <row r="426" spans="1:1">
      <c r="A426" s="451" t="str">
        <f t="shared" si="6"/>
        <v>0_0</v>
      </c>
    </row>
    <row r="427" spans="1:1">
      <c r="A427" s="451" t="str">
        <f t="shared" si="6"/>
        <v>0_0</v>
      </c>
    </row>
    <row r="428" spans="1:1">
      <c r="A428" s="451" t="str">
        <f t="shared" si="6"/>
        <v>0_0</v>
      </c>
    </row>
    <row r="429" spans="1:1">
      <c r="A429" s="451" t="str">
        <f t="shared" si="6"/>
        <v>0_0</v>
      </c>
    </row>
    <row r="430" spans="1:1">
      <c r="A430" s="451" t="str">
        <f t="shared" si="6"/>
        <v>0_0</v>
      </c>
    </row>
    <row r="431" spans="1:1">
      <c r="A431" s="451" t="str">
        <f t="shared" si="6"/>
        <v>0_0</v>
      </c>
    </row>
    <row r="432" spans="1:1">
      <c r="A432" s="451" t="str">
        <f t="shared" si="6"/>
        <v>0_0</v>
      </c>
    </row>
    <row r="433" spans="1:1">
      <c r="A433" s="451" t="str">
        <f t="shared" si="6"/>
        <v>0_0</v>
      </c>
    </row>
    <row r="434" spans="1:1">
      <c r="A434" s="451" t="str">
        <f t="shared" si="6"/>
        <v>0_0</v>
      </c>
    </row>
    <row r="435" spans="1:1">
      <c r="A435" s="451" t="str">
        <f t="shared" si="6"/>
        <v>0_0</v>
      </c>
    </row>
    <row r="436" spans="1:1">
      <c r="A436" s="451" t="str">
        <f t="shared" si="6"/>
        <v>0_0</v>
      </c>
    </row>
    <row r="437" spans="1:1">
      <c r="A437" s="451" t="str">
        <f t="shared" si="6"/>
        <v>0_0</v>
      </c>
    </row>
    <row r="438" spans="1:1">
      <c r="A438" s="451" t="str">
        <f t="shared" si="6"/>
        <v>0_0</v>
      </c>
    </row>
    <row r="439" spans="1:1">
      <c r="A439" s="451" t="str">
        <f t="shared" si="6"/>
        <v>0_0</v>
      </c>
    </row>
    <row r="440" spans="1:1">
      <c r="A440" s="451" t="str">
        <f t="shared" si="6"/>
        <v>0_0</v>
      </c>
    </row>
    <row r="441" spans="1:1">
      <c r="A441" s="451" t="str">
        <f t="shared" si="6"/>
        <v>0_0</v>
      </c>
    </row>
    <row r="442" spans="1:1">
      <c r="A442" s="451" t="str">
        <f t="shared" si="6"/>
        <v>0_0</v>
      </c>
    </row>
    <row r="443" spans="1:1">
      <c r="A443" s="451" t="str">
        <f t="shared" si="6"/>
        <v>0_0</v>
      </c>
    </row>
    <row r="444" spans="1:1">
      <c r="A444" s="451" t="str">
        <f t="shared" si="6"/>
        <v>0_0</v>
      </c>
    </row>
    <row r="445" spans="1:1">
      <c r="A445" s="451" t="str">
        <f t="shared" si="6"/>
        <v>0_0</v>
      </c>
    </row>
    <row r="446" spans="1:1">
      <c r="A446" s="451" t="str">
        <f t="shared" si="6"/>
        <v>0_0</v>
      </c>
    </row>
    <row r="447" spans="1:1">
      <c r="A447" s="451" t="str">
        <f t="shared" si="6"/>
        <v>0_0</v>
      </c>
    </row>
    <row r="448" spans="1:1">
      <c r="A448" s="451" t="str">
        <f t="shared" si="6"/>
        <v>0_0</v>
      </c>
    </row>
    <row r="449" spans="1:1">
      <c r="A449" s="451" t="str">
        <f t="shared" si="6"/>
        <v>0_0</v>
      </c>
    </row>
    <row r="450" spans="1:1">
      <c r="A450" s="451" t="str">
        <f t="shared" si="6"/>
        <v>0_0</v>
      </c>
    </row>
    <row r="451" spans="1:1">
      <c r="A451" s="451" t="str">
        <f xml:space="preserve"> IFERROR(+B451*1,B451)&amp;"_"&amp;IFERROR(+D451*1,D451)</f>
        <v>0_0</v>
      </c>
    </row>
    <row r="452" spans="1:1">
      <c r="A452" s="451" t="str">
        <f t="shared" ref="A452:A515" si="7" xml:space="preserve"> IFERROR(+B452*1,B452)&amp;"_"&amp;IFERROR(+D452*1,D452)</f>
        <v>0_0</v>
      </c>
    </row>
    <row r="453" spans="1:1">
      <c r="A453" s="451" t="str">
        <f t="shared" si="7"/>
        <v>0_0</v>
      </c>
    </row>
    <row r="454" spans="1:1">
      <c r="A454" s="451" t="str">
        <f t="shared" si="7"/>
        <v>0_0</v>
      </c>
    </row>
    <row r="455" spans="1:1">
      <c r="A455" s="451" t="str">
        <f t="shared" si="7"/>
        <v>0_0</v>
      </c>
    </row>
    <row r="456" spans="1:1">
      <c r="A456" s="451" t="str">
        <f t="shared" si="7"/>
        <v>0_0</v>
      </c>
    </row>
    <row r="457" spans="1:1">
      <c r="A457" s="451" t="str">
        <f t="shared" si="7"/>
        <v>0_0</v>
      </c>
    </row>
    <row r="458" spans="1:1">
      <c r="A458" s="451" t="str">
        <f t="shared" si="7"/>
        <v>0_0</v>
      </c>
    </row>
    <row r="459" spans="1:1">
      <c r="A459" s="451" t="str">
        <f t="shared" si="7"/>
        <v>0_0</v>
      </c>
    </row>
    <row r="460" spans="1:1">
      <c r="A460" s="451" t="str">
        <f t="shared" si="7"/>
        <v>0_0</v>
      </c>
    </row>
    <row r="461" spans="1:1">
      <c r="A461" s="451" t="str">
        <f t="shared" si="7"/>
        <v>0_0</v>
      </c>
    </row>
    <row r="462" spans="1:1">
      <c r="A462" s="451" t="str">
        <f t="shared" si="7"/>
        <v>0_0</v>
      </c>
    </row>
    <row r="463" spans="1:1">
      <c r="A463" s="451" t="str">
        <f t="shared" si="7"/>
        <v>0_0</v>
      </c>
    </row>
    <row r="464" spans="1:1">
      <c r="A464" s="451" t="str">
        <f t="shared" si="7"/>
        <v>0_0</v>
      </c>
    </row>
    <row r="465" spans="1:1">
      <c r="A465" s="451" t="str">
        <f t="shared" si="7"/>
        <v>0_0</v>
      </c>
    </row>
    <row r="466" spans="1:1">
      <c r="A466" s="451" t="str">
        <f t="shared" si="7"/>
        <v>0_0</v>
      </c>
    </row>
    <row r="467" spans="1:1">
      <c r="A467" s="451" t="str">
        <f t="shared" si="7"/>
        <v>0_0</v>
      </c>
    </row>
    <row r="468" spans="1:1">
      <c r="A468" s="451" t="str">
        <f t="shared" si="7"/>
        <v>0_0</v>
      </c>
    </row>
    <row r="469" spans="1:1">
      <c r="A469" s="451" t="str">
        <f t="shared" si="7"/>
        <v>0_0</v>
      </c>
    </row>
    <row r="470" spans="1:1">
      <c r="A470" s="451" t="str">
        <f t="shared" si="7"/>
        <v>0_0</v>
      </c>
    </row>
    <row r="471" spans="1:1">
      <c r="A471" s="451" t="str">
        <f t="shared" si="7"/>
        <v>0_0</v>
      </c>
    </row>
    <row r="472" spans="1:1">
      <c r="A472" s="451" t="str">
        <f t="shared" si="7"/>
        <v>0_0</v>
      </c>
    </row>
    <row r="473" spans="1:1">
      <c r="A473" s="451" t="str">
        <f t="shared" si="7"/>
        <v>0_0</v>
      </c>
    </row>
    <row r="474" spans="1:1">
      <c r="A474" s="451" t="str">
        <f t="shared" si="7"/>
        <v>0_0</v>
      </c>
    </row>
    <row r="475" spans="1:1">
      <c r="A475" s="451" t="str">
        <f t="shared" si="7"/>
        <v>0_0</v>
      </c>
    </row>
    <row r="476" spans="1:1">
      <c r="A476" s="451" t="str">
        <f t="shared" si="7"/>
        <v>0_0</v>
      </c>
    </row>
    <row r="477" spans="1:1">
      <c r="A477" s="451" t="str">
        <f t="shared" si="7"/>
        <v>0_0</v>
      </c>
    </row>
    <row r="478" spans="1:1">
      <c r="A478" s="451" t="str">
        <f t="shared" si="7"/>
        <v>0_0</v>
      </c>
    </row>
    <row r="479" spans="1:1">
      <c r="A479" s="451" t="str">
        <f t="shared" si="7"/>
        <v>0_0</v>
      </c>
    </row>
    <row r="480" spans="1:1">
      <c r="A480" s="451" t="str">
        <f t="shared" si="7"/>
        <v>0_0</v>
      </c>
    </row>
    <row r="481" spans="1:1">
      <c r="A481" s="451" t="str">
        <f t="shared" si="7"/>
        <v>0_0</v>
      </c>
    </row>
    <row r="482" spans="1:1">
      <c r="A482" s="451" t="str">
        <f t="shared" si="7"/>
        <v>0_0</v>
      </c>
    </row>
    <row r="483" spans="1:1">
      <c r="A483" s="451" t="str">
        <f t="shared" si="7"/>
        <v>0_0</v>
      </c>
    </row>
    <row r="484" spans="1:1">
      <c r="A484" s="451" t="str">
        <f t="shared" si="7"/>
        <v>0_0</v>
      </c>
    </row>
    <row r="485" spans="1:1">
      <c r="A485" s="451" t="str">
        <f t="shared" si="7"/>
        <v>0_0</v>
      </c>
    </row>
    <row r="486" spans="1:1">
      <c r="A486" s="451" t="str">
        <f t="shared" si="7"/>
        <v>0_0</v>
      </c>
    </row>
    <row r="487" spans="1:1">
      <c r="A487" s="451" t="str">
        <f t="shared" si="7"/>
        <v>0_0</v>
      </c>
    </row>
    <row r="488" spans="1:1">
      <c r="A488" s="451" t="str">
        <f t="shared" si="7"/>
        <v>0_0</v>
      </c>
    </row>
    <row r="489" spans="1:1">
      <c r="A489" s="451" t="str">
        <f t="shared" si="7"/>
        <v>0_0</v>
      </c>
    </row>
    <row r="490" spans="1:1">
      <c r="A490" s="451" t="str">
        <f t="shared" si="7"/>
        <v>0_0</v>
      </c>
    </row>
    <row r="491" spans="1:1">
      <c r="A491" s="451" t="str">
        <f t="shared" si="7"/>
        <v>0_0</v>
      </c>
    </row>
    <row r="492" spans="1:1">
      <c r="A492" s="451" t="str">
        <f t="shared" si="7"/>
        <v>0_0</v>
      </c>
    </row>
    <row r="493" spans="1:1">
      <c r="A493" s="451" t="str">
        <f t="shared" si="7"/>
        <v>0_0</v>
      </c>
    </row>
    <row r="494" spans="1:1">
      <c r="A494" s="451" t="str">
        <f t="shared" si="7"/>
        <v>0_0</v>
      </c>
    </row>
    <row r="495" spans="1:1">
      <c r="A495" s="451" t="str">
        <f t="shared" si="7"/>
        <v>0_0</v>
      </c>
    </row>
    <row r="496" spans="1:1">
      <c r="A496" s="451" t="str">
        <f t="shared" si="7"/>
        <v>0_0</v>
      </c>
    </row>
    <row r="497" spans="1:1">
      <c r="A497" s="451" t="str">
        <f t="shared" si="7"/>
        <v>0_0</v>
      </c>
    </row>
    <row r="498" spans="1:1">
      <c r="A498" s="451" t="str">
        <f t="shared" si="7"/>
        <v>0_0</v>
      </c>
    </row>
    <row r="499" spans="1:1">
      <c r="A499" s="451" t="str">
        <f t="shared" si="7"/>
        <v>0_0</v>
      </c>
    </row>
    <row r="500" spans="1:1">
      <c r="A500" s="451" t="str">
        <f t="shared" si="7"/>
        <v>0_0</v>
      </c>
    </row>
    <row r="501" spans="1:1">
      <c r="A501" s="451" t="str">
        <f t="shared" si="7"/>
        <v>0_0</v>
      </c>
    </row>
    <row r="502" spans="1:1">
      <c r="A502" s="451" t="str">
        <f t="shared" si="7"/>
        <v>0_0</v>
      </c>
    </row>
    <row r="503" spans="1:1">
      <c r="A503" s="451" t="str">
        <f t="shared" si="7"/>
        <v>0_0</v>
      </c>
    </row>
    <row r="504" spans="1:1">
      <c r="A504" s="451" t="str">
        <f t="shared" si="7"/>
        <v>0_0</v>
      </c>
    </row>
    <row r="505" spans="1:1">
      <c r="A505" s="451" t="str">
        <f t="shared" si="7"/>
        <v>0_0</v>
      </c>
    </row>
    <row r="506" spans="1:1">
      <c r="A506" s="451" t="str">
        <f t="shared" si="7"/>
        <v>0_0</v>
      </c>
    </row>
    <row r="507" spans="1:1">
      <c r="A507" s="451" t="str">
        <f t="shared" si="7"/>
        <v>0_0</v>
      </c>
    </row>
    <row r="508" spans="1:1">
      <c r="A508" s="451" t="str">
        <f t="shared" si="7"/>
        <v>0_0</v>
      </c>
    </row>
    <row r="509" spans="1:1">
      <c r="A509" s="451" t="str">
        <f t="shared" si="7"/>
        <v>0_0</v>
      </c>
    </row>
    <row r="510" spans="1:1">
      <c r="A510" s="451" t="str">
        <f t="shared" si="7"/>
        <v>0_0</v>
      </c>
    </row>
    <row r="511" spans="1:1">
      <c r="A511" s="451" t="str">
        <f t="shared" si="7"/>
        <v>0_0</v>
      </c>
    </row>
    <row r="512" spans="1:1">
      <c r="A512" s="451" t="str">
        <f t="shared" si="7"/>
        <v>0_0</v>
      </c>
    </row>
    <row r="513" spans="1:1">
      <c r="A513" s="451" t="str">
        <f t="shared" si="7"/>
        <v>0_0</v>
      </c>
    </row>
    <row r="514" spans="1:1">
      <c r="A514" s="451" t="str">
        <f t="shared" si="7"/>
        <v>0_0</v>
      </c>
    </row>
    <row r="515" spans="1:1">
      <c r="A515" s="451" t="str">
        <f t="shared" si="7"/>
        <v>0_0</v>
      </c>
    </row>
    <row r="516" spans="1:1">
      <c r="A516" s="451" t="str">
        <f t="shared" ref="A516:A579" si="8" xml:space="preserve"> IFERROR(+B516*1,B516)&amp;"_"&amp;IFERROR(+D516*1,D516)</f>
        <v>0_0</v>
      </c>
    </row>
    <row r="517" spans="1:1">
      <c r="A517" s="451" t="str">
        <f t="shared" si="8"/>
        <v>0_0</v>
      </c>
    </row>
    <row r="518" spans="1:1">
      <c r="A518" s="451" t="str">
        <f t="shared" si="8"/>
        <v>0_0</v>
      </c>
    </row>
    <row r="519" spans="1:1">
      <c r="A519" s="451" t="str">
        <f t="shared" si="8"/>
        <v>0_0</v>
      </c>
    </row>
    <row r="520" spans="1:1">
      <c r="A520" s="451" t="str">
        <f t="shared" si="8"/>
        <v>0_0</v>
      </c>
    </row>
    <row r="521" spans="1:1">
      <c r="A521" s="451" t="str">
        <f t="shared" si="8"/>
        <v>0_0</v>
      </c>
    </row>
    <row r="522" spans="1:1">
      <c r="A522" s="451" t="str">
        <f t="shared" si="8"/>
        <v>0_0</v>
      </c>
    </row>
    <row r="523" spans="1:1">
      <c r="A523" s="451" t="str">
        <f t="shared" si="8"/>
        <v>0_0</v>
      </c>
    </row>
    <row r="524" spans="1:1">
      <c r="A524" s="451" t="str">
        <f t="shared" si="8"/>
        <v>0_0</v>
      </c>
    </row>
    <row r="525" spans="1:1">
      <c r="A525" s="451" t="str">
        <f t="shared" si="8"/>
        <v>0_0</v>
      </c>
    </row>
    <row r="526" spans="1:1">
      <c r="A526" s="451" t="str">
        <f t="shared" si="8"/>
        <v>0_0</v>
      </c>
    </row>
    <row r="527" spans="1:1">
      <c r="A527" s="451" t="str">
        <f t="shared" si="8"/>
        <v>0_0</v>
      </c>
    </row>
    <row r="528" spans="1:1">
      <c r="A528" s="451" t="str">
        <f t="shared" si="8"/>
        <v>0_0</v>
      </c>
    </row>
    <row r="529" spans="1:1">
      <c r="A529" s="451" t="str">
        <f t="shared" si="8"/>
        <v>0_0</v>
      </c>
    </row>
    <row r="530" spans="1:1">
      <c r="A530" s="451" t="str">
        <f t="shared" si="8"/>
        <v>0_0</v>
      </c>
    </row>
    <row r="531" spans="1:1">
      <c r="A531" s="451" t="str">
        <f t="shared" si="8"/>
        <v>0_0</v>
      </c>
    </row>
    <row r="532" spans="1:1">
      <c r="A532" s="451" t="str">
        <f t="shared" si="8"/>
        <v>0_0</v>
      </c>
    </row>
    <row r="533" spans="1:1">
      <c r="A533" s="451" t="str">
        <f t="shared" si="8"/>
        <v>0_0</v>
      </c>
    </row>
    <row r="534" spans="1:1">
      <c r="A534" s="451" t="str">
        <f t="shared" si="8"/>
        <v>0_0</v>
      </c>
    </row>
    <row r="535" spans="1:1">
      <c r="A535" s="451" t="str">
        <f t="shared" si="8"/>
        <v>0_0</v>
      </c>
    </row>
    <row r="536" spans="1:1">
      <c r="A536" s="451" t="str">
        <f t="shared" si="8"/>
        <v>0_0</v>
      </c>
    </row>
    <row r="537" spans="1:1">
      <c r="A537" s="451" t="str">
        <f t="shared" si="8"/>
        <v>0_0</v>
      </c>
    </row>
    <row r="538" spans="1:1">
      <c r="A538" s="451" t="str">
        <f t="shared" si="8"/>
        <v>0_0</v>
      </c>
    </row>
    <row r="539" spans="1:1">
      <c r="A539" s="451" t="str">
        <f t="shared" si="8"/>
        <v>0_0</v>
      </c>
    </row>
    <row r="540" spans="1:1">
      <c r="A540" s="451" t="str">
        <f t="shared" si="8"/>
        <v>0_0</v>
      </c>
    </row>
    <row r="541" spans="1:1">
      <c r="A541" s="451" t="str">
        <f t="shared" si="8"/>
        <v>0_0</v>
      </c>
    </row>
    <row r="542" spans="1:1">
      <c r="A542" s="451" t="str">
        <f t="shared" si="8"/>
        <v>0_0</v>
      </c>
    </row>
    <row r="543" spans="1:1">
      <c r="A543" s="451" t="str">
        <f t="shared" si="8"/>
        <v>0_0</v>
      </c>
    </row>
    <row r="544" spans="1:1">
      <c r="A544" s="451" t="str">
        <f t="shared" si="8"/>
        <v>0_0</v>
      </c>
    </row>
    <row r="545" spans="1:1">
      <c r="A545" s="451" t="str">
        <f t="shared" si="8"/>
        <v>0_0</v>
      </c>
    </row>
    <row r="546" spans="1:1">
      <c r="A546" s="451" t="str">
        <f t="shared" si="8"/>
        <v>0_0</v>
      </c>
    </row>
    <row r="547" spans="1:1">
      <c r="A547" s="451" t="str">
        <f t="shared" si="8"/>
        <v>0_0</v>
      </c>
    </row>
    <row r="548" spans="1:1">
      <c r="A548" s="451" t="str">
        <f t="shared" si="8"/>
        <v>0_0</v>
      </c>
    </row>
    <row r="549" spans="1:1">
      <c r="A549" s="451" t="str">
        <f t="shared" si="8"/>
        <v>0_0</v>
      </c>
    </row>
    <row r="550" spans="1:1">
      <c r="A550" s="451" t="str">
        <f t="shared" si="8"/>
        <v>0_0</v>
      </c>
    </row>
    <row r="551" spans="1:1">
      <c r="A551" s="451" t="str">
        <f t="shared" si="8"/>
        <v>0_0</v>
      </c>
    </row>
    <row r="552" spans="1:1">
      <c r="A552" s="451" t="str">
        <f t="shared" si="8"/>
        <v>0_0</v>
      </c>
    </row>
    <row r="553" spans="1:1">
      <c r="A553" s="451" t="str">
        <f t="shared" si="8"/>
        <v>0_0</v>
      </c>
    </row>
    <row r="554" spans="1:1">
      <c r="A554" s="451" t="str">
        <f t="shared" si="8"/>
        <v>0_0</v>
      </c>
    </row>
    <row r="555" spans="1:1">
      <c r="A555" s="451" t="str">
        <f t="shared" si="8"/>
        <v>0_0</v>
      </c>
    </row>
    <row r="556" spans="1:1">
      <c r="A556" s="451" t="str">
        <f t="shared" si="8"/>
        <v>0_0</v>
      </c>
    </row>
    <row r="557" spans="1:1">
      <c r="A557" s="451" t="str">
        <f t="shared" si="8"/>
        <v>0_0</v>
      </c>
    </row>
    <row r="558" spans="1:1">
      <c r="A558" s="451" t="str">
        <f t="shared" si="8"/>
        <v>0_0</v>
      </c>
    </row>
    <row r="559" spans="1:1">
      <c r="A559" s="451" t="str">
        <f t="shared" si="8"/>
        <v>0_0</v>
      </c>
    </row>
    <row r="560" spans="1:1">
      <c r="A560" s="451" t="str">
        <f t="shared" si="8"/>
        <v>0_0</v>
      </c>
    </row>
    <row r="561" spans="1:1">
      <c r="A561" s="451" t="str">
        <f t="shared" si="8"/>
        <v>0_0</v>
      </c>
    </row>
    <row r="562" spans="1:1">
      <c r="A562" s="451" t="str">
        <f t="shared" si="8"/>
        <v>0_0</v>
      </c>
    </row>
    <row r="563" spans="1:1">
      <c r="A563" s="451" t="str">
        <f t="shared" si="8"/>
        <v>0_0</v>
      </c>
    </row>
    <row r="564" spans="1:1">
      <c r="A564" s="451" t="str">
        <f t="shared" si="8"/>
        <v>0_0</v>
      </c>
    </row>
    <row r="565" spans="1:1">
      <c r="A565" s="451" t="str">
        <f t="shared" si="8"/>
        <v>0_0</v>
      </c>
    </row>
    <row r="566" spans="1:1">
      <c r="A566" s="451" t="str">
        <f t="shared" si="8"/>
        <v>0_0</v>
      </c>
    </row>
    <row r="567" spans="1:1">
      <c r="A567" s="451" t="str">
        <f t="shared" si="8"/>
        <v>0_0</v>
      </c>
    </row>
    <row r="568" spans="1:1">
      <c r="A568" s="451" t="str">
        <f t="shared" si="8"/>
        <v>0_0</v>
      </c>
    </row>
    <row r="569" spans="1:1">
      <c r="A569" s="451" t="str">
        <f t="shared" si="8"/>
        <v>0_0</v>
      </c>
    </row>
    <row r="570" spans="1:1">
      <c r="A570" s="451" t="str">
        <f t="shared" si="8"/>
        <v>0_0</v>
      </c>
    </row>
    <row r="571" spans="1:1">
      <c r="A571" s="451" t="str">
        <f t="shared" si="8"/>
        <v>0_0</v>
      </c>
    </row>
    <row r="572" spans="1:1">
      <c r="A572" s="451" t="str">
        <f t="shared" si="8"/>
        <v>0_0</v>
      </c>
    </row>
    <row r="573" spans="1:1">
      <c r="A573" s="451" t="str">
        <f t="shared" si="8"/>
        <v>0_0</v>
      </c>
    </row>
    <row r="574" spans="1:1">
      <c r="A574" s="451" t="str">
        <f t="shared" si="8"/>
        <v>0_0</v>
      </c>
    </row>
    <row r="575" spans="1:1">
      <c r="A575" s="451" t="str">
        <f t="shared" si="8"/>
        <v>0_0</v>
      </c>
    </row>
    <row r="576" spans="1:1">
      <c r="A576" s="451" t="str">
        <f t="shared" si="8"/>
        <v>0_0</v>
      </c>
    </row>
    <row r="577" spans="1:1">
      <c r="A577" s="451" t="str">
        <f t="shared" si="8"/>
        <v>0_0</v>
      </c>
    </row>
    <row r="578" spans="1:1">
      <c r="A578" s="451" t="str">
        <f t="shared" si="8"/>
        <v>0_0</v>
      </c>
    </row>
    <row r="579" spans="1:1">
      <c r="A579" s="451" t="str">
        <f t="shared" si="8"/>
        <v>0_0</v>
      </c>
    </row>
    <row r="580" spans="1:1">
      <c r="A580" s="451" t="str">
        <f t="shared" ref="A580:A643" si="9" xml:space="preserve"> IFERROR(+B580*1,B580)&amp;"_"&amp;IFERROR(+D580*1,D580)</f>
        <v>0_0</v>
      </c>
    </row>
    <row r="581" spans="1:1">
      <c r="A581" s="451" t="str">
        <f t="shared" si="9"/>
        <v>0_0</v>
      </c>
    </row>
    <row r="582" spans="1:1">
      <c r="A582" s="451" t="str">
        <f t="shared" si="9"/>
        <v>0_0</v>
      </c>
    </row>
    <row r="583" spans="1:1">
      <c r="A583" s="451" t="str">
        <f t="shared" si="9"/>
        <v>0_0</v>
      </c>
    </row>
    <row r="584" spans="1:1">
      <c r="A584" s="451" t="str">
        <f t="shared" si="9"/>
        <v>0_0</v>
      </c>
    </row>
    <row r="585" spans="1:1">
      <c r="A585" s="451" t="str">
        <f t="shared" si="9"/>
        <v>0_0</v>
      </c>
    </row>
    <row r="586" spans="1:1">
      <c r="A586" s="451" t="str">
        <f t="shared" si="9"/>
        <v>0_0</v>
      </c>
    </row>
    <row r="587" spans="1:1">
      <c r="A587" s="451" t="str">
        <f t="shared" si="9"/>
        <v>0_0</v>
      </c>
    </row>
    <row r="588" spans="1:1">
      <c r="A588" s="451" t="str">
        <f t="shared" si="9"/>
        <v>0_0</v>
      </c>
    </row>
    <row r="589" spans="1:1">
      <c r="A589" s="451" t="str">
        <f t="shared" si="9"/>
        <v>0_0</v>
      </c>
    </row>
    <row r="590" spans="1:1">
      <c r="A590" s="451" t="str">
        <f t="shared" si="9"/>
        <v>0_0</v>
      </c>
    </row>
    <row r="591" spans="1:1">
      <c r="A591" s="451" t="str">
        <f t="shared" si="9"/>
        <v>0_0</v>
      </c>
    </row>
    <row r="592" spans="1:1">
      <c r="A592" s="451" t="str">
        <f t="shared" si="9"/>
        <v>0_0</v>
      </c>
    </row>
    <row r="593" spans="1:1">
      <c r="A593" s="451" t="str">
        <f t="shared" si="9"/>
        <v>0_0</v>
      </c>
    </row>
    <row r="594" spans="1:1">
      <c r="A594" s="451" t="str">
        <f t="shared" si="9"/>
        <v>0_0</v>
      </c>
    </row>
    <row r="595" spans="1:1">
      <c r="A595" s="451" t="str">
        <f t="shared" si="9"/>
        <v>0_0</v>
      </c>
    </row>
    <row r="596" spans="1:1">
      <c r="A596" s="451" t="str">
        <f t="shared" si="9"/>
        <v>0_0</v>
      </c>
    </row>
    <row r="597" spans="1:1">
      <c r="A597" s="451" t="str">
        <f t="shared" si="9"/>
        <v>0_0</v>
      </c>
    </row>
    <row r="598" spans="1:1">
      <c r="A598" s="451" t="str">
        <f t="shared" si="9"/>
        <v>0_0</v>
      </c>
    </row>
    <row r="599" spans="1:1">
      <c r="A599" s="451" t="str">
        <f t="shared" si="9"/>
        <v>0_0</v>
      </c>
    </row>
    <row r="600" spans="1:1">
      <c r="A600" s="451" t="str">
        <f t="shared" si="9"/>
        <v>0_0</v>
      </c>
    </row>
    <row r="601" spans="1:1">
      <c r="A601" s="451" t="str">
        <f t="shared" si="9"/>
        <v>0_0</v>
      </c>
    </row>
    <row r="602" spans="1:1">
      <c r="A602" s="451" t="str">
        <f t="shared" si="9"/>
        <v>0_0</v>
      </c>
    </row>
    <row r="603" spans="1:1">
      <c r="A603" s="451" t="str">
        <f t="shared" si="9"/>
        <v>0_0</v>
      </c>
    </row>
    <row r="604" spans="1:1">
      <c r="A604" s="451" t="str">
        <f t="shared" si="9"/>
        <v>0_0</v>
      </c>
    </row>
    <row r="605" spans="1:1">
      <c r="A605" s="451" t="str">
        <f t="shared" si="9"/>
        <v>0_0</v>
      </c>
    </row>
    <row r="606" spans="1:1">
      <c r="A606" s="451" t="str">
        <f t="shared" si="9"/>
        <v>0_0</v>
      </c>
    </row>
    <row r="607" spans="1:1">
      <c r="A607" s="451" t="str">
        <f t="shared" si="9"/>
        <v>0_0</v>
      </c>
    </row>
    <row r="608" spans="1:1">
      <c r="A608" s="451" t="str">
        <f t="shared" si="9"/>
        <v>0_0</v>
      </c>
    </row>
    <row r="609" spans="1:1">
      <c r="A609" s="451" t="str">
        <f t="shared" si="9"/>
        <v>0_0</v>
      </c>
    </row>
    <row r="610" spans="1:1">
      <c r="A610" s="451" t="str">
        <f t="shared" si="9"/>
        <v>0_0</v>
      </c>
    </row>
    <row r="611" spans="1:1">
      <c r="A611" s="451" t="str">
        <f t="shared" si="9"/>
        <v>0_0</v>
      </c>
    </row>
    <row r="612" spans="1:1">
      <c r="A612" s="451" t="str">
        <f t="shared" si="9"/>
        <v>0_0</v>
      </c>
    </row>
    <row r="613" spans="1:1">
      <c r="A613" s="451" t="str">
        <f t="shared" si="9"/>
        <v>0_0</v>
      </c>
    </row>
    <row r="614" spans="1:1">
      <c r="A614" s="451" t="str">
        <f t="shared" si="9"/>
        <v>0_0</v>
      </c>
    </row>
    <row r="615" spans="1:1">
      <c r="A615" s="451" t="str">
        <f t="shared" si="9"/>
        <v>0_0</v>
      </c>
    </row>
    <row r="616" spans="1:1">
      <c r="A616" s="451" t="str">
        <f t="shared" si="9"/>
        <v>0_0</v>
      </c>
    </row>
    <row r="617" spans="1:1">
      <c r="A617" s="451" t="str">
        <f t="shared" si="9"/>
        <v>0_0</v>
      </c>
    </row>
    <row r="618" spans="1:1">
      <c r="A618" s="451" t="str">
        <f t="shared" si="9"/>
        <v>0_0</v>
      </c>
    </row>
    <row r="619" spans="1:1">
      <c r="A619" s="451" t="str">
        <f t="shared" si="9"/>
        <v>0_0</v>
      </c>
    </row>
    <row r="620" spans="1:1">
      <c r="A620" s="451" t="str">
        <f t="shared" si="9"/>
        <v>0_0</v>
      </c>
    </row>
    <row r="621" spans="1:1">
      <c r="A621" s="451" t="str">
        <f t="shared" si="9"/>
        <v>0_0</v>
      </c>
    </row>
    <row r="622" spans="1:1">
      <c r="A622" s="451" t="str">
        <f t="shared" si="9"/>
        <v>0_0</v>
      </c>
    </row>
    <row r="623" spans="1:1">
      <c r="A623" s="451" t="str">
        <f t="shared" si="9"/>
        <v>0_0</v>
      </c>
    </row>
    <row r="624" spans="1:1">
      <c r="A624" s="451" t="str">
        <f t="shared" si="9"/>
        <v>0_0</v>
      </c>
    </row>
    <row r="625" spans="1:1">
      <c r="A625" s="451" t="str">
        <f t="shared" si="9"/>
        <v>0_0</v>
      </c>
    </row>
    <row r="626" spans="1:1">
      <c r="A626" s="451" t="str">
        <f t="shared" si="9"/>
        <v>0_0</v>
      </c>
    </row>
    <row r="627" spans="1:1">
      <c r="A627" s="451" t="str">
        <f t="shared" si="9"/>
        <v>0_0</v>
      </c>
    </row>
    <row r="628" spans="1:1">
      <c r="A628" s="451" t="str">
        <f t="shared" si="9"/>
        <v>0_0</v>
      </c>
    </row>
    <row r="629" spans="1:1">
      <c r="A629" s="451" t="str">
        <f t="shared" si="9"/>
        <v>0_0</v>
      </c>
    </row>
    <row r="630" spans="1:1">
      <c r="A630" s="451" t="str">
        <f t="shared" si="9"/>
        <v>0_0</v>
      </c>
    </row>
    <row r="631" spans="1:1">
      <c r="A631" s="451" t="str">
        <f t="shared" si="9"/>
        <v>0_0</v>
      </c>
    </row>
    <row r="632" spans="1:1">
      <c r="A632" s="451" t="str">
        <f t="shared" si="9"/>
        <v>0_0</v>
      </c>
    </row>
    <row r="633" spans="1:1">
      <c r="A633" s="451" t="str">
        <f t="shared" si="9"/>
        <v>0_0</v>
      </c>
    </row>
    <row r="634" spans="1:1">
      <c r="A634" s="451" t="str">
        <f t="shared" si="9"/>
        <v>0_0</v>
      </c>
    </row>
    <row r="635" spans="1:1">
      <c r="A635" s="451" t="str">
        <f t="shared" si="9"/>
        <v>0_0</v>
      </c>
    </row>
    <row r="636" spans="1:1">
      <c r="A636" s="451" t="str">
        <f t="shared" si="9"/>
        <v>0_0</v>
      </c>
    </row>
    <row r="637" spans="1:1">
      <c r="A637" s="451" t="str">
        <f t="shared" si="9"/>
        <v>0_0</v>
      </c>
    </row>
    <row r="638" spans="1:1">
      <c r="A638" s="451" t="str">
        <f t="shared" si="9"/>
        <v>0_0</v>
      </c>
    </row>
    <row r="639" spans="1:1">
      <c r="A639" s="451" t="str">
        <f t="shared" si="9"/>
        <v>0_0</v>
      </c>
    </row>
    <row r="640" spans="1:1">
      <c r="A640" s="451" t="str">
        <f t="shared" si="9"/>
        <v>0_0</v>
      </c>
    </row>
    <row r="641" spans="1:1">
      <c r="A641" s="451" t="str">
        <f t="shared" si="9"/>
        <v>0_0</v>
      </c>
    </row>
    <row r="642" spans="1:1">
      <c r="A642" s="451" t="str">
        <f t="shared" si="9"/>
        <v>0_0</v>
      </c>
    </row>
    <row r="643" spans="1:1">
      <c r="A643" s="451" t="str">
        <f t="shared" si="9"/>
        <v>0_0</v>
      </c>
    </row>
    <row r="644" spans="1:1">
      <c r="A644" s="451" t="str">
        <f t="shared" ref="A644:A707" si="10" xml:space="preserve"> IFERROR(+B644*1,B644)&amp;"_"&amp;IFERROR(+D644*1,D644)</f>
        <v>0_0</v>
      </c>
    </row>
    <row r="645" spans="1:1">
      <c r="A645" s="451" t="str">
        <f t="shared" si="10"/>
        <v>0_0</v>
      </c>
    </row>
    <row r="646" spans="1:1">
      <c r="A646" s="451" t="str">
        <f t="shared" si="10"/>
        <v>0_0</v>
      </c>
    </row>
    <row r="647" spans="1:1">
      <c r="A647" s="451" t="str">
        <f t="shared" si="10"/>
        <v>0_0</v>
      </c>
    </row>
    <row r="648" spans="1:1">
      <c r="A648" s="451" t="str">
        <f t="shared" si="10"/>
        <v>0_0</v>
      </c>
    </row>
    <row r="649" spans="1:1">
      <c r="A649" s="451" t="str">
        <f t="shared" si="10"/>
        <v>0_0</v>
      </c>
    </row>
    <row r="650" spans="1:1">
      <c r="A650" s="451" t="str">
        <f t="shared" si="10"/>
        <v>0_0</v>
      </c>
    </row>
    <row r="651" spans="1:1">
      <c r="A651" s="451" t="str">
        <f t="shared" si="10"/>
        <v>0_0</v>
      </c>
    </row>
    <row r="652" spans="1:1">
      <c r="A652" s="451" t="str">
        <f t="shared" si="10"/>
        <v>0_0</v>
      </c>
    </row>
    <row r="653" spans="1:1">
      <c r="A653" s="451" t="str">
        <f t="shared" si="10"/>
        <v>0_0</v>
      </c>
    </row>
    <row r="654" spans="1:1">
      <c r="A654" s="451" t="str">
        <f t="shared" si="10"/>
        <v>0_0</v>
      </c>
    </row>
    <row r="655" spans="1:1">
      <c r="A655" s="451" t="str">
        <f t="shared" si="10"/>
        <v>0_0</v>
      </c>
    </row>
    <row r="656" spans="1:1">
      <c r="A656" s="451" t="str">
        <f t="shared" si="10"/>
        <v>0_0</v>
      </c>
    </row>
    <row r="657" spans="1:1">
      <c r="A657" s="451" t="str">
        <f t="shared" si="10"/>
        <v>0_0</v>
      </c>
    </row>
    <row r="658" spans="1:1">
      <c r="A658" s="451" t="str">
        <f t="shared" si="10"/>
        <v>0_0</v>
      </c>
    </row>
    <row r="659" spans="1:1">
      <c r="A659" s="451" t="str">
        <f t="shared" si="10"/>
        <v>0_0</v>
      </c>
    </row>
    <row r="660" spans="1:1">
      <c r="A660" s="451" t="str">
        <f t="shared" si="10"/>
        <v>0_0</v>
      </c>
    </row>
    <row r="661" spans="1:1">
      <c r="A661" s="451" t="str">
        <f t="shared" si="10"/>
        <v>0_0</v>
      </c>
    </row>
    <row r="662" spans="1:1">
      <c r="A662" s="451" t="str">
        <f t="shared" si="10"/>
        <v>0_0</v>
      </c>
    </row>
    <row r="663" spans="1:1">
      <c r="A663" s="451" t="str">
        <f t="shared" si="10"/>
        <v>0_0</v>
      </c>
    </row>
    <row r="664" spans="1:1">
      <c r="A664" s="451" t="str">
        <f t="shared" si="10"/>
        <v>0_0</v>
      </c>
    </row>
    <row r="665" spans="1:1">
      <c r="A665" s="451" t="str">
        <f t="shared" si="10"/>
        <v>0_0</v>
      </c>
    </row>
    <row r="666" spans="1:1">
      <c r="A666" s="451" t="str">
        <f t="shared" si="10"/>
        <v>0_0</v>
      </c>
    </row>
    <row r="667" spans="1:1">
      <c r="A667" s="451" t="str">
        <f t="shared" si="10"/>
        <v>0_0</v>
      </c>
    </row>
    <row r="668" spans="1:1">
      <c r="A668" s="451" t="str">
        <f t="shared" si="10"/>
        <v>0_0</v>
      </c>
    </row>
    <row r="669" spans="1:1">
      <c r="A669" s="451" t="str">
        <f t="shared" si="10"/>
        <v>0_0</v>
      </c>
    </row>
    <row r="670" spans="1:1">
      <c r="A670" s="451" t="str">
        <f t="shared" si="10"/>
        <v>0_0</v>
      </c>
    </row>
    <row r="671" spans="1:1">
      <c r="A671" s="451" t="str">
        <f t="shared" si="10"/>
        <v>0_0</v>
      </c>
    </row>
    <row r="672" spans="1:1">
      <c r="A672" s="451" t="str">
        <f t="shared" si="10"/>
        <v>0_0</v>
      </c>
    </row>
    <row r="673" spans="1:1">
      <c r="A673" s="451" t="str">
        <f t="shared" si="10"/>
        <v>0_0</v>
      </c>
    </row>
    <row r="674" spans="1:1">
      <c r="A674" s="451" t="str">
        <f t="shared" si="10"/>
        <v>0_0</v>
      </c>
    </row>
    <row r="675" spans="1:1">
      <c r="A675" s="451" t="str">
        <f t="shared" si="10"/>
        <v>0_0</v>
      </c>
    </row>
    <row r="676" spans="1:1">
      <c r="A676" s="451" t="str">
        <f t="shared" si="10"/>
        <v>0_0</v>
      </c>
    </row>
    <row r="677" spans="1:1">
      <c r="A677" s="451" t="str">
        <f t="shared" si="10"/>
        <v>0_0</v>
      </c>
    </row>
    <row r="678" spans="1:1">
      <c r="A678" s="451" t="str">
        <f t="shared" si="10"/>
        <v>0_0</v>
      </c>
    </row>
    <row r="679" spans="1:1">
      <c r="A679" s="451" t="str">
        <f t="shared" si="10"/>
        <v>0_0</v>
      </c>
    </row>
    <row r="680" spans="1:1">
      <c r="A680" s="451" t="str">
        <f t="shared" si="10"/>
        <v>0_0</v>
      </c>
    </row>
    <row r="681" spans="1:1">
      <c r="A681" s="451" t="str">
        <f t="shared" si="10"/>
        <v>0_0</v>
      </c>
    </row>
    <row r="682" spans="1:1">
      <c r="A682" s="451" t="str">
        <f t="shared" si="10"/>
        <v>0_0</v>
      </c>
    </row>
    <row r="683" spans="1:1">
      <c r="A683" s="451" t="str">
        <f t="shared" si="10"/>
        <v>0_0</v>
      </c>
    </row>
    <row r="684" spans="1:1">
      <c r="A684" s="451" t="str">
        <f t="shared" si="10"/>
        <v>0_0</v>
      </c>
    </row>
    <row r="685" spans="1:1">
      <c r="A685" s="451" t="str">
        <f t="shared" si="10"/>
        <v>0_0</v>
      </c>
    </row>
    <row r="686" spans="1:1">
      <c r="A686" s="451" t="str">
        <f t="shared" si="10"/>
        <v>0_0</v>
      </c>
    </row>
    <row r="687" spans="1:1">
      <c r="A687" s="451" t="str">
        <f t="shared" si="10"/>
        <v>0_0</v>
      </c>
    </row>
    <row r="688" spans="1:1">
      <c r="A688" s="451" t="str">
        <f t="shared" si="10"/>
        <v>0_0</v>
      </c>
    </row>
    <row r="689" spans="1:1">
      <c r="A689" s="451" t="str">
        <f t="shared" si="10"/>
        <v>0_0</v>
      </c>
    </row>
    <row r="690" spans="1:1">
      <c r="A690" s="451" t="str">
        <f t="shared" si="10"/>
        <v>0_0</v>
      </c>
    </row>
    <row r="691" spans="1:1">
      <c r="A691" s="451" t="str">
        <f t="shared" si="10"/>
        <v>0_0</v>
      </c>
    </row>
    <row r="692" spans="1:1">
      <c r="A692" s="451" t="str">
        <f t="shared" si="10"/>
        <v>0_0</v>
      </c>
    </row>
    <row r="693" spans="1:1">
      <c r="A693" s="451" t="str">
        <f t="shared" si="10"/>
        <v>0_0</v>
      </c>
    </row>
    <row r="694" spans="1:1">
      <c r="A694" s="451" t="str">
        <f t="shared" si="10"/>
        <v>0_0</v>
      </c>
    </row>
    <row r="695" spans="1:1">
      <c r="A695" s="451" t="str">
        <f t="shared" si="10"/>
        <v>0_0</v>
      </c>
    </row>
    <row r="696" spans="1:1">
      <c r="A696" s="451" t="str">
        <f t="shared" si="10"/>
        <v>0_0</v>
      </c>
    </row>
    <row r="697" spans="1:1">
      <c r="A697" s="451" t="str">
        <f t="shared" si="10"/>
        <v>0_0</v>
      </c>
    </row>
    <row r="698" spans="1:1">
      <c r="A698" s="451" t="str">
        <f t="shared" si="10"/>
        <v>0_0</v>
      </c>
    </row>
    <row r="699" spans="1:1">
      <c r="A699" s="451" t="str">
        <f t="shared" si="10"/>
        <v>0_0</v>
      </c>
    </row>
    <row r="700" spans="1:1">
      <c r="A700" s="451" t="str">
        <f t="shared" si="10"/>
        <v>0_0</v>
      </c>
    </row>
    <row r="701" spans="1:1">
      <c r="A701" s="451" t="str">
        <f t="shared" si="10"/>
        <v>0_0</v>
      </c>
    </row>
    <row r="702" spans="1:1">
      <c r="A702" s="451" t="str">
        <f t="shared" si="10"/>
        <v>0_0</v>
      </c>
    </row>
    <row r="703" spans="1:1">
      <c r="A703" s="451" t="str">
        <f t="shared" si="10"/>
        <v>0_0</v>
      </c>
    </row>
    <row r="704" spans="1:1">
      <c r="A704" s="451" t="str">
        <f t="shared" si="10"/>
        <v>0_0</v>
      </c>
    </row>
    <row r="705" spans="1:1">
      <c r="A705" s="451" t="str">
        <f t="shared" si="10"/>
        <v>0_0</v>
      </c>
    </row>
    <row r="706" spans="1:1">
      <c r="A706" s="451" t="str">
        <f t="shared" si="10"/>
        <v>0_0</v>
      </c>
    </row>
    <row r="707" spans="1:1">
      <c r="A707" s="451" t="str">
        <f t="shared" si="10"/>
        <v>0_0</v>
      </c>
    </row>
    <row r="708" spans="1:1">
      <c r="A708" s="451" t="str">
        <f t="shared" ref="A708:A771" si="11" xml:space="preserve"> IFERROR(+B708*1,B708)&amp;"_"&amp;IFERROR(+D708*1,D708)</f>
        <v>0_0</v>
      </c>
    </row>
    <row r="709" spans="1:1">
      <c r="A709" s="451" t="str">
        <f t="shared" si="11"/>
        <v>0_0</v>
      </c>
    </row>
    <row r="710" spans="1:1">
      <c r="A710" s="451" t="str">
        <f t="shared" si="11"/>
        <v>0_0</v>
      </c>
    </row>
    <row r="711" spans="1:1">
      <c r="A711" s="451" t="str">
        <f t="shared" si="11"/>
        <v>0_0</v>
      </c>
    </row>
    <row r="712" spans="1:1">
      <c r="A712" s="451" t="str">
        <f t="shared" si="11"/>
        <v>0_0</v>
      </c>
    </row>
    <row r="713" spans="1:1">
      <c r="A713" s="451" t="str">
        <f t="shared" si="11"/>
        <v>0_0</v>
      </c>
    </row>
    <row r="714" spans="1:1">
      <c r="A714" s="451" t="str">
        <f t="shared" si="11"/>
        <v>0_0</v>
      </c>
    </row>
    <row r="715" spans="1:1">
      <c r="A715" s="451" t="str">
        <f t="shared" si="11"/>
        <v>0_0</v>
      </c>
    </row>
    <row r="716" spans="1:1">
      <c r="A716" s="451" t="str">
        <f t="shared" si="11"/>
        <v>0_0</v>
      </c>
    </row>
    <row r="717" spans="1:1">
      <c r="A717" s="451" t="str">
        <f t="shared" si="11"/>
        <v>0_0</v>
      </c>
    </row>
    <row r="718" spans="1:1">
      <c r="A718" s="451" t="str">
        <f t="shared" si="11"/>
        <v>0_0</v>
      </c>
    </row>
    <row r="719" spans="1:1">
      <c r="A719" s="451" t="str">
        <f t="shared" si="11"/>
        <v>0_0</v>
      </c>
    </row>
    <row r="720" spans="1:1">
      <c r="A720" s="451" t="str">
        <f t="shared" si="11"/>
        <v>0_0</v>
      </c>
    </row>
    <row r="721" spans="1:1">
      <c r="A721" s="451" t="str">
        <f t="shared" si="11"/>
        <v>0_0</v>
      </c>
    </row>
    <row r="722" spans="1:1">
      <c r="A722" s="451" t="str">
        <f t="shared" si="11"/>
        <v>0_0</v>
      </c>
    </row>
    <row r="723" spans="1:1">
      <c r="A723" s="451" t="str">
        <f t="shared" si="11"/>
        <v>0_0</v>
      </c>
    </row>
    <row r="724" spans="1:1">
      <c r="A724" s="451" t="str">
        <f t="shared" si="11"/>
        <v>0_0</v>
      </c>
    </row>
    <row r="725" spans="1:1">
      <c r="A725" s="451" t="str">
        <f t="shared" si="11"/>
        <v>0_0</v>
      </c>
    </row>
    <row r="726" spans="1:1">
      <c r="A726" s="451" t="str">
        <f t="shared" si="11"/>
        <v>0_0</v>
      </c>
    </row>
    <row r="727" spans="1:1">
      <c r="A727" s="451" t="str">
        <f t="shared" si="11"/>
        <v>0_0</v>
      </c>
    </row>
    <row r="728" spans="1:1">
      <c r="A728" s="451" t="str">
        <f t="shared" si="11"/>
        <v>0_0</v>
      </c>
    </row>
    <row r="729" spans="1:1">
      <c r="A729" s="451" t="str">
        <f t="shared" si="11"/>
        <v>0_0</v>
      </c>
    </row>
    <row r="730" spans="1:1">
      <c r="A730" s="451" t="str">
        <f t="shared" si="11"/>
        <v>0_0</v>
      </c>
    </row>
    <row r="731" spans="1:1">
      <c r="A731" s="451" t="str">
        <f t="shared" si="11"/>
        <v>0_0</v>
      </c>
    </row>
    <row r="732" spans="1:1">
      <c r="A732" s="451" t="str">
        <f t="shared" si="11"/>
        <v>0_0</v>
      </c>
    </row>
    <row r="733" spans="1:1">
      <c r="A733" s="451" t="str">
        <f t="shared" si="11"/>
        <v>0_0</v>
      </c>
    </row>
    <row r="734" spans="1:1">
      <c r="A734" s="451" t="str">
        <f t="shared" si="11"/>
        <v>0_0</v>
      </c>
    </row>
    <row r="735" spans="1:1">
      <c r="A735" s="451" t="str">
        <f t="shared" si="11"/>
        <v>0_0</v>
      </c>
    </row>
    <row r="736" spans="1:1">
      <c r="A736" s="451" t="str">
        <f t="shared" si="11"/>
        <v>0_0</v>
      </c>
    </row>
    <row r="737" spans="1:1">
      <c r="A737" s="451" t="str">
        <f t="shared" si="11"/>
        <v>0_0</v>
      </c>
    </row>
    <row r="738" spans="1:1">
      <c r="A738" s="451" t="str">
        <f t="shared" si="11"/>
        <v>0_0</v>
      </c>
    </row>
    <row r="739" spans="1:1">
      <c r="A739" s="451" t="str">
        <f t="shared" si="11"/>
        <v>0_0</v>
      </c>
    </row>
    <row r="740" spans="1:1">
      <c r="A740" s="451" t="str">
        <f t="shared" si="11"/>
        <v>0_0</v>
      </c>
    </row>
    <row r="741" spans="1:1">
      <c r="A741" s="451" t="str">
        <f t="shared" si="11"/>
        <v>0_0</v>
      </c>
    </row>
    <row r="742" spans="1:1">
      <c r="A742" s="451" t="str">
        <f t="shared" si="11"/>
        <v>0_0</v>
      </c>
    </row>
    <row r="743" spans="1:1">
      <c r="A743" s="451" t="str">
        <f t="shared" si="11"/>
        <v>0_0</v>
      </c>
    </row>
    <row r="744" spans="1:1">
      <c r="A744" s="451" t="str">
        <f t="shared" si="11"/>
        <v>0_0</v>
      </c>
    </row>
    <row r="745" spans="1:1">
      <c r="A745" s="451" t="str">
        <f t="shared" si="11"/>
        <v>0_0</v>
      </c>
    </row>
    <row r="746" spans="1:1">
      <c r="A746" s="451" t="str">
        <f t="shared" si="11"/>
        <v>0_0</v>
      </c>
    </row>
    <row r="747" spans="1:1">
      <c r="A747" s="451" t="str">
        <f t="shared" si="11"/>
        <v>0_0</v>
      </c>
    </row>
    <row r="748" spans="1:1">
      <c r="A748" s="451" t="str">
        <f t="shared" si="11"/>
        <v>0_0</v>
      </c>
    </row>
    <row r="749" spans="1:1">
      <c r="A749" s="451" t="str">
        <f t="shared" si="11"/>
        <v>0_0</v>
      </c>
    </row>
    <row r="750" spans="1:1">
      <c r="A750" s="451" t="str">
        <f t="shared" si="11"/>
        <v>0_0</v>
      </c>
    </row>
    <row r="751" spans="1:1">
      <c r="A751" s="451" t="str">
        <f t="shared" si="11"/>
        <v>0_0</v>
      </c>
    </row>
    <row r="752" spans="1:1">
      <c r="A752" s="451" t="str">
        <f t="shared" si="11"/>
        <v>0_0</v>
      </c>
    </row>
    <row r="753" spans="1:1">
      <c r="A753" s="451" t="str">
        <f t="shared" si="11"/>
        <v>0_0</v>
      </c>
    </row>
    <row r="754" spans="1:1">
      <c r="A754" s="451" t="str">
        <f t="shared" si="11"/>
        <v>0_0</v>
      </c>
    </row>
    <row r="755" spans="1:1">
      <c r="A755" s="451" t="str">
        <f t="shared" si="11"/>
        <v>0_0</v>
      </c>
    </row>
    <row r="756" spans="1:1">
      <c r="A756" s="451" t="str">
        <f t="shared" si="11"/>
        <v>0_0</v>
      </c>
    </row>
    <row r="757" spans="1:1">
      <c r="A757" s="451" t="str">
        <f t="shared" si="11"/>
        <v>0_0</v>
      </c>
    </row>
    <row r="758" spans="1:1">
      <c r="A758" s="451" t="str">
        <f t="shared" si="11"/>
        <v>0_0</v>
      </c>
    </row>
    <row r="759" spans="1:1">
      <c r="A759" s="451" t="str">
        <f t="shared" si="11"/>
        <v>0_0</v>
      </c>
    </row>
    <row r="760" spans="1:1">
      <c r="A760" s="451" t="str">
        <f t="shared" si="11"/>
        <v>0_0</v>
      </c>
    </row>
    <row r="761" spans="1:1">
      <c r="A761" s="451" t="str">
        <f t="shared" si="11"/>
        <v>0_0</v>
      </c>
    </row>
    <row r="762" spans="1:1">
      <c r="A762" s="451" t="str">
        <f t="shared" si="11"/>
        <v>0_0</v>
      </c>
    </row>
    <row r="763" spans="1:1">
      <c r="A763" s="451" t="str">
        <f t="shared" si="11"/>
        <v>0_0</v>
      </c>
    </row>
    <row r="764" spans="1:1">
      <c r="A764" s="451" t="str">
        <f t="shared" si="11"/>
        <v>0_0</v>
      </c>
    </row>
    <row r="765" spans="1:1">
      <c r="A765" s="451" t="str">
        <f t="shared" si="11"/>
        <v>0_0</v>
      </c>
    </row>
    <row r="766" spans="1:1">
      <c r="A766" s="451" t="str">
        <f t="shared" si="11"/>
        <v>0_0</v>
      </c>
    </row>
    <row r="767" spans="1:1">
      <c r="A767" s="451" t="str">
        <f t="shared" si="11"/>
        <v>0_0</v>
      </c>
    </row>
    <row r="768" spans="1:1">
      <c r="A768" s="451" t="str">
        <f t="shared" si="11"/>
        <v>0_0</v>
      </c>
    </row>
    <row r="769" spans="1:1">
      <c r="A769" s="451" t="str">
        <f t="shared" si="11"/>
        <v>0_0</v>
      </c>
    </row>
    <row r="770" spans="1:1">
      <c r="A770" s="451" t="str">
        <f t="shared" si="11"/>
        <v>0_0</v>
      </c>
    </row>
    <row r="771" spans="1:1">
      <c r="A771" s="451" t="str">
        <f t="shared" si="11"/>
        <v>0_0</v>
      </c>
    </row>
    <row r="772" spans="1:1">
      <c r="A772" s="451" t="str">
        <f t="shared" ref="A772:A835" si="12" xml:space="preserve"> IFERROR(+B772*1,B772)&amp;"_"&amp;IFERROR(+D772*1,D772)</f>
        <v>0_0</v>
      </c>
    </row>
    <row r="773" spans="1:1">
      <c r="A773" s="451" t="str">
        <f t="shared" si="12"/>
        <v>0_0</v>
      </c>
    </row>
    <row r="774" spans="1:1">
      <c r="A774" s="451" t="str">
        <f t="shared" si="12"/>
        <v>0_0</v>
      </c>
    </row>
    <row r="775" spans="1:1">
      <c r="A775" s="451" t="str">
        <f t="shared" si="12"/>
        <v>0_0</v>
      </c>
    </row>
    <row r="776" spans="1:1">
      <c r="A776" s="451" t="str">
        <f t="shared" si="12"/>
        <v>0_0</v>
      </c>
    </row>
    <row r="777" spans="1:1">
      <c r="A777" s="451" t="str">
        <f t="shared" si="12"/>
        <v>0_0</v>
      </c>
    </row>
    <row r="778" spans="1:1">
      <c r="A778" s="451" t="str">
        <f t="shared" si="12"/>
        <v>0_0</v>
      </c>
    </row>
    <row r="779" spans="1:1">
      <c r="A779" s="451" t="str">
        <f t="shared" si="12"/>
        <v>0_0</v>
      </c>
    </row>
    <row r="780" spans="1:1">
      <c r="A780" s="451" t="str">
        <f t="shared" si="12"/>
        <v>0_0</v>
      </c>
    </row>
    <row r="781" spans="1:1">
      <c r="A781" s="451" t="str">
        <f t="shared" si="12"/>
        <v>0_0</v>
      </c>
    </row>
    <row r="782" spans="1:1">
      <c r="A782" s="451" t="str">
        <f t="shared" si="12"/>
        <v>0_0</v>
      </c>
    </row>
    <row r="783" spans="1:1">
      <c r="A783" s="451" t="str">
        <f t="shared" si="12"/>
        <v>0_0</v>
      </c>
    </row>
    <row r="784" spans="1:1">
      <c r="A784" s="451" t="str">
        <f t="shared" si="12"/>
        <v>0_0</v>
      </c>
    </row>
    <row r="785" spans="1:1">
      <c r="A785" s="451" t="str">
        <f t="shared" si="12"/>
        <v>0_0</v>
      </c>
    </row>
    <row r="786" spans="1:1">
      <c r="A786" s="451" t="str">
        <f t="shared" si="12"/>
        <v>0_0</v>
      </c>
    </row>
    <row r="787" spans="1:1">
      <c r="A787" s="451" t="str">
        <f t="shared" si="12"/>
        <v>0_0</v>
      </c>
    </row>
    <row r="788" spans="1:1">
      <c r="A788" s="451" t="str">
        <f t="shared" si="12"/>
        <v>0_0</v>
      </c>
    </row>
    <row r="789" spans="1:1">
      <c r="A789" s="451" t="str">
        <f t="shared" si="12"/>
        <v>0_0</v>
      </c>
    </row>
    <row r="790" spans="1:1">
      <c r="A790" s="451" t="str">
        <f t="shared" si="12"/>
        <v>0_0</v>
      </c>
    </row>
    <row r="791" spans="1:1">
      <c r="A791" s="451" t="str">
        <f t="shared" si="12"/>
        <v>0_0</v>
      </c>
    </row>
    <row r="792" spans="1:1">
      <c r="A792" s="451" t="str">
        <f t="shared" si="12"/>
        <v>0_0</v>
      </c>
    </row>
    <row r="793" spans="1:1">
      <c r="A793" s="451" t="str">
        <f t="shared" si="12"/>
        <v>0_0</v>
      </c>
    </row>
    <row r="794" spans="1:1">
      <c r="A794" s="451" t="str">
        <f t="shared" si="12"/>
        <v>0_0</v>
      </c>
    </row>
    <row r="795" spans="1:1">
      <c r="A795" s="451" t="str">
        <f t="shared" si="12"/>
        <v>0_0</v>
      </c>
    </row>
    <row r="796" spans="1:1">
      <c r="A796" s="451" t="str">
        <f t="shared" si="12"/>
        <v>0_0</v>
      </c>
    </row>
    <row r="797" spans="1:1">
      <c r="A797" s="451" t="str">
        <f t="shared" si="12"/>
        <v>0_0</v>
      </c>
    </row>
    <row r="798" spans="1:1">
      <c r="A798" s="451" t="str">
        <f t="shared" si="12"/>
        <v>0_0</v>
      </c>
    </row>
    <row r="799" spans="1:1">
      <c r="A799" s="451" t="str">
        <f t="shared" si="12"/>
        <v>0_0</v>
      </c>
    </row>
    <row r="800" spans="1:1">
      <c r="A800" s="451" t="str">
        <f t="shared" si="12"/>
        <v>0_0</v>
      </c>
    </row>
    <row r="801" spans="1:1">
      <c r="A801" s="451" t="str">
        <f t="shared" si="12"/>
        <v>0_0</v>
      </c>
    </row>
    <row r="802" spans="1:1">
      <c r="A802" s="451" t="str">
        <f t="shared" si="12"/>
        <v>0_0</v>
      </c>
    </row>
    <row r="803" spans="1:1">
      <c r="A803" s="451" t="str">
        <f t="shared" si="12"/>
        <v>0_0</v>
      </c>
    </row>
    <row r="804" spans="1:1">
      <c r="A804" s="451" t="str">
        <f t="shared" si="12"/>
        <v>0_0</v>
      </c>
    </row>
    <row r="805" spans="1:1">
      <c r="A805" s="451" t="str">
        <f t="shared" si="12"/>
        <v>0_0</v>
      </c>
    </row>
    <row r="806" spans="1:1">
      <c r="A806" s="451" t="str">
        <f t="shared" si="12"/>
        <v>0_0</v>
      </c>
    </row>
    <row r="807" spans="1:1">
      <c r="A807" s="451" t="str">
        <f t="shared" si="12"/>
        <v>0_0</v>
      </c>
    </row>
    <row r="808" spans="1:1">
      <c r="A808" s="451" t="str">
        <f t="shared" si="12"/>
        <v>0_0</v>
      </c>
    </row>
    <row r="809" spans="1:1">
      <c r="A809" s="451" t="str">
        <f t="shared" si="12"/>
        <v>0_0</v>
      </c>
    </row>
    <row r="810" spans="1:1">
      <c r="A810" s="451" t="str">
        <f t="shared" si="12"/>
        <v>0_0</v>
      </c>
    </row>
    <row r="811" spans="1:1">
      <c r="A811" s="451" t="str">
        <f t="shared" si="12"/>
        <v>0_0</v>
      </c>
    </row>
    <row r="812" spans="1:1">
      <c r="A812" s="451" t="str">
        <f t="shared" si="12"/>
        <v>0_0</v>
      </c>
    </row>
    <row r="813" spans="1:1">
      <c r="A813" s="451" t="str">
        <f t="shared" si="12"/>
        <v>0_0</v>
      </c>
    </row>
    <row r="814" spans="1:1">
      <c r="A814" s="451" t="str">
        <f t="shared" si="12"/>
        <v>0_0</v>
      </c>
    </row>
    <row r="815" spans="1:1">
      <c r="A815" s="451" t="str">
        <f t="shared" si="12"/>
        <v>0_0</v>
      </c>
    </row>
    <row r="816" spans="1:1">
      <c r="A816" s="451" t="str">
        <f t="shared" si="12"/>
        <v>0_0</v>
      </c>
    </row>
    <row r="817" spans="1:1">
      <c r="A817" s="451" t="str">
        <f t="shared" si="12"/>
        <v>0_0</v>
      </c>
    </row>
    <row r="818" spans="1:1">
      <c r="A818" s="451" t="str">
        <f t="shared" si="12"/>
        <v>0_0</v>
      </c>
    </row>
    <row r="819" spans="1:1">
      <c r="A819" s="451" t="str">
        <f t="shared" si="12"/>
        <v>0_0</v>
      </c>
    </row>
    <row r="820" spans="1:1">
      <c r="A820" s="451" t="str">
        <f t="shared" si="12"/>
        <v>0_0</v>
      </c>
    </row>
    <row r="821" spans="1:1">
      <c r="A821" s="451" t="str">
        <f t="shared" si="12"/>
        <v>0_0</v>
      </c>
    </row>
    <row r="822" spans="1:1">
      <c r="A822" s="451" t="str">
        <f t="shared" si="12"/>
        <v>0_0</v>
      </c>
    </row>
    <row r="823" spans="1:1">
      <c r="A823" s="451" t="str">
        <f t="shared" si="12"/>
        <v>0_0</v>
      </c>
    </row>
    <row r="824" spans="1:1">
      <c r="A824" s="451" t="str">
        <f t="shared" si="12"/>
        <v>0_0</v>
      </c>
    </row>
    <row r="825" spans="1:1">
      <c r="A825" s="451" t="str">
        <f t="shared" si="12"/>
        <v>0_0</v>
      </c>
    </row>
    <row r="826" spans="1:1">
      <c r="A826" s="451" t="str">
        <f t="shared" si="12"/>
        <v>0_0</v>
      </c>
    </row>
    <row r="827" spans="1:1">
      <c r="A827" s="451" t="str">
        <f t="shared" si="12"/>
        <v>0_0</v>
      </c>
    </row>
    <row r="828" spans="1:1">
      <c r="A828" s="451" t="str">
        <f t="shared" si="12"/>
        <v>0_0</v>
      </c>
    </row>
    <row r="829" spans="1:1">
      <c r="A829" s="451" t="str">
        <f t="shared" si="12"/>
        <v>0_0</v>
      </c>
    </row>
    <row r="830" spans="1:1">
      <c r="A830" s="451" t="str">
        <f t="shared" si="12"/>
        <v>0_0</v>
      </c>
    </row>
    <row r="831" spans="1:1">
      <c r="A831" s="451" t="str">
        <f t="shared" si="12"/>
        <v>0_0</v>
      </c>
    </row>
    <row r="832" spans="1:1">
      <c r="A832" s="451" t="str">
        <f t="shared" si="12"/>
        <v>0_0</v>
      </c>
    </row>
    <row r="833" spans="1:1">
      <c r="A833" s="451" t="str">
        <f t="shared" si="12"/>
        <v>0_0</v>
      </c>
    </row>
    <row r="834" spans="1:1">
      <c r="A834" s="451" t="str">
        <f t="shared" si="12"/>
        <v>0_0</v>
      </c>
    </row>
    <row r="835" spans="1:1">
      <c r="A835" s="451" t="str">
        <f t="shared" si="12"/>
        <v>0_0</v>
      </c>
    </row>
    <row r="836" spans="1:1">
      <c r="A836" s="451" t="str">
        <f t="shared" ref="A836:A899" si="13" xml:space="preserve"> IFERROR(+B836*1,B836)&amp;"_"&amp;IFERROR(+D836*1,D836)</f>
        <v>0_0</v>
      </c>
    </row>
    <row r="837" spans="1:1">
      <c r="A837" s="451" t="str">
        <f t="shared" si="13"/>
        <v>0_0</v>
      </c>
    </row>
    <row r="838" spans="1:1">
      <c r="A838" s="451" t="str">
        <f t="shared" si="13"/>
        <v>0_0</v>
      </c>
    </row>
    <row r="839" spans="1:1">
      <c r="A839" s="451" t="str">
        <f t="shared" si="13"/>
        <v>0_0</v>
      </c>
    </row>
    <row r="840" spans="1:1">
      <c r="A840" s="451" t="str">
        <f t="shared" si="13"/>
        <v>0_0</v>
      </c>
    </row>
    <row r="841" spans="1:1">
      <c r="A841" s="451" t="str">
        <f t="shared" si="13"/>
        <v>0_0</v>
      </c>
    </row>
    <row r="842" spans="1:1">
      <c r="A842" s="451" t="str">
        <f t="shared" si="13"/>
        <v>0_0</v>
      </c>
    </row>
    <row r="843" spans="1:1">
      <c r="A843" s="451" t="str">
        <f t="shared" si="13"/>
        <v>0_0</v>
      </c>
    </row>
    <row r="844" spans="1:1">
      <c r="A844" s="451" t="str">
        <f t="shared" si="13"/>
        <v>0_0</v>
      </c>
    </row>
    <row r="845" spans="1:1">
      <c r="A845" s="451" t="str">
        <f t="shared" si="13"/>
        <v>0_0</v>
      </c>
    </row>
    <row r="846" spans="1:1">
      <c r="A846" s="451" t="str">
        <f t="shared" si="13"/>
        <v>0_0</v>
      </c>
    </row>
    <row r="847" spans="1:1">
      <c r="A847" s="451" t="str">
        <f t="shared" si="13"/>
        <v>0_0</v>
      </c>
    </row>
    <row r="848" spans="1:1">
      <c r="A848" s="451" t="str">
        <f t="shared" si="13"/>
        <v>0_0</v>
      </c>
    </row>
    <row r="849" spans="1:1">
      <c r="A849" s="451" t="str">
        <f t="shared" si="13"/>
        <v>0_0</v>
      </c>
    </row>
    <row r="850" spans="1:1">
      <c r="A850" s="451" t="str">
        <f t="shared" si="13"/>
        <v>0_0</v>
      </c>
    </row>
    <row r="851" spans="1:1">
      <c r="A851" s="451" t="str">
        <f t="shared" si="13"/>
        <v>0_0</v>
      </c>
    </row>
    <row r="852" spans="1:1">
      <c r="A852" s="451" t="str">
        <f t="shared" si="13"/>
        <v>0_0</v>
      </c>
    </row>
    <row r="853" spans="1:1">
      <c r="A853" s="451" t="str">
        <f t="shared" si="13"/>
        <v>0_0</v>
      </c>
    </row>
    <row r="854" spans="1:1">
      <c r="A854" s="451" t="str">
        <f t="shared" si="13"/>
        <v>0_0</v>
      </c>
    </row>
    <row r="855" spans="1:1">
      <c r="A855" s="451" t="str">
        <f t="shared" si="13"/>
        <v>0_0</v>
      </c>
    </row>
    <row r="856" spans="1:1">
      <c r="A856" s="451" t="str">
        <f t="shared" si="13"/>
        <v>0_0</v>
      </c>
    </row>
    <row r="857" spans="1:1">
      <c r="A857" s="451" t="str">
        <f t="shared" si="13"/>
        <v>0_0</v>
      </c>
    </row>
    <row r="858" spans="1:1">
      <c r="A858" s="451" t="str">
        <f t="shared" si="13"/>
        <v>0_0</v>
      </c>
    </row>
    <row r="859" spans="1:1">
      <c r="A859" s="451" t="str">
        <f t="shared" si="13"/>
        <v>0_0</v>
      </c>
    </row>
    <row r="860" spans="1:1">
      <c r="A860" s="451" t="str">
        <f t="shared" si="13"/>
        <v>0_0</v>
      </c>
    </row>
    <row r="861" spans="1:1">
      <c r="A861" s="451" t="str">
        <f t="shared" si="13"/>
        <v>0_0</v>
      </c>
    </row>
    <row r="862" spans="1:1">
      <c r="A862" s="451" t="str">
        <f t="shared" si="13"/>
        <v>0_0</v>
      </c>
    </row>
    <row r="863" spans="1:1">
      <c r="A863" s="451" t="str">
        <f t="shared" si="13"/>
        <v>0_0</v>
      </c>
    </row>
    <row r="864" spans="1:1">
      <c r="A864" s="451" t="str">
        <f t="shared" si="13"/>
        <v>0_0</v>
      </c>
    </row>
    <row r="865" spans="1:1">
      <c r="A865" s="451" t="str">
        <f t="shared" si="13"/>
        <v>0_0</v>
      </c>
    </row>
    <row r="866" spans="1:1">
      <c r="A866" s="451" t="str">
        <f t="shared" si="13"/>
        <v>0_0</v>
      </c>
    </row>
    <row r="867" spans="1:1">
      <c r="A867" s="451" t="str">
        <f t="shared" si="13"/>
        <v>0_0</v>
      </c>
    </row>
    <row r="868" spans="1:1">
      <c r="A868" s="451" t="str">
        <f t="shared" si="13"/>
        <v>0_0</v>
      </c>
    </row>
    <row r="869" spans="1:1">
      <c r="A869" s="451" t="str">
        <f t="shared" si="13"/>
        <v>0_0</v>
      </c>
    </row>
    <row r="870" spans="1:1">
      <c r="A870" s="451" t="str">
        <f t="shared" si="13"/>
        <v>0_0</v>
      </c>
    </row>
    <row r="871" spans="1:1">
      <c r="A871" s="451" t="str">
        <f t="shared" si="13"/>
        <v>0_0</v>
      </c>
    </row>
    <row r="872" spans="1:1">
      <c r="A872" s="451" t="str">
        <f t="shared" si="13"/>
        <v>0_0</v>
      </c>
    </row>
    <row r="873" spans="1:1">
      <c r="A873" s="451" t="str">
        <f t="shared" si="13"/>
        <v>0_0</v>
      </c>
    </row>
    <row r="874" spans="1:1">
      <c r="A874" s="451" t="str">
        <f t="shared" si="13"/>
        <v>0_0</v>
      </c>
    </row>
    <row r="875" spans="1:1">
      <c r="A875" s="451" t="str">
        <f t="shared" si="13"/>
        <v>0_0</v>
      </c>
    </row>
    <row r="876" spans="1:1">
      <c r="A876" s="451" t="str">
        <f t="shared" si="13"/>
        <v>0_0</v>
      </c>
    </row>
    <row r="877" spans="1:1">
      <c r="A877" s="451" t="str">
        <f t="shared" si="13"/>
        <v>0_0</v>
      </c>
    </row>
    <row r="878" spans="1:1">
      <c r="A878" s="451" t="str">
        <f t="shared" si="13"/>
        <v>0_0</v>
      </c>
    </row>
    <row r="879" spans="1:1">
      <c r="A879" s="451" t="str">
        <f t="shared" si="13"/>
        <v>0_0</v>
      </c>
    </row>
    <row r="880" spans="1:1">
      <c r="A880" s="451" t="str">
        <f t="shared" si="13"/>
        <v>0_0</v>
      </c>
    </row>
    <row r="881" spans="1:1">
      <c r="A881" s="451" t="str">
        <f t="shared" si="13"/>
        <v>0_0</v>
      </c>
    </row>
    <row r="882" spans="1:1">
      <c r="A882" s="451" t="str">
        <f t="shared" si="13"/>
        <v>0_0</v>
      </c>
    </row>
    <row r="883" spans="1:1">
      <c r="A883" s="451" t="str">
        <f t="shared" si="13"/>
        <v>0_0</v>
      </c>
    </row>
    <row r="884" spans="1:1">
      <c r="A884" s="451" t="str">
        <f t="shared" si="13"/>
        <v>0_0</v>
      </c>
    </row>
    <row r="885" spans="1:1">
      <c r="A885" s="451" t="str">
        <f t="shared" si="13"/>
        <v>0_0</v>
      </c>
    </row>
    <row r="886" spans="1:1">
      <c r="A886" s="451" t="str">
        <f t="shared" si="13"/>
        <v>0_0</v>
      </c>
    </row>
    <row r="887" spans="1:1">
      <c r="A887" s="451" t="str">
        <f t="shared" si="13"/>
        <v>0_0</v>
      </c>
    </row>
    <row r="888" spans="1:1">
      <c r="A888" s="451" t="str">
        <f t="shared" si="13"/>
        <v>0_0</v>
      </c>
    </row>
    <row r="889" spans="1:1">
      <c r="A889" s="451" t="str">
        <f t="shared" si="13"/>
        <v>0_0</v>
      </c>
    </row>
    <row r="890" spans="1:1">
      <c r="A890" s="451" t="str">
        <f t="shared" si="13"/>
        <v>0_0</v>
      </c>
    </row>
    <row r="891" spans="1:1">
      <c r="A891" s="451" t="str">
        <f t="shared" si="13"/>
        <v>0_0</v>
      </c>
    </row>
    <row r="892" spans="1:1">
      <c r="A892" s="451" t="str">
        <f t="shared" si="13"/>
        <v>0_0</v>
      </c>
    </row>
    <row r="893" spans="1:1">
      <c r="A893" s="451" t="str">
        <f t="shared" si="13"/>
        <v>0_0</v>
      </c>
    </row>
    <row r="894" spans="1:1">
      <c r="A894" s="451" t="str">
        <f t="shared" si="13"/>
        <v>0_0</v>
      </c>
    </row>
    <row r="895" spans="1:1">
      <c r="A895" s="451" t="str">
        <f t="shared" si="13"/>
        <v>0_0</v>
      </c>
    </row>
    <row r="896" spans="1:1">
      <c r="A896" s="451" t="str">
        <f t="shared" si="13"/>
        <v>0_0</v>
      </c>
    </row>
    <row r="897" spans="1:1">
      <c r="A897" s="451" t="str">
        <f t="shared" si="13"/>
        <v>0_0</v>
      </c>
    </row>
    <row r="898" spans="1:1">
      <c r="A898" s="451" t="str">
        <f t="shared" si="13"/>
        <v>0_0</v>
      </c>
    </row>
    <row r="899" spans="1:1">
      <c r="A899" s="451" t="str">
        <f t="shared" si="13"/>
        <v>0_0</v>
      </c>
    </row>
    <row r="900" spans="1:1">
      <c r="A900" s="451" t="str">
        <f t="shared" ref="A900" si="14" xml:space="preserve"> IFERROR(+B900*1,B900)&amp;"_"&amp;IFERROR(+D900*1,D900)</f>
        <v>0_0</v>
      </c>
    </row>
  </sheetData>
  <phoneticPr fontId="65" type="noConversion"/>
  <pageMargins left="0.7" right="0.7" top="0.75" bottom="0.75" header="0.3" footer="0.3"/>
  <customProperties>
    <customPr name="_pios_id" r:id="rId1"/>
    <customPr name="CofWorksheetType" r:id="rId2"/>
  </customProperties>
  <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FC518-5659-42CC-BD16-08794201A2CE}">
  <sheetPr>
    <tabColor rgb="FFFF0000"/>
  </sheetPr>
  <dimension ref="A1:AR295"/>
  <sheetViews>
    <sheetView showGridLines="0" zoomScaleNormal="100" workbookViewId="0">
      <pane xSplit="8" ySplit="1" topLeftCell="AM2" activePane="bottomRight" state="frozen"/>
      <selection pane="topRight" activeCell="D14" sqref="D14"/>
      <selection pane="bottomLeft" activeCell="D14" sqref="D14"/>
      <selection pane="bottomRight" activeCell="AQ68" sqref="AQ68"/>
    </sheetView>
  </sheetViews>
  <sheetFormatPr defaultColWidth="9.28515625" defaultRowHeight="12.75" customHeight="1"/>
  <cols>
    <col min="1" max="1" width="6.7109375" style="451" customWidth="1"/>
    <col min="2" max="2" width="9.28515625" style="451" customWidth="1"/>
    <col min="3" max="3" width="13.28515625" style="451" customWidth="1"/>
    <col min="4" max="4" width="14.28515625" style="451" customWidth="1"/>
    <col min="5" max="5" width="8.28515625" style="451" customWidth="1"/>
    <col min="6" max="6" width="10.28515625" style="451" customWidth="1"/>
    <col min="7" max="7" width="19.28515625" style="451" bestFit="1" customWidth="1"/>
    <col min="8" max="8" width="50.7109375" style="451" customWidth="1"/>
    <col min="9" max="9" width="13.7109375" style="451" customWidth="1"/>
    <col min="10" max="10" width="13" style="451" customWidth="1"/>
    <col min="11" max="12" width="13.7109375" style="451" customWidth="1"/>
    <col min="13" max="13" width="23.7109375" style="451" customWidth="1"/>
    <col min="14" max="14" width="24" style="451" bestFit="1" customWidth="1"/>
    <col min="15" max="15" width="11.28515625" style="451" customWidth="1"/>
    <col min="16" max="16" width="13.28515625" style="451" bestFit="1" customWidth="1"/>
    <col min="17" max="17" width="12.7109375" style="451" bestFit="1" customWidth="1"/>
    <col min="18" max="18" width="11" style="451" bestFit="1" customWidth="1"/>
    <col min="19" max="19" width="11.7109375" style="451" bestFit="1" customWidth="1"/>
    <col min="20" max="20" width="10.7109375" style="451" customWidth="1"/>
    <col min="21" max="21" width="12.28515625" style="451" bestFit="1" customWidth="1"/>
    <col min="22" max="22" width="15.28515625" style="451" customWidth="1"/>
    <col min="23" max="24" width="11.28515625" style="451" bestFit="1" customWidth="1"/>
    <col min="25" max="30" width="9.28515625" style="451" bestFit="1" customWidth="1"/>
    <col min="31" max="31" width="13.28515625" style="451" bestFit="1" customWidth="1"/>
    <col min="32" max="32" width="10.28515625" style="451" bestFit="1" customWidth="1"/>
    <col min="33" max="35" width="12.7109375" style="451" bestFit="1" customWidth="1"/>
    <col min="36" max="36" width="12" style="451" bestFit="1" customWidth="1"/>
    <col min="37" max="37" width="15.7109375" style="451" bestFit="1" customWidth="1"/>
    <col min="38" max="39" width="15.7109375" style="451" customWidth="1"/>
    <col min="40" max="40" width="26.28515625" style="451" bestFit="1" customWidth="1"/>
    <col min="41" max="41" width="12" style="451" bestFit="1" customWidth="1"/>
    <col min="42" max="42" width="5" style="451" bestFit="1" customWidth="1"/>
    <col min="43" max="43" width="7.7109375" style="451" bestFit="1" customWidth="1"/>
    <col min="44" max="16384" width="9.28515625" style="451"/>
  </cols>
  <sheetData>
    <row r="1" spans="1:43" ht="12.75" customHeight="1">
      <c r="A1" s="543" t="s">
        <v>1432</v>
      </c>
      <c r="B1" s="543" t="s">
        <v>8</v>
      </c>
      <c r="C1" s="543" t="s">
        <v>1433</v>
      </c>
      <c r="D1" s="543" t="s">
        <v>1434</v>
      </c>
      <c r="E1" s="543" t="s">
        <v>1435</v>
      </c>
      <c r="F1" s="543" t="s">
        <v>1436</v>
      </c>
      <c r="G1" s="543" t="s">
        <v>1437</v>
      </c>
      <c r="H1" s="543" t="s">
        <v>1438</v>
      </c>
      <c r="I1" s="543" t="s">
        <v>1128</v>
      </c>
      <c r="J1" s="543" t="s">
        <v>1439</v>
      </c>
      <c r="K1" s="543" t="s">
        <v>192</v>
      </c>
      <c r="L1" s="543" t="s">
        <v>19</v>
      </c>
      <c r="M1" s="543" t="s">
        <v>1440</v>
      </c>
      <c r="N1" s="543" t="s">
        <v>1441</v>
      </c>
      <c r="O1" s="543" t="s">
        <v>153</v>
      </c>
      <c r="P1" s="543" t="s">
        <v>1442</v>
      </c>
      <c r="Q1" s="543" t="s">
        <v>1419</v>
      </c>
      <c r="R1" s="543" t="s">
        <v>1443</v>
      </c>
      <c r="S1" s="543" t="s">
        <v>1444</v>
      </c>
      <c r="T1" s="543" t="s">
        <v>1445</v>
      </c>
      <c r="U1" s="543" t="s">
        <v>1446</v>
      </c>
      <c r="V1" s="543" t="s">
        <v>322</v>
      </c>
      <c r="W1" s="543" t="s">
        <v>1447</v>
      </c>
      <c r="X1" s="543" t="s">
        <v>1423</v>
      </c>
      <c r="Y1" s="543" t="s">
        <v>1424</v>
      </c>
      <c r="Z1" s="543" t="s">
        <v>1425</v>
      </c>
      <c r="AA1" s="543" t="s">
        <v>333</v>
      </c>
      <c r="AB1" s="543" t="s">
        <v>171</v>
      </c>
      <c r="AC1" s="543" t="s">
        <v>1426</v>
      </c>
      <c r="AD1" s="543" t="s">
        <v>1427</v>
      </c>
      <c r="AE1" s="543" t="s">
        <v>1428</v>
      </c>
      <c r="AF1" s="543" t="s">
        <v>1429</v>
      </c>
      <c r="AG1" s="543" t="s">
        <v>1430</v>
      </c>
      <c r="AH1" s="543" t="s">
        <v>1431</v>
      </c>
      <c r="AI1" s="543" t="s">
        <v>1448</v>
      </c>
      <c r="AJ1" s="543" t="s">
        <v>1449</v>
      </c>
      <c r="AK1" s="543" t="s">
        <v>1450</v>
      </c>
      <c r="AL1" s="543" t="s">
        <v>1451</v>
      </c>
      <c r="AM1" s="543" t="s">
        <v>1452</v>
      </c>
      <c r="AN1" s="543" t="s">
        <v>1453</v>
      </c>
      <c r="AO1" s="543" t="s">
        <v>716</v>
      </c>
      <c r="AP1" s="543" t="s">
        <v>1454</v>
      </c>
      <c r="AQ1" s="543" t="s">
        <v>1455</v>
      </c>
    </row>
    <row r="2" spans="1:43" ht="12.75" customHeight="1">
      <c r="A2" s="451">
        <f>'Input-FX Rates'!$C$4</f>
        <v>242</v>
      </c>
      <c r="B2" s="451" t="str">
        <f>'Input-FX Rates'!$B$4</f>
        <v>ICH Icheon (242)</v>
      </c>
      <c r="C2" s="451">
        <f>'Input-FX Rates'!$C$6</f>
        <v>780</v>
      </c>
      <c r="D2" s="451" t="str">
        <f>'Input-FX Rates'!$B$6</f>
        <v>780 BU Controls</v>
      </c>
      <c r="E2" s="451" t="str">
        <f>'Input-FX Rates'!$C$5</f>
        <v>7821 &amp; 7822</v>
      </c>
      <c r="F2" s="451" t="str">
        <f>'Input-FX Rates'!$B$5</f>
        <v>7821 PL Drivetrain Controls (&amp; Electrification)</v>
      </c>
      <c r="G2" s="451" t="s">
        <v>189</v>
      </c>
      <c r="H2" s="451" t="s">
        <v>195</v>
      </c>
      <c r="I2" s="536">
        <f>'1. Main Issues (GC)'!A7</f>
        <v>92567.501417387495</v>
      </c>
      <c r="J2" s="536">
        <f>'1. Main Issues (GC)'!B7</f>
        <v>92006.318936042138</v>
      </c>
      <c r="K2" s="536">
        <f>'1. Main Issues (GC)'!C7</f>
        <v>55718.001789595619</v>
      </c>
      <c r="L2" s="536">
        <f>'1. Main Issues (GC)'!D7</f>
        <v>100126.74994033898</v>
      </c>
      <c r="M2" s="535"/>
      <c r="N2" s="535"/>
      <c r="O2" s="536">
        <f>'1. Main Issues (GC)'!F7</f>
        <v>87874.142590344825</v>
      </c>
      <c r="P2" s="535"/>
      <c r="Q2" s="535"/>
      <c r="R2" s="535"/>
      <c r="S2" s="535"/>
      <c r="T2" s="535"/>
      <c r="U2" s="535"/>
      <c r="V2" s="535"/>
      <c r="W2" s="535"/>
      <c r="X2" s="535"/>
      <c r="Y2" s="535"/>
      <c r="Z2" s="535"/>
      <c r="AA2" s="535"/>
      <c r="AB2" s="535"/>
      <c r="AC2" s="535"/>
      <c r="AD2" s="535"/>
      <c r="AE2" s="535"/>
      <c r="AF2" s="535"/>
      <c r="AG2" s="535"/>
      <c r="AH2" s="535"/>
      <c r="AI2" s="535"/>
      <c r="AJ2" s="535"/>
      <c r="AK2" s="535"/>
      <c r="AL2" s="535"/>
      <c r="AM2" s="535"/>
      <c r="AN2" s="535"/>
      <c r="AO2" s="535"/>
      <c r="AP2" s="451">
        <v>1</v>
      </c>
      <c r="AQ2" s="451" t="str">
        <f>Settings!$A$1</f>
        <v>V2</v>
      </c>
    </row>
    <row r="3" spans="1:43" ht="12.75" customHeight="1">
      <c r="A3" s="451">
        <f>'Input-FX Rates'!$C$4</f>
        <v>242</v>
      </c>
      <c r="B3" s="451" t="str">
        <f>'Input-FX Rates'!$B$4</f>
        <v>ICH Icheon (242)</v>
      </c>
      <c r="C3" s="451">
        <f>'Input-FX Rates'!$C$6</f>
        <v>780</v>
      </c>
      <c r="D3" s="451" t="str">
        <f>'Input-FX Rates'!$B$6</f>
        <v>780 BU Controls</v>
      </c>
      <c r="E3" s="451" t="str">
        <f>'Input-FX Rates'!$C$5</f>
        <v>7821 &amp; 7822</v>
      </c>
      <c r="F3" s="451" t="str">
        <f>'Input-FX Rates'!$B$5</f>
        <v>7821 PL Drivetrain Controls (&amp; Electrification)</v>
      </c>
      <c r="G3" s="451" t="s">
        <v>189</v>
      </c>
      <c r="H3" s="451" t="s">
        <v>197</v>
      </c>
      <c r="I3" s="536">
        <f>'1. Main Issues (GC)'!A8</f>
        <v>31602.790345459016</v>
      </c>
      <c r="J3" s="536">
        <f>'1. Main Issues (GC)'!B8</f>
        <v>26872.90737622272</v>
      </c>
      <c r="K3" s="536">
        <f>'1. Main Issues (GC)'!C8</f>
        <v>19068.346420385446</v>
      </c>
      <c r="L3" s="536">
        <f>'1. Main Issues (GC)'!D8</f>
        <v>35043.592415576953</v>
      </c>
      <c r="M3" s="535"/>
      <c r="N3" s="535"/>
      <c r="O3" s="536">
        <f>'1. Main Issues (GC)'!F8</f>
        <v>28961.922749655176</v>
      </c>
      <c r="P3" s="535"/>
      <c r="Q3" s="535"/>
      <c r="R3" s="535"/>
      <c r="S3" s="535"/>
      <c r="T3" s="535"/>
      <c r="U3" s="535"/>
      <c r="V3" s="535"/>
      <c r="W3" s="535"/>
      <c r="X3" s="535"/>
      <c r="Y3" s="535"/>
      <c r="Z3" s="535"/>
      <c r="AA3" s="535"/>
      <c r="AB3" s="535"/>
      <c r="AC3" s="535"/>
      <c r="AD3" s="535"/>
      <c r="AE3" s="535"/>
      <c r="AF3" s="535"/>
      <c r="AG3" s="535"/>
      <c r="AH3" s="535"/>
      <c r="AI3" s="535"/>
      <c r="AJ3" s="535"/>
      <c r="AK3" s="535"/>
      <c r="AL3" s="535"/>
      <c r="AM3" s="535"/>
      <c r="AN3" s="535"/>
      <c r="AO3" s="535"/>
      <c r="AP3" s="451">
        <v>2</v>
      </c>
      <c r="AQ3" s="451" t="str">
        <f>Settings!$A$1</f>
        <v>V2</v>
      </c>
    </row>
    <row r="4" spans="1:43" ht="12.75" customHeight="1">
      <c r="A4" s="451">
        <f>'Input-FX Rates'!$C$4</f>
        <v>242</v>
      </c>
      <c r="B4" s="451" t="str">
        <f>'Input-FX Rates'!$B$4</f>
        <v>ICH Icheon (242)</v>
      </c>
      <c r="C4" s="451">
        <f>'Input-FX Rates'!$C$6</f>
        <v>780</v>
      </c>
      <c r="D4" s="451" t="str">
        <f>'Input-FX Rates'!$B$6</f>
        <v>780 BU Controls</v>
      </c>
      <c r="E4" s="451" t="str">
        <f>'Input-FX Rates'!$C$5</f>
        <v>7821 &amp; 7822</v>
      </c>
      <c r="F4" s="451" t="str">
        <f>'Input-FX Rates'!$B$5</f>
        <v>7821 PL Drivetrain Controls (&amp; Electrification)</v>
      </c>
      <c r="G4" s="451" t="s">
        <v>189</v>
      </c>
      <c r="H4" s="451" t="s">
        <v>199</v>
      </c>
      <c r="I4" s="536">
        <f>'1. Main Issues (GC)'!A10</f>
        <v>-11139.511730582208</v>
      </c>
      <c r="J4" s="536">
        <f>'1. Main Issues (GC)'!B10</f>
        <v>-11632.362623024832</v>
      </c>
      <c r="K4" s="536">
        <f>'1. Main Issues (GC)'!C10</f>
        <v>-5518.2167201038783</v>
      </c>
      <c r="L4" s="536">
        <f>'1. Main Issues (GC)'!D10</f>
        <v>-10801.512879565285</v>
      </c>
      <c r="M4" s="535"/>
      <c r="N4" s="535"/>
      <c r="O4" s="536">
        <f>'1. Main Issues (GC)'!F10</f>
        <v>-10089.061388965516</v>
      </c>
      <c r="P4" s="535"/>
      <c r="Q4" s="535"/>
      <c r="R4" s="535"/>
      <c r="S4" s="535"/>
      <c r="T4" s="535"/>
      <c r="U4" s="535"/>
      <c r="V4" s="535"/>
      <c r="W4" s="535"/>
      <c r="X4" s="535"/>
      <c r="Y4" s="535"/>
      <c r="Z4" s="535"/>
      <c r="AA4" s="535"/>
      <c r="AB4" s="535"/>
      <c r="AC4" s="535"/>
      <c r="AD4" s="535"/>
      <c r="AE4" s="535"/>
      <c r="AF4" s="535"/>
      <c r="AG4" s="535"/>
      <c r="AH4" s="535"/>
      <c r="AI4" s="535"/>
      <c r="AJ4" s="535"/>
      <c r="AK4" s="535"/>
      <c r="AL4" s="535"/>
      <c r="AM4" s="535"/>
      <c r="AN4" s="535"/>
      <c r="AO4" s="535"/>
      <c r="AP4" s="451">
        <v>3</v>
      </c>
      <c r="AQ4" s="451" t="str">
        <f>Settings!$A$1</f>
        <v>V2</v>
      </c>
    </row>
    <row r="5" spans="1:43" ht="12.75" customHeight="1">
      <c r="A5" s="451">
        <f>'Input-FX Rates'!$C$4</f>
        <v>242</v>
      </c>
      <c r="B5" s="451" t="str">
        <f>'Input-FX Rates'!$B$4</f>
        <v>ICH Icheon (242)</v>
      </c>
      <c r="C5" s="451">
        <f>'Input-FX Rates'!$C$6</f>
        <v>780</v>
      </c>
      <c r="D5" s="451" t="str">
        <f>'Input-FX Rates'!$B$6</f>
        <v>780 BU Controls</v>
      </c>
      <c r="E5" s="451" t="str">
        <f>'Input-FX Rates'!$C$5</f>
        <v>7821 &amp; 7822</v>
      </c>
      <c r="F5" s="451" t="str">
        <f>'Input-FX Rates'!$B$5</f>
        <v>7821 PL Drivetrain Controls (&amp; Electrification)</v>
      </c>
      <c r="G5" s="451" t="s">
        <v>189</v>
      </c>
      <c r="H5" s="451" t="s">
        <v>200</v>
      </c>
      <c r="I5" s="536">
        <f>'1. Main Issues (GC)'!A12</f>
        <v>-4910.6096075965479</v>
      </c>
      <c r="J5" s="536">
        <f>'1. Main Issues (GC)'!B12</f>
        <v>-3562.5846215199399</v>
      </c>
      <c r="K5" s="536">
        <f>'1. Main Issues (GC)'!C12</f>
        <v>-2756.0599108780011</v>
      </c>
      <c r="L5" s="536">
        <f>'1. Main Issues (GC)'!D12</f>
        <v>-4874.6609352184751</v>
      </c>
      <c r="M5" s="535"/>
      <c r="N5" s="535"/>
      <c r="O5" s="536">
        <f>'1. Main Issues (GC)'!F12</f>
        <v>-4051.9545455172415</v>
      </c>
      <c r="P5" s="535"/>
      <c r="Q5" s="535"/>
      <c r="R5" s="535"/>
      <c r="S5" s="535"/>
      <c r="T5" s="535"/>
      <c r="U5" s="535"/>
      <c r="V5" s="535"/>
      <c r="W5" s="535"/>
      <c r="X5" s="535"/>
      <c r="Y5" s="535"/>
      <c r="Z5" s="535"/>
      <c r="AA5" s="535"/>
      <c r="AB5" s="535"/>
      <c r="AC5" s="535"/>
      <c r="AD5" s="535"/>
      <c r="AE5" s="535"/>
      <c r="AF5" s="535"/>
      <c r="AG5" s="535"/>
      <c r="AH5" s="535"/>
      <c r="AI5" s="535"/>
      <c r="AJ5" s="535"/>
      <c r="AK5" s="535"/>
      <c r="AL5" s="535"/>
      <c r="AM5" s="535"/>
      <c r="AN5" s="535"/>
      <c r="AO5" s="535"/>
      <c r="AP5" s="451">
        <v>4</v>
      </c>
      <c r="AQ5" s="451" t="str">
        <f>Settings!$A$1</f>
        <v>V2</v>
      </c>
    </row>
    <row r="6" spans="1:43" ht="12.75" customHeight="1">
      <c r="A6" s="451">
        <f>'Input-FX Rates'!$C$4</f>
        <v>242</v>
      </c>
      <c r="B6" s="451" t="str">
        <f>'Input-FX Rates'!$B$4</f>
        <v>ICH Icheon (242)</v>
      </c>
      <c r="C6" s="451">
        <f>'Input-FX Rates'!$C$6</f>
        <v>780</v>
      </c>
      <c r="D6" s="451" t="str">
        <f>'Input-FX Rates'!$B$6</f>
        <v>780 BU Controls</v>
      </c>
      <c r="E6" s="451" t="str">
        <f>'Input-FX Rates'!$C$5</f>
        <v>7821 &amp; 7822</v>
      </c>
      <c r="F6" s="451" t="str">
        <f>'Input-FX Rates'!$B$5</f>
        <v>7821 PL Drivetrain Controls (&amp; Electrification)</v>
      </c>
      <c r="G6" s="451" t="s">
        <v>189</v>
      </c>
      <c r="H6" s="451" t="s">
        <v>201</v>
      </c>
      <c r="I6" s="536">
        <f>'1. Main Issues (GC)'!A13</f>
        <v>-44.06906356851551</v>
      </c>
      <c r="J6" s="536">
        <f>'1. Main Issues (GC)'!B13</f>
        <v>0</v>
      </c>
      <c r="K6" s="536">
        <f>'1. Main Issues (GC)'!C13</f>
        <v>-20.270040082299012</v>
      </c>
      <c r="L6" s="536">
        <f>'1. Main Issues (GC)'!D13</f>
        <v>-20.229211193370592</v>
      </c>
      <c r="M6" s="535"/>
      <c r="N6" s="535"/>
      <c r="O6" s="536">
        <f>'1. Main Issues (GC)'!F13</f>
        <v>0</v>
      </c>
      <c r="P6" s="535"/>
      <c r="Q6" s="535"/>
      <c r="R6" s="535"/>
      <c r="S6" s="535"/>
      <c r="T6" s="535"/>
      <c r="U6" s="535"/>
      <c r="V6" s="535"/>
      <c r="W6" s="535"/>
      <c r="X6" s="535"/>
      <c r="Y6" s="535"/>
      <c r="Z6" s="535"/>
      <c r="AA6" s="535"/>
      <c r="AB6" s="535"/>
      <c r="AC6" s="535"/>
      <c r="AD6" s="535"/>
      <c r="AE6" s="535"/>
      <c r="AF6" s="535"/>
      <c r="AG6" s="535"/>
      <c r="AH6" s="535"/>
      <c r="AI6" s="535"/>
      <c r="AJ6" s="535"/>
      <c r="AK6" s="535"/>
      <c r="AL6" s="535"/>
      <c r="AM6" s="535"/>
      <c r="AN6" s="535"/>
      <c r="AO6" s="535"/>
      <c r="AP6" s="451">
        <v>5</v>
      </c>
      <c r="AQ6" s="451" t="str">
        <f>Settings!$A$1</f>
        <v>V2</v>
      </c>
    </row>
    <row r="7" spans="1:43" ht="12.75" customHeight="1">
      <c r="A7" s="451">
        <f>'Input-FX Rates'!$C$4</f>
        <v>242</v>
      </c>
      <c r="B7" s="451" t="str">
        <f>'Input-FX Rates'!$B$4</f>
        <v>ICH Icheon (242)</v>
      </c>
      <c r="C7" s="451">
        <f>'Input-FX Rates'!$C$6</f>
        <v>780</v>
      </c>
      <c r="D7" s="451" t="str">
        <f>'Input-FX Rates'!$B$6</f>
        <v>780 BU Controls</v>
      </c>
      <c r="E7" s="451" t="str">
        <f>'Input-FX Rates'!$C$5</f>
        <v>7821 &amp; 7822</v>
      </c>
      <c r="F7" s="451" t="str">
        <f>'Input-FX Rates'!$B$5</f>
        <v>7821 PL Drivetrain Controls (&amp; Electrification)</v>
      </c>
      <c r="G7" s="451" t="s">
        <v>189</v>
      </c>
      <c r="H7" s="451" t="s">
        <v>202</v>
      </c>
      <c r="I7" s="536">
        <f>'1. Main Issues (GC)'!A14</f>
        <v>15508.599943711744</v>
      </c>
      <c r="J7" s="536">
        <f>'1. Main Issues (GC)'!B14</f>
        <v>11677.960131677954</v>
      </c>
      <c r="K7" s="536">
        <f>'1. Main Issues (GC)'!C14</f>
        <v>10773.799749321268</v>
      </c>
      <c r="L7" s="536">
        <f>'1. Main Issues (GC)'!D14</f>
        <v>19347.189389599829</v>
      </c>
      <c r="M7" s="535"/>
      <c r="N7" s="535"/>
      <c r="O7" s="536">
        <f>'1. Main Issues (GC)'!F14</f>
        <v>14820.906815172413</v>
      </c>
      <c r="P7" s="535"/>
      <c r="Q7" s="535"/>
      <c r="R7" s="535"/>
      <c r="S7" s="535"/>
      <c r="T7" s="535"/>
      <c r="U7" s="535"/>
      <c r="V7" s="535"/>
      <c r="W7" s="535"/>
      <c r="X7" s="535"/>
      <c r="Y7" s="535"/>
      <c r="Z7" s="535"/>
      <c r="AA7" s="535"/>
      <c r="AB7" s="535"/>
      <c r="AC7" s="535"/>
      <c r="AD7" s="535"/>
      <c r="AE7" s="535"/>
      <c r="AF7" s="535"/>
      <c r="AG7" s="535"/>
      <c r="AH7" s="535"/>
      <c r="AI7" s="535"/>
      <c r="AJ7" s="535"/>
      <c r="AK7" s="535"/>
      <c r="AL7" s="535"/>
      <c r="AM7" s="535"/>
      <c r="AN7" s="535"/>
      <c r="AO7" s="535"/>
      <c r="AP7" s="451">
        <v>6</v>
      </c>
      <c r="AQ7" s="451" t="str">
        <f>Settings!$A$1</f>
        <v>V2</v>
      </c>
    </row>
    <row r="8" spans="1:43" ht="12.75" customHeight="1">
      <c r="A8" s="451">
        <f>'Input-FX Rates'!$C$4</f>
        <v>242</v>
      </c>
      <c r="B8" s="451" t="str">
        <f>'Input-FX Rates'!$B$4</f>
        <v>ICH Icheon (242)</v>
      </c>
      <c r="C8" s="451">
        <f>'Input-FX Rates'!$C$6</f>
        <v>780</v>
      </c>
      <c r="D8" s="451" t="str">
        <f>'Input-FX Rates'!$B$6</f>
        <v>780 BU Controls</v>
      </c>
      <c r="E8" s="451" t="str">
        <f>'Input-FX Rates'!$C$5</f>
        <v>7821 &amp; 7822</v>
      </c>
      <c r="F8" s="451" t="str">
        <f>'Input-FX Rates'!$B$5</f>
        <v>7821 PL Drivetrain Controls (&amp; Electrification)</v>
      </c>
      <c r="G8" s="451" t="s">
        <v>189</v>
      </c>
      <c r="H8" s="451" t="s">
        <v>203</v>
      </c>
      <c r="I8" s="536">
        <f>'1. Main Issues (GC)'!A16</f>
        <v>-7666.8662535508156</v>
      </c>
      <c r="J8" s="536">
        <f>'1. Main Issues (GC)'!B16</f>
        <v>-12177.172646350642</v>
      </c>
      <c r="K8" s="536">
        <f>'1. Main Issues (GC)'!C16</f>
        <v>-5317.5660293153715</v>
      </c>
      <c r="L8" s="536">
        <f>'1. Main Issues (GC)'!D16</f>
        <v>-10546.522818225527</v>
      </c>
      <c r="M8" s="535"/>
      <c r="N8" s="535"/>
      <c r="O8" s="536">
        <f>'1. Main Issues (GC)'!F16</f>
        <v>-10725.485692413793</v>
      </c>
      <c r="P8" s="535"/>
      <c r="Q8" s="535"/>
      <c r="R8" s="535"/>
      <c r="S8" s="535"/>
      <c r="T8" s="535"/>
      <c r="U8" s="535"/>
      <c r="V8" s="535"/>
      <c r="W8" s="535"/>
      <c r="X8" s="535"/>
      <c r="Y8" s="535"/>
      <c r="Z8" s="535"/>
      <c r="AA8" s="535"/>
      <c r="AB8" s="535"/>
      <c r="AC8" s="535"/>
      <c r="AD8" s="535"/>
      <c r="AE8" s="535"/>
      <c r="AF8" s="535"/>
      <c r="AG8" s="535"/>
      <c r="AH8" s="535"/>
      <c r="AI8" s="535"/>
      <c r="AJ8" s="535"/>
      <c r="AK8" s="535"/>
      <c r="AL8" s="535"/>
      <c r="AM8" s="535"/>
      <c r="AN8" s="535"/>
      <c r="AO8" s="535"/>
      <c r="AP8" s="451">
        <v>7</v>
      </c>
      <c r="AQ8" s="451" t="str">
        <f>Settings!$A$1</f>
        <v>V2</v>
      </c>
    </row>
    <row r="9" spans="1:43" ht="12.75" customHeight="1">
      <c r="A9" s="451">
        <f>'Input-FX Rates'!$C$4</f>
        <v>242</v>
      </c>
      <c r="B9" s="451" t="str">
        <f>'Input-FX Rates'!$B$4</f>
        <v>ICH Icheon (242)</v>
      </c>
      <c r="C9" s="451">
        <f>'Input-FX Rates'!$C$6</f>
        <v>780</v>
      </c>
      <c r="D9" s="451" t="str">
        <f>'Input-FX Rates'!$B$6</f>
        <v>780 BU Controls</v>
      </c>
      <c r="E9" s="451" t="str">
        <f>'Input-FX Rates'!$C$5</f>
        <v>7821 &amp; 7822</v>
      </c>
      <c r="F9" s="451" t="str">
        <f>'Input-FX Rates'!$B$5</f>
        <v>7821 PL Drivetrain Controls (&amp; Electrification)</v>
      </c>
      <c r="G9" s="451" t="s">
        <v>189</v>
      </c>
      <c r="H9" s="451" t="s">
        <v>204</v>
      </c>
      <c r="I9" s="536">
        <f>'1. Main Issues (GC)'!A17</f>
        <v>2944.4246095334674</v>
      </c>
      <c r="J9" s="536">
        <f>'1. Main Issues (GC)'!B17</f>
        <v>0</v>
      </c>
      <c r="K9" s="536">
        <f>'1. Main Issues (GC)'!C17</f>
        <v>428.07367737814678</v>
      </c>
      <c r="L9" s="536">
        <f>'1. Main Issues (GC)'!D17</f>
        <v>908.54365795899912</v>
      </c>
      <c r="M9" s="535"/>
      <c r="N9" s="535"/>
      <c r="O9" s="536">
        <f>'1. Main Issues (GC)'!F17</f>
        <v>0</v>
      </c>
      <c r="P9" s="535"/>
      <c r="Q9" s="535"/>
      <c r="R9" s="535"/>
      <c r="S9" s="535"/>
      <c r="T9" s="535"/>
      <c r="U9" s="535"/>
      <c r="V9" s="535"/>
      <c r="W9" s="535"/>
      <c r="X9" s="535"/>
      <c r="Y9" s="535"/>
      <c r="Z9" s="535"/>
      <c r="AA9" s="535"/>
      <c r="AB9" s="535"/>
      <c r="AC9" s="535"/>
      <c r="AD9" s="535"/>
      <c r="AE9" s="535"/>
      <c r="AF9" s="535"/>
      <c r="AG9" s="535"/>
      <c r="AH9" s="535"/>
      <c r="AI9" s="535"/>
      <c r="AJ9" s="535"/>
      <c r="AK9" s="535"/>
      <c r="AL9" s="535"/>
      <c r="AM9" s="535"/>
      <c r="AN9" s="535"/>
      <c r="AO9" s="535"/>
      <c r="AP9" s="451">
        <v>8</v>
      </c>
      <c r="AQ9" s="451" t="str">
        <f>Settings!$A$1</f>
        <v>V2</v>
      </c>
    </row>
    <row r="10" spans="1:43" ht="12.75" customHeight="1">
      <c r="A10" s="451">
        <f>'Input-FX Rates'!$C$4</f>
        <v>242</v>
      </c>
      <c r="B10" s="451" t="str">
        <f>'Input-FX Rates'!$B$4</f>
        <v>ICH Icheon (242)</v>
      </c>
      <c r="C10" s="451">
        <f>'Input-FX Rates'!$C$6</f>
        <v>780</v>
      </c>
      <c r="D10" s="451" t="str">
        <f>'Input-FX Rates'!$B$6</f>
        <v>780 BU Controls</v>
      </c>
      <c r="E10" s="451" t="str">
        <f>'Input-FX Rates'!$C$5</f>
        <v>7821 &amp; 7822</v>
      </c>
      <c r="F10" s="451" t="str">
        <f>'Input-FX Rates'!$B$5</f>
        <v>7821 PL Drivetrain Controls (&amp; Electrification)</v>
      </c>
      <c r="G10" s="451" t="s">
        <v>189</v>
      </c>
      <c r="H10" s="451" t="s">
        <v>205</v>
      </c>
      <c r="I10" s="536">
        <f>'1. Main Issues (GC)'!A18</f>
        <v>0</v>
      </c>
      <c r="J10" s="536">
        <f>'1. Main Issues (GC)'!B18</f>
        <v>0</v>
      </c>
      <c r="K10" s="536">
        <f>'1. Main Issues (GC)'!C18</f>
        <v>0</v>
      </c>
      <c r="L10" s="536">
        <f>'1. Main Issues (GC)'!D18</f>
        <v>0</v>
      </c>
      <c r="M10" s="535"/>
      <c r="N10" s="535"/>
      <c r="O10" s="536">
        <f>'1. Main Issues (GC)'!F18</f>
        <v>0</v>
      </c>
      <c r="P10" s="535"/>
      <c r="Q10" s="535"/>
      <c r="R10" s="535"/>
      <c r="S10" s="535"/>
      <c r="T10" s="535"/>
      <c r="U10" s="535"/>
      <c r="V10" s="535"/>
      <c r="W10" s="535"/>
      <c r="X10" s="535"/>
      <c r="Y10" s="535"/>
      <c r="Z10" s="535"/>
      <c r="AA10" s="535"/>
      <c r="AB10" s="535"/>
      <c r="AC10" s="535"/>
      <c r="AD10" s="535"/>
      <c r="AE10" s="535"/>
      <c r="AF10" s="535"/>
      <c r="AG10" s="535"/>
      <c r="AH10" s="535"/>
      <c r="AI10" s="535"/>
      <c r="AJ10" s="535"/>
      <c r="AK10" s="535"/>
      <c r="AL10" s="535"/>
      <c r="AM10" s="535"/>
      <c r="AN10" s="535"/>
      <c r="AO10" s="535"/>
      <c r="AP10" s="451">
        <v>9</v>
      </c>
      <c r="AQ10" s="451" t="str">
        <f>Settings!$A$1</f>
        <v>V2</v>
      </c>
    </row>
    <row r="11" spans="1:43" ht="12.75" customHeight="1">
      <c r="A11" s="451">
        <f>'Input-FX Rates'!$C$4</f>
        <v>242</v>
      </c>
      <c r="B11" s="451" t="str">
        <f>'Input-FX Rates'!$B$4</f>
        <v>ICH Icheon (242)</v>
      </c>
      <c r="C11" s="451">
        <f>'Input-FX Rates'!$C$6</f>
        <v>780</v>
      </c>
      <c r="D11" s="451" t="str">
        <f>'Input-FX Rates'!$B$6</f>
        <v>780 BU Controls</v>
      </c>
      <c r="E11" s="451" t="str">
        <f>'Input-FX Rates'!$C$5</f>
        <v>7821 &amp; 7822</v>
      </c>
      <c r="F11" s="451" t="str">
        <f>'Input-FX Rates'!$B$5</f>
        <v>7821 PL Drivetrain Controls (&amp; Electrification)</v>
      </c>
      <c r="G11" s="451" t="s">
        <v>189</v>
      </c>
      <c r="H11" s="451" t="s">
        <v>206</v>
      </c>
      <c r="I11" s="536">
        <f>'1. Main Issues (GC)'!A19</f>
        <v>0</v>
      </c>
      <c r="J11" s="536">
        <f>'1. Main Issues (GC)'!B19</f>
        <v>0</v>
      </c>
      <c r="K11" s="536">
        <f>'1. Main Issues (GC)'!C19</f>
        <v>0</v>
      </c>
      <c r="L11" s="536">
        <f>'1. Main Issues (GC)'!D19</f>
        <v>0</v>
      </c>
      <c r="M11" s="535"/>
      <c r="N11" s="535"/>
      <c r="O11" s="536">
        <f>'1. Main Issues (GC)'!F19</f>
        <v>0</v>
      </c>
      <c r="P11" s="535"/>
      <c r="Q11" s="535"/>
      <c r="R11" s="535"/>
      <c r="S11" s="535"/>
      <c r="T11" s="535"/>
      <c r="U11" s="535"/>
      <c r="V11" s="535"/>
      <c r="W11" s="535"/>
      <c r="X11" s="535"/>
      <c r="Y11" s="535"/>
      <c r="Z11" s="535"/>
      <c r="AA11" s="535"/>
      <c r="AB11" s="535"/>
      <c r="AC11" s="535"/>
      <c r="AD11" s="535"/>
      <c r="AE11" s="535"/>
      <c r="AF11" s="535"/>
      <c r="AG11" s="535"/>
      <c r="AH11" s="535"/>
      <c r="AI11" s="535"/>
      <c r="AJ11" s="535"/>
      <c r="AK11" s="535"/>
      <c r="AL11" s="535"/>
      <c r="AM11" s="535"/>
      <c r="AN11" s="535"/>
      <c r="AO11" s="535"/>
      <c r="AP11" s="451">
        <v>10</v>
      </c>
      <c r="AQ11" s="451" t="str">
        <f>Settings!$A$1</f>
        <v>V2</v>
      </c>
    </row>
    <row r="12" spans="1:43" s="537" customFormat="1" ht="12.75" customHeight="1">
      <c r="A12" s="537">
        <f>'Input-FX Rates'!$C$4</f>
        <v>242</v>
      </c>
      <c r="B12" s="537" t="str">
        <f>'Input-FX Rates'!$B$4</f>
        <v>ICH Icheon (242)</v>
      </c>
      <c r="C12" s="537">
        <f>'Input-FX Rates'!$C$6</f>
        <v>780</v>
      </c>
      <c r="D12" s="537" t="str">
        <f>'Input-FX Rates'!$B$6</f>
        <v>780 BU Controls</v>
      </c>
      <c r="E12" s="537" t="str">
        <f>'Input-FX Rates'!$C$5</f>
        <v>7821 &amp; 7822</v>
      </c>
      <c r="F12" s="537" t="str">
        <f>'Input-FX Rates'!$B$5</f>
        <v>7821 PL Drivetrain Controls (&amp; Electrification)</v>
      </c>
      <c r="G12" s="537" t="s">
        <v>189</v>
      </c>
      <c r="H12" s="537" t="s">
        <v>207</v>
      </c>
      <c r="I12" s="539">
        <f>'1. Main Issues (GC)'!A20</f>
        <v>10786.1582996944</v>
      </c>
      <c r="J12" s="539">
        <f>'1. Main Issues (GC)'!B20</f>
        <v>-499.21251467268627</v>
      </c>
      <c r="K12" s="539">
        <f>'1. Main Issues (GC)'!C20</f>
        <v>5884.3073973840428</v>
      </c>
      <c r="L12" s="539">
        <f>'1. Main Issues (GC)'!D20</f>
        <v>9709.210229333301</v>
      </c>
      <c r="M12" s="538"/>
      <c r="N12" s="538"/>
      <c r="O12" s="539">
        <f>'1. Main Issues (GC)'!F20</f>
        <v>4095.4211227586202</v>
      </c>
      <c r="P12" s="538"/>
      <c r="Q12" s="538"/>
      <c r="R12" s="538"/>
      <c r="S12" s="538"/>
      <c r="T12" s="538"/>
      <c r="U12" s="538"/>
      <c r="V12" s="538"/>
      <c r="W12" s="538"/>
      <c r="X12" s="538"/>
      <c r="Y12" s="538"/>
      <c r="Z12" s="538"/>
      <c r="AA12" s="538"/>
      <c r="AB12" s="538"/>
      <c r="AC12" s="538"/>
      <c r="AD12" s="538"/>
      <c r="AE12" s="538"/>
      <c r="AF12" s="538"/>
      <c r="AG12" s="538"/>
      <c r="AH12" s="538"/>
      <c r="AI12" s="538"/>
      <c r="AJ12" s="538"/>
      <c r="AK12" s="538"/>
      <c r="AL12" s="538"/>
      <c r="AM12" s="538"/>
      <c r="AN12" s="538"/>
      <c r="AO12" s="538"/>
      <c r="AP12" s="537">
        <v>11</v>
      </c>
      <c r="AQ12" s="537" t="str">
        <f>Settings!$A$1</f>
        <v>V2</v>
      </c>
    </row>
    <row r="13" spans="1:43" ht="12.75" customHeight="1">
      <c r="A13" s="451">
        <f>'Input-FX Rates'!$C$4</f>
        <v>242</v>
      </c>
      <c r="B13" s="451" t="str">
        <f>'Input-FX Rates'!$B$4</f>
        <v>ICH Icheon (242)</v>
      </c>
      <c r="C13" s="451">
        <f>'Input-FX Rates'!$C$6</f>
        <v>780</v>
      </c>
      <c r="D13" s="451" t="str">
        <f>'Input-FX Rates'!$B$6</f>
        <v>780 BU Controls</v>
      </c>
      <c r="E13" s="451" t="str">
        <f>'Input-FX Rates'!$C$5</f>
        <v>7821 &amp; 7822</v>
      </c>
      <c r="F13" s="451" t="str">
        <f>'Input-FX Rates'!$B$5</f>
        <v>7821 PL Drivetrain Controls (&amp; Electrification)</v>
      </c>
      <c r="G13" s="451" t="s">
        <v>1456</v>
      </c>
      <c r="H13" s="451" t="s">
        <v>227</v>
      </c>
      <c r="I13" s="535"/>
      <c r="J13" s="535"/>
      <c r="K13" s="535"/>
      <c r="L13" s="535"/>
      <c r="M13" s="535"/>
      <c r="N13" s="535"/>
      <c r="O13" s="535"/>
      <c r="P13" s="535"/>
      <c r="Q13" s="535"/>
      <c r="R13" s="535"/>
      <c r="S13" s="535"/>
      <c r="T13" s="535"/>
      <c r="U13" s="535"/>
      <c r="V13" s="535"/>
      <c r="W13" s="535"/>
      <c r="X13" s="535"/>
      <c r="Y13" s="535"/>
      <c r="Z13" s="535"/>
      <c r="AA13" s="535"/>
      <c r="AB13" s="535"/>
      <c r="AC13" s="535"/>
      <c r="AD13" s="535"/>
      <c r="AE13" s="535"/>
      <c r="AF13" s="535"/>
      <c r="AG13" s="535"/>
      <c r="AH13" s="535"/>
      <c r="AI13" s="535"/>
      <c r="AJ13" s="535"/>
      <c r="AK13" s="535"/>
      <c r="AL13" s="536">
        <f>'1.1 Structural changes (GC)'!B6</f>
        <v>0</v>
      </c>
      <c r="AM13" s="536">
        <f>'1.1 Structural changes (GC)'!C6</f>
        <v>0</v>
      </c>
      <c r="AN13" s="536" t="str">
        <f>'1.1 Structural changes (GC)'!A6</f>
        <v>Variable</v>
      </c>
      <c r="AO13" s="536" t="str">
        <f>'1.1 Structural changes (GC)'!D6</f>
        <v/>
      </c>
      <c r="AP13" s="451">
        <v>1001</v>
      </c>
      <c r="AQ13" s="451" t="str">
        <f>Settings!$A$1</f>
        <v>V2</v>
      </c>
    </row>
    <row r="14" spans="1:43" ht="12.75" customHeight="1">
      <c r="A14" s="451">
        <f>'Input-FX Rates'!$C$4</f>
        <v>242</v>
      </c>
      <c r="B14" s="451" t="str">
        <f>'Input-FX Rates'!$B$4</f>
        <v>ICH Icheon (242)</v>
      </c>
      <c r="C14" s="451">
        <f>'Input-FX Rates'!$C$6</f>
        <v>780</v>
      </c>
      <c r="D14" s="451" t="str">
        <f>'Input-FX Rates'!$B$6</f>
        <v>780 BU Controls</v>
      </c>
      <c r="E14" s="451" t="str">
        <f>'Input-FX Rates'!$C$5</f>
        <v>7821 &amp; 7822</v>
      </c>
      <c r="F14" s="451" t="str">
        <f>'Input-FX Rates'!$B$5</f>
        <v>7821 PL Drivetrain Controls (&amp; Electrification)</v>
      </c>
      <c r="G14" s="451" t="s">
        <v>1456</v>
      </c>
      <c r="H14" s="451" t="s">
        <v>230</v>
      </c>
      <c r="I14" s="535"/>
      <c r="J14" s="535"/>
      <c r="K14" s="535"/>
      <c r="L14" s="535"/>
      <c r="M14" s="535"/>
      <c r="N14" s="535"/>
      <c r="O14" s="535"/>
      <c r="P14" s="535"/>
      <c r="Q14" s="535"/>
      <c r="R14" s="535"/>
      <c r="S14" s="535"/>
      <c r="T14" s="535"/>
      <c r="U14" s="535"/>
      <c r="V14" s="535"/>
      <c r="W14" s="535"/>
      <c r="X14" s="535"/>
      <c r="Y14" s="535"/>
      <c r="Z14" s="535"/>
      <c r="AA14" s="535"/>
      <c r="AB14" s="535"/>
      <c r="AC14" s="535"/>
      <c r="AD14" s="535"/>
      <c r="AE14" s="535"/>
      <c r="AF14" s="535"/>
      <c r="AG14" s="535"/>
      <c r="AH14" s="535"/>
      <c r="AI14" s="535"/>
      <c r="AJ14" s="535"/>
      <c r="AK14" s="535"/>
      <c r="AL14" s="536">
        <f>'1.1 Structural changes (GC)'!B7</f>
        <v>0</v>
      </c>
      <c r="AM14" s="536">
        <f>'1.1 Structural changes (GC)'!C7</f>
        <v>0</v>
      </c>
      <c r="AN14" s="536" t="str">
        <f>'1.1 Structural changes (GC)'!A7</f>
        <v>Maintenance harmonization</v>
      </c>
      <c r="AO14" s="536" t="str">
        <f>'1.1 Structural changes (GC)'!D7</f>
        <v>Technician cost moved from LDC to MDC_mainternance (512K EUR)</v>
      </c>
      <c r="AP14" s="451">
        <v>1002</v>
      </c>
      <c r="AQ14" s="451" t="str">
        <f>Settings!$A$1</f>
        <v>V2</v>
      </c>
    </row>
    <row r="15" spans="1:43" ht="12.75" customHeight="1">
      <c r="A15" s="451">
        <f>'Input-FX Rates'!$C$4</f>
        <v>242</v>
      </c>
      <c r="B15" s="451" t="str">
        <f>'Input-FX Rates'!$B$4</f>
        <v>ICH Icheon (242)</v>
      </c>
      <c r="C15" s="451">
        <f>'Input-FX Rates'!$C$6</f>
        <v>780</v>
      </c>
      <c r="D15" s="451" t="str">
        <f>'Input-FX Rates'!$B$6</f>
        <v>780 BU Controls</v>
      </c>
      <c r="E15" s="451" t="str">
        <f>'Input-FX Rates'!$C$5</f>
        <v>7821 &amp; 7822</v>
      </c>
      <c r="F15" s="451" t="str">
        <f>'Input-FX Rates'!$B$5</f>
        <v>7821 PL Drivetrain Controls (&amp; Electrification)</v>
      </c>
      <c r="G15" s="451" t="s">
        <v>1456</v>
      </c>
      <c r="H15" s="451" t="s">
        <v>244</v>
      </c>
      <c r="I15" s="535"/>
      <c r="J15" s="535"/>
      <c r="K15" s="535"/>
      <c r="L15" s="535"/>
      <c r="M15" s="535"/>
      <c r="N15" s="535"/>
      <c r="O15" s="535"/>
      <c r="P15" s="535"/>
      <c r="Q15" s="535"/>
      <c r="R15" s="535"/>
      <c r="S15" s="535"/>
      <c r="T15" s="535"/>
      <c r="U15" s="535"/>
      <c r="V15" s="535"/>
      <c r="W15" s="535"/>
      <c r="X15" s="535"/>
      <c r="Y15" s="535"/>
      <c r="Z15" s="535"/>
      <c r="AA15" s="535"/>
      <c r="AB15" s="535"/>
      <c r="AC15" s="535"/>
      <c r="AD15" s="535"/>
      <c r="AE15" s="535"/>
      <c r="AF15" s="535"/>
      <c r="AG15" s="535"/>
      <c r="AH15" s="535"/>
      <c r="AI15" s="535"/>
      <c r="AJ15" s="535"/>
      <c r="AK15" s="535"/>
      <c r="AL15" s="536">
        <f>'1.1 Structural changes (GC)'!B8</f>
        <v>0</v>
      </c>
      <c r="AM15" s="536">
        <f>'1.1 Structural changes (GC)'!C8</f>
        <v>0</v>
      </c>
      <c r="AN15" s="536" t="str">
        <f>'1.1 Structural changes (GC)'!A8</f>
        <v>SMD Pool centralization</v>
      </c>
      <c r="AO15" s="536" t="str">
        <f>'1.1 Structural changes (GC)'!D8</f>
        <v/>
      </c>
      <c r="AP15" s="451">
        <v>1003</v>
      </c>
      <c r="AQ15" s="451" t="str">
        <f>Settings!$A$1</f>
        <v>V2</v>
      </c>
    </row>
    <row r="16" spans="1:43" ht="12.75" customHeight="1">
      <c r="A16" s="451">
        <f>'Input-FX Rates'!$C$4</f>
        <v>242</v>
      </c>
      <c r="B16" s="451" t="str">
        <f>'Input-FX Rates'!$B$4</f>
        <v>ICH Icheon (242)</v>
      </c>
      <c r="C16" s="451">
        <f>'Input-FX Rates'!$C$6</f>
        <v>780</v>
      </c>
      <c r="D16" s="451" t="str">
        <f>'Input-FX Rates'!$B$6</f>
        <v>780 BU Controls</v>
      </c>
      <c r="E16" s="451" t="str">
        <f>'Input-FX Rates'!$C$5</f>
        <v>7821 &amp; 7822</v>
      </c>
      <c r="F16" s="451" t="str">
        <f>'Input-FX Rates'!$B$5</f>
        <v>7821 PL Drivetrain Controls (&amp; Electrification)</v>
      </c>
      <c r="G16" s="451" t="s">
        <v>1456</v>
      </c>
      <c r="H16" s="451" t="s">
        <v>232</v>
      </c>
      <c r="I16" s="535"/>
      <c r="J16" s="535"/>
      <c r="K16" s="535"/>
      <c r="L16" s="535"/>
      <c r="M16" s="535"/>
      <c r="N16" s="535"/>
      <c r="O16" s="535"/>
      <c r="P16" s="535"/>
      <c r="Q16" s="535"/>
      <c r="R16" s="535"/>
      <c r="S16" s="535"/>
      <c r="T16" s="535"/>
      <c r="U16" s="535"/>
      <c r="V16" s="535"/>
      <c r="W16" s="535"/>
      <c r="X16" s="535"/>
      <c r="Y16" s="535"/>
      <c r="Z16" s="535"/>
      <c r="AA16" s="535"/>
      <c r="AB16" s="535"/>
      <c r="AC16" s="535"/>
      <c r="AD16" s="535"/>
      <c r="AE16" s="535"/>
      <c r="AF16" s="535"/>
      <c r="AG16" s="535"/>
      <c r="AH16" s="535"/>
      <c r="AI16" s="535"/>
      <c r="AJ16" s="535"/>
      <c r="AK16" s="535"/>
      <c r="AL16" s="536">
        <f>'1.1 Structural changes (GC)'!B9</f>
        <v>0</v>
      </c>
      <c r="AM16" s="536">
        <f>'1.1 Structural changes (GC)'!C9</f>
        <v>0</v>
      </c>
      <c r="AN16" s="536" t="str">
        <f>'1.1 Structural changes (GC)'!A9</f>
        <v>Structural change 3</v>
      </c>
      <c r="AO16" s="536" t="str">
        <f>'1.1 Structural changes (GC)'!D9</f>
        <v/>
      </c>
      <c r="AP16" s="451">
        <v>1004</v>
      </c>
      <c r="AQ16" s="451" t="str">
        <f>Settings!$A$1</f>
        <v>V2</v>
      </c>
    </row>
    <row r="17" spans="1:43" ht="12.75" customHeight="1">
      <c r="A17" s="451">
        <f>'Input-FX Rates'!$C$4</f>
        <v>242</v>
      </c>
      <c r="B17" s="451" t="str">
        <f>'Input-FX Rates'!$B$4</f>
        <v>ICH Icheon (242)</v>
      </c>
      <c r="C17" s="451">
        <f>'Input-FX Rates'!$C$6</f>
        <v>780</v>
      </c>
      <c r="D17" s="451" t="str">
        <f>'Input-FX Rates'!$B$6</f>
        <v>780 BU Controls</v>
      </c>
      <c r="E17" s="451" t="str">
        <f>'Input-FX Rates'!$C$5</f>
        <v>7821 &amp; 7822</v>
      </c>
      <c r="F17" s="451" t="str">
        <f>'Input-FX Rates'!$B$5</f>
        <v>7821 PL Drivetrain Controls (&amp; Electrification)</v>
      </c>
      <c r="G17" s="451" t="s">
        <v>1456</v>
      </c>
      <c r="H17" s="451" t="s">
        <v>233</v>
      </c>
      <c r="I17" s="535"/>
      <c r="J17" s="535"/>
      <c r="K17" s="535"/>
      <c r="L17" s="535"/>
      <c r="M17" s="535"/>
      <c r="N17" s="535"/>
      <c r="O17" s="535"/>
      <c r="P17" s="535"/>
      <c r="Q17" s="535"/>
      <c r="R17" s="535"/>
      <c r="S17" s="535"/>
      <c r="T17" s="535"/>
      <c r="U17" s="535"/>
      <c r="V17" s="535"/>
      <c r="W17" s="535"/>
      <c r="X17" s="535"/>
      <c r="Y17" s="535"/>
      <c r="Z17" s="535"/>
      <c r="AA17" s="535"/>
      <c r="AB17" s="535"/>
      <c r="AC17" s="535"/>
      <c r="AD17" s="535"/>
      <c r="AE17" s="535"/>
      <c r="AF17" s="535"/>
      <c r="AG17" s="535"/>
      <c r="AH17" s="535"/>
      <c r="AI17" s="535"/>
      <c r="AJ17" s="535"/>
      <c r="AK17" s="535"/>
      <c r="AL17" s="536">
        <f>'1.1 Structural changes (GC)'!B10</f>
        <v>0</v>
      </c>
      <c r="AM17" s="536">
        <f>'1.1 Structural changes (GC)'!C10</f>
        <v>0</v>
      </c>
      <c r="AN17" s="536" t="str">
        <f>'1.1 Structural changes (GC)'!A10</f>
        <v>Structural change 4</v>
      </c>
      <c r="AO17" s="536" t="str">
        <f>'1.1 Structural changes (GC)'!D10</f>
        <v/>
      </c>
      <c r="AP17" s="451">
        <v>1005</v>
      </c>
      <c r="AQ17" s="451" t="str">
        <f>Settings!$A$1</f>
        <v>V2</v>
      </c>
    </row>
    <row r="18" spans="1:43" ht="12.75" customHeight="1">
      <c r="A18" s="451">
        <f>'Input-FX Rates'!$C$4</f>
        <v>242</v>
      </c>
      <c r="B18" s="451" t="str">
        <f>'Input-FX Rates'!$B$4</f>
        <v>ICH Icheon (242)</v>
      </c>
      <c r="C18" s="451">
        <f>'Input-FX Rates'!$C$6</f>
        <v>780</v>
      </c>
      <c r="D18" s="451" t="str">
        <f>'Input-FX Rates'!$B$6</f>
        <v>780 BU Controls</v>
      </c>
      <c r="E18" s="451" t="str">
        <f>'Input-FX Rates'!$C$5</f>
        <v>7821 &amp; 7822</v>
      </c>
      <c r="F18" s="451" t="str">
        <f>'Input-FX Rates'!$B$5</f>
        <v>7821 PL Drivetrain Controls (&amp; Electrification)</v>
      </c>
      <c r="G18" s="451" t="s">
        <v>1456</v>
      </c>
      <c r="H18" s="451" t="s">
        <v>235</v>
      </c>
      <c r="I18" s="535"/>
      <c r="J18" s="535"/>
      <c r="K18" s="535"/>
      <c r="L18" s="535"/>
      <c r="M18" s="535"/>
      <c r="N18" s="535"/>
      <c r="O18" s="535"/>
      <c r="P18" s="535"/>
      <c r="Q18" s="535"/>
      <c r="R18" s="535"/>
      <c r="S18" s="535"/>
      <c r="T18" s="535"/>
      <c r="U18" s="535"/>
      <c r="V18" s="535"/>
      <c r="W18" s="535"/>
      <c r="X18" s="535"/>
      <c r="Y18" s="535"/>
      <c r="Z18" s="535"/>
      <c r="AA18" s="535"/>
      <c r="AB18" s="535"/>
      <c r="AC18" s="535"/>
      <c r="AD18" s="535"/>
      <c r="AE18" s="535"/>
      <c r="AF18" s="535"/>
      <c r="AG18" s="535"/>
      <c r="AH18" s="535"/>
      <c r="AI18" s="535"/>
      <c r="AJ18" s="535"/>
      <c r="AK18" s="535"/>
      <c r="AL18" s="536">
        <f>'1.1 Structural changes (GC)'!B11</f>
        <v>0</v>
      </c>
      <c r="AM18" s="536">
        <f>'1.1 Structural changes (GC)'!C11</f>
        <v>0</v>
      </c>
      <c r="AN18" s="536" t="str">
        <f>'1.1 Structural changes (GC)'!A11</f>
        <v>Structural change 5</v>
      </c>
      <c r="AO18" s="536" t="str">
        <f>'1.1 Structural changes (GC)'!D11</f>
        <v/>
      </c>
      <c r="AP18" s="451">
        <v>1006</v>
      </c>
      <c r="AQ18" s="451" t="str">
        <f>Settings!$A$1</f>
        <v>V2</v>
      </c>
    </row>
    <row r="19" spans="1:43" ht="12.75" customHeight="1">
      <c r="A19" s="451">
        <f>'Input-FX Rates'!$C$4</f>
        <v>242</v>
      </c>
      <c r="B19" s="451" t="str">
        <f>'Input-FX Rates'!$B$4</f>
        <v>ICH Icheon (242)</v>
      </c>
      <c r="C19" s="451">
        <f>'Input-FX Rates'!$C$6</f>
        <v>780</v>
      </c>
      <c r="D19" s="451" t="str">
        <f>'Input-FX Rates'!$B$6</f>
        <v>780 BU Controls</v>
      </c>
      <c r="E19" s="451" t="str">
        <f>'Input-FX Rates'!$C$5</f>
        <v>7821 &amp; 7822</v>
      </c>
      <c r="F19" s="451" t="str">
        <f>'Input-FX Rates'!$B$5</f>
        <v>7821 PL Drivetrain Controls (&amp; Electrification)</v>
      </c>
      <c r="G19" s="451" t="s">
        <v>1456</v>
      </c>
      <c r="H19" s="451" t="s">
        <v>237</v>
      </c>
      <c r="I19" s="535"/>
      <c r="J19" s="535"/>
      <c r="K19" s="535"/>
      <c r="L19" s="535"/>
      <c r="M19" s="535"/>
      <c r="N19" s="535"/>
      <c r="O19" s="535"/>
      <c r="P19" s="535"/>
      <c r="Q19" s="535"/>
      <c r="R19" s="535"/>
      <c r="S19" s="535"/>
      <c r="T19" s="535"/>
      <c r="U19" s="535"/>
      <c r="V19" s="535"/>
      <c r="W19" s="535"/>
      <c r="X19" s="535"/>
      <c r="Y19" s="535"/>
      <c r="Z19" s="535"/>
      <c r="AA19" s="535"/>
      <c r="AB19" s="535"/>
      <c r="AC19" s="535"/>
      <c r="AD19" s="535"/>
      <c r="AE19" s="535"/>
      <c r="AF19" s="535"/>
      <c r="AG19" s="535"/>
      <c r="AH19" s="535"/>
      <c r="AI19" s="535"/>
      <c r="AJ19" s="535"/>
      <c r="AK19" s="535"/>
      <c r="AL19" s="536">
        <f>'1.1 Structural changes (GC)'!B12</f>
        <v>0</v>
      </c>
      <c r="AM19" s="536">
        <f>'1.1 Structural changes (GC)'!C12</f>
        <v>0</v>
      </c>
      <c r="AN19" s="536" t="str">
        <f>'1.1 Structural changes (GC)'!A12</f>
        <v>Structural change 6</v>
      </c>
      <c r="AO19" s="536" t="str">
        <f>'1.1 Structural changes (GC)'!D12</f>
        <v/>
      </c>
      <c r="AP19" s="451">
        <v>1007</v>
      </c>
      <c r="AQ19" s="451" t="str">
        <f>Settings!$A$1</f>
        <v>V2</v>
      </c>
    </row>
    <row r="20" spans="1:43" ht="12.75" customHeight="1">
      <c r="A20" s="451">
        <f>'Input-FX Rates'!$C$4</f>
        <v>242</v>
      </c>
      <c r="B20" s="451" t="str">
        <f>'Input-FX Rates'!$B$4</f>
        <v>ICH Icheon (242)</v>
      </c>
      <c r="C20" s="451">
        <f>'Input-FX Rates'!$C$6</f>
        <v>780</v>
      </c>
      <c r="D20" s="451" t="str">
        <f>'Input-FX Rates'!$B$6</f>
        <v>780 BU Controls</v>
      </c>
      <c r="E20" s="451" t="str">
        <f>'Input-FX Rates'!$C$5</f>
        <v>7821 &amp; 7822</v>
      </c>
      <c r="F20" s="451" t="str">
        <f>'Input-FX Rates'!$B$5</f>
        <v>7821 PL Drivetrain Controls (&amp; Electrification)</v>
      </c>
      <c r="G20" s="451" t="s">
        <v>1456</v>
      </c>
      <c r="H20" s="451" t="s">
        <v>238</v>
      </c>
      <c r="I20" s="535"/>
      <c r="J20" s="535"/>
      <c r="K20" s="535"/>
      <c r="L20" s="535"/>
      <c r="M20" s="535"/>
      <c r="N20" s="535"/>
      <c r="O20" s="535"/>
      <c r="P20" s="535"/>
      <c r="Q20" s="535"/>
      <c r="R20" s="535"/>
      <c r="S20" s="535"/>
      <c r="T20" s="535"/>
      <c r="U20" s="535"/>
      <c r="V20" s="535"/>
      <c r="W20" s="535"/>
      <c r="X20" s="535"/>
      <c r="Y20" s="535"/>
      <c r="Z20" s="535"/>
      <c r="AA20" s="535"/>
      <c r="AB20" s="535"/>
      <c r="AC20" s="535"/>
      <c r="AD20" s="535"/>
      <c r="AE20" s="535"/>
      <c r="AF20" s="535"/>
      <c r="AG20" s="535"/>
      <c r="AH20" s="535"/>
      <c r="AI20" s="535"/>
      <c r="AJ20" s="535"/>
      <c r="AK20" s="535"/>
      <c r="AL20" s="536">
        <f>'1.1 Structural changes (GC)'!B13</f>
        <v>0</v>
      </c>
      <c r="AM20" s="536">
        <f>'1.1 Structural changes (GC)'!C13</f>
        <v>0</v>
      </c>
      <c r="AN20" s="536" t="str">
        <f>'1.1 Structural changes (GC)'!A13</f>
        <v>Structural change 7</v>
      </c>
      <c r="AO20" s="536" t="str">
        <f>'1.1 Structural changes (GC)'!D13</f>
        <v/>
      </c>
      <c r="AP20" s="451">
        <v>1008</v>
      </c>
      <c r="AQ20" s="451" t="str">
        <f>Settings!$A$1</f>
        <v>V2</v>
      </c>
    </row>
    <row r="21" spans="1:43" ht="12.75" customHeight="1">
      <c r="A21" s="451">
        <f>'Input-FX Rates'!$C$4</f>
        <v>242</v>
      </c>
      <c r="B21" s="451" t="str">
        <f>'Input-FX Rates'!$B$4</f>
        <v>ICH Icheon (242)</v>
      </c>
      <c r="C21" s="451">
        <f>'Input-FX Rates'!$C$6</f>
        <v>780</v>
      </c>
      <c r="D21" s="451" t="str">
        <f>'Input-FX Rates'!$B$6</f>
        <v>780 BU Controls</v>
      </c>
      <c r="E21" s="451" t="str">
        <f>'Input-FX Rates'!$C$5</f>
        <v>7821 &amp; 7822</v>
      </c>
      <c r="F21" s="451" t="str">
        <f>'Input-FX Rates'!$B$5</f>
        <v>7821 PL Drivetrain Controls (&amp; Electrification)</v>
      </c>
      <c r="G21" s="451" t="s">
        <v>1456</v>
      </c>
      <c r="H21" s="451" t="s">
        <v>239</v>
      </c>
      <c r="I21" s="535"/>
      <c r="J21" s="535"/>
      <c r="K21" s="535"/>
      <c r="L21" s="535"/>
      <c r="M21" s="535"/>
      <c r="N21" s="535"/>
      <c r="O21" s="535"/>
      <c r="P21" s="535"/>
      <c r="Q21" s="535"/>
      <c r="R21" s="535"/>
      <c r="S21" s="535"/>
      <c r="T21" s="535"/>
      <c r="U21" s="535"/>
      <c r="V21" s="535"/>
      <c r="W21" s="535"/>
      <c r="X21" s="535"/>
      <c r="Y21" s="535"/>
      <c r="Z21" s="535"/>
      <c r="AA21" s="535"/>
      <c r="AB21" s="535"/>
      <c r="AC21" s="535"/>
      <c r="AD21" s="535"/>
      <c r="AE21" s="535"/>
      <c r="AF21" s="535"/>
      <c r="AG21" s="535"/>
      <c r="AH21" s="535"/>
      <c r="AI21" s="535"/>
      <c r="AJ21" s="535"/>
      <c r="AK21" s="535"/>
      <c r="AL21" s="536">
        <f>'1.1 Structural changes (GC)'!B14</f>
        <v>0</v>
      </c>
      <c r="AM21" s="536">
        <f>'1.1 Structural changes (GC)'!C14</f>
        <v>0</v>
      </c>
      <c r="AN21" s="536" t="str">
        <f>'1.1 Structural changes (GC)'!A14</f>
        <v>Structural change 8</v>
      </c>
      <c r="AO21" s="536" t="str">
        <f>'1.1 Structural changes (GC)'!D14</f>
        <v/>
      </c>
      <c r="AP21" s="451">
        <v>1009</v>
      </c>
      <c r="AQ21" s="451" t="str">
        <f>Settings!$A$1</f>
        <v>V2</v>
      </c>
    </row>
    <row r="22" spans="1:43" ht="12.75" customHeight="1">
      <c r="A22" s="451">
        <f>'Input-FX Rates'!$C$4</f>
        <v>242</v>
      </c>
      <c r="B22" s="451" t="str">
        <f>'Input-FX Rates'!$B$4</f>
        <v>ICH Icheon (242)</v>
      </c>
      <c r="C22" s="451">
        <f>'Input-FX Rates'!$C$6</f>
        <v>780</v>
      </c>
      <c r="D22" s="451" t="str">
        <f>'Input-FX Rates'!$B$6</f>
        <v>780 BU Controls</v>
      </c>
      <c r="E22" s="451" t="str">
        <f>'Input-FX Rates'!$C$5</f>
        <v>7821 &amp; 7822</v>
      </c>
      <c r="F22" s="451" t="str">
        <f>'Input-FX Rates'!$B$5</f>
        <v>7821 PL Drivetrain Controls (&amp; Electrification)</v>
      </c>
      <c r="G22" s="451" t="s">
        <v>1456</v>
      </c>
      <c r="H22" s="451" t="s">
        <v>241</v>
      </c>
      <c r="I22" s="535"/>
      <c r="J22" s="535"/>
      <c r="K22" s="535"/>
      <c r="L22" s="535"/>
      <c r="M22" s="535"/>
      <c r="N22" s="535"/>
      <c r="O22" s="535"/>
      <c r="P22" s="535"/>
      <c r="Q22" s="535"/>
      <c r="R22" s="535"/>
      <c r="S22" s="535"/>
      <c r="T22" s="535"/>
      <c r="U22" s="535"/>
      <c r="V22" s="535"/>
      <c r="W22" s="535"/>
      <c r="X22" s="535"/>
      <c r="Y22" s="535"/>
      <c r="Z22" s="535"/>
      <c r="AA22" s="535"/>
      <c r="AB22" s="535"/>
      <c r="AC22" s="535"/>
      <c r="AD22" s="535"/>
      <c r="AE22" s="535"/>
      <c r="AF22" s="535"/>
      <c r="AG22" s="535"/>
      <c r="AH22" s="535"/>
      <c r="AI22" s="535"/>
      <c r="AJ22" s="535"/>
      <c r="AK22" s="535"/>
      <c r="AL22" s="536">
        <f>'1.1 Structural changes (GC)'!B15</f>
        <v>0</v>
      </c>
      <c r="AM22" s="536">
        <f>'1.1 Structural changes (GC)'!C15</f>
        <v>0</v>
      </c>
      <c r="AN22" s="536" t="str">
        <f>'1.1 Structural changes (GC)'!A15</f>
        <v>Structural change 9</v>
      </c>
      <c r="AO22" s="536" t="str">
        <f>'1.1 Structural changes (GC)'!D15</f>
        <v/>
      </c>
      <c r="AP22" s="451">
        <v>1010</v>
      </c>
      <c r="AQ22" s="451" t="str">
        <f>Settings!$A$1</f>
        <v>V2</v>
      </c>
    </row>
    <row r="23" spans="1:43" ht="12.75" customHeight="1">
      <c r="A23" s="451">
        <f>'Input-FX Rates'!$C$4</f>
        <v>242</v>
      </c>
      <c r="B23" s="451" t="str">
        <f>'Input-FX Rates'!$B$4</f>
        <v>ICH Icheon (242)</v>
      </c>
      <c r="C23" s="451">
        <f>'Input-FX Rates'!$C$6</f>
        <v>780</v>
      </c>
      <c r="D23" s="451" t="str">
        <f>'Input-FX Rates'!$B$6</f>
        <v>780 BU Controls</v>
      </c>
      <c r="E23" s="451" t="str">
        <f>'Input-FX Rates'!$C$5</f>
        <v>7821 &amp; 7822</v>
      </c>
      <c r="F23" s="451" t="str">
        <f>'Input-FX Rates'!$B$5</f>
        <v>7821 PL Drivetrain Controls (&amp; Electrification)</v>
      </c>
      <c r="G23" s="451" t="s">
        <v>1456</v>
      </c>
      <c r="H23" s="451" t="s">
        <v>242</v>
      </c>
      <c r="I23" s="535"/>
      <c r="J23" s="535"/>
      <c r="K23" s="535"/>
      <c r="L23" s="535"/>
      <c r="M23" s="535"/>
      <c r="N23" s="535"/>
      <c r="O23" s="535"/>
      <c r="P23" s="535"/>
      <c r="Q23" s="535"/>
      <c r="R23" s="535"/>
      <c r="S23" s="535"/>
      <c r="T23" s="535"/>
      <c r="U23" s="535"/>
      <c r="V23" s="535"/>
      <c r="W23" s="535"/>
      <c r="X23" s="535"/>
      <c r="Y23" s="535"/>
      <c r="Z23" s="535"/>
      <c r="AA23" s="535"/>
      <c r="AB23" s="535"/>
      <c r="AC23" s="535"/>
      <c r="AD23" s="535"/>
      <c r="AE23" s="535"/>
      <c r="AF23" s="535"/>
      <c r="AG23" s="535"/>
      <c r="AH23" s="535"/>
      <c r="AI23" s="535"/>
      <c r="AJ23" s="535"/>
      <c r="AK23" s="535"/>
      <c r="AL23" s="536">
        <f>'1.1 Structural changes (GC)'!B16</f>
        <v>0</v>
      </c>
      <c r="AM23" s="536">
        <f>'1.1 Structural changes (GC)'!C16</f>
        <v>0</v>
      </c>
      <c r="AN23" s="536" t="str">
        <f>'1.1 Structural changes (GC)'!A16</f>
        <v>Structural change 10</v>
      </c>
      <c r="AO23" s="536" t="str">
        <f>'1.1 Structural changes (GC)'!D16</f>
        <v/>
      </c>
      <c r="AP23" s="451">
        <v>1011</v>
      </c>
      <c r="AQ23" s="451" t="str">
        <f>Settings!$A$1</f>
        <v>V2</v>
      </c>
    </row>
    <row r="24" spans="1:43" ht="12.75" customHeight="1">
      <c r="A24" s="451">
        <f>'Input-FX Rates'!$C$4</f>
        <v>242</v>
      </c>
      <c r="B24" s="451" t="str">
        <f>'Input-FX Rates'!$B$4</f>
        <v>ICH Icheon (242)</v>
      </c>
      <c r="C24" s="451">
        <f>'Input-FX Rates'!$C$6</f>
        <v>780</v>
      </c>
      <c r="D24" s="451" t="str">
        <f>'Input-FX Rates'!$B$6</f>
        <v>780 BU Controls</v>
      </c>
      <c r="E24" s="451" t="str">
        <f>'Input-FX Rates'!$C$5</f>
        <v>7821 &amp; 7822</v>
      </c>
      <c r="F24" s="451" t="str">
        <f>'Input-FX Rates'!$B$5</f>
        <v>7821 PL Drivetrain Controls (&amp; Electrification)</v>
      </c>
      <c r="G24" s="451" t="s">
        <v>1456</v>
      </c>
      <c r="H24" s="451" t="s">
        <v>243</v>
      </c>
      <c r="I24" s="535"/>
      <c r="J24" s="535"/>
      <c r="K24" s="535"/>
      <c r="L24" s="535"/>
      <c r="M24" s="535"/>
      <c r="N24" s="535"/>
      <c r="O24" s="535"/>
      <c r="P24" s="535"/>
      <c r="Q24" s="535"/>
      <c r="R24" s="535"/>
      <c r="S24" s="535"/>
      <c r="T24" s="535"/>
      <c r="U24" s="535"/>
      <c r="V24" s="535"/>
      <c r="W24" s="535"/>
      <c r="X24" s="535"/>
      <c r="Y24" s="535"/>
      <c r="Z24" s="535"/>
      <c r="AA24" s="535"/>
      <c r="AB24" s="535"/>
      <c r="AC24" s="535"/>
      <c r="AD24" s="535"/>
      <c r="AE24" s="535"/>
      <c r="AF24" s="535"/>
      <c r="AG24" s="535"/>
      <c r="AH24" s="535"/>
      <c r="AI24" s="535"/>
      <c r="AJ24" s="535"/>
      <c r="AK24" s="535"/>
      <c r="AL24" s="536">
        <f>'1.1 Structural changes (GC)'!B17</f>
        <v>0</v>
      </c>
      <c r="AM24" s="536">
        <f>'1.1 Structural changes (GC)'!C17</f>
        <v>0</v>
      </c>
      <c r="AN24" s="536" t="str">
        <f>'1.1 Structural changes (GC)'!A17</f>
        <v>Fix</v>
      </c>
      <c r="AO24" s="536" t="str">
        <f>'1.1 Structural changes (GC)'!D17</f>
        <v/>
      </c>
      <c r="AP24" s="451">
        <v>1012</v>
      </c>
      <c r="AQ24" s="451" t="str">
        <f>Settings!$A$1</f>
        <v>V2</v>
      </c>
    </row>
    <row r="25" spans="1:43" ht="12.75" customHeight="1">
      <c r="A25" s="451">
        <f>'Input-FX Rates'!$C$4</f>
        <v>242</v>
      </c>
      <c r="B25" s="451" t="str">
        <f>'Input-FX Rates'!$B$4</f>
        <v>ICH Icheon (242)</v>
      </c>
      <c r="C25" s="451">
        <f>'Input-FX Rates'!$C$6</f>
        <v>780</v>
      </c>
      <c r="D25" s="451" t="str">
        <f>'Input-FX Rates'!$B$6</f>
        <v>780 BU Controls</v>
      </c>
      <c r="E25" s="451" t="str">
        <f>'Input-FX Rates'!$C$5</f>
        <v>7821 &amp; 7822</v>
      </c>
      <c r="F25" s="451" t="str">
        <f>'Input-FX Rates'!$B$5</f>
        <v>7821 PL Drivetrain Controls (&amp; Electrification)</v>
      </c>
      <c r="G25" s="451" t="s">
        <v>1456</v>
      </c>
      <c r="H25" s="451" t="s">
        <v>227</v>
      </c>
      <c r="I25" s="535"/>
      <c r="J25" s="535"/>
      <c r="K25" s="535"/>
      <c r="L25" s="535"/>
      <c r="M25" s="535"/>
      <c r="N25" s="535"/>
      <c r="O25" s="535"/>
      <c r="P25" s="535"/>
      <c r="Q25" s="535"/>
      <c r="R25" s="535"/>
      <c r="S25" s="535"/>
      <c r="T25" s="535"/>
      <c r="U25" s="535"/>
      <c r="V25" s="535"/>
      <c r="W25" s="535"/>
      <c r="X25" s="535"/>
      <c r="Y25" s="535"/>
      <c r="Z25" s="535"/>
      <c r="AA25" s="535"/>
      <c r="AB25" s="535"/>
      <c r="AC25" s="535"/>
      <c r="AD25" s="535"/>
      <c r="AE25" s="535"/>
      <c r="AF25" s="535"/>
      <c r="AG25" s="535"/>
      <c r="AH25" s="535"/>
      <c r="AI25" s="535"/>
      <c r="AJ25" s="535"/>
      <c r="AK25" s="535"/>
      <c r="AL25" s="536">
        <f>'1.1 Structural changes (GC)'!B18</f>
        <v>0</v>
      </c>
      <c r="AM25" s="536">
        <f>'1.1 Structural changes (GC)'!C18</f>
        <v>0</v>
      </c>
      <c r="AN25" s="536" t="str">
        <f>'1.1 Structural changes (GC)'!A18</f>
        <v>Maintenance harmonization</v>
      </c>
      <c r="AO25" s="536" t="str">
        <f>'1.1 Structural changes (GC)'!D18</f>
        <v/>
      </c>
      <c r="AP25" s="451">
        <v>1013</v>
      </c>
      <c r="AQ25" s="451" t="str">
        <f>Settings!$A$1</f>
        <v>V2</v>
      </c>
    </row>
    <row r="26" spans="1:43" ht="12.75" customHeight="1">
      <c r="A26" s="451">
        <f>'Input-FX Rates'!$C$4</f>
        <v>242</v>
      </c>
      <c r="B26" s="451" t="str">
        <f>'Input-FX Rates'!$B$4</f>
        <v>ICH Icheon (242)</v>
      </c>
      <c r="C26" s="451">
        <f>'Input-FX Rates'!$C$6</f>
        <v>780</v>
      </c>
      <c r="D26" s="451" t="str">
        <f>'Input-FX Rates'!$B$6</f>
        <v>780 BU Controls</v>
      </c>
      <c r="E26" s="451" t="str">
        <f>'Input-FX Rates'!$C$5</f>
        <v>7821 &amp; 7822</v>
      </c>
      <c r="F26" s="451" t="str">
        <f>'Input-FX Rates'!$B$5</f>
        <v>7821 PL Drivetrain Controls (&amp; Electrification)</v>
      </c>
      <c r="G26" s="451" t="s">
        <v>1456</v>
      </c>
      <c r="H26" s="451" t="s">
        <v>230</v>
      </c>
      <c r="I26" s="535"/>
      <c r="J26" s="535"/>
      <c r="K26" s="535"/>
      <c r="L26" s="535"/>
      <c r="M26" s="535"/>
      <c r="N26" s="535"/>
      <c r="O26" s="535"/>
      <c r="P26" s="535"/>
      <c r="Q26" s="535"/>
      <c r="R26" s="535"/>
      <c r="S26" s="535"/>
      <c r="T26" s="535"/>
      <c r="U26" s="535"/>
      <c r="V26" s="535"/>
      <c r="W26" s="535"/>
      <c r="X26" s="535"/>
      <c r="Y26" s="535"/>
      <c r="Z26" s="535"/>
      <c r="AA26" s="535"/>
      <c r="AB26" s="535"/>
      <c r="AC26" s="535"/>
      <c r="AD26" s="535"/>
      <c r="AE26" s="535"/>
      <c r="AF26" s="535"/>
      <c r="AG26" s="535"/>
      <c r="AH26" s="535"/>
      <c r="AI26" s="535"/>
      <c r="AJ26" s="535"/>
      <c r="AK26" s="535"/>
      <c r="AL26" s="536">
        <f>'1.1 Structural changes (GC)'!B19</f>
        <v>0</v>
      </c>
      <c r="AM26" s="536">
        <f>'1.1 Structural changes (GC)'!C19</f>
        <v>0</v>
      </c>
      <c r="AN26" s="536" t="str">
        <f>'1.1 Structural changes (GC)'!A19</f>
        <v>Structural change 2</v>
      </c>
      <c r="AO26" s="536" t="str">
        <f>'1.1 Structural changes (GC)'!D19</f>
        <v/>
      </c>
      <c r="AP26" s="451">
        <v>1014</v>
      </c>
      <c r="AQ26" s="451" t="str">
        <f>Settings!$A$1</f>
        <v>V2</v>
      </c>
    </row>
    <row r="27" spans="1:43" ht="12.75" customHeight="1">
      <c r="A27" s="451">
        <f>'Input-FX Rates'!$C$4</f>
        <v>242</v>
      </c>
      <c r="B27" s="451" t="str">
        <f>'Input-FX Rates'!$B$4</f>
        <v>ICH Icheon (242)</v>
      </c>
      <c r="C27" s="451">
        <f>'Input-FX Rates'!$C$6</f>
        <v>780</v>
      </c>
      <c r="D27" s="451" t="str">
        <f>'Input-FX Rates'!$B$6</f>
        <v>780 BU Controls</v>
      </c>
      <c r="E27" s="451" t="str">
        <f>'Input-FX Rates'!$C$5</f>
        <v>7821 &amp; 7822</v>
      </c>
      <c r="F27" s="451" t="str">
        <f>'Input-FX Rates'!$B$5</f>
        <v>7821 PL Drivetrain Controls (&amp; Electrification)</v>
      </c>
      <c r="G27" s="451" t="s">
        <v>1456</v>
      </c>
      <c r="H27" s="451" t="s">
        <v>232</v>
      </c>
      <c r="I27" s="535"/>
      <c r="J27" s="535"/>
      <c r="K27" s="535"/>
      <c r="L27" s="535"/>
      <c r="M27" s="535"/>
      <c r="N27" s="535"/>
      <c r="O27" s="535"/>
      <c r="P27" s="535"/>
      <c r="Q27" s="535"/>
      <c r="R27" s="535"/>
      <c r="S27" s="535"/>
      <c r="T27" s="535"/>
      <c r="U27" s="535"/>
      <c r="V27" s="535"/>
      <c r="W27" s="535"/>
      <c r="X27" s="535"/>
      <c r="Y27" s="535"/>
      <c r="Z27" s="535"/>
      <c r="AA27" s="535"/>
      <c r="AB27" s="535"/>
      <c r="AC27" s="535"/>
      <c r="AD27" s="535"/>
      <c r="AE27" s="535"/>
      <c r="AF27" s="535"/>
      <c r="AG27" s="535"/>
      <c r="AH27" s="535"/>
      <c r="AI27" s="535"/>
      <c r="AJ27" s="535"/>
      <c r="AK27" s="535"/>
      <c r="AL27" s="536">
        <f>'1.1 Structural changes (GC)'!B20</f>
        <v>0</v>
      </c>
      <c r="AM27" s="536">
        <f>'1.1 Structural changes (GC)'!C20</f>
        <v>0</v>
      </c>
      <c r="AN27" s="536" t="str">
        <f>'1.1 Structural changes (GC)'!A20</f>
        <v>Structural change 3</v>
      </c>
      <c r="AO27" s="536" t="str">
        <f>'1.1 Structural changes (GC)'!D20</f>
        <v/>
      </c>
      <c r="AP27" s="451">
        <v>1015</v>
      </c>
      <c r="AQ27" s="451" t="str">
        <f>Settings!$A$1</f>
        <v>V2</v>
      </c>
    </row>
    <row r="28" spans="1:43" ht="12.75" customHeight="1">
      <c r="A28" s="451">
        <f>'Input-FX Rates'!$C$4</f>
        <v>242</v>
      </c>
      <c r="B28" s="451" t="str">
        <f>'Input-FX Rates'!$B$4</f>
        <v>ICH Icheon (242)</v>
      </c>
      <c r="C28" s="451">
        <f>'Input-FX Rates'!$C$6</f>
        <v>780</v>
      </c>
      <c r="D28" s="451" t="str">
        <f>'Input-FX Rates'!$B$6</f>
        <v>780 BU Controls</v>
      </c>
      <c r="E28" s="451" t="str">
        <f>'Input-FX Rates'!$C$5</f>
        <v>7821 &amp; 7822</v>
      </c>
      <c r="F28" s="451" t="str">
        <f>'Input-FX Rates'!$B$5</f>
        <v>7821 PL Drivetrain Controls (&amp; Electrification)</v>
      </c>
      <c r="G28" s="451" t="s">
        <v>1456</v>
      </c>
      <c r="H28" s="451" t="s">
        <v>233</v>
      </c>
      <c r="I28" s="535"/>
      <c r="J28" s="535"/>
      <c r="K28" s="535"/>
      <c r="L28" s="535"/>
      <c r="M28" s="535"/>
      <c r="N28" s="535"/>
      <c r="O28" s="535"/>
      <c r="P28" s="535"/>
      <c r="Q28" s="535"/>
      <c r="R28" s="535"/>
      <c r="S28" s="535"/>
      <c r="T28" s="535"/>
      <c r="U28" s="535"/>
      <c r="V28" s="535"/>
      <c r="W28" s="535"/>
      <c r="X28" s="535"/>
      <c r="Y28" s="535"/>
      <c r="Z28" s="535"/>
      <c r="AA28" s="535"/>
      <c r="AB28" s="535"/>
      <c r="AC28" s="535"/>
      <c r="AD28" s="535"/>
      <c r="AE28" s="535"/>
      <c r="AF28" s="535"/>
      <c r="AG28" s="535"/>
      <c r="AH28" s="535"/>
      <c r="AI28" s="535"/>
      <c r="AJ28" s="535"/>
      <c r="AK28" s="535"/>
      <c r="AL28" s="536">
        <f>'1.1 Structural changes (GC)'!B21</f>
        <v>0</v>
      </c>
      <c r="AM28" s="536">
        <f>'1.1 Structural changes (GC)'!C21</f>
        <v>0</v>
      </c>
      <c r="AN28" s="536" t="str">
        <f>'1.1 Structural changes (GC)'!A21</f>
        <v>Structural change 4</v>
      </c>
      <c r="AO28" s="536" t="str">
        <f>'1.1 Structural changes (GC)'!D21</f>
        <v/>
      </c>
      <c r="AP28" s="451">
        <v>1016</v>
      </c>
      <c r="AQ28" s="451" t="str">
        <f>Settings!$A$1</f>
        <v>V2</v>
      </c>
    </row>
    <row r="29" spans="1:43" ht="12.75" customHeight="1">
      <c r="A29" s="451">
        <f>'Input-FX Rates'!$C$4</f>
        <v>242</v>
      </c>
      <c r="B29" s="451" t="str">
        <f>'Input-FX Rates'!$B$4</f>
        <v>ICH Icheon (242)</v>
      </c>
      <c r="C29" s="451">
        <f>'Input-FX Rates'!$C$6</f>
        <v>780</v>
      </c>
      <c r="D29" s="451" t="str">
        <f>'Input-FX Rates'!$B$6</f>
        <v>780 BU Controls</v>
      </c>
      <c r="E29" s="451" t="str">
        <f>'Input-FX Rates'!$C$5</f>
        <v>7821 &amp; 7822</v>
      </c>
      <c r="F29" s="451" t="str">
        <f>'Input-FX Rates'!$B$5</f>
        <v>7821 PL Drivetrain Controls (&amp; Electrification)</v>
      </c>
      <c r="G29" s="451" t="s">
        <v>1456</v>
      </c>
      <c r="H29" s="451" t="s">
        <v>235</v>
      </c>
      <c r="I29" s="535"/>
      <c r="J29" s="535"/>
      <c r="K29" s="535"/>
      <c r="L29" s="535"/>
      <c r="M29" s="535"/>
      <c r="N29" s="535"/>
      <c r="O29" s="535"/>
      <c r="P29" s="535"/>
      <c r="Q29" s="535"/>
      <c r="R29" s="535"/>
      <c r="S29" s="535"/>
      <c r="T29" s="535"/>
      <c r="U29" s="535"/>
      <c r="V29" s="535"/>
      <c r="W29" s="535"/>
      <c r="X29" s="535"/>
      <c r="Y29" s="535"/>
      <c r="Z29" s="535"/>
      <c r="AA29" s="535"/>
      <c r="AB29" s="535"/>
      <c r="AC29" s="535"/>
      <c r="AD29" s="535"/>
      <c r="AE29" s="535"/>
      <c r="AF29" s="535"/>
      <c r="AG29" s="535"/>
      <c r="AH29" s="535"/>
      <c r="AI29" s="535"/>
      <c r="AJ29" s="535"/>
      <c r="AK29" s="535"/>
      <c r="AL29" s="536">
        <f>'1.1 Structural changes (GC)'!B22</f>
        <v>0</v>
      </c>
      <c r="AM29" s="536">
        <f>'1.1 Structural changes (GC)'!C22</f>
        <v>0</v>
      </c>
      <c r="AN29" s="536" t="str">
        <f>'1.1 Structural changes (GC)'!A22</f>
        <v>Structural change 5</v>
      </c>
      <c r="AO29" s="536" t="str">
        <f>'1.1 Structural changes (GC)'!D22</f>
        <v/>
      </c>
      <c r="AP29" s="451">
        <v>1017</v>
      </c>
      <c r="AQ29" s="451" t="str">
        <f>Settings!$A$1</f>
        <v>V2</v>
      </c>
    </row>
    <row r="30" spans="1:43" ht="12.75" customHeight="1">
      <c r="A30" s="451">
        <f>'Input-FX Rates'!$C$4</f>
        <v>242</v>
      </c>
      <c r="B30" s="451" t="str">
        <f>'Input-FX Rates'!$B$4</f>
        <v>ICH Icheon (242)</v>
      </c>
      <c r="C30" s="451">
        <f>'Input-FX Rates'!$C$6</f>
        <v>780</v>
      </c>
      <c r="D30" s="451" t="str">
        <f>'Input-FX Rates'!$B$6</f>
        <v>780 BU Controls</v>
      </c>
      <c r="E30" s="451" t="str">
        <f>'Input-FX Rates'!$C$5</f>
        <v>7821 &amp; 7822</v>
      </c>
      <c r="F30" s="451" t="str">
        <f>'Input-FX Rates'!$B$5</f>
        <v>7821 PL Drivetrain Controls (&amp; Electrification)</v>
      </c>
      <c r="G30" s="451" t="s">
        <v>1456</v>
      </c>
      <c r="H30" s="451" t="s">
        <v>237</v>
      </c>
      <c r="I30" s="535"/>
      <c r="J30" s="535"/>
      <c r="K30" s="535"/>
      <c r="L30" s="535"/>
      <c r="M30" s="535"/>
      <c r="N30" s="535"/>
      <c r="O30" s="535"/>
      <c r="P30" s="535"/>
      <c r="Q30" s="535"/>
      <c r="R30" s="535"/>
      <c r="S30" s="535"/>
      <c r="T30" s="535"/>
      <c r="U30" s="535"/>
      <c r="V30" s="535"/>
      <c r="W30" s="535"/>
      <c r="X30" s="535"/>
      <c r="Y30" s="535"/>
      <c r="Z30" s="535"/>
      <c r="AA30" s="535"/>
      <c r="AB30" s="535"/>
      <c r="AC30" s="535"/>
      <c r="AD30" s="535"/>
      <c r="AE30" s="535"/>
      <c r="AF30" s="535"/>
      <c r="AG30" s="535"/>
      <c r="AH30" s="535"/>
      <c r="AI30" s="535"/>
      <c r="AJ30" s="535"/>
      <c r="AK30" s="535"/>
      <c r="AL30" s="536">
        <f>'1.1 Structural changes (GC)'!B23</f>
        <v>0</v>
      </c>
      <c r="AM30" s="536">
        <f>'1.1 Structural changes (GC)'!C23</f>
        <v>0</v>
      </c>
      <c r="AN30" s="536" t="str">
        <f>'1.1 Structural changes (GC)'!A23</f>
        <v>Structural change 6</v>
      </c>
      <c r="AO30" s="536" t="str">
        <f>'1.1 Structural changes (GC)'!D23</f>
        <v/>
      </c>
      <c r="AP30" s="451">
        <v>1018</v>
      </c>
      <c r="AQ30" s="451" t="str">
        <f>Settings!$A$1</f>
        <v>V2</v>
      </c>
    </row>
    <row r="31" spans="1:43" ht="12.75" customHeight="1">
      <c r="A31" s="451">
        <f>'Input-FX Rates'!$C$4</f>
        <v>242</v>
      </c>
      <c r="B31" s="451" t="str">
        <f>'Input-FX Rates'!$B$4</f>
        <v>ICH Icheon (242)</v>
      </c>
      <c r="C31" s="451">
        <f>'Input-FX Rates'!$C$6</f>
        <v>780</v>
      </c>
      <c r="D31" s="451" t="str">
        <f>'Input-FX Rates'!$B$6</f>
        <v>780 BU Controls</v>
      </c>
      <c r="E31" s="451" t="str">
        <f>'Input-FX Rates'!$C$5</f>
        <v>7821 &amp; 7822</v>
      </c>
      <c r="F31" s="451" t="str">
        <f>'Input-FX Rates'!$B$5</f>
        <v>7821 PL Drivetrain Controls (&amp; Electrification)</v>
      </c>
      <c r="G31" s="451" t="s">
        <v>1456</v>
      </c>
      <c r="H31" s="451" t="s">
        <v>238</v>
      </c>
      <c r="I31" s="535"/>
      <c r="J31" s="535"/>
      <c r="K31" s="535"/>
      <c r="L31" s="535"/>
      <c r="M31" s="535"/>
      <c r="N31" s="535"/>
      <c r="O31" s="535"/>
      <c r="P31" s="535"/>
      <c r="Q31" s="535"/>
      <c r="R31" s="535"/>
      <c r="S31" s="535"/>
      <c r="T31" s="535"/>
      <c r="U31" s="535"/>
      <c r="V31" s="535"/>
      <c r="W31" s="535"/>
      <c r="X31" s="535"/>
      <c r="Y31" s="535"/>
      <c r="Z31" s="535"/>
      <c r="AA31" s="535"/>
      <c r="AB31" s="535"/>
      <c r="AC31" s="535"/>
      <c r="AD31" s="535"/>
      <c r="AE31" s="535"/>
      <c r="AF31" s="535"/>
      <c r="AG31" s="535"/>
      <c r="AH31" s="535"/>
      <c r="AI31" s="535"/>
      <c r="AJ31" s="535"/>
      <c r="AK31" s="535"/>
      <c r="AL31" s="536">
        <f>'1.1 Structural changes (GC)'!B24</f>
        <v>0</v>
      </c>
      <c r="AM31" s="536">
        <f>'1.1 Structural changes (GC)'!C24</f>
        <v>0</v>
      </c>
      <c r="AN31" s="536" t="str">
        <f>'1.1 Structural changes (GC)'!A24</f>
        <v>Structural change 7</v>
      </c>
      <c r="AO31" s="536" t="str">
        <f>'1.1 Structural changes (GC)'!D24</f>
        <v/>
      </c>
      <c r="AP31" s="451">
        <v>1019</v>
      </c>
      <c r="AQ31" s="451" t="str">
        <f>Settings!$A$1</f>
        <v>V2</v>
      </c>
    </row>
    <row r="32" spans="1:43" ht="12.75" customHeight="1">
      <c r="A32" s="451">
        <f>'Input-FX Rates'!$C$4</f>
        <v>242</v>
      </c>
      <c r="B32" s="451" t="str">
        <f>'Input-FX Rates'!$B$4</f>
        <v>ICH Icheon (242)</v>
      </c>
      <c r="C32" s="451">
        <f>'Input-FX Rates'!$C$6</f>
        <v>780</v>
      </c>
      <c r="D32" s="451" t="str">
        <f>'Input-FX Rates'!$B$6</f>
        <v>780 BU Controls</v>
      </c>
      <c r="E32" s="451" t="str">
        <f>'Input-FX Rates'!$C$5</f>
        <v>7821 &amp; 7822</v>
      </c>
      <c r="F32" s="451" t="str">
        <f>'Input-FX Rates'!$B$5</f>
        <v>7821 PL Drivetrain Controls (&amp; Electrification)</v>
      </c>
      <c r="G32" s="451" t="s">
        <v>1456</v>
      </c>
      <c r="H32" s="451" t="s">
        <v>239</v>
      </c>
      <c r="I32" s="535"/>
      <c r="J32" s="535"/>
      <c r="K32" s="535"/>
      <c r="L32" s="535"/>
      <c r="M32" s="535"/>
      <c r="N32" s="535"/>
      <c r="O32" s="535"/>
      <c r="P32" s="535"/>
      <c r="Q32" s="535"/>
      <c r="R32" s="535"/>
      <c r="S32" s="535"/>
      <c r="T32" s="535"/>
      <c r="U32" s="535"/>
      <c r="V32" s="535"/>
      <c r="W32" s="535"/>
      <c r="X32" s="535"/>
      <c r="Y32" s="535"/>
      <c r="Z32" s="535"/>
      <c r="AA32" s="535"/>
      <c r="AB32" s="535"/>
      <c r="AC32" s="535"/>
      <c r="AD32" s="535"/>
      <c r="AE32" s="535"/>
      <c r="AF32" s="535"/>
      <c r="AG32" s="535"/>
      <c r="AH32" s="535"/>
      <c r="AI32" s="535"/>
      <c r="AJ32" s="535"/>
      <c r="AK32" s="535"/>
      <c r="AL32" s="536">
        <f>'1.1 Structural changes (GC)'!B25</f>
        <v>0</v>
      </c>
      <c r="AM32" s="536">
        <f>'1.1 Structural changes (GC)'!C25</f>
        <v>0</v>
      </c>
      <c r="AN32" s="536" t="str">
        <f>'1.1 Structural changes (GC)'!A25</f>
        <v>Structural change 8</v>
      </c>
      <c r="AO32" s="536" t="str">
        <f>'1.1 Structural changes (GC)'!D25</f>
        <v/>
      </c>
      <c r="AP32" s="451">
        <v>1020</v>
      </c>
      <c r="AQ32" s="451" t="str">
        <f>Settings!$A$1</f>
        <v>V2</v>
      </c>
    </row>
    <row r="33" spans="1:43" ht="12.75" customHeight="1">
      <c r="A33" s="451">
        <f>'Input-FX Rates'!$C$4</f>
        <v>242</v>
      </c>
      <c r="B33" s="451" t="str">
        <f>'Input-FX Rates'!$B$4</f>
        <v>ICH Icheon (242)</v>
      </c>
      <c r="C33" s="451">
        <f>'Input-FX Rates'!$C$6</f>
        <v>780</v>
      </c>
      <c r="D33" s="451" t="str">
        <f>'Input-FX Rates'!$B$6</f>
        <v>780 BU Controls</v>
      </c>
      <c r="E33" s="451" t="str">
        <f>'Input-FX Rates'!$C$5</f>
        <v>7821 &amp; 7822</v>
      </c>
      <c r="F33" s="451" t="str">
        <f>'Input-FX Rates'!$B$5</f>
        <v>7821 PL Drivetrain Controls (&amp; Electrification)</v>
      </c>
      <c r="G33" s="451" t="s">
        <v>1456</v>
      </c>
      <c r="H33" s="451" t="s">
        <v>241</v>
      </c>
      <c r="I33" s="535"/>
      <c r="J33" s="535"/>
      <c r="K33" s="535"/>
      <c r="L33" s="535"/>
      <c r="M33" s="535"/>
      <c r="N33" s="535"/>
      <c r="O33" s="535"/>
      <c r="P33" s="535"/>
      <c r="Q33" s="535"/>
      <c r="R33" s="535"/>
      <c r="S33" s="535"/>
      <c r="T33" s="535"/>
      <c r="U33" s="535"/>
      <c r="V33" s="535"/>
      <c r="W33" s="535"/>
      <c r="X33" s="535"/>
      <c r="Y33" s="535"/>
      <c r="Z33" s="535"/>
      <c r="AA33" s="535"/>
      <c r="AB33" s="535"/>
      <c r="AC33" s="535"/>
      <c r="AD33" s="535"/>
      <c r="AE33" s="535"/>
      <c r="AF33" s="535"/>
      <c r="AG33" s="535"/>
      <c r="AH33" s="535"/>
      <c r="AI33" s="535"/>
      <c r="AJ33" s="535"/>
      <c r="AK33" s="535"/>
      <c r="AL33" s="536">
        <f>'1.1 Structural changes (GC)'!B26</f>
        <v>0</v>
      </c>
      <c r="AM33" s="536">
        <f>'1.1 Structural changes (GC)'!C26</f>
        <v>0</v>
      </c>
      <c r="AN33" s="536" t="str">
        <f>'1.1 Structural changes (GC)'!A26</f>
        <v>Structural change 9</v>
      </c>
      <c r="AO33" s="536" t="str">
        <f>'1.1 Structural changes (GC)'!D26</f>
        <v/>
      </c>
      <c r="AP33" s="451">
        <v>1021</v>
      </c>
      <c r="AQ33" s="451" t="str">
        <f>Settings!$A$1</f>
        <v>V2</v>
      </c>
    </row>
    <row r="34" spans="1:43" ht="12.75" customHeight="1">
      <c r="A34" s="451">
        <f>'Input-FX Rates'!$C$4</f>
        <v>242</v>
      </c>
      <c r="B34" s="451" t="str">
        <f>'Input-FX Rates'!$B$4</f>
        <v>ICH Icheon (242)</v>
      </c>
      <c r="C34" s="451">
        <f>'Input-FX Rates'!$C$6</f>
        <v>780</v>
      </c>
      <c r="D34" s="451" t="str">
        <f>'Input-FX Rates'!$B$6</f>
        <v>780 BU Controls</v>
      </c>
      <c r="E34" s="451" t="str">
        <f>'Input-FX Rates'!$C$5</f>
        <v>7821 &amp; 7822</v>
      </c>
      <c r="F34" s="451" t="str">
        <f>'Input-FX Rates'!$B$5</f>
        <v>7821 PL Drivetrain Controls (&amp; Electrification)</v>
      </c>
      <c r="G34" s="451" t="s">
        <v>1456</v>
      </c>
      <c r="H34" s="451" t="s">
        <v>242</v>
      </c>
      <c r="I34" s="535"/>
      <c r="J34" s="535"/>
      <c r="K34" s="535"/>
      <c r="L34" s="535"/>
      <c r="M34" s="535"/>
      <c r="N34" s="535"/>
      <c r="O34" s="535"/>
      <c r="P34" s="535"/>
      <c r="Q34" s="535"/>
      <c r="R34" s="535"/>
      <c r="S34" s="535"/>
      <c r="T34" s="535"/>
      <c r="U34" s="535"/>
      <c r="V34" s="535"/>
      <c r="W34" s="535"/>
      <c r="X34" s="535"/>
      <c r="Y34" s="535"/>
      <c r="Z34" s="535"/>
      <c r="AA34" s="535"/>
      <c r="AB34" s="535"/>
      <c r="AC34" s="535"/>
      <c r="AD34" s="535"/>
      <c r="AE34" s="535"/>
      <c r="AF34" s="535"/>
      <c r="AG34" s="535"/>
      <c r="AH34" s="535"/>
      <c r="AI34" s="535"/>
      <c r="AJ34" s="535"/>
      <c r="AK34" s="535"/>
      <c r="AL34" s="536">
        <f>'1.1 Structural changes (GC)'!B27</f>
        <v>0</v>
      </c>
      <c r="AM34" s="536">
        <f>'1.1 Structural changes (GC)'!C27</f>
        <v>0</v>
      </c>
      <c r="AN34" s="536" t="str">
        <f>'1.1 Structural changes (GC)'!A27</f>
        <v>Structural change 10</v>
      </c>
      <c r="AO34" s="536" t="str">
        <f>'1.1 Structural changes (GC)'!D27</f>
        <v/>
      </c>
      <c r="AP34" s="451">
        <v>1022</v>
      </c>
      <c r="AQ34" s="451" t="str">
        <f>Settings!$A$1</f>
        <v>V2</v>
      </c>
    </row>
    <row r="35" spans="1:43" s="537" customFormat="1" ht="12.75" customHeight="1">
      <c r="A35" s="537">
        <f>'Input-FX Rates'!$C$4</f>
        <v>242</v>
      </c>
      <c r="B35" s="537" t="str">
        <f>'Input-FX Rates'!$B$4</f>
        <v>ICH Icheon (242)</v>
      </c>
      <c r="C35" s="537">
        <f>'Input-FX Rates'!$C$6</f>
        <v>780</v>
      </c>
      <c r="D35" s="537" t="str">
        <f>'Input-FX Rates'!$B$6</f>
        <v>780 BU Controls</v>
      </c>
      <c r="E35" s="537" t="str">
        <f>'Input-FX Rates'!$C$5</f>
        <v>7821 &amp; 7822</v>
      </c>
      <c r="F35" s="537" t="str">
        <f>'Input-FX Rates'!$B$5</f>
        <v>7821 PL Drivetrain Controls (&amp; Electrification)</v>
      </c>
      <c r="G35" s="537" t="s">
        <v>1456</v>
      </c>
      <c r="H35" s="537" t="s">
        <v>245</v>
      </c>
      <c r="I35" s="538"/>
      <c r="J35" s="538"/>
      <c r="K35" s="538"/>
      <c r="L35" s="538"/>
      <c r="M35" s="538"/>
      <c r="N35" s="538"/>
      <c r="O35" s="538"/>
      <c r="P35" s="538"/>
      <c r="Q35" s="538"/>
      <c r="R35" s="538"/>
      <c r="S35" s="538"/>
      <c r="T35" s="538"/>
      <c r="U35" s="538"/>
      <c r="V35" s="538"/>
      <c r="W35" s="538"/>
      <c r="X35" s="538"/>
      <c r="Y35" s="538"/>
      <c r="Z35" s="538"/>
      <c r="AA35" s="538"/>
      <c r="AB35" s="538"/>
      <c r="AC35" s="538"/>
      <c r="AD35" s="538"/>
      <c r="AE35" s="538"/>
      <c r="AF35" s="538"/>
      <c r="AG35" s="538"/>
      <c r="AH35" s="538"/>
      <c r="AI35" s="538"/>
      <c r="AJ35" s="538"/>
      <c r="AK35" s="538"/>
      <c r="AL35" s="539">
        <f>'1.1 Structural changes (GC)'!B28</f>
        <v>0</v>
      </c>
      <c r="AM35" s="539">
        <f>'1.1 Structural changes (GC)'!C28</f>
        <v>0</v>
      </c>
      <c r="AN35" s="539" t="str">
        <f>'1.1 Structural changes (GC)'!A28</f>
        <v>Total structural changes</v>
      </c>
      <c r="AO35" s="539" t="str">
        <f>'1.1 Structural changes (GC)'!D28</f>
        <v/>
      </c>
      <c r="AP35" s="537">
        <v>1023</v>
      </c>
      <c r="AQ35" s="537" t="str">
        <f>Settings!$A$1</f>
        <v>V2</v>
      </c>
    </row>
    <row r="36" spans="1:43" ht="12.75" customHeight="1">
      <c r="A36" s="451">
        <f>'Input-FX Rates'!$C$4</f>
        <v>242</v>
      </c>
      <c r="B36" s="451" t="str">
        <f>'Input-FX Rates'!$B$4</f>
        <v>ICH Icheon (242)</v>
      </c>
      <c r="C36" s="451">
        <f>'Input-FX Rates'!$C$6</f>
        <v>780</v>
      </c>
      <c r="D36" s="451" t="str">
        <f>'Input-FX Rates'!$B$6</f>
        <v>780 BU Controls</v>
      </c>
      <c r="E36" s="451" t="str">
        <f>'Input-FX Rates'!$C$5</f>
        <v>7821 &amp; 7822</v>
      </c>
      <c r="F36" s="451" t="str">
        <f>'Input-FX Rates'!$B$5</f>
        <v>7821 PL Drivetrain Controls (&amp; Electrification)</v>
      </c>
      <c r="G36" s="451" t="s">
        <v>1457</v>
      </c>
      <c r="H36" s="451" t="s">
        <v>195</v>
      </c>
      <c r="I36" s="535"/>
      <c r="J36" s="535"/>
      <c r="K36" s="536">
        <f>'2. Variable (GC)'!B6</f>
        <v>55718.001789595619</v>
      </c>
      <c r="L36" s="536">
        <f>'2. Variable (GC)'!C6</f>
        <v>100126.74994033898</v>
      </c>
      <c r="M36" s="536">
        <f>'2. Variable (GC)'!D6</f>
        <v>3022.7447892794153</v>
      </c>
      <c r="N36" s="536">
        <f>'2. Variable (GC)'!E6</f>
        <v>97104.00515105958</v>
      </c>
      <c r="O36" s="536">
        <f>'2. Variable (GC)'!N6</f>
        <v>87874.142590344825</v>
      </c>
      <c r="P36" s="536">
        <f>'2. Variable (GC)'!M6</f>
        <v>0</v>
      </c>
      <c r="Q36" s="536">
        <f>'2. Variable (GC)'!F6</f>
        <v>-5202.0327006265215</v>
      </c>
      <c r="R36" s="536">
        <f>'2. Variable (GC)'!G6</f>
        <v>0</v>
      </c>
      <c r="S36" s="536">
        <f>'2. Variable (GC)'!H6</f>
        <v>-1878.0395368420614</v>
      </c>
      <c r="T36" s="536">
        <f>'2. Variable (GC)'!I6</f>
        <v>0</v>
      </c>
      <c r="U36" s="536">
        <f>'2. Variable (GC)'!K6</f>
        <v>749.9571807719625</v>
      </c>
      <c r="V36" s="536">
        <f>'2. Variable (GC)'!L6</f>
        <v>-2899.7475040181307</v>
      </c>
      <c r="W36" s="535"/>
      <c r="X36" s="535"/>
      <c r="Y36" s="535"/>
      <c r="Z36" s="535"/>
      <c r="AA36" s="535"/>
      <c r="AB36" s="535"/>
      <c r="AC36" s="535"/>
      <c r="AD36" s="535"/>
      <c r="AE36" s="535"/>
      <c r="AF36" s="535"/>
      <c r="AG36" s="535"/>
      <c r="AH36" s="535"/>
      <c r="AI36" s="535"/>
      <c r="AJ36" s="535"/>
      <c r="AK36" s="535"/>
      <c r="AL36" s="535"/>
      <c r="AM36" s="535"/>
      <c r="AN36" s="535"/>
      <c r="AO36" s="451" t="str">
        <f>'2. Variable (GC)'!P6</f>
        <v/>
      </c>
      <c r="AP36" s="451">
        <v>12</v>
      </c>
      <c r="AQ36" s="451" t="str">
        <f>Settings!$A$1</f>
        <v>V2</v>
      </c>
    </row>
    <row r="37" spans="1:43" ht="12.75" customHeight="1">
      <c r="A37" s="451">
        <f>'Input-FX Rates'!$C$4</f>
        <v>242</v>
      </c>
      <c r="B37" s="451" t="str">
        <f>'Input-FX Rates'!$B$4</f>
        <v>ICH Icheon (242)</v>
      </c>
      <c r="C37" s="451">
        <f>'Input-FX Rates'!$C$6</f>
        <v>780</v>
      </c>
      <c r="D37" s="451" t="str">
        <f>'Input-FX Rates'!$B$6</f>
        <v>780 BU Controls</v>
      </c>
      <c r="E37" s="451" t="str">
        <f>'Input-FX Rates'!$C$5</f>
        <v>7821 &amp; 7822</v>
      </c>
      <c r="F37" s="451" t="str">
        <f>'Input-FX Rates'!$B$5</f>
        <v>7821 PL Drivetrain Controls (&amp; Electrification)</v>
      </c>
      <c r="G37" s="451" t="s">
        <v>1457</v>
      </c>
      <c r="H37" s="451" t="s">
        <v>259</v>
      </c>
      <c r="I37" s="535"/>
      <c r="J37" s="535"/>
      <c r="K37" s="536">
        <f>'2. Variable (GC)'!B7</f>
        <v>56065.221779407824</v>
      </c>
      <c r="L37" s="536">
        <f>'2. Variable (GC)'!C7</f>
        <v>95989.283423216315</v>
      </c>
      <c r="M37" s="536">
        <f>'2. Variable (GC)'!D7</f>
        <v>3022.7447892794153</v>
      </c>
      <c r="N37" s="536">
        <f>'2. Variable (GC)'!E7</f>
        <v>92966.5386339369</v>
      </c>
      <c r="O37" s="536">
        <f>'2. Variable (GC)'!N7</f>
        <v>87148.142590000003</v>
      </c>
      <c r="P37" s="536">
        <f>'2. Variable (GC)'!M7</f>
        <v>0</v>
      </c>
      <c r="Q37" s="536">
        <f>'2. Variable (GC)'!F7</f>
        <v>0</v>
      </c>
      <c r="R37" s="536">
        <f>'2. Variable (GC)'!G7</f>
        <v>0</v>
      </c>
      <c r="S37" s="536">
        <f>'2. Variable (GC)'!H7</f>
        <v>0</v>
      </c>
      <c r="T37" s="536">
        <f>'2. Variable (GC)'!I7</f>
        <v>0</v>
      </c>
      <c r="U37" s="536">
        <f>'2. Variable (GC)'!K7</f>
        <v>0</v>
      </c>
      <c r="V37" s="536">
        <f>'2. Variable (GC)'!L7</f>
        <v>-2875.7903235909907</v>
      </c>
      <c r="W37" s="535"/>
      <c r="X37" s="535"/>
      <c r="Y37" s="535"/>
      <c r="Z37" s="535"/>
      <c r="AA37" s="535"/>
      <c r="AB37" s="535"/>
      <c r="AC37" s="535"/>
      <c r="AD37" s="535"/>
      <c r="AE37" s="535"/>
      <c r="AF37" s="535"/>
      <c r="AG37" s="535"/>
      <c r="AH37" s="535"/>
      <c r="AI37" s="535"/>
      <c r="AJ37" s="535"/>
      <c r="AK37" s="535"/>
      <c r="AL37" s="535"/>
      <c r="AM37" s="535"/>
      <c r="AN37" s="535"/>
      <c r="AO37" s="451" t="str">
        <f>'2. Variable (GC)'!P7</f>
        <v/>
      </c>
      <c r="AP37" s="451">
        <v>13</v>
      </c>
      <c r="AQ37" s="451" t="str">
        <f>Settings!$A$1</f>
        <v>V2</v>
      </c>
    </row>
    <row r="38" spans="1:43" ht="12.75" customHeight="1">
      <c r="A38" s="451">
        <f>'Input-FX Rates'!$C$4</f>
        <v>242</v>
      </c>
      <c r="B38" s="451" t="str">
        <f>'Input-FX Rates'!$B$4</f>
        <v>ICH Icheon (242)</v>
      </c>
      <c r="C38" s="451">
        <f>'Input-FX Rates'!$C$6</f>
        <v>780</v>
      </c>
      <c r="D38" s="451" t="str">
        <f>'Input-FX Rates'!$B$6</f>
        <v>780 BU Controls</v>
      </c>
      <c r="E38" s="451" t="str">
        <f>'Input-FX Rates'!$C$5</f>
        <v>7821 &amp; 7822</v>
      </c>
      <c r="F38" s="451" t="str">
        <f>'Input-FX Rates'!$B$5</f>
        <v>7821 PL Drivetrain Controls (&amp; Electrification)</v>
      </c>
      <c r="G38" s="451" t="s">
        <v>1457</v>
      </c>
      <c r="H38" s="451" t="s">
        <v>260</v>
      </c>
      <c r="I38" s="535"/>
      <c r="J38" s="535"/>
      <c r="K38" s="536">
        <f>'2. Variable (GC)'!B8</f>
        <v>-27552.479049875601</v>
      </c>
      <c r="L38" s="536">
        <f>'2. Variable (GC)'!C8</f>
        <v>-48002.646865032941</v>
      </c>
      <c r="M38" s="536">
        <f>'2. Variable (GC)'!D8</f>
        <v>0</v>
      </c>
      <c r="N38" s="536">
        <f>'2. Variable (GC)'!E8</f>
        <v>-48002.646865032941</v>
      </c>
      <c r="O38" s="536">
        <f>'2. Variable (GC)'!N8</f>
        <v>-44075.975147268968</v>
      </c>
      <c r="P38" s="536">
        <f>'2. Variable (GC)'!M8</f>
        <v>0</v>
      </c>
      <c r="Q38" s="536">
        <f>'2. Variable (GC)'!F8</f>
        <v>2571.5872848354184</v>
      </c>
      <c r="R38" s="536">
        <f>'2. Variable (GC)'!G8</f>
        <v>-581.52181417911936</v>
      </c>
      <c r="S38" s="536">
        <f>'2. Variable (GC)'!H8</f>
        <v>544.78219509467442</v>
      </c>
      <c r="T38" s="536">
        <f>'2. Variable (GC)'!I8</f>
        <v>0</v>
      </c>
      <c r="U38" s="536">
        <f>'2. Variable (GC)'!K8</f>
        <v>-62.633370306143959</v>
      </c>
      <c r="V38" s="536">
        <f>'2. Variable (GC)'!L8</f>
        <v>1454.4574223191448</v>
      </c>
      <c r="W38" s="535"/>
      <c r="X38" s="535"/>
      <c r="Y38" s="535"/>
      <c r="Z38" s="535"/>
      <c r="AA38" s="535"/>
      <c r="AB38" s="535"/>
      <c r="AC38" s="535"/>
      <c r="AD38" s="535"/>
      <c r="AE38" s="535"/>
      <c r="AF38" s="535"/>
      <c r="AG38" s="535"/>
      <c r="AH38" s="535"/>
      <c r="AI38" s="535"/>
      <c r="AJ38" s="535"/>
      <c r="AK38" s="535"/>
      <c r="AL38" s="535"/>
      <c r="AM38" s="535"/>
      <c r="AN38" s="535"/>
      <c r="AO38" s="451" t="str">
        <f>'2. Variable (GC)'!P8</f>
        <v/>
      </c>
      <c r="AP38" s="451">
        <v>14</v>
      </c>
      <c r="AQ38" s="451" t="str">
        <f>Settings!$A$1</f>
        <v>V2</v>
      </c>
    </row>
    <row r="39" spans="1:43" ht="12.75" customHeight="1">
      <c r="A39" s="451">
        <f>'Input-FX Rates'!$C$4</f>
        <v>242</v>
      </c>
      <c r="B39" s="451" t="str">
        <f>'Input-FX Rates'!$B$4</f>
        <v>ICH Icheon (242)</v>
      </c>
      <c r="C39" s="451">
        <f>'Input-FX Rates'!$C$6</f>
        <v>780</v>
      </c>
      <c r="D39" s="451" t="str">
        <f>'Input-FX Rates'!$B$6</f>
        <v>780 BU Controls</v>
      </c>
      <c r="E39" s="451" t="str">
        <f>'Input-FX Rates'!$C$5</f>
        <v>7821 &amp; 7822</v>
      </c>
      <c r="F39" s="451" t="str">
        <f>'Input-FX Rates'!$B$5</f>
        <v>7821 PL Drivetrain Controls (&amp; Electrification)</v>
      </c>
      <c r="G39" s="451" t="s">
        <v>1457</v>
      </c>
      <c r="H39" s="542" t="s">
        <v>1458</v>
      </c>
      <c r="I39" s="535"/>
      <c r="J39" s="535"/>
      <c r="K39" s="536">
        <f>'2. Variable (GC)'!B10</f>
        <v>-24110.383992948922</v>
      </c>
      <c r="L39" s="536">
        <f>'2. Variable (GC)'!C10</f>
        <v>-43052.381019930937</v>
      </c>
      <c r="M39" s="536">
        <f>'2. Variable (GC)'!D10</f>
        <v>0</v>
      </c>
      <c r="N39" s="536">
        <f>'2. Variable (GC)'!E10</f>
        <v>-43052.381019930937</v>
      </c>
      <c r="O39" s="536">
        <f>'2. Variable (GC)'!N10</f>
        <v>-43970.300045199998</v>
      </c>
      <c r="P39" s="536">
        <f>'2. Variable (GC)'!M10</f>
        <v>0</v>
      </c>
      <c r="Q39" s="536">
        <f>'2. Variable (GC)'!F10</f>
        <v>2306.3922525825578</v>
      </c>
      <c r="R39" s="536">
        <f>'2. Variable (GC)'!G10</f>
        <v>-5220.0637361942017</v>
      </c>
      <c r="S39" s="536">
        <f>'2. Variable (GC)'!H10</f>
        <v>544.78219509467442</v>
      </c>
      <c r="T39" s="536">
        <f>'2. Variable (GC)'!I10</f>
        <v>0</v>
      </c>
      <c r="U39" s="536">
        <f>'2. Variable (GC)'!K10</f>
        <v>0</v>
      </c>
      <c r="V39" s="536">
        <f>'2. Variable (GC)'!L10</f>
        <v>1450.9702632479093</v>
      </c>
      <c r="W39" s="535"/>
      <c r="X39" s="535"/>
      <c r="Y39" s="535"/>
      <c r="Z39" s="535"/>
      <c r="AA39" s="535"/>
      <c r="AB39" s="535"/>
      <c r="AC39" s="535"/>
      <c r="AD39" s="535"/>
      <c r="AE39" s="535"/>
      <c r="AF39" s="535"/>
      <c r="AG39" s="535"/>
      <c r="AH39" s="535"/>
      <c r="AI39" s="535"/>
      <c r="AJ39" s="535"/>
      <c r="AK39" s="535"/>
      <c r="AL39" s="535"/>
      <c r="AM39" s="535"/>
      <c r="AN39" s="535"/>
      <c r="AO39" s="451" t="str">
        <f>'2. Variable (GC)'!P10</f>
        <v>Based on PSP after removing customer directed part that is supposed to be Zero.
Negative mix impact on material cost due to volume increase in SIM2K-305 &amp; 310.</v>
      </c>
      <c r="AP39" s="451">
        <v>15</v>
      </c>
      <c r="AQ39" s="451" t="str">
        <f>Settings!$A$1</f>
        <v>V2</v>
      </c>
    </row>
    <row r="40" spans="1:43" ht="12.75" customHeight="1">
      <c r="A40" s="451">
        <f>'Input-FX Rates'!$C$4</f>
        <v>242</v>
      </c>
      <c r="B40" s="451" t="str">
        <f>'Input-FX Rates'!$B$4</f>
        <v>ICH Icheon (242)</v>
      </c>
      <c r="C40" s="451">
        <f>'Input-FX Rates'!$C$6</f>
        <v>780</v>
      </c>
      <c r="D40" s="451" t="str">
        <f>'Input-FX Rates'!$B$6</f>
        <v>780 BU Controls</v>
      </c>
      <c r="E40" s="451" t="str">
        <f>'Input-FX Rates'!$C$5</f>
        <v>7821 &amp; 7822</v>
      </c>
      <c r="F40" s="451" t="str">
        <f>'Input-FX Rates'!$B$5</f>
        <v>7821 PL Drivetrain Controls (&amp; Electrification)</v>
      </c>
      <c r="G40" s="451" t="s">
        <v>1457</v>
      </c>
      <c r="H40" s="451" t="s">
        <v>266</v>
      </c>
      <c r="I40" s="535"/>
      <c r="J40" s="535"/>
      <c r="K40" s="536">
        <f>'2. Variable (GC)'!B11</f>
        <v>-3367.5968141348876</v>
      </c>
      <c r="L40" s="536">
        <f>'2. Variable (GC)'!C11</f>
        <v>-4647.2350602609504</v>
      </c>
      <c r="M40" s="536">
        <f>'2. Variable (GC)'!D11</f>
        <v>0</v>
      </c>
      <c r="N40" s="536">
        <f>'2. Variable (GC)'!E11</f>
        <v>-4647.2350602609504</v>
      </c>
      <c r="O40" s="536">
        <f>'2. Variable (GC)'!N11</f>
        <v>0</v>
      </c>
      <c r="P40" s="536">
        <f>'2. Variable (GC)'!M11</f>
        <v>0</v>
      </c>
      <c r="Q40" s="536">
        <f>'2. Variable (GC)'!F11</f>
        <v>248.96056447731746</v>
      </c>
      <c r="R40" s="536">
        <f>'2. Variable (GC)'!G11</f>
        <v>4398.274495783633</v>
      </c>
      <c r="S40" s="536">
        <f>'2. Variable (GC)'!H11</f>
        <v>0</v>
      </c>
      <c r="T40" s="536">
        <f>'2. Variable (GC)'!I11</f>
        <v>0</v>
      </c>
      <c r="U40" s="536">
        <f>'2. Variable (GC)'!K11</f>
        <v>0</v>
      </c>
      <c r="V40" s="536">
        <f>'2. Variable (GC)'!L11</f>
        <v>0</v>
      </c>
      <c r="W40" s="535"/>
      <c r="X40" s="535"/>
      <c r="Y40" s="535"/>
      <c r="Z40" s="535"/>
      <c r="AA40" s="535"/>
      <c r="AB40" s="535"/>
      <c r="AC40" s="535"/>
      <c r="AD40" s="535"/>
      <c r="AE40" s="535"/>
      <c r="AF40" s="535"/>
      <c r="AG40" s="535"/>
      <c r="AH40" s="535"/>
      <c r="AI40" s="535"/>
      <c r="AJ40" s="535"/>
      <c r="AK40" s="535"/>
      <c r="AL40" s="535"/>
      <c r="AM40" s="535"/>
      <c r="AN40" s="535"/>
      <c r="AO40" s="451" t="str">
        <f>'2. Variable (GC)'!P11</f>
        <v/>
      </c>
      <c r="AP40" s="451">
        <v>16</v>
      </c>
      <c r="AQ40" s="451" t="str">
        <f>Settings!$A$1</f>
        <v>V2</v>
      </c>
    </row>
    <row r="41" spans="1:43" ht="12.75" customHeight="1">
      <c r="A41" s="451">
        <f>'Input-FX Rates'!$C$4</f>
        <v>242</v>
      </c>
      <c r="B41" s="451" t="str">
        <f>'Input-FX Rates'!$B$4</f>
        <v>ICH Icheon (242)</v>
      </c>
      <c r="C41" s="451">
        <f>'Input-FX Rates'!$C$6</f>
        <v>780</v>
      </c>
      <c r="D41" s="451" t="str">
        <f>'Input-FX Rates'!$B$6</f>
        <v>780 BU Controls</v>
      </c>
      <c r="E41" s="451" t="str">
        <f>'Input-FX Rates'!$C$5</f>
        <v>7821 &amp; 7822</v>
      </c>
      <c r="F41" s="451" t="str">
        <f>'Input-FX Rates'!$B$5</f>
        <v>7821 PL Drivetrain Controls (&amp; Electrification)</v>
      </c>
      <c r="G41" s="451" t="s">
        <v>1457</v>
      </c>
      <c r="H41" s="451" t="s">
        <v>268</v>
      </c>
      <c r="I41" s="535"/>
      <c r="J41" s="535"/>
      <c r="K41" s="536">
        <f>'2. Variable (GC)'!B12</f>
        <v>66.311906094800335</v>
      </c>
      <c r="L41" s="536">
        <f>'2. Variable (GC)'!C12</f>
        <v>66.178337466539915</v>
      </c>
      <c r="M41" s="536">
        <f>'2. Variable (GC)'!D12</f>
        <v>0</v>
      </c>
      <c r="N41" s="536">
        <f>'2. Variable (GC)'!E12</f>
        <v>66.178337466539915</v>
      </c>
      <c r="O41" s="536">
        <f>'2. Variable (GC)'!N12</f>
        <v>0</v>
      </c>
      <c r="P41" s="536">
        <f>'2. Variable (GC)'!M12</f>
        <v>0</v>
      </c>
      <c r="Q41" s="536">
        <f>'2. Variable (GC)'!F12</f>
        <v>-3.5449671603959576</v>
      </c>
      <c r="R41" s="536">
        <f>'2. Variable (GC)'!G12</f>
        <v>0</v>
      </c>
      <c r="S41" s="536">
        <f>'2. Variable (GC)'!H12</f>
        <v>0</v>
      </c>
      <c r="T41" s="536">
        <f>'2. Variable (GC)'!I12</f>
        <v>0</v>
      </c>
      <c r="U41" s="536">
        <f>'2. Variable (GC)'!K12</f>
        <v>-62.633370306143959</v>
      </c>
      <c r="V41" s="536">
        <f>'2. Variable (GC)'!L12</f>
        <v>0</v>
      </c>
      <c r="W41" s="535"/>
      <c r="X41" s="535"/>
      <c r="Y41" s="535"/>
      <c r="Z41" s="535"/>
      <c r="AA41" s="535"/>
      <c r="AB41" s="535"/>
      <c r="AC41" s="535"/>
      <c r="AD41" s="535"/>
      <c r="AE41" s="535"/>
      <c r="AF41" s="535"/>
      <c r="AG41" s="535"/>
      <c r="AH41" s="535"/>
      <c r="AI41" s="535"/>
      <c r="AJ41" s="535"/>
      <c r="AK41" s="535"/>
      <c r="AL41" s="535"/>
      <c r="AM41" s="535"/>
      <c r="AN41" s="535"/>
      <c r="AO41" s="451" t="str">
        <f>'2. Variable (GC)'!P12</f>
        <v/>
      </c>
      <c r="AP41" s="451">
        <v>17</v>
      </c>
      <c r="AQ41" s="451" t="str">
        <f>Settings!$A$1</f>
        <v>V2</v>
      </c>
    </row>
    <row r="42" spans="1:43" ht="12.75" customHeight="1">
      <c r="A42" s="451">
        <f>'Input-FX Rates'!$C$4</f>
        <v>242</v>
      </c>
      <c r="B42" s="451" t="str">
        <f>'Input-FX Rates'!$B$4</f>
        <v>ICH Icheon (242)</v>
      </c>
      <c r="C42" s="451">
        <f>'Input-FX Rates'!$C$6</f>
        <v>780</v>
      </c>
      <c r="D42" s="451" t="str">
        <f>'Input-FX Rates'!$B$6</f>
        <v>780 BU Controls</v>
      </c>
      <c r="E42" s="451" t="str">
        <f>'Input-FX Rates'!$C$5</f>
        <v>7821 &amp; 7822</v>
      </c>
      <c r="F42" s="451" t="str">
        <f>'Input-FX Rates'!$B$5</f>
        <v>7821 PL Drivetrain Controls (&amp; Electrification)</v>
      </c>
      <c r="G42" s="451" t="s">
        <v>1457</v>
      </c>
      <c r="H42" s="451" t="s">
        <v>270</v>
      </c>
      <c r="I42" s="535"/>
      <c r="J42" s="535"/>
      <c r="K42" s="536">
        <f>'2. Variable (GC)'!B13</f>
        <v>-140.81014888659462</v>
      </c>
      <c r="L42" s="536">
        <f>'2. Variable (GC)'!C13</f>
        <v>-369.20912230759359</v>
      </c>
      <c r="M42" s="536">
        <f>'2. Variable (GC)'!D13</f>
        <v>0</v>
      </c>
      <c r="N42" s="536">
        <f>'2. Variable (GC)'!E13</f>
        <v>-369.20912230759359</v>
      </c>
      <c r="O42" s="536">
        <f>'2. Variable (GC)'!N13</f>
        <v>-105.67510206896551</v>
      </c>
      <c r="P42" s="536">
        <f>'2. Variable (GC)'!M13</f>
        <v>0</v>
      </c>
      <c r="Q42" s="536">
        <f>'2. Variable (GC)'!F13</f>
        <v>19.779434935939182</v>
      </c>
      <c r="R42" s="536">
        <f>'2. Variable (GC)'!G13</f>
        <v>240.26742623144906</v>
      </c>
      <c r="S42" s="536">
        <f>'2. Variable (GC)'!H13</f>
        <v>0</v>
      </c>
      <c r="T42" s="536">
        <f>'2. Variable (GC)'!I13</f>
        <v>0</v>
      </c>
      <c r="U42" s="536">
        <f>'2. Variable (GC)'!K13</f>
        <v>0</v>
      </c>
      <c r="V42" s="536">
        <f>'2. Variable (GC)'!L13</f>
        <v>3.4871590712398302</v>
      </c>
      <c r="W42" s="535"/>
      <c r="X42" s="535"/>
      <c r="Y42" s="535"/>
      <c r="Z42" s="535"/>
      <c r="AA42" s="535"/>
      <c r="AB42" s="535"/>
      <c r="AC42" s="535"/>
      <c r="AD42" s="535"/>
      <c r="AE42" s="535"/>
      <c r="AF42" s="535"/>
      <c r="AG42" s="535"/>
      <c r="AH42" s="535"/>
      <c r="AI42" s="535"/>
      <c r="AJ42" s="535"/>
      <c r="AK42" s="535"/>
      <c r="AL42" s="535"/>
      <c r="AM42" s="535"/>
      <c r="AN42" s="535"/>
      <c r="AO42" s="451" t="str">
        <f>'2. Variable (GC)'!P13</f>
        <v>Existing -81K, New spending for SIM2K-310 -10K and 8s Wet DCT -13K EUR</v>
      </c>
      <c r="AP42" s="451">
        <v>18</v>
      </c>
      <c r="AQ42" s="451" t="str">
        <f>Settings!$A$1</f>
        <v>V2</v>
      </c>
    </row>
    <row r="43" spans="1:43" ht="12.75" customHeight="1">
      <c r="A43" s="451">
        <f>'Input-FX Rates'!$C$4</f>
        <v>242</v>
      </c>
      <c r="B43" s="451" t="str">
        <f>'Input-FX Rates'!$B$4</f>
        <v>ICH Icheon (242)</v>
      </c>
      <c r="C43" s="451">
        <f>'Input-FX Rates'!$C$6</f>
        <v>780</v>
      </c>
      <c r="D43" s="451" t="str">
        <f>'Input-FX Rates'!$B$6</f>
        <v>780 BU Controls</v>
      </c>
      <c r="E43" s="451" t="str">
        <f>'Input-FX Rates'!$C$5</f>
        <v>7821 &amp; 7822</v>
      </c>
      <c r="F43" s="451" t="str">
        <f>'Input-FX Rates'!$B$5</f>
        <v>7821 PL Drivetrain Controls (&amp; Electrification)</v>
      </c>
      <c r="G43" s="451" t="s">
        <v>1457</v>
      </c>
      <c r="H43" s="451" t="s">
        <v>273</v>
      </c>
      <c r="I43" s="535"/>
      <c r="J43" s="535"/>
      <c r="K43" s="536">
        <f>'2. Variable (GC)'!B14</f>
        <v>0</v>
      </c>
      <c r="L43" s="536">
        <f>'2. Variable (GC)'!C14</f>
        <v>0</v>
      </c>
      <c r="M43" s="536">
        <f>'2. Variable (GC)'!D14</f>
        <v>0</v>
      </c>
      <c r="N43" s="536">
        <f>'2. Variable (GC)'!E14</f>
        <v>0</v>
      </c>
      <c r="O43" s="536">
        <f>'2. Variable (GC)'!N14</f>
        <v>0</v>
      </c>
      <c r="P43" s="536">
        <f>'2. Variable (GC)'!M14</f>
        <v>0</v>
      </c>
      <c r="Q43" s="536">
        <f>'2. Variable (GC)'!F14</f>
        <v>0</v>
      </c>
      <c r="R43" s="536">
        <f>'2. Variable (GC)'!G14</f>
        <v>0</v>
      </c>
      <c r="S43" s="536">
        <f>'2. Variable (GC)'!H14</f>
        <v>0</v>
      </c>
      <c r="T43" s="536">
        <f>'2. Variable (GC)'!I14</f>
        <v>0</v>
      </c>
      <c r="U43" s="536">
        <f>'2. Variable (GC)'!K14</f>
        <v>0</v>
      </c>
      <c r="V43" s="536">
        <f>'2. Variable (GC)'!L14</f>
        <v>0</v>
      </c>
      <c r="W43" s="535"/>
      <c r="X43" s="535"/>
      <c r="Y43" s="535"/>
      <c r="Z43" s="535"/>
      <c r="AA43" s="535"/>
      <c r="AB43" s="535"/>
      <c r="AC43" s="535"/>
      <c r="AD43" s="535"/>
      <c r="AE43" s="535"/>
      <c r="AF43" s="535"/>
      <c r="AG43" s="535"/>
      <c r="AH43" s="535"/>
      <c r="AI43" s="535"/>
      <c r="AJ43" s="535"/>
      <c r="AK43" s="535"/>
      <c r="AL43" s="535"/>
      <c r="AM43" s="535"/>
      <c r="AN43" s="535"/>
      <c r="AO43" s="451" t="str">
        <f>'2. Variable (GC)'!P14</f>
        <v/>
      </c>
      <c r="AP43" s="451">
        <v>19</v>
      </c>
      <c r="AQ43" s="451" t="str">
        <f>Settings!$A$1</f>
        <v>V2</v>
      </c>
    </row>
    <row r="44" spans="1:43" ht="12.75" customHeight="1">
      <c r="A44" s="451">
        <f>'Input-FX Rates'!$C$4</f>
        <v>242</v>
      </c>
      <c r="B44" s="451" t="str">
        <f>'Input-FX Rates'!$B$4</f>
        <v>ICH Icheon (242)</v>
      </c>
      <c r="C44" s="451">
        <f>'Input-FX Rates'!$C$6</f>
        <v>780</v>
      </c>
      <c r="D44" s="451" t="str">
        <f>'Input-FX Rates'!$B$6</f>
        <v>780 BU Controls</v>
      </c>
      <c r="E44" s="451" t="str">
        <f>'Input-FX Rates'!$C$5</f>
        <v>7821 &amp; 7822</v>
      </c>
      <c r="F44" s="451" t="str">
        <f>'Input-FX Rates'!$B$5</f>
        <v>7821 PL Drivetrain Controls (&amp; Electrification)</v>
      </c>
      <c r="G44" s="451" t="s">
        <v>1457</v>
      </c>
      <c r="H44" s="451" t="s">
        <v>1459</v>
      </c>
      <c r="I44" s="535"/>
      <c r="J44" s="535"/>
      <c r="K44" s="536">
        <f>'2. Variable (GC)'!B15</f>
        <v>-8570.9707960889373</v>
      </c>
      <c r="L44" s="536">
        <f>'2. Variable (GC)'!C15</f>
        <v>-15271.901387829354</v>
      </c>
      <c r="M44" s="536">
        <f>'2. Variable (GC)'!D15</f>
        <v>0</v>
      </c>
      <c r="N44" s="536">
        <f>'2. Variable (GC)'!E15</f>
        <v>-15271.901387829354</v>
      </c>
      <c r="O44" s="536">
        <f>'2. Variable (GC)'!N15</f>
        <v>-13452.136359999999</v>
      </c>
      <c r="P44" s="536">
        <f>'2. Variable (GC)'!M15</f>
        <v>0</v>
      </c>
      <c r="Q44" s="536">
        <f>'2. Variable (GC)'!F15</f>
        <v>818.14294245126246</v>
      </c>
      <c r="R44" s="536">
        <f>'2. Variable (GC)'!G15</f>
        <v>557.71677166744121</v>
      </c>
      <c r="S44" s="536">
        <f>'2. Variable (GC)'!H15</f>
        <v>0</v>
      </c>
      <c r="T44" s="536">
        <f>'2. Variable (GC)'!I15</f>
        <v>0</v>
      </c>
      <c r="U44" s="536">
        <f>'2. Variable (GC)'!K15</f>
        <v>0</v>
      </c>
      <c r="V44" s="536">
        <f>'2. Variable (GC)'!L15</f>
        <v>443.90531371065117</v>
      </c>
      <c r="W44" s="535"/>
      <c r="X44" s="535"/>
      <c r="Y44" s="535"/>
      <c r="Z44" s="535"/>
      <c r="AA44" s="535"/>
      <c r="AB44" s="535"/>
      <c r="AC44" s="535"/>
      <c r="AD44" s="535"/>
      <c r="AE44" s="535"/>
      <c r="AF44" s="535"/>
      <c r="AG44" s="535"/>
      <c r="AH44" s="535"/>
      <c r="AI44" s="535"/>
      <c r="AJ44" s="535"/>
      <c r="AK44" s="535"/>
      <c r="AL44" s="535"/>
      <c r="AM44" s="535"/>
      <c r="AN44" s="535"/>
      <c r="AO44" s="451" t="str">
        <f>'2. Variable (GC)'!P15</f>
        <v>ICO purchasing Motor Ass'y from Wuhu plant for TAD701</v>
      </c>
      <c r="AP44" s="451">
        <v>20</v>
      </c>
      <c r="AQ44" s="451" t="str">
        <f>Settings!$A$1</f>
        <v>V2</v>
      </c>
    </row>
    <row r="45" spans="1:43" ht="12.75" customHeight="1">
      <c r="A45" s="451">
        <f>'Input-FX Rates'!$C$4</f>
        <v>242</v>
      </c>
      <c r="B45" s="451" t="str">
        <f>'Input-FX Rates'!$B$4</f>
        <v>ICH Icheon (242)</v>
      </c>
      <c r="C45" s="451">
        <f>'Input-FX Rates'!$C$6</f>
        <v>780</v>
      </c>
      <c r="D45" s="451" t="str">
        <f>'Input-FX Rates'!$B$6</f>
        <v>780 BU Controls</v>
      </c>
      <c r="E45" s="451" t="str">
        <f>'Input-FX Rates'!$C$5</f>
        <v>7821 &amp; 7822</v>
      </c>
      <c r="F45" s="451" t="str">
        <f>'Input-FX Rates'!$B$5</f>
        <v>7821 PL Drivetrain Controls (&amp; Electrification)</v>
      </c>
      <c r="G45" s="451" t="s">
        <v>1457</v>
      </c>
      <c r="H45" s="451" t="s">
        <v>278</v>
      </c>
      <c r="I45" s="535"/>
      <c r="J45" s="535"/>
      <c r="K45" s="536">
        <f>'2. Variable (GC)'!B16</f>
        <v>-2756.0599108780011</v>
      </c>
      <c r="L45" s="536">
        <f>'2. Variable (GC)'!C16</f>
        <v>-4874.6609352184751</v>
      </c>
      <c r="M45" s="536">
        <f>'2. Variable (GC)'!D16</f>
        <v>0</v>
      </c>
      <c r="N45" s="536">
        <f>'2. Variable (GC)'!E16</f>
        <v>-4874.6609352184751</v>
      </c>
      <c r="O45" s="536">
        <f>'2. Variable (GC)'!N16</f>
        <v>-4051.9545455172415</v>
      </c>
      <c r="P45" s="536">
        <f>'2. Variable (GC)'!M16</f>
        <v>0</v>
      </c>
      <c r="Q45" s="536">
        <f>'2. Variable (GC)'!F16</f>
        <v>261.14425185213491</v>
      </c>
      <c r="R45" s="536">
        <f>'2. Variable (GC)'!G16</f>
        <v>427.85221211436385</v>
      </c>
      <c r="S45" s="536">
        <f>'2. Variable (GC)'!H16</f>
        <v>0</v>
      </c>
      <c r="T45" s="536">
        <f>'2. Variable (GC)'!I16</f>
        <v>0</v>
      </c>
      <c r="U45" s="536">
        <f>'2. Variable (GC)'!K16</f>
        <v>0</v>
      </c>
      <c r="V45" s="536">
        <f>'2. Variable (GC)'!L16</f>
        <v>133.70992573473495</v>
      </c>
      <c r="W45" s="535"/>
      <c r="X45" s="535"/>
      <c r="Y45" s="535"/>
      <c r="Z45" s="535"/>
      <c r="AA45" s="535"/>
      <c r="AB45" s="535"/>
      <c r="AC45" s="535"/>
      <c r="AD45" s="535"/>
      <c r="AE45" s="535"/>
      <c r="AF45" s="535"/>
      <c r="AG45" s="535"/>
      <c r="AH45" s="535"/>
      <c r="AI45" s="535"/>
      <c r="AJ45" s="535"/>
      <c r="AK45" s="535"/>
      <c r="AL45" s="535"/>
      <c r="AM45" s="535"/>
      <c r="AN45" s="535"/>
      <c r="AO45" s="451" t="str">
        <f>'2. Variable (GC)'!P16</f>
        <v>PE ICO for Motor Ass'y</v>
      </c>
      <c r="AP45" s="451">
        <v>21</v>
      </c>
      <c r="AQ45" s="451" t="str">
        <f>Settings!$A$1</f>
        <v>V2</v>
      </c>
    </row>
    <row r="46" spans="1:43" ht="12.75" customHeight="1">
      <c r="A46" s="451">
        <f>'Input-FX Rates'!$C$4</f>
        <v>242</v>
      </c>
      <c r="B46" s="451" t="str">
        <f>'Input-FX Rates'!$B$4</f>
        <v>ICH Icheon (242)</v>
      </c>
      <c r="C46" s="451">
        <f>'Input-FX Rates'!$C$6</f>
        <v>780</v>
      </c>
      <c r="D46" s="451" t="str">
        <f>'Input-FX Rates'!$B$6</f>
        <v>780 BU Controls</v>
      </c>
      <c r="E46" s="451" t="str">
        <f>'Input-FX Rates'!$C$5</f>
        <v>7821 &amp; 7822</v>
      </c>
      <c r="F46" s="451" t="str">
        <f>'Input-FX Rates'!$B$5</f>
        <v>7821 PL Drivetrain Controls (&amp; Electrification)</v>
      </c>
      <c r="G46" s="451" t="s">
        <v>1457</v>
      </c>
      <c r="H46" s="451" t="s">
        <v>281</v>
      </c>
      <c r="I46" s="535"/>
      <c r="J46" s="535"/>
      <c r="K46" s="536">
        <f>'2. Variable (GC)'!B17</f>
        <v>-1544.8258046073906</v>
      </c>
      <c r="L46" s="536">
        <f>'2. Variable (GC)'!C17</f>
        <v>-2992.4528071903237</v>
      </c>
      <c r="M46" s="536">
        <f>'2. Variable (GC)'!D17</f>
        <v>0</v>
      </c>
      <c r="N46" s="536">
        <f>'2. Variable (GC)'!E17</f>
        <v>-2992.4528071903237</v>
      </c>
      <c r="O46" s="536">
        <f>'2. Variable (GC)'!N17</f>
        <v>-2118.2230648275859</v>
      </c>
      <c r="P46" s="536">
        <f>'2. Variable (GC)'!M17</f>
        <v>-1585.5545248753931</v>
      </c>
      <c r="Q46" s="536">
        <f>'2. Variable (GC)'!F17</f>
        <v>160.31073859889477</v>
      </c>
      <c r="R46" s="536">
        <f>'2. Variable (GC)'!G17</f>
        <v>108.49124074662765</v>
      </c>
      <c r="S46" s="536">
        <f>'2. Variable (GC)'!H17</f>
        <v>-73.176795621609344</v>
      </c>
      <c r="T46" s="536">
        <f>'2. Variable (GC)'!I17</f>
        <v>61.947783752988066</v>
      </c>
      <c r="U46" s="536">
        <f>'2. Variable (GC)'!K17</f>
        <v>546.75780501682857</v>
      </c>
      <c r="V46" s="536">
        <f>'2. Variable (GC)'!L17</f>
        <v>69.898969869007942</v>
      </c>
      <c r="W46" s="535"/>
      <c r="X46" s="535"/>
      <c r="Y46" s="535"/>
      <c r="Z46" s="535"/>
      <c r="AA46" s="535"/>
      <c r="AB46" s="535"/>
      <c r="AC46" s="535"/>
      <c r="AD46" s="535"/>
      <c r="AE46" s="535"/>
      <c r="AF46" s="535"/>
      <c r="AG46" s="535"/>
      <c r="AH46" s="535"/>
      <c r="AI46" s="535"/>
      <c r="AJ46" s="535"/>
      <c r="AK46" s="535"/>
      <c r="AL46" s="535"/>
      <c r="AM46" s="535"/>
      <c r="AN46" s="535"/>
      <c r="AO46" s="451" t="str">
        <f>'2. Variable (GC)'!P17</f>
        <v/>
      </c>
      <c r="AP46" s="451">
        <v>22</v>
      </c>
      <c r="AQ46" s="451" t="str">
        <f>Settings!$A$1</f>
        <v>V2</v>
      </c>
    </row>
    <row r="47" spans="1:43" ht="12.75" customHeight="1">
      <c r="A47" s="451">
        <f>'Input-FX Rates'!$C$4</f>
        <v>242</v>
      </c>
      <c r="B47" s="451" t="str">
        <f>'Input-FX Rates'!$B$4</f>
        <v>ICH Icheon (242)</v>
      </c>
      <c r="C47" s="451">
        <f>'Input-FX Rates'!$C$6</f>
        <v>780</v>
      </c>
      <c r="D47" s="451" t="str">
        <f>'Input-FX Rates'!$B$6</f>
        <v>780 BU Controls</v>
      </c>
      <c r="E47" s="451" t="str">
        <f>'Input-FX Rates'!$C$5</f>
        <v>7821 &amp; 7822</v>
      </c>
      <c r="F47" s="451" t="str">
        <f>'Input-FX Rates'!$B$5</f>
        <v>7821 PL Drivetrain Controls (&amp; Electrification)</v>
      </c>
      <c r="G47" s="451" t="s">
        <v>1457</v>
      </c>
      <c r="H47" s="451" t="s">
        <v>1460</v>
      </c>
      <c r="I47" s="535"/>
      <c r="J47" s="535"/>
      <c r="K47" s="536">
        <f>'2. Variable (GC)'!B19</f>
        <v>-1258.2103138632456</v>
      </c>
      <c r="L47" s="536">
        <f>'2. Variable (GC)'!C19</f>
        <v>-2455.7731229281339</v>
      </c>
      <c r="M47" s="536">
        <f>'2. Variable (GC)'!D19</f>
        <v>0</v>
      </c>
      <c r="N47" s="536">
        <f>'2. Variable (GC)'!E19</f>
        <v>-1943.7731229281339</v>
      </c>
      <c r="O47" s="536">
        <f>'2. Variable (GC)'!N19</f>
        <v>-1742.2536993103449</v>
      </c>
      <c r="P47" s="536">
        <f>'2. Variable (GC)'!M19</f>
        <v>-1585.5545248753931</v>
      </c>
      <c r="Q47" s="536">
        <f>'2. Variable (GC)'!F19</f>
        <v>131.55988657073968</v>
      </c>
      <c r="R47" s="536">
        <f>'2. Variable (GC)'!G19</f>
        <v>0</v>
      </c>
      <c r="S47" s="536">
        <f>'2. Variable (GC)'!H19</f>
        <v>-65.051064019900437</v>
      </c>
      <c r="T47" s="536">
        <f>'2. Variable (GC)'!I19</f>
        <v>61.947783752988066</v>
      </c>
      <c r="U47" s="536">
        <f>'2. Variable (GC)'!K19</f>
        <v>527.57041207373561</v>
      </c>
      <c r="V47" s="536">
        <f>'2. Variable (GC)'!L19</f>
        <v>57.492405240226162</v>
      </c>
      <c r="W47" s="535"/>
      <c r="X47" s="535"/>
      <c r="Y47" s="535"/>
      <c r="Z47" s="535"/>
      <c r="AA47" s="535"/>
      <c r="AB47" s="535"/>
      <c r="AC47" s="535"/>
      <c r="AD47" s="535"/>
      <c r="AE47" s="535"/>
      <c r="AF47" s="535"/>
      <c r="AG47" s="535"/>
      <c r="AH47" s="535"/>
      <c r="AI47" s="535"/>
      <c r="AJ47" s="535"/>
      <c r="AK47" s="535"/>
      <c r="AL47" s="535"/>
      <c r="AM47" s="535"/>
      <c r="AN47" s="535"/>
      <c r="AO47" s="451" t="str">
        <f>'2. Variable (GC)'!P19</f>
        <v>Structural change : Technician labor cost (512K EUR) goes to MDC from 2024</v>
      </c>
      <c r="AP47" s="451">
        <v>23</v>
      </c>
      <c r="AQ47" s="451" t="str">
        <f>Settings!$A$1</f>
        <v>V2</v>
      </c>
    </row>
    <row r="48" spans="1:43" ht="12.75" customHeight="1">
      <c r="A48" s="451">
        <f>'Input-FX Rates'!$C$4</f>
        <v>242</v>
      </c>
      <c r="B48" s="451" t="str">
        <f>'Input-FX Rates'!$B$4</f>
        <v>ICH Icheon (242)</v>
      </c>
      <c r="C48" s="451">
        <f>'Input-FX Rates'!$C$6</f>
        <v>780</v>
      </c>
      <c r="D48" s="451" t="str">
        <f>'Input-FX Rates'!$B$6</f>
        <v>780 BU Controls</v>
      </c>
      <c r="E48" s="451" t="str">
        <f>'Input-FX Rates'!$C$5</f>
        <v>7821 &amp; 7822</v>
      </c>
      <c r="F48" s="451" t="str">
        <f>'Input-FX Rates'!$B$5</f>
        <v>7821 PL Drivetrain Controls (&amp; Electrification)</v>
      </c>
      <c r="G48" s="451" t="s">
        <v>1457</v>
      </c>
      <c r="H48" s="451" t="s">
        <v>1461</v>
      </c>
      <c r="I48" s="535"/>
      <c r="J48" s="535"/>
      <c r="K48" s="536">
        <f>'2. Variable (GC)'!B20</f>
        <v>-141.34891533712772</v>
      </c>
      <c r="L48" s="536">
        <f>'2. Variable (GC)'!C20</f>
        <v>-246.73173928378483</v>
      </c>
      <c r="M48" s="536">
        <f>'2. Variable (GC)'!D20</f>
        <v>0</v>
      </c>
      <c r="N48" s="536">
        <f>'2. Variable (GC)'!E20</f>
        <v>-246.73173928378483</v>
      </c>
      <c r="O48" s="536">
        <f>'2. Variable (GC)'!N20</f>
        <v>-217.63035172413794</v>
      </c>
      <c r="P48" s="536">
        <f>'2. Variable (GC)'!M20</f>
        <v>0</v>
      </c>
      <c r="Q48" s="536">
        <f>'2. Variable (GC)'!F20</f>
        <v>13.218111071942644</v>
      </c>
      <c r="R48" s="536">
        <f>'2. Variable (GC)'!G20</f>
        <v>0</v>
      </c>
      <c r="S48" s="536">
        <f>'2. Variable (GC)'!H20</f>
        <v>-8.1257316017089085</v>
      </c>
      <c r="T48" s="536">
        <f>'2. Variable (GC)'!I20</f>
        <v>0</v>
      </c>
      <c r="U48" s="536">
        <f>'2. Variable (GC)'!K20</f>
        <v>16.827452166271865</v>
      </c>
      <c r="V48" s="536">
        <f>'2. Variable (GC)'!L20</f>
        <v>7.1815559231413317</v>
      </c>
      <c r="W48" s="535"/>
      <c r="X48" s="535"/>
      <c r="Y48" s="535"/>
      <c r="Z48" s="535"/>
      <c r="AA48" s="535"/>
      <c r="AB48" s="535"/>
      <c r="AC48" s="535"/>
      <c r="AD48" s="535"/>
      <c r="AE48" s="535"/>
      <c r="AF48" s="535"/>
      <c r="AG48" s="535"/>
      <c r="AH48" s="535"/>
      <c r="AI48" s="535"/>
      <c r="AJ48" s="535"/>
      <c r="AK48" s="535"/>
      <c r="AL48" s="535"/>
      <c r="AM48" s="535"/>
      <c r="AN48" s="535"/>
      <c r="AO48" s="451" t="str">
        <f>'2. Variable (GC)'!P20</f>
        <v/>
      </c>
      <c r="AP48" s="451">
        <v>24</v>
      </c>
      <c r="AQ48" s="451" t="str">
        <f>Settings!$A$1</f>
        <v>V2</v>
      </c>
    </row>
    <row r="49" spans="1:43" ht="12.75" customHeight="1">
      <c r="A49" s="451">
        <f>'Input-FX Rates'!$C$4</f>
        <v>242</v>
      </c>
      <c r="B49" s="451" t="str">
        <f>'Input-FX Rates'!$B$4</f>
        <v>ICH Icheon (242)</v>
      </c>
      <c r="C49" s="451">
        <f>'Input-FX Rates'!$C$6</f>
        <v>780</v>
      </c>
      <c r="D49" s="451" t="str">
        <f>'Input-FX Rates'!$B$6</f>
        <v>780 BU Controls</v>
      </c>
      <c r="E49" s="451" t="str">
        <f>'Input-FX Rates'!$C$5</f>
        <v>7821 &amp; 7822</v>
      </c>
      <c r="F49" s="451" t="str">
        <f>'Input-FX Rates'!$B$5</f>
        <v>7821 PL Drivetrain Controls (&amp; Electrification)</v>
      </c>
      <c r="G49" s="451" t="s">
        <v>1457</v>
      </c>
      <c r="H49" s="451" t="s">
        <v>1462</v>
      </c>
      <c r="I49" s="535"/>
      <c r="J49" s="535"/>
      <c r="K49" s="536">
        <f>'2. Variable (GC)'!B21</f>
        <v>-145.26657540701746</v>
      </c>
      <c r="L49" s="536">
        <f>'2. Variable (GC)'!C21</f>
        <v>-289.94794497840513</v>
      </c>
      <c r="M49" s="536">
        <f>'2. Variable (GC)'!D21</f>
        <v>0</v>
      </c>
      <c r="N49" s="536">
        <f>'2. Variable (GC)'!E21</f>
        <v>-289.94794497840513</v>
      </c>
      <c r="O49" s="536">
        <f>'2. Variable (GC)'!N21</f>
        <v>-158.33901379310345</v>
      </c>
      <c r="P49" s="536">
        <f>'2. Variable (GC)'!M21</f>
        <v>0</v>
      </c>
      <c r="Q49" s="536">
        <f>'2. Variable (GC)'!F21</f>
        <v>15.532740956212432</v>
      </c>
      <c r="R49" s="536">
        <f>'2. Variable (GC)'!G21</f>
        <v>108.49124074662765</v>
      </c>
      <c r="S49" s="536">
        <f>'2. Variable (GC)'!H21</f>
        <v>0</v>
      </c>
      <c r="T49" s="536">
        <f>'2. Variable (GC)'!I21</f>
        <v>0</v>
      </c>
      <c r="U49" s="536">
        <f>'2. Variable (GC)'!K21</f>
        <v>2.3599407768211451</v>
      </c>
      <c r="V49" s="536">
        <f>'2. Variable (GC)'!L21</f>
        <v>5.2250087056404766</v>
      </c>
      <c r="W49" s="535"/>
      <c r="X49" s="535"/>
      <c r="Y49" s="535"/>
      <c r="Z49" s="535"/>
      <c r="AA49" s="535"/>
      <c r="AB49" s="535"/>
      <c r="AC49" s="535"/>
      <c r="AD49" s="535"/>
      <c r="AE49" s="535"/>
      <c r="AF49" s="535"/>
      <c r="AG49" s="535"/>
      <c r="AH49" s="535"/>
      <c r="AI49" s="535"/>
      <c r="AJ49" s="535"/>
      <c r="AK49" s="535"/>
      <c r="AL49" s="535"/>
      <c r="AM49" s="535"/>
      <c r="AN49" s="535"/>
      <c r="AO49" s="451">
        <f>'2. Variable (GC)'!P21</f>
        <v>0</v>
      </c>
      <c r="AP49" s="451">
        <v>1024</v>
      </c>
      <c r="AQ49" s="451" t="s">
        <v>1463</v>
      </c>
    </row>
    <row r="50" spans="1:43" ht="12.75" customHeight="1">
      <c r="A50" s="451">
        <f>'Input-FX Rates'!$C$4</f>
        <v>242</v>
      </c>
      <c r="B50" s="451" t="str">
        <f>'Input-FX Rates'!$B$4</f>
        <v>ICH Icheon (242)</v>
      </c>
      <c r="C50" s="451">
        <f>'Input-FX Rates'!$C$6</f>
        <v>780</v>
      </c>
      <c r="D50" s="451" t="str">
        <f>'Input-FX Rates'!$B$6</f>
        <v>780 BU Controls</v>
      </c>
      <c r="E50" s="451" t="str">
        <f>'Input-FX Rates'!$C$5</f>
        <v>7821 &amp; 7822</v>
      </c>
      <c r="F50" s="451" t="str">
        <f>'Input-FX Rates'!$B$5</f>
        <v>7821 PL Drivetrain Controls (&amp; Electrification)</v>
      </c>
      <c r="G50" s="451" t="s">
        <v>1457</v>
      </c>
      <c r="H50" s="451" t="s">
        <v>290</v>
      </c>
      <c r="I50" s="535"/>
      <c r="J50" s="535"/>
      <c r="K50" s="536">
        <f>'2. Variable (GC)'!B22</f>
        <v>-1531.0315370898572</v>
      </c>
      <c r="L50" s="536">
        <f>'2. Variable (GC)'!C22</f>
        <v>-3070.1975891831221</v>
      </c>
      <c r="M50" s="536">
        <f>'2. Variable (GC)'!D22</f>
        <v>-309.99885335295198</v>
      </c>
      <c r="N50" s="536">
        <f>'2. Variable (GC)'!E22</f>
        <v>-2760.1987358301699</v>
      </c>
      <c r="O50" s="536">
        <f>'2. Variable (GC)'!N22</f>
        <v>-2777.5213896738774</v>
      </c>
      <c r="P50" s="536">
        <f>'2. Variable (GC)'!M22</f>
        <v>-1349.2335521249308</v>
      </c>
      <c r="Q50" s="536">
        <f>'2. Variable (GC)'!F22</f>
        <v>147.86844529979601</v>
      </c>
      <c r="R50" s="536">
        <f>'2. Variable (GC)'!G22</f>
        <v>-67.710298713544333</v>
      </c>
      <c r="S50" s="536">
        <f>'2. Variable (GC)'!H22</f>
        <v>-25.17098168746621</v>
      </c>
      <c r="T50" s="536">
        <f>'2. Variable (GC)'!I22</f>
        <v>147.22211970527701</v>
      </c>
      <c r="U50" s="536">
        <f>'2. Variable (GC)'!K22</f>
        <v>-311.18700875224829</v>
      </c>
      <c r="V50" s="536">
        <f>'2. Variable (GC)'!L22</f>
        <v>91.655070304478159</v>
      </c>
      <c r="W50" s="535"/>
      <c r="X50" s="535"/>
      <c r="Y50" s="535"/>
      <c r="Z50" s="535"/>
      <c r="AA50" s="535"/>
      <c r="AB50" s="535"/>
      <c r="AC50" s="535"/>
      <c r="AD50" s="535"/>
      <c r="AE50" s="535"/>
      <c r="AF50" s="535"/>
      <c r="AG50" s="535"/>
      <c r="AH50" s="535"/>
      <c r="AI50" s="535"/>
      <c r="AJ50" s="535"/>
      <c r="AK50" s="535"/>
      <c r="AL50" s="535"/>
      <c r="AM50" s="535"/>
      <c r="AN50" s="535"/>
      <c r="AO50" s="451" t="str">
        <f>'2. Variable (GC)'!P22</f>
        <v/>
      </c>
      <c r="AP50" s="451">
        <v>25</v>
      </c>
      <c r="AQ50" s="451" t="str">
        <f>Settings!$A$1</f>
        <v>V2</v>
      </c>
    </row>
    <row r="51" spans="1:43" ht="12.75" customHeight="1">
      <c r="A51" s="451">
        <f>'Input-FX Rates'!$C$4</f>
        <v>242</v>
      </c>
      <c r="B51" s="451" t="str">
        <f>'Input-FX Rates'!$B$4</f>
        <v>ICH Icheon (242)</v>
      </c>
      <c r="C51" s="451">
        <f>'Input-FX Rates'!$C$6</f>
        <v>780</v>
      </c>
      <c r="D51" s="451" t="str">
        <f>'Input-FX Rates'!$B$6</f>
        <v>780 BU Controls</v>
      </c>
      <c r="E51" s="451" t="str">
        <f>'Input-FX Rates'!$C$5</f>
        <v>7821 &amp; 7822</v>
      </c>
      <c r="F51" s="451" t="str">
        <f>'Input-FX Rates'!$B$5</f>
        <v>7821 PL Drivetrain Controls (&amp; Electrification)</v>
      </c>
      <c r="G51" s="451" t="s">
        <v>1457</v>
      </c>
      <c r="H51" s="451" t="s">
        <v>291</v>
      </c>
      <c r="I51" s="535"/>
      <c r="J51" s="535"/>
      <c r="K51" s="536">
        <f>'2. Variable (GC)'!B24</f>
        <v>-3.348700924875204</v>
      </c>
      <c r="L51" s="536">
        <f>'2. Variable (GC)'!C24</f>
        <v>-3.3419558105310236</v>
      </c>
      <c r="M51" s="536">
        <f>'2. Variable (GC)'!D24</f>
        <v>0</v>
      </c>
      <c r="N51" s="536">
        <f>'2. Variable (GC)'!E24</f>
        <v>-3.3419558105310236</v>
      </c>
      <c r="O51" s="536">
        <f>'2. Variable (GC)'!N24</f>
        <v>0</v>
      </c>
      <c r="P51" s="536">
        <f>'2. Variable (GC)'!M24</f>
        <v>-1349.2335521249308</v>
      </c>
      <c r="Q51" s="536">
        <f>'2. Variable (GC)'!F24</f>
        <v>0.17881566665180573</v>
      </c>
      <c r="R51" s="536">
        <f>'2. Variable (GC)'!G24</f>
        <v>0</v>
      </c>
      <c r="S51" s="536">
        <f>'2. Variable (GC)'!H24</f>
        <v>0</v>
      </c>
      <c r="T51" s="536">
        <f>'2. Variable (GC)'!I24</f>
        <v>3.1631401438792177</v>
      </c>
      <c r="U51" s="536">
        <f>'2. Variable (GC)'!K24</f>
        <v>0</v>
      </c>
      <c r="V51" s="536">
        <f>'2. Variable (GC)'!L24</f>
        <v>0</v>
      </c>
      <c r="W51" s="535"/>
      <c r="X51" s="535"/>
      <c r="Y51" s="535"/>
      <c r="Z51" s="535"/>
      <c r="AA51" s="535"/>
      <c r="AB51" s="535"/>
      <c r="AC51" s="535"/>
      <c r="AD51" s="535"/>
      <c r="AE51" s="535"/>
      <c r="AF51" s="535"/>
      <c r="AG51" s="535"/>
      <c r="AH51" s="535"/>
      <c r="AI51" s="535"/>
      <c r="AJ51" s="535"/>
      <c r="AK51" s="535"/>
      <c r="AL51" s="535"/>
      <c r="AM51" s="535"/>
      <c r="AN51" s="535"/>
      <c r="AO51" s="451" t="str">
        <f>'2. Variable (GC)'!P24</f>
        <v/>
      </c>
      <c r="AP51" s="451">
        <v>26</v>
      </c>
      <c r="AQ51" s="451" t="str">
        <f>Settings!$A$1</f>
        <v>V2</v>
      </c>
    </row>
    <row r="52" spans="1:43" ht="12.75" customHeight="1">
      <c r="A52" s="451">
        <f>'Input-FX Rates'!$C$4</f>
        <v>242</v>
      </c>
      <c r="B52" s="451" t="str">
        <f>'Input-FX Rates'!$B$4</f>
        <v>ICH Icheon (242)</v>
      </c>
      <c r="C52" s="451">
        <f>'Input-FX Rates'!$C$6</f>
        <v>780</v>
      </c>
      <c r="D52" s="451" t="str">
        <f>'Input-FX Rates'!$B$6</f>
        <v>780 BU Controls</v>
      </c>
      <c r="E52" s="451" t="str">
        <f>'Input-FX Rates'!$C$5</f>
        <v>7821 &amp; 7822</v>
      </c>
      <c r="F52" s="451" t="str">
        <f>'Input-FX Rates'!$B$5</f>
        <v>7821 PL Drivetrain Controls (&amp; Electrification)</v>
      </c>
      <c r="G52" s="451" t="s">
        <v>1457</v>
      </c>
      <c r="H52" s="451" t="s">
        <v>293</v>
      </c>
      <c r="I52" s="535"/>
      <c r="J52" s="535"/>
      <c r="K52" s="536">
        <f>'2. Variable (GC)'!B25</f>
        <v>-107.20124994148208</v>
      </c>
      <c r="L52" s="536">
        <f>'2. Variable (GC)'!C25</f>
        <v>-213.97064006334094</v>
      </c>
      <c r="M52" s="536">
        <f>'2. Variable (GC)'!D25</f>
        <v>0</v>
      </c>
      <c r="N52" s="536">
        <f>'2. Variable (GC)'!E25</f>
        <v>-213.97064006334094</v>
      </c>
      <c r="O52" s="536">
        <f>'2. Variable (GC)'!N25</f>
        <v>-179.02561103448275</v>
      </c>
      <c r="P52" s="536">
        <f>'2. Variable (GC)'!M25</f>
        <v>0</v>
      </c>
      <c r="Q52" s="536">
        <f>'2. Variable (GC)'!F25</f>
        <v>11.462725404093842</v>
      </c>
      <c r="R52" s="536">
        <f>'2. Variable (GC)'!G25</f>
        <v>0</v>
      </c>
      <c r="S52" s="536">
        <f>'2. Variable (GC)'!H25</f>
        <v>-4.5811744540319568</v>
      </c>
      <c r="T52" s="536">
        <f>'2. Variable (GC)'!I25</f>
        <v>7.9075911118896114</v>
      </c>
      <c r="U52" s="536">
        <f>'2. Variable (GC)'!K25</f>
        <v>14.248243905481212</v>
      </c>
      <c r="V52" s="536">
        <f>'2. Variable (GC)'!L25</f>
        <v>5.9076430614254605</v>
      </c>
      <c r="W52" s="535"/>
      <c r="X52" s="535"/>
      <c r="Y52" s="535"/>
      <c r="Z52" s="535"/>
      <c r="AA52" s="535"/>
      <c r="AB52" s="535"/>
      <c r="AC52" s="535"/>
      <c r="AD52" s="535"/>
      <c r="AE52" s="535"/>
      <c r="AF52" s="535"/>
      <c r="AG52" s="535"/>
      <c r="AH52" s="535"/>
      <c r="AI52" s="535"/>
      <c r="AJ52" s="535"/>
      <c r="AK52" s="535"/>
      <c r="AL52" s="535"/>
      <c r="AM52" s="535"/>
      <c r="AN52" s="535"/>
      <c r="AO52" s="451" t="str">
        <f>'2. Variable (GC)'!P25</f>
        <v>SMD : N2 Gas monthly cost, replacement of stencil mask &amp; plastic rack -120K
BE : Stencil mask, PCB rack and dust cover -45K</v>
      </c>
      <c r="AP52" s="451">
        <v>27</v>
      </c>
      <c r="AQ52" s="451" t="str">
        <f>Settings!$A$1</f>
        <v>V2</v>
      </c>
    </row>
    <row r="53" spans="1:43" ht="12.75" customHeight="1">
      <c r="A53" s="451">
        <f>'Input-FX Rates'!$C$4</f>
        <v>242</v>
      </c>
      <c r="B53" s="451" t="str">
        <f>'Input-FX Rates'!$B$4</f>
        <v>ICH Icheon (242)</v>
      </c>
      <c r="C53" s="451">
        <f>'Input-FX Rates'!$C$6</f>
        <v>780</v>
      </c>
      <c r="D53" s="451" t="str">
        <f>'Input-FX Rates'!$B$6</f>
        <v>780 BU Controls</v>
      </c>
      <c r="E53" s="451" t="str">
        <f>'Input-FX Rates'!$C$5</f>
        <v>7821 &amp; 7822</v>
      </c>
      <c r="F53" s="451" t="str">
        <f>'Input-FX Rates'!$B$5</f>
        <v>7821 PL Drivetrain Controls (&amp; Electrification)</v>
      </c>
      <c r="G53" s="451" t="s">
        <v>1457</v>
      </c>
      <c r="H53" s="451" t="s">
        <v>1464</v>
      </c>
      <c r="I53" s="535"/>
      <c r="J53" s="535"/>
      <c r="K53" s="536">
        <f>'2. Variable (GC)'!B26</f>
        <v>-152.66955532614926</v>
      </c>
      <c r="L53" s="536">
        <f>'2. Variable (GC)'!C26</f>
        <v>-351.06257612222112</v>
      </c>
      <c r="M53" s="536">
        <f>'2. Variable (GC)'!D26</f>
        <v>0</v>
      </c>
      <c r="N53" s="536">
        <f>'2. Variable (GC)'!E26</f>
        <v>-351.06257612222112</v>
      </c>
      <c r="O53" s="536">
        <f>'2. Variable (GC)'!N26</f>
        <v>-767.80198344827579</v>
      </c>
      <c r="P53" s="536">
        <f>'2. Variable (GC)'!M26</f>
        <v>0</v>
      </c>
      <c r="Q53" s="536">
        <f>'2. Variable (GC)'!F26</f>
        <v>18.806991171079758</v>
      </c>
      <c r="R53" s="536">
        <f>'2. Variable (GC)'!G26</f>
        <v>0</v>
      </c>
      <c r="S53" s="536">
        <f>'2. Variable (GC)'!H26</f>
        <v>0</v>
      </c>
      <c r="T53" s="536">
        <f>'2. Variable (GC)'!I26</f>
        <v>23.612216954212947</v>
      </c>
      <c r="U53" s="536">
        <f>'2. Variable (GC)'!K26</f>
        <v>-484.49521413047847</v>
      </c>
      <c r="V53" s="536">
        <f>'2. Variable (GC)'!L26</f>
        <v>25.336598679131043</v>
      </c>
      <c r="W53" s="535"/>
      <c r="X53" s="535"/>
      <c r="Y53" s="535"/>
      <c r="Z53" s="535"/>
      <c r="AA53" s="535"/>
      <c r="AB53" s="535"/>
      <c r="AC53" s="535"/>
      <c r="AD53" s="535"/>
      <c r="AE53" s="535"/>
      <c r="AF53" s="535"/>
      <c r="AG53" s="535"/>
      <c r="AH53" s="535"/>
      <c r="AI53" s="535"/>
      <c r="AJ53" s="535"/>
      <c r="AK53" s="535"/>
      <c r="AL53" s="535"/>
      <c r="AM53" s="535"/>
      <c r="AN53" s="535"/>
      <c r="AO53" s="451" t="str">
        <f>'2. Variable (GC)'!P26</f>
        <v>Structural change : Technician labor cost (512K EUR) goes to MDC from 2024</v>
      </c>
      <c r="AP53" s="451">
        <v>28</v>
      </c>
      <c r="AQ53" s="451" t="str">
        <f>Settings!$A$1</f>
        <v>V2</v>
      </c>
    </row>
    <row r="54" spans="1:43" ht="12.75" customHeight="1">
      <c r="A54" s="451">
        <f>'Input-FX Rates'!$C$4</f>
        <v>242</v>
      </c>
      <c r="B54" s="451" t="str">
        <f>'Input-FX Rates'!$B$4</f>
        <v>ICH Icheon (242)</v>
      </c>
      <c r="C54" s="451">
        <f>'Input-FX Rates'!$C$6</f>
        <v>780</v>
      </c>
      <c r="D54" s="451" t="str">
        <f>'Input-FX Rates'!$B$6</f>
        <v>780 BU Controls</v>
      </c>
      <c r="E54" s="451" t="str">
        <f>'Input-FX Rates'!$C$5</f>
        <v>7821 &amp; 7822</v>
      </c>
      <c r="F54" s="451" t="str">
        <f>'Input-FX Rates'!$B$5</f>
        <v>7821 PL Drivetrain Controls (&amp; Electrification)</v>
      </c>
      <c r="G54" s="451" t="s">
        <v>1457</v>
      </c>
      <c r="H54" s="451" t="s">
        <v>1465</v>
      </c>
      <c r="I54" s="535"/>
      <c r="J54" s="535"/>
      <c r="K54" s="536">
        <f>'2. Variable (GC)'!B27</f>
        <v>-170.39742391773675</v>
      </c>
      <c r="L54" s="536">
        <f>'2. Variable (GC)'!C27</f>
        <v>-391.12466284519775</v>
      </c>
      <c r="M54" s="536">
        <f>'2. Variable (GC)'!D27</f>
        <v>0</v>
      </c>
      <c r="N54" s="536">
        <f>'2. Variable (GC)'!E27</f>
        <v>-391.12466284519775</v>
      </c>
      <c r="O54" s="536">
        <f>'2. Variable (GC)'!N27</f>
        <v>-398.64142758620687</v>
      </c>
      <c r="P54" s="536">
        <f>'2. Variable (GC)'!M27</f>
        <v>0</v>
      </c>
      <c r="Q54" s="536">
        <f>'2. Variable (GC)'!F27</f>
        <v>20.953491583915977</v>
      </c>
      <c r="R54" s="536">
        <f>'2. Variable (GC)'!G27</f>
        <v>-21.035166173968964</v>
      </c>
      <c r="S54" s="536">
        <f>'2. Variable (GC)'!H27</f>
        <v>-20.58980723343425</v>
      </c>
      <c r="T54" s="536">
        <f>'2. Variable (GC)'!I27</f>
        <v>0</v>
      </c>
      <c r="U54" s="536">
        <f>'2. Variable (GC)'!K27</f>
        <v>0</v>
      </c>
      <c r="V54" s="536">
        <f>'2. Variable (GC)'!L27</f>
        <v>13.154717082478101</v>
      </c>
      <c r="W54" s="535"/>
      <c r="X54" s="535"/>
      <c r="Y54" s="535"/>
      <c r="Z54" s="535"/>
      <c r="AA54" s="535"/>
      <c r="AB54" s="535"/>
      <c r="AC54" s="535"/>
      <c r="AD54" s="535"/>
      <c r="AE54" s="535"/>
      <c r="AF54" s="535"/>
      <c r="AG54" s="535"/>
      <c r="AH54" s="535"/>
      <c r="AI54" s="535"/>
      <c r="AJ54" s="535"/>
      <c r="AK54" s="535"/>
      <c r="AL54" s="535"/>
      <c r="AM54" s="535"/>
      <c r="AN54" s="535"/>
      <c r="AO54" s="451" t="str">
        <f>'2. Variable (GC)'!P27</f>
        <v>Electricity cost increase of 5% has been considered comparing to FC</v>
      </c>
      <c r="AP54" s="451">
        <v>29</v>
      </c>
      <c r="AQ54" s="451" t="str">
        <f>Settings!$A$1</f>
        <v>V2</v>
      </c>
    </row>
    <row r="55" spans="1:43" ht="12.75" customHeight="1">
      <c r="A55" s="451">
        <f>'Input-FX Rates'!$C$4</f>
        <v>242</v>
      </c>
      <c r="B55" s="451" t="str">
        <f>'Input-FX Rates'!$B$4</f>
        <v>ICH Icheon (242)</v>
      </c>
      <c r="C55" s="451">
        <f>'Input-FX Rates'!$C$6</f>
        <v>780</v>
      </c>
      <c r="D55" s="451" t="str">
        <f>'Input-FX Rates'!$B$6</f>
        <v>780 BU Controls</v>
      </c>
      <c r="E55" s="451" t="str">
        <f>'Input-FX Rates'!$C$5</f>
        <v>7821 &amp; 7822</v>
      </c>
      <c r="F55" s="451" t="str">
        <f>'Input-FX Rates'!$B$5</f>
        <v>7821 PL Drivetrain Controls (&amp; Electrification)</v>
      </c>
      <c r="G55" s="451" t="s">
        <v>1457</v>
      </c>
      <c r="H55" s="451" t="s">
        <v>301</v>
      </c>
      <c r="I55" s="535"/>
      <c r="J55" s="535"/>
      <c r="K55" s="536">
        <f>'2. Variable (GC)'!B28</f>
        <v>-1163.2355635543659</v>
      </c>
      <c r="L55" s="536">
        <f>'2. Variable (GC)'!C28</f>
        <v>-2223.3898343036308</v>
      </c>
      <c r="M55" s="536">
        <f>'2. Variable (GC)'!D28</f>
        <v>-309.99885335295198</v>
      </c>
      <c r="N55" s="536">
        <f>'2. Variable (GC)'!E28</f>
        <v>-1913.3909809506786</v>
      </c>
      <c r="O55" s="536">
        <f>'2. Variable (GC)'!N28</f>
        <v>-1427.9135234669814</v>
      </c>
      <c r="P55" s="536">
        <f>'2. Variable (GC)'!M28</f>
        <v>0</v>
      </c>
      <c r="Q55" s="536">
        <f>'2. Variable (GC)'!F28</f>
        <v>102.50340935934308</v>
      </c>
      <c r="R55" s="536">
        <f>'2. Variable (GC)'!G28</f>
        <v>64.255379434234925</v>
      </c>
      <c r="S55" s="536">
        <f>'2. Variable (GC)'!H28</f>
        <v>0</v>
      </c>
      <c r="T55" s="536">
        <f>'2. Variable (GC)'!I28</f>
        <v>112.53917149529522</v>
      </c>
      <c r="U55" s="536">
        <f>'2. Variable (GC)'!K28</f>
        <v>159.05996289757493</v>
      </c>
      <c r="V55" s="536">
        <f>'2. Variable (GC)'!L28</f>
        <v>47.119534297248947</v>
      </c>
      <c r="W55" s="535"/>
      <c r="X55" s="535"/>
      <c r="Y55" s="535"/>
      <c r="Z55" s="535"/>
      <c r="AA55" s="535"/>
      <c r="AB55" s="535"/>
      <c r="AC55" s="535"/>
      <c r="AD55" s="535"/>
      <c r="AE55" s="535"/>
      <c r="AF55" s="535"/>
      <c r="AG55" s="535"/>
      <c r="AH55" s="535"/>
      <c r="AI55" s="535"/>
      <c r="AJ55" s="535"/>
      <c r="AK55" s="535"/>
      <c r="AL55" s="535"/>
      <c r="AM55" s="535"/>
      <c r="AN55" s="535"/>
      <c r="AO55" s="451" t="str">
        <f>'2. Variable (GC)'!P28</f>
        <v/>
      </c>
      <c r="AP55" s="451">
        <v>30</v>
      </c>
      <c r="AQ55" s="451" t="str">
        <f>Settings!$A$1</f>
        <v>V2</v>
      </c>
    </row>
    <row r="56" spans="1:43" ht="12.75" customHeight="1">
      <c r="A56" s="451">
        <f>'Input-FX Rates'!$C$4</f>
        <v>242</v>
      </c>
      <c r="B56" s="451" t="str">
        <f>'Input-FX Rates'!$B$4</f>
        <v>ICH Icheon (242)</v>
      </c>
      <c r="C56" s="451">
        <f>'Input-FX Rates'!$C$6</f>
        <v>780</v>
      </c>
      <c r="D56" s="451" t="str">
        <f>'Input-FX Rates'!$B$6</f>
        <v>780 BU Controls</v>
      </c>
      <c r="E56" s="451" t="str">
        <f>'Input-FX Rates'!$C$5</f>
        <v>7821 &amp; 7822</v>
      </c>
      <c r="F56" s="451" t="str">
        <f>'Input-FX Rates'!$B$5</f>
        <v>7821 PL Drivetrain Controls (&amp; Electrification)</v>
      </c>
      <c r="G56" s="451" t="s">
        <v>1457</v>
      </c>
      <c r="H56" s="451" t="s">
        <v>303</v>
      </c>
      <c r="I56" s="535"/>
      <c r="J56" s="535"/>
      <c r="K56" s="536">
        <f>'2. Variable (GC)'!B29</f>
        <v>65.820956574751563</v>
      </c>
      <c r="L56" s="536">
        <f>'2. Variable (GC)'!C29</f>
        <v>112.69207996179935</v>
      </c>
      <c r="M56" s="536">
        <f>'2. Variable (GC)'!D29</f>
        <v>0</v>
      </c>
      <c r="N56" s="536">
        <f>'2. Variable (GC)'!E29</f>
        <v>112.69207996179935</v>
      </c>
      <c r="O56" s="536">
        <f>'2. Variable (GC)'!N29</f>
        <v>-9.1793103448275864E-4</v>
      </c>
      <c r="P56" s="536">
        <f>'2. Variable (GC)'!M29</f>
        <v>0</v>
      </c>
      <c r="Q56" s="536">
        <f>'2. Variable (GC)'!F29</f>
        <v>-6.0369878852884531</v>
      </c>
      <c r="R56" s="536">
        <f>'2. Variable (GC)'!G29</f>
        <v>-106.65603887340723</v>
      </c>
      <c r="S56" s="536">
        <f>'2. Variable (GC)'!H29</f>
        <v>0</v>
      </c>
      <c r="T56" s="536">
        <f>'2. Variable (GC)'!I29</f>
        <v>0</v>
      </c>
      <c r="U56" s="536">
        <f>'2. Variable (GC)'!K29</f>
        <v>-1.4248260305908702E-6</v>
      </c>
      <c r="V56" s="536">
        <f>'2. Variable (GC)'!L29</f>
        <v>3.029068788199603E-5</v>
      </c>
      <c r="W56" s="535"/>
      <c r="X56" s="535"/>
      <c r="Y56" s="535"/>
      <c r="Z56" s="535"/>
      <c r="AA56" s="535"/>
      <c r="AB56" s="535"/>
      <c r="AC56" s="535"/>
      <c r="AD56" s="535"/>
      <c r="AE56" s="535"/>
      <c r="AF56" s="535"/>
      <c r="AG56" s="535"/>
      <c r="AH56" s="535"/>
      <c r="AI56" s="535"/>
      <c r="AJ56" s="535"/>
      <c r="AK56" s="535"/>
      <c r="AL56" s="535"/>
      <c r="AM56" s="535"/>
      <c r="AN56" s="535"/>
      <c r="AO56" s="451">
        <f>'2. Variable (GC)'!P29</f>
        <v>0</v>
      </c>
      <c r="AP56" s="451">
        <v>1030</v>
      </c>
      <c r="AQ56" s="451" t="str">
        <f>Settings!$A$1</f>
        <v>V2</v>
      </c>
    </row>
    <row r="57" spans="1:43" ht="12.75" customHeight="1">
      <c r="A57" s="451">
        <f>'Input-FX Rates'!$C$4</f>
        <v>242</v>
      </c>
      <c r="B57" s="451" t="str">
        <f>'Input-FX Rates'!$B$4</f>
        <v>ICH Icheon (242)</v>
      </c>
      <c r="C57" s="451">
        <f>'Input-FX Rates'!$C$6</f>
        <v>780</v>
      </c>
      <c r="D57" s="451" t="str">
        <f>'Input-FX Rates'!$B$6</f>
        <v>780 BU Controls</v>
      </c>
      <c r="E57" s="451" t="str">
        <f>'Input-FX Rates'!$C$5</f>
        <v>7821 &amp; 7822</v>
      </c>
      <c r="F57" s="451" t="str">
        <f>'Input-FX Rates'!$B$5</f>
        <v>7821 PL Drivetrain Controls (&amp; Electrification)</v>
      </c>
      <c r="G57" s="451" t="s">
        <v>1457</v>
      </c>
      <c r="H57" s="451" t="s">
        <v>306</v>
      </c>
      <c r="I57" s="535"/>
      <c r="J57" s="535"/>
      <c r="K57" s="536">
        <f>'2. Variable (GC)'!B30</f>
        <v>0</v>
      </c>
      <c r="L57" s="536">
        <f>'2. Variable (GC)'!C30</f>
        <v>0</v>
      </c>
      <c r="M57" s="536">
        <f>'2. Variable (GC)'!D30</f>
        <v>0</v>
      </c>
      <c r="N57" s="536">
        <f>'2. Variable (GC)'!E30</f>
        <v>0</v>
      </c>
      <c r="O57" s="536">
        <f>'2. Variable (GC)'!N30</f>
        <v>-4.1379262068965517</v>
      </c>
      <c r="P57" s="536">
        <f>'2. Variable (GC)'!M30</f>
        <v>0</v>
      </c>
      <c r="Q57" s="536">
        <f>'2. Variable (GC)'!F30</f>
        <v>0</v>
      </c>
      <c r="R57" s="536">
        <f>'2. Variable (GC)'!G30</f>
        <v>-4.2744731004030596</v>
      </c>
      <c r="S57" s="536">
        <f>'2. Variable (GC)'!H30</f>
        <v>0</v>
      </c>
      <c r="T57" s="536">
        <f>'2. Variable (GC)'!I30</f>
        <v>0</v>
      </c>
      <c r="U57" s="536">
        <f>'2. Variable (GC)'!K30</f>
        <v>0</v>
      </c>
      <c r="V57" s="536">
        <f>'2. Variable (GC)'!L30</f>
        <v>0.13654689350650795</v>
      </c>
      <c r="W57" s="535"/>
      <c r="X57" s="535"/>
      <c r="Y57" s="535"/>
      <c r="Z57" s="535"/>
      <c r="AA57" s="535"/>
      <c r="AB57" s="535"/>
      <c r="AC57" s="535"/>
      <c r="AD57" s="535"/>
      <c r="AE57" s="535"/>
      <c r="AF57" s="535"/>
      <c r="AG57" s="535"/>
      <c r="AH57" s="535"/>
      <c r="AI57" s="535"/>
      <c r="AJ57" s="535"/>
      <c r="AK57" s="535"/>
      <c r="AL57" s="535"/>
      <c r="AM57" s="535"/>
      <c r="AN57" s="535"/>
      <c r="AO57" s="451" t="str">
        <f>'2. Variable (GC)'!P30</f>
        <v/>
      </c>
      <c r="AP57" s="451">
        <v>31</v>
      </c>
      <c r="AQ57" s="451" t="str">
        <f>Settings!$A$1</f>
        <v>V2</v>
      </c>
    </row>
    <row r="58" spans="1:43" ht="12.75" customHeight="1">
      <c r="A58" s="451">
        <f>'Input-FX Rates'!$C$4</f>
        <v>242</v>
      </c>
      <c r="B58" s="451" t="str">
        <f>'Input-FX Rates'!$B$4</f>
        <v>ICH Icheon (242)</v>
      </c>
      <c r="C58" s="451">
        <f>'Input-FX Rates'!$C$6</f>
        <v>780</v>
      </c>
      <c r="D58" s="451" t="str">
        <f>'Input-FX Rates'!$B$6</f>
        <v>780 BU Controls</v>
      </c>
      <c r="E58" s="451" t="str">
        <f>'Input-FX Rates'!$C$5</f>
        <v>7821 &amp; 7822</v>
      </c>
      <c r="F58" s="451" t="str">
        <f>'Input-FX Rates'!$B$5</f>
        <v>7821 PL Drivetrain Controls (&amp; Electrification)</v>
      </c>
      <c r="G58" s="451" t="s">
        <v>1457</v>
      </c>
      <c r="H58" s="451" t="s">
        <v>308</v>
      </c>
      <c r="I58" s="535"/>
      <c r="J58" s="535"/>
      <c r="K58" s="536">
        <f>'2. Variable (GC)'!B31</f>
        <v>-27.879984647637279</v>
      </c>
      <c r="L58" s="536">
        <f>'2. Variable (GC)'!C31</f>
        <v>-120.11981447568249</v>
      </c>
      <c r="M58" s="536">
        <f>'2. Variable (GC)'!D31</f>
        <v>0</v>
      </c>
      <c r="N58" s="536">
        <f>'2. Variable (GC)'!E31</f>
        <v>-120.11981447568249</v>
      </c>
      <c r="O58" s="536">
        <f>'2. Variable (GC)'!N31</f>
        <v>-104.57777103448277</v>
      </c>
      <c r="P58" s="536">
        <f>'2. Variable (GC)'!M31</f>
        <v>-130.71</v>
      </c>
      <c r="Q58" s="536">
        <f>'2. Variable (GC)'!F31</f>
        <v>6.4352267604213598</v>
      </c>
      <c r="R58" s="536">
        <f>'2. Variable (GC)'!G31</f>
        <v>0</v>
      </c>
      <c r="S58" s="536">
        <f>'2. Variable (GC)'!H31</f>
        <v>0</v>
      </c>
      <c r="T58" s="536">
        <f>'2. Variable (GC)'!I31</f>
        <v>0</v>
      </c>
      <c r="U58" s="536">
        <f>'2. Variable (GC)'!K31</f>
        <v>5.6558682948951597</v>
      </c>
      <c r="V58" s="536">
        <f>'2. Variable (GC)'!L31</f>
        <v>3.4509483858831942</v>
      </c>
      <c r="W58" s="535"/>
      <c r="X58" s="535"/>
      <c r="Y58" s="535"/>
      <c r="Z58" s="535"/>
      <c r="AA58" s="535"/>
      <c r="AB58" s="535"/>
      <c r="AC58" s="535"/>
      <c r="AD58" s="535"/>
      <c r="AE58" s="535"/>
      <c r="AF58" s="535"/>
      <c r="AG58" s="535"/>
      <c r="AH58" s="535"/>
      <c r="AI58" s="535"/>
      <c r="AJ58" s="535"/>
      <c r="AK58" s="535"/>
      <c r="AL58" s="535"/>
      <c r="AM58" s="535"/>
      <c r="AN58" s="535"/>
      <c r="AO58" s="451" t="str">
        <f>'2. Variable (GC)'!P31</f>
        <v>FC scrap ratio of -0.12% applied on opportunity</v>
      </c>
      <c r="AP58" s="451">
        <v>32</v>
      </c>
      <c r="AQ58" s="451" t="str">
        <f>Settings!$A$1</f>
        <v>V2</v>
      </c>
    </row>
    <row r="59" spans="1:43" ht="12.75" customHeight="1">
      <c r="A59" s="451">
        <f>'Input-FX Rates'!$C$4</f>
        <v>242</v>
      </c>
      <c r="B59" s="451" t="str">
        <f>'Input-FX Rates'!$B$4</f>
        <v>ICH Icheon (242)</v>
      </c>
      <c r="C59" s="451">
        <f>'Input-FX Rates'!$C$6</f>
        <v>780</v>
      </c>
      <c r="D59" s="451" t="str">
        <f>'Input-FX Rates'!$B$6</f>
        <v>780 BU Controls</v>
      </c>
      <c r="E59" s="451" t="str">
        <f>'Input-FX Rates'!$C$5</f>
        <v>7821 &amp; 7822</v>
      </c>
      <c r="F59" s="451" t="str">
        <f>'Input-FX Rates'!$B$5</f>
        <v>7821 PL Drivetrain Controls (&amp; Electrification)</v>
      </c>
      <c r="G59" s="451" t="s">
        <v>1457</v>
      </c>
      <c r="H59" s="451" t="s">
        <v>311</v>
      </c>
      <c r="I59" s="535"/>
      <c r="J59" s="535"/>
      <c r="K59" s="536">
        <f>'2. Variable (GC)'!B32</f>
        <v>-178.52818980735435</v>
      </c>
      <c r="L59" s="536">
        <f>'2. Variable (GC)'!C32</f>
        <v>-500.49985176822412</v>
      </c>
      <c r="M59" s="536">
        <f>'2. Variable (GC)'!D32</f>
        <v>0</v>
      </c>
      <c r="N59" s="536">
        <f>'2. Variable (GC)'!E32</f>
        <v>-500.49985176822412</v>
      </c>
      <c r="O59" s="536">
        <f>'2. Variable (GC)'!N32</f>
        <v>-435.74071310344829</v>
      </c>
      <c r="P59" s="536">
        <f>'2. Variable (GC)'!M32</f>
        <v>-435.74071295000005</v>
      </c>
      <c r="Q59" s="536">
        <f>'2. Variable (GC)'!F32</f>
        <v>26.812376215567173</v>
      </c>
      <c r="R59" s="536">
        <f>'2. Variable (GC)'!G32</f>
        <v>0</v>
      </c>
      <c r="S59" s="536">
        <f>'2. Variable (GC)'!H32</f>
        <v>0</v>
      </c>
      <c r="T59" s="536">
        <f>'2. Variable (GC)'!I32</f>
        <v>0</v>
      </c>
      <c r="U59" s="536">
        <f>'2. Variable (GC)'!K32</f>
        <v>23.567810826190122</v>
      </c>
      <c r="V59" s="536">
        <f>'2. Variable (GC)'!L32</f>
        <v>14.378951623018565</v>
      </c>
      <c r="W59" s="535"/>
      <c r="X59" s="535"/>
      <c r="Y59" s="535"/>
      <c r="Z59" s="535"/>
      <c r="AA59" s="535"/>
      <c r="AB59" s="535"/>
      <c r="AC59" s="535"/>
      <c r="AD59" s="535"/>
      <c r="AE59" s="535"/>
      <c r="AF59" s="535"/>
      <c r="AG59" s="535"/>
      <c r="AH59" s="535"/>
      <c r="AI59" s="535"/>
      <c r="AJ59" s="535"/>
      <c r="AK59" s="535"/>
      <c r="AL59" s="535"/>
      <c r="AM59" s="535"/>
      <c r="AN59" s="535"/>
      <c r="AO59" s="451" t="str">
        <f>'2. Variable (GC)'!P32</f>
        <v/>
      </c>
      <c r="AP59" s="451">
        <v>33</v>
      </c>
      <c r="AQ59" s="451" t="str">
        <f>Settings!$A$1</f>
        <v>V2</v>
      </c>
    </row>
    <row r="60" spans="1:43" ht="12.75" customHeight="1">
      <c r="A60" s="451">
        <f>'Input-FX Rates'!$C$4</f>
        <v>242</v>
      </c>
      <c r="B60" s="451" t="str">
        <f>'Input-FX Rates'!$B$4</f>
        <v>ICH Icheon (242)</v>
      </c>
      <c r="C60" s="451">
        <f>'Input-FX Rates'!$C$6</f>
        <v>780</v>
      </c>
      <c r="D60" s="451" t="str">
        <f>'Input-FX Rates'!$B$6</f>
        <v>780 BU Controls</v>
      </c>
      <c r="E60" s="451" t="str">
        <f>'Input-FX Rates'!$C$5</f>
        <v>7821 &amp; 7822</v>
      </c>
      <c r="F60" s="451" t="str">
        <f>'Input-FX Rates'!$B$5</f>
        <v>7821 PL Drivetrain Controls (&amp; Electrification)</v>
      </c>
      <c r="G60" s="451" t="s">
        <v>1457</v>
      </c>
      <c r="H60" s="451" t="s">
        <v>313</v>
      </c>
      <c r="I60" s="535"/>
      <c r="J60" s="535"/>
      <c r="K60" s="536">
        <f>'2. Variable (GC)'!B33</f>
        <v>0</v>
      </c>
      <c r="L60" s="536">
        <f>'2. Variable (GC)'!C33</f>
        <v>0</v>
      </c>
      <c r="M60" s="536">
        <f>'2. Variable (GC)'!D33</f>
        <v>0</v>
      </c>
      <c r="N60" s="536">
        <f>'2. Variable (GC)'!E33</f>
        <v>0</v>
      </c>
      <c r="O60" s="536">
        <f>'2. Variable (GC)'!N33</f>
        <v>0</v>
      </c>
      <c r="P60" s="536">
        <f>'2. Variable (GC)'!M33</f>
        <v>0</v>
      </c>
      <c r="Q60" s="536">
        <f>'2. Variable (GC)'!F33</f>
        <v>0</v>
      </c>
      <c r="R60" s="536">
        <f>'2. Variable (GC)'!G33</f>
        <v>0</v>
      </c>
      <c r="S60" s="536">
        <f>'2. Variable (GC)'!H33</f>
        <v>0</v>
      </c>
      <c r="T60" s="536">
        <f>'2. Variable (GC)'!I33</f>
        <v>0</v>
      </c>
      <c r="U60" s="536">
        <f>'2. Variable (GC)'!K33</f>
        <v>0</v>
      </c>
      <c r="V60" s="536">
        <f>'2. Variable (GC)'!L33</f>
        <v>0</v>
      </c>
      <c r="W60" s="535"/>
      <c r="X60" s="535"/>
      <c r="Y60" s="535"/>
      <c r="Z60" s="535"/>
      <c r="AA60" s="535"/>
      <c r="AB60" s="535"/>
      <c r="AC60" s="535"/>
      <c r="AD60" s="535"/>
      <c r="AE60" s="535"/>
      <c r="AF60" s="535"/>
      <c r="AG60" s="535"/>
      <c r="AH60" s="535"/>
      <c r="AI60" s="535"/>
      <c r="AJ60" s="535"/>
      <c r="AK60" s="535"/>
      <c r="AL60" s="535"/>
      <c r="AM60" s="535"/>
      <c r="AN60" s="535"/>
      <c r="AO60" s="451" t="str">
        <f>'2. Variable (GC)'!P33</f>
        <v/>
      </c>
      <c r="AP60" s="451">
        <v>34</v>
      </c>
      <c r="AQ60" s="451" t="str">
        <f>Settings!$A$1</f>
        <v>V2</v>
      </c>
    </row>
    <row r="61" spans="1:43" ht="12.75" customHeight="1">
      <c r="A61" s="451">
        <f>'Input-FX Rates'!$C$4</f>
        <v>242</v>
      </c>
      <c r="B61" s="451" t="str">
        <f>'Input-FX Rates'!$B$4</f>
        <v>ICH Icheon (242)</v>
      </c>
      <c r="C61" s="451">
        <f>'Input-FX Rates'!$C$6</f>
        <v>780</v>
      </c>
      <c r="D61" s="451" t="str">
        <f>'Input-FX Rates'!$B$6</f>
        <v>780 BU Controls</v>
      </c>
      <c r="E61" s="451" t="str">
        <f>'Input-FX Rates'!$C$5</f>
        <v>7821 &amp; 7822</v>
      </c>
      <c r="F61" s="451" t="str">
        <f>'Input-FX Rates'!$B$5</f>
        <v>7821 PL Drivetrain Controls (&amp; Electrification)</v>
      </c>
      <c r="G61" s="451" t="s">
        <v>1457</v>
      </c>
      <c r="H61" s="451" t="s">
        <v>315</v>
      </c>
      <c r="I61" s="535"/>
      <c r="J61" s="535"/>
      <c r="K61" s="536">
        <f>'2. Variable (GC)'!B34</f>
        <v>8.2028604799250728E-5</v>
      </c>
      <c r="L61" s="536">
        <f>'2. Variable (GC)'!C34</f>
        <v>-1.4450084550097218E-4</v>
      </c>
      <c r="M61" s="536">
        <f>'2. Variable (GC)'!D34</f>
        <v>0</v>
      </c>
      <c r="N61" s="536">
        <f>'2. Variable (GC)'!E34</f>
        <v>-1.4450084550097218E-4</v>
      </c>
      <c r="O61" s="536">
        <f>'2. Variable (GC)'!N34</f>
        <v>5.970147149316196E-5</v>
      </c>
      <c r="P61" s="536">
        <f>'2. Variable (GC)'!M34</f>
        <v>0</v>
      </c>
      <c r="Q61" s="536">
        <f>'2. Variable (GC)'!F34</f>
        <v>0</v>
      </c>
      <c r="R61" s="536">
        <f>'2. Variable (GC)'!G34</f>
        <v>0</v>
      </c>
      <c r="S61" s="536">
        <f>'2. Variable (GC)'!H34</f>
        <v>0</v>
      </c>
      <c r="T61" s="536">
        <f>'2. Variable (GC)'!I34</f>
        <v>0</v>
      </c>
      <c r="U61" s="536">
        <f>'2. Variable (GC)'!K34</f>
        <v>2.0617239815618379E-4</v>
      </c>
      <c r="V61" s="536">
        <f>'2. Variable (GC)'!L34</f>
        <v>-1.9700811620496726E-6</v>
      </c>
      <c r="W61" s="535"/>
      <c r="X61" s="535"/>
      <c r="Y61" s="535"/>
      <c r="Z61" s="535"/>
      <c r="AA61" s="535"/>
      <c r="AB61" s="535"/>
      <c r="AC61" s="535"/>
      <c r="AD61" s="535"/>
      <c r="AE61" s="535"/>
      <c r="AF61" s="535"/>
      <c r="AG61" s="535"/>
      <c r="AH61" s="535"/>
      <c r="AI61" s="535"/>
      <c r="AJ61" s="535"/>
      <c r="AK61" s="535"/>
      <c r="AL61" s="535"/>
      <c r="AM61" s="535"/>
      <c r="AN61" s="535"/>
      <c r="AO61" s="451" t="str">
        <f>'2. Variable (GC)'!P34</f>
        <v/>
      </c>
      <c r="AP61" s="451">
        <v>35</v>
      </c>
      <c r="AQ61" s="451" t="str">
        <f>Settings!$A$1</f>
        <v>V2</v>
      </c>
    </row>
    <row r="62" spans="1:43" ht="12.75" customHeight="1">
      <c r="A62" s="451">
        <f>'Input-FX Rates'!$C$4</f>
        <v>242</v>
      </c>
      <c r="B62" s="451" t="str">
        <f>'Input-FX Rates'!$B$4</f>
        <v>ICH Icheon (242)</v>
      </c>
      <c r="C62" s="451">
        <f>'Input-FX Rates'!$C$6</f>
        <v>780</v>
      </c>
      <c r="D62" s="451" t="str">
        <f>'Input-FX Rates'!$B$6</f>
        <v>780 BU Controls</v>
      </c>
      <c r="E62" s="451" t="str">
        <f>'Input-FX Rates'!$C$5</f>
        <v>7821 &amp; 7822</v>
      </c>
      <c r="F62" s="451" t="str">
        <f>'Input-FX Rates'!$B$5</f>
        <v>7821 PL Drivetrain Controls (&amp; Electrification)</v>
      </c>
      <c r="G62" s="451" t="s">
        <v>1457</v>
      </c>
      <c r="H62" s="451" t="s">
        <v>317</v>
      </c>
      <c r="I62" s="535"/>
      <c r="J62" s="535"/>
      <c r="K62" s="536">
        <f>'2. Variable (GC)'!B35</f>
        <v>-206.40809242638684</v>
      </c>
      <c r="L62" s="536">
        <f>'2. Variable (GC)'!C35</f>
        <v>-620.61981074475204</v>
      </c>
      <c r="M62" s="536">
        <f>'2. Variable (GC)'!D35</f>
        <v>0</v>
      </c>
      <c r="N62" s="536">
        <f>'2. Variable (GC)'!E35</f>
        <v>-620.61981074475204</v>
      </c>
      <c r="O62" s="536">
        <f>'2. Variable (GC)'!N35</f>
        <v>-540.31842443645951</v>
      </c>
      <c r="P62" s="536">
        <f>'2. Variable (GC)'!M35</f>
        <v>-566.45071295000002</v>
      </c>
      <c r="Q62" s="536">
        <f>'2. Variable (GC)'!F35</f>
        <v>33.247602975988535</v>
      </c>
      <c r="R62" s="536">
        <f>'2. Variable (GC)'!G35</f>
        <v>0</v>
      </c>
      <c r="S62" s="536">
        <f>'2. Variable (GC)'!H35</f>
        <v>0</v>
      </c>
      <c r="T62" s="536">
        <f>'2. Variable (GC)'!I35</f>
        <v>0</v>
      </c>
      <c r="U62" s="536">
        <f>'2. Variable (GC)'!K35</f>
        <v>29.223885293483438</v>
      </c>
      <c r="V62" s="536">
        <f>'2. Variable (GC)'!L35</f>
        <v>17.829898038820602</v>
      </c>
      <c r="W62" s="535"/>
      <c r="X62" s="535"/>
      <c r="Y62" s="535"/>
      <c r="Z62" s="535"/>
      <c r="AA62" s="535"/>
      <c r="AB62" s="535"/>
      <c r="AC62" s="535"/>
      <c r="AD62" s="535"/>
      <c r="AE62" s="535"/>
      <c r="AF62" s="535"/>
      <c r="AG62" s="535"/>
      <c r="AH62" s="535"/>
      <c r="AI62" s="535"/>
      <c r="AJ62" s="535"/>
      <c r="AK62" s="535"/>
      <c r="AL62" s="535"/>
      <c r="AM62" s="535"/>
      <c r="AN62" s="535"/>
      <c r="AO62" s="451" t="str">
        <f>'2. Variable (GC)'!P35</f>
        <v/>
      </c>
      <c r="AP62" s="451">
        <v>36</v>
      </c>
      <c r="AQ62" s="451" t="str">
        <f>Settings!$A$1</f>
        <v>V2</v>
      </c>
    </row>
    <row r="63" spans="1:43" ht="12.75" customHeight="1">
      <c r="A63" s="451">
        <f>'Input-FX Rates'!$C$4</f>
        <v>242</v>
      </c>
      <c r="B63" s="451" t="str">
        <f>'Input-FX Rates'!$B$4</f>
        <v>ICH Icheon (242)</v>
      </c>
      <c r="C63" s="451">
        <f>'Input-FX Rates'!$C$6</f>
        <v>780</v>
      </c>
      <c r="D63" s="451" t="str">
        <f>'Input-FX Rates'!$B$6</f>
        <v>780 BU Controls</v>
      </c>
      <c r="E63" s="451" t="str">
        <f>'Input-FX Rates'!$C$5</f>
        <v>7821 &amp; 7822</v>
      </c>
      <c r="F63" s="451" t="str">
        <f>'Input-FX Rates'!$B$5</f>
        <v>7821 PL Drivetrain Controls (&amp; Electrification)</v>
      </c>
      <c r="G63" s="451" t="s">
        <v>1457</v>
      </c>
      <c r="H63" s="451" t="s">
        <v>318</v>
      </c>
      <c r="I63" s="535"/>
      <c r="J63" s="535"/>
      <c r="K63" s="536">
        <f>'2. Variable (GC)'!B37</f>
        <v>-36649.655369210173</v>
      </c>
      <c r="L63" s="536">
        <f>'2. Variable (GC)'!C37</f>
        <v>-65083.157524762013</v>
      </c>
      <c r="M63" s="536">
        <f>'2. Variable (GC)'!D37</f>
        <v>-309.99885335295198</v>
      </c>
      <c r="N63" s="536">
        <f>'2. Variable (GC)'!E37</f>
        <v>-64773.158671409066</v>
      </c>
      <c r="O63" s="536">
        <f>'2. Variable (GC)'!N37</f>
        <v>-58912.21984068965</v>
      </c>
      <c r="P63" s="536">
        <f>'2. Variable (GC)'!M37</f>
        <v>0</v>
      </c>
      <c r="Q63" s="536">
        <f>'2. Variable (GC)'!F37</f>
        <v>3470.0127623092253</v>
      </c>
      <c r="R63" s="536">
        <f>'2. Variable (GC)'!G37</f>
        <v>-410.8763125929587</v>
      </c>
      <c r="S63" s="536">
        <f>'2. Variable (GC)'!H37</f>
        <v>446.43441778559884</v>
      </c>
      <c r="T63" s="536">
        <f>'2. Variable (GC)'!I37</f>
        <v>209.16990345826508</v>
      </c>
      <c r="U63" s="536">
        <f>'2. Variable (GC)'!K37</f>
        <v>202.16131125191515</v>
      </c>
      <c r="V63" s="536">
        <f>'2. Variable (GC)'!L37</f>
        <v>1944.036748507373</v>
      </c>
      <c r="W63" s="535"/>
      <c r="X63" s="535"/>
      <c r="Y63" s="535"/>
      <c r="Z63" s="535"/>
      <c r="AA63" s="535"/>
      <c r="AB63" s="535"/>
      <c r="AC63" s="535"/>
      <c r="AD63" s="535"/>
      <c r="AE63" s="535"/>
      <c r="AF63" s="535"/>
      <c r="AG63" s="535"/>
      <c r="AH63" s="535"/>
      <c r="AI63" s="535"/>
      <c r="AJ63" s="535"/>
      <c r="AK63" s="535"/>
      <c r="AL63" s="535"/>
      <c r="AM63" s="535"/>
      <c r="AN63" s="535"/>
      <c r="AO63" s="451" t="str">
        <f>'2. Variable (GC)'!P37</f>
        <v/>
      </c>
      <c r="AP63" s="451">
        <v>37</v>
      </c>
      <c r="AQ63" s="451" t="str">
        <f>Settings!$A$1</f>
        <v>V2</v>
      </c>
    </row>
    <row r="64" spans="1:43" s="537" customFormat="1" ht="12.75" customHeight="1">
      <c r="A64" s="537">
        <f>'Input-FX Rates'!$C$4</f>
        <v>242</v>
      </c>
      <c r="B64" s="537" t="str">
        <f>'Input-FX Rates'!$B$4</f>
        <v>ICH Icheon (242)</v>
      </c>
      <c r="C64" s="537">
        <f>'Input-FX Rates'!$C$6</f>
        <v>780</v>
      </c>
      <c r="D64" s="537" t="str">
        <f>'Input-FX Rates'!$B$6</f>
        <v>780 BU Controls</v>
      </c>
      <c r="E64" s="537" t="str">
        <f>'Input-FX Rates'!$C$5</f>
        <v>7821 &amp; 7822</v>
      </c>
      <c r="F64" s="537" t="str">
        <f>'Input-FX Rates'!$B$5</f>
        <v>7821 PL Drivetrain Controls (&amp; Electrification)</v>
      </c>
      <c r="G64" s="537" t="s">
        <v>1457</v>
      </c>
      <c r="H64" s="537" t="s">
        <v>319</v>
      </c>
      <c r="I64" s="538"/>
      <c r="J64" s="538"/>
      <c r="K64" s="539">
        <f>'2. Variable (GC)'!B38</f>
        <v>19068.346420385442</v>
      </c>
      <c r="L64" s="539">
        <f>'2. Variable (GC)'!C38</f>
        <v>35043.592415576968</v>
      </c>
      <c r="M64" s="539">
        <f>'2. Variable (GC)'!D38</f>
        <v>2712.7459359264631</v>
      </c>
      <c r="N64" s="539">
        <f>'2. Variable (GC)'!E38</f>
        <v>32330.846479650507</v>
      </c>
      <c r="O64" s="539">
        <f>'2. Variable (GC)'!N38</f>
        <v>28961.922749655176</v>
      </c>
      <c r="P64" s="539">
        <f>'2. Variable (GC)'!M38</f>
        <v>0</v>
      </c>
      <c r="Q64" s="539">
        <f>'2. Variable (GC)'!F38</f>
        <v>-1732.019938317296</v>
      </c>
      <c r="R64" s="539">
        <f>'2. Variable (GC)'!G38</f>
        <v>-410.8763125929587</v>
      </c>
      <c r="S64" s="539">
        <f>'2. Variable (GC)'!H38</f>
        <v>-1431.6051190564626</v>
      </c>
      <c r="T64" s="539">
        <f>'2. Variable (GC)'!I38</f>
        <v>209.16990345826508</v>
      </c>
      <c r="U64" s="539">
        <f>'2. Variable (GC)'!K38</f>
        <v>952.11849202387759</v>
      </c>
      <c r="V64" s="539">
        <f>'2. Variable (GC)'!L38</f>
        <v>-955.7107555107541</v>
      </c>
      <c r="W64" s="538"/>
      <c r="X64" s="538"/>
      <c r="Y64" s="538"/>
      <c r="Z64" s="538"/>
      <c r="AA64" s="538"/>
      <c r="AB64" s="538"/>
      <c r="AC64" s="538"/>
      <c r="AD64" s="538"/>
      <c r="AE64" s="538"/>
      <c r="AF64" s="538"/>
      <c r="AG64" s="538"/>
      <c r="AH64" s="538"/>
      <c r="AI64" s="538"/>
      <c r="AJ64" s="538"/>
      <c r="AK64" s="538"/>
      <c r="AL64" s="538"/>
      <c r="AM64" s="538"/>
      <c r="AN64" s="538"/>
      <c r="AO64" s="537" t="str">
        <f>'2. Variable (GC)'!P38</f>
        <v/>
      </c>
      <c r="AP64" s="537">
        <v>38</v>
      </c>
      <c r="AQ64" s="537" t="str">
        <f>Settings!$A$1</f>
        <v>V2</v>
      </c>
    </row>
    <row r="65" spans="1:43" ht="12.75" customHeight="1">
      <c r="A65" s="451">
        <f>'Input-FX Rates'!$C$4</f>
        <v>242</v>
      </c>
      <c r="B65" s="451" t="str">
        <f>'Input-FX Rates'!$B$4</f>
        <v>ICH Icheon (242)</v>
      </c>
      <c r="C65" s="451">
        <f>'Input-FX Rates'!$C$6</f>
        <v>780</v>
      </c>
      <c r="D65" s="451" t="str">
        <f>'Input-FX Rates'!$B$6</f>
        <v>780 BU Controls</v>
      </c>
      <c r="E65" s="451" t="str">
        <f>'Input-FX Rates'!$C$5</f>
        <v>7821 &amp; 7822</v>
      </c>
      <c r="F65" s="451" t="str">
        <f>'Input-FX Rates'!$B$5</f>
        <v>7821 PL Drivetrain Controls (&amp; Electrification)</v>
      </c>
      <c r="G65" s="451" t="s">
        <v>1466</v>
      </c>
      <c r="H65" s="451" t="s">
        <v>345</v>
      </c>
      <c r="I65" s="535"/>
      <c r="J65" s="535"/>
      <c r="K65" s="536">
        <f>'3. Scrap (GC)'!C7</f>
        <v>-12.477960400777173</v>
      </c>
      <c r="L65" s="536">
        <f>'3. Scrap (GC)'!E7</f>
        <v>-30.740601630226102</v>
      </c>
      <c r="M65" s="535"/>
      <c r="N65" s="535"/>
      <c r="O65" s="536">
        <f>'3. Scrap (GC)'!R7</f>
        <v>-26.682091031999999</v>
      </c>
      <c r="P65" s="536">
        <f>'3. Scrap (GC)'!S7</f>
        <v>-26.682091031999999</v>
      </c>
      <c r="Q65" s="535"/>
      <c r="R65" s="535"/>
      <c r="S65" s="535"/>
      <c r="T65" s="535"/>
      <c r="U65" s="535"/>
      <c r="V65" s="535"/>
      <c r="W65" s="536">
        <f>'3. Scrap (GC)'!F7</f>
        <v>-2.3656286891076928</v>
      </c>
      <c r="X65" s="536">
        <f>'3. Scrap (GC)'!G7</f>
        <v>-2.1455702064</v>
      </c>
      <c r="Y65" s="536">
        <f>'3. Scrap (GC)'!H7</f>
        <v>-2.6407017924923073</v>
      </c>
      <c r="Z65" s="536">
        <f>'3. Scrap (GC)'!I7</f>
        <v>-2.5306725516169015</v>
      </c>
      <c r="AA65" s="536">
        <f>'3. Scrap (GC)'!J7</f>
        <v>-2.2005848274929578</v>
      </c>
      <c r="AB65" s="536">
        <f>'3. Scrap (GC)'!K7</f>
        <v>-2.2005848274929578</v>
      </c>
      <c r="AC65" s="536">
        <f>'3. Scrap (GC)'!L7</f>
        <v>-2.2005848274929578</v>
      </c>
      <c r="AD65" s="536">
        <f>'3. Scrap (GC)'!M7</f>
        <v>-1.925511724056338</v>
      </c>
      <c r="AE65" s="536">
        <f>'3. Scrap (GC)'!N7</f>
        <v>-1.9805263447436616</v>
      </c>
      <c r="AF65" s="536">
        <f>'3. Scrap (GC)'!O7</f>
        <v>-2.0905555861183092</v>
      </c>
      <c r="AG65" s="536">
        <f>'3. Scrap (GC)'!P7</f>
        <v>-2.2005848274929578</v>
      </c>
      <c r="AH65" s="536">
        <f>'3. Scrap (GC)'!Q7</f>
        <v>-2.2005848274929578</v>
      </c>
      <c r="AI65" s="535"/>
      <c r="AJ65" s="535"/>
      <c r="AK65" s="535"/>
      <c r="AL65" s="535"/>
      <c r="AM65" s="535"/>
      <c r="AN65" s="536" t="str">
        <f>'3. Scrap (GC)'!B7</f>
        <v>GAD701 Gen2 GA</v>
      </c>
      <c r="AO65" s="451" t="str">
        <f>'3. Scrap (GC)'!W7</f>
        <v/>
      </c>
      <c r="AP65" s="451">
        <v>39</v>
      </c>
      <c r="AQ65" s="451" t="str">
        <f>Settings!$A$1</f>
        <v>V2</v>
      </c>
    </row>
    <row r="66" spans="1:43" ht="12.75" customHeight="1">
      <c r="A66" s="451">
        <f>'Input-FX Rates'!$C$4</f>
        <v>242</v>
      </c>
      <c r="B66" s="451" t="str">
        <f>'Input-FX Rates'!$B$4</f>
        <v>ICH Icheon (242)</v>
      </c>
      <c r="C66" s="451">
        <f>'Input-FX Rates'!$C$6</f>
        <v>780</v>
      </c>
      <c r="D66" s="451" t="str">
        <f>'Input-FX Rates'!$B$6</f>
        <v>780 BU Controls</v>
      </c>
      <c r="E66" s="451" t="str">
        <f>'Input-FX Rates'!$C$5</f>
        <v>7821 &amp; 7822</v>
      </c>
      <c r="F66" s="451" t="str">
        <f>'Input-FX Rates'!$B$5</f>
        <v>7821 PL Drivetrain Controls (&amp; Electrification)</v>
      </c>
      <c r="G66" s="451" t="s">
        <v>1466</v>
      </c>
      <c r="H66" s="451" t="s">
        <v>348</v>
      </c>
      <c r="I66" s="535"/>
      <c r="J66" s="535"/>
      <c r="K66" s="536">
        <f>'3. Scrap (GC)'!C8</f>
        <v>14644.000470347792</v>
      </c>
      <c r="L66" s="536">
        <f>'3. Scrap (GC)'!E8</f>
        <v>25710.222380149942</v>
      </c>
      <c r="M66" s="535"/>
      <c r="N66" s="535"/>
      <c r="O66" s="536">
        <f>'3. Scrap (GC)'!R8</f>
        <v>22235.075859999997</v>
      </c>
      <c r="P66" s="536">
        <f>'3. Scrap (GC)'!S8</f>
        <v>22235.075860000001</v>
      </c>
      <c r="Q66" s="535"/>
      <c r="R66" s="535"/>
      <c r="S66" s="535"/>
      <c r="T66" s="535"/>
      <c r="U66" s="535"/>
      <c r="V66" s="535"/>
      <c r="W66" s="536">
        <f>'3. Scrap (GC)'!F8</f>
        <v>1971.3572409230771</v>
      </c>
      <c r="X66" s="536">
        <f>'3. Scrap (GC)'!G8</f>
        <v>1787.9751720000002</v>
      </c>
      <c r="Y66" s="536">
        <f>'3. Scrap (GC)'!H8</f>
        <v>2200.5848270769229</v>
      </c>
      <c r="Z66" s="536">
        <f>'3. Scrap (GC)'!I8</f>
        <v>2108.8937930140846</v>
      </c>
      <c r="AA66" s="536">
        <f>'3. Scrap (GC)'!J8</f>
        <v>1833.8206895774647</v>
      </c>
      <c r="AB66" s="536">
        <f>'3. Scrap (GC)'!K8</f>
        <v>1833.8206895774647</v>
      </c>
      <c r="AC66" s="536">
        <f>'3. Scrap (GC)'!L8</f>
        <v>1833.8206895774647</v>
      </c>
      <c r="AD66" s="536">
        <f>'3. Scrap (GC)'!M8</f>
        <v>1604.5931033802817</v>
      </c>
      <c r="AE66" s="536">
        <f>'3. Scrap (GC)'!N8</f>
        <v>1650.4386206197182</v>
      </c>
      <c r="AF66" s="536">
        <f>'3. Scrap (GC)'!O8</f>
        <v>1742.1296550985915</v>
      </c>
      <c r="AG66" s="536">
        <f>'3. Scrap (GC)'!P8</f>
        <v>1833.8206895774647</v>
      </c>
      <c r="AH66" s="536">
        <f>'3. Scrap (GC)'!Q8</f>
        <v>1833.8206895774647</v>
      </c>
      <c r="AI66" s="535"/>
      <c r="AJ66" s="535"/>
      <c r="AK66" s="535"/>
      <c r="AL66" s="535"/>
      <c r="AM66" s="535"/>
      <c r="AN66" s="536" t="str">
        <f>'3. Scrap (GC)'!B8</f>
        <v>GAD701 Gen2 GA</v>
      </c>
      <c r="AO66" s="451" t="str">
        <f>'3. Scrap (GC)'!W8</f>
        <v/>
      </c>
      <c r="AP66" s="451">
        <v>40</v>
      </c>
      <c r="AQ66" s="451" t="str">
        <f>Settings!$A$1</f>
        <v>V2</v>
      </c>
    </row>
    <row r="67" spans="1:43" ht="12.75" customHeight="1">
      <c r="A67" s="451">
        <f>'Input-FX Rates'!$C$4</f>
        <v>242</v>
      </c>
      <c r="B67" s="451" t="str">
        <f>'Input-FX Rates'!$B$4</f>
        <v>ICH Icheon (242)</v>
      </c>
      <c r="C67" s="451">
        <f>'Input-FX Rates'!$C$6</f>
        <v>780</v>
      </c>
      <c r="D67" s="451" t="str">
        <f>'Input-FX Rates'!$B$6</f>
        <v>780 BU Controls</v>
      </c>
      <c r="E67" s="451" t="str">
        <f>'Input-FX Rates'!$C$5</f>
        <v>7821 &amp; 7822</v>
      </c>
      <c r="F67" s="451" t="str">
        <f>'Input-FX Rates'!$B$5</f>
        <v>7821 PL Drivetrain Controls (&amp; Electrification)</v>
      </c>
      <c r="G67" s="451" t="s">
        <v>1466</v>
      </c>
      <c r="H67" s="451" t="s">
        <v>351</v>
      </c>
      <c r="I67" s="535"/>
      <c r="J67" s="535"/>
      <c r="K67" s="536">
        <f>'3. Scrap (GC)'!C10</f>
        <v>-12.136590389812778</v>
      </c>
      <c r="L67" s="536">
        <f>'3. Scrap (GC)'!E10</f>
        <v>-49.052600402254029</v>
      </c>
      <c r="M67" s="535"/>
      <c r="N67" s="535"/>
      <c r="O67" s="536">
        <f>'3. Scrap (GC)'!R10</f>
        <v>-42.908251020000002</v>
      </c>
      <c r="P67" s="536">
        <f>'3. Scrap (GC)'!S10</f>
        <v>-42.908251019999994</v>
      </c>
      <c r="Q67" s="535"/>
      <c r="R67" s="535"/>
      <c r="S67" s="535"/>
      <c r="T67" s="535"/>
      <c r="U67" s="535"/>
      <c r="V67" s="535"/>
      <c r="W67" s="536">
        <f>'3. Scrap (GC)'!F10</f>
        <v>-3.8042366883711329</v>
      </c>
      <c r="X67" s="536">
        <f>'3. Scrap (GC)'!G10</f>
        <v>-3.4503542057319585</v>
      </c>
      <c r="Y67" s="536">
        <f>'3. Scrap (GC)'!H10</f>
        <v>-4.2465897916701039</v>
      </c>
      <c r="Z67" s="536">
        <f>'3. Scrap (GC)'!I10</f>
        <v>-4.0696485503505153</v>
      </c>
      <c r="AA67" s="536">
        <f>'3. Scrap (GC)'!J10</f>
        <v>-3.5388248263917519</v>
      </c>
      <c r="AB67" s="536">
        <f>'3. Scrap (GC)'!K10</f>
        <v>-3.5388248263917519</v>
      </c>
      <c r="AC67" s="536">
        <f>'3. Scrap (GC)'!L10</f>
        <v>-3.5388248263917519</v>
      </c>
      <c r="AD67" s="536">
        <f>'3. Scrap (GC)'!M10</f>
        <v>-3.0964717230927823</v>
      </c>
      <c r="AE67" s="536">
        <f>'3. Scrap (GC)'!N10</f>
        <v>-3.1849423437525766</v>
      </c>
      <c r="AF67" s="536">
        <f>'3. Scrap (GC)'!O10</f>
        <v>-3.3618835850721642</v>
      </c>
      <c r="AG67" s="536">
        <f>'3. Scrap (GC)'!P10</f>
        <v>-3.5388248263917519</v>
      </c>
      <c r="AH67" s="536">
        <f>'3. Scrap (GC)'!Q10</f>
        <v>-3.5388248263917519</v>
      </c>
      <c r="AI67" s="535"/>
      <c r="AJ67" s="535"/>
      <c r="AK67" s="535"/>
      <c r="AL67" s="535"/>
      <c r="AM67" s="535"/>
      <c r="AN67" s="536" t="str">
        <f>'3. Scrap (GC)'!B10</f>
        <v>TAD701 Gen2 TCU</v>
      </c>
      <c r="AO67" s="451" t="str">
        <f>'3. Scrap (GC)'!W10</f>
        <v/>
      </c>
      <c r="AP67" s="451">
        <v>41</v>
      </c>
      <c r="AQ67" s="451" t="str">
        <f>Settings!$A$1</f>
        <v>V2</v>
      </c>
    </row>
    <row r="68" spans="1:43" ht="12.75" customHeight="1">
      <c r="A68" s="451">
        <f>'Input-FX Rates'!$C$4</f>
        <v>242</v>
      </c>
      <c r="B68" s="451" t="str">
        <f>'Input-FX Rates'!$B$4</f>
        <v>ICH Icheon (242)</v>
      </c>
      <c r="C68" s="451">
        <f>'Input-FX Rates'!$C$6</f>
        <v>780</v>
      </c>
      <c r="D68" s="451" t="str">
        <f>'Input-FX Rates'!$B$6</f>
        <v>780 BU Controls</v>
      </c>
      <c r="E68" s="451" t="str">
        <f>'Input-FX Rates'!$C$5</f>
        <v>7821 &amp; 7822</v>
      </c>
      <c r="F68" s="451" t="str">
        <f>'Input-FX Rates'!$B$5</f>
        <v>7821 PL Drivetrain Controls (&amp; Electrification)</v>
      </c>
      <c r="G68" s="451" t="s">
        <v>1466</v>
      </c>
      <c r="H68" s="451" t="s">
        <v>353</v>
      </c>
      <c r="I68" s="535"/>
      <c r="J68" s="535"/>
      <c r="K68" s="536">
        <f>'3. Scrap (GC)'!C11</f>
        <v>23408.000751837008</v>
      </c>
      <c r="L68" s="536">
        <f>'3. Scrap (GC)'!E11</f>
        <v>41025.779398716862</v>
      </c>
      <c r="M68" s="535"/>
      <c r="N68" s="535"/>
      <c r="O68" s="536">
        <f>'3. Scrap (GC)'!R11</f>
        <v>35756.875850000004</v>
      </c>
      <c r="P68" s="536">
        <f>'3. Scrap (GC)'!S11</f>
        <v>35756.875849999997</v>
      </c>
      <c r="Q68" s="535"/>
      <c r="R68" s="535"/>
      <c r="S68" s="535"/>
      <c r="T68" s="535"/>
      <c r="U68" s="535"/>
      <c r="V68" s="535"/>
      <c r="W68" s="536">
        <f>'3. Scrap (GC)'!F11</f>
        <v>3170.1972403092777</v>
      </c>
      <c r="X68" s="536">
        <f>'3. Scrap (GC)'!G11</f>
        <v>2875.2951714432993</v>
      </c>
      <c r="Y68" s="536">
        <f>'3. Scrap (GC)'!H11</f>
        <v>3538.8248263917535</v>
      </c>
      <c r="Z68" s="536">
        <f>'3. Scrap (GC)'!I11</f>
        <v>3391.3737919587629</v>
      </c>
      <c r="AA68" s="536">
        <f>'3. Scrap (GC)'!J11</f>
        <v>2949.0206886597934</v>
      </c>
      <c r="AB68" s="536">
        <f>'3. Scrap (GC)'!K11</f>
        <v>2949.0206886597934</v>
      </c>
      <c r="AC68" s="536">
        <f>'3. Scrap (GC)'!L11</f>
        <v>2949.0206886597934</v>
      </c>
      <c r="AD68" s="536">
        <f>'3. Scrap (GC)'!M11</f>
        <v>2580.393102577319</v>
      </c>
      <c r="AE68" s="536">
        <f>'3. Scrap (GC)'!N11</f>
        <v>2654.1186197938146</v>
      </c>
      <c r="AF68" s="536">
        <f>'3. Scrap (GC)'!O11</f>
        <v>2801.5696542268038</v>
      </c>
      <c r="AG68" s="536">
        <f>'3. Scrap (GC)'!P11</f>
        <v>2949.0206886597934</v>
      </c>
      <c r="AH68" s="536">
        <f>'3. Scrap (GC)'!Q11</f>
        <v>2949.0206886597934</v>
      </c>
      <c r="AI68" s="535"/>
      <c r="AJ68" s="535"/>
      <c r="AK68" s="535"/>
      <c r="AL68" s="535"/>
      <c r="AM68" s="535"/>
      <c r="AN68" s="536" t="str">
        <f>'3. Scrap (GC)'!B11</f>
        <v>TAD701 Gen2 TCU</v>
      </c>
      <c r="AO68" s="451" t="str">
        <f>'3. Scrap (GC)'!W11</f>
        <v/>
      </c>
      <c r="AP68" s="451">
        <v>42</v>
      </c>
      <c r="AQ68" s="451" t="str">
        <f>Settings!$A$1</f>
        <v>V2</v>
      </c>
    </row>
    <row r="69" spans="1:43" ht="12.75" customHeight="1">
      <c r="A69" s="451">
        <f>'Input-FX Rates'!$C$4</f>
        <v>242</v>
      </c>
      <c r="B69" s="451" t="str">
        <f>'Input-FX Rates'!$B$4</f>
        <v>ICH Icheon (242)</v>
      </c>
      <c r="C69" s="451">
        <f>'Input-FX Rates'!$C$6</f>
        <v>780</v>
      </c>
      <c r="D69" s="451" t="str">
        <f>'Input-FX Rates'!$B$6</f>
        <v>780 BU Controls</v>
      </c>
      <c r="E69" s="451" t="str">
        <f>'Input-FX Rates'!$C$5</f>
        <v>7821 &amp; 7822</v>
      </c>
      <c r="F69" s="451" t="str">
        <f>'Input-FX Rates'!$B$5</f>
        <v>7821 PL Drivetrain Controls (&amp; Electrification)</v>
      </c>
      <c r="G69" s="451" t="s">
        <v>1466</v>
      </c>
      <c r="H69" s="451" t="s">
        <v>355</v>
      </c>
      <c r="I69" s="535"/>
      <c r="J69" s="535"/>
      <c r="K69" s="536">
        <f>'3. Scrap (GC)'!C13</f>
        <v>-4.7727701532956726</v>
      </c>
      <c r="L69" s="536">
        <f>'3. Scrap (GC)'!E13</f>
        <v>-20.873084376615886</v>
      </c>
      <c r="M69" s="535"/>
      <c r="N69" s="535"/>
      <c r="O69" s="536">
        <f>'3. Scrap (GC)'!R13</f>
        <v>-20.510397323999999</v>
      </c>
      <c r="P69" s="536">
        <f>'3. Scrap (GC)'!S13</f>
        <v>-20.510397324000003</v>
      </c>
      <c r="Q69" s="535"/>
      <c r="R69" s="535"/>
      <c r="S69" s="535"/>
      <c r="T69" s="535"/>
      <c r="U69" s="535"/>
      <c r="V69" s="535"/>
      <c r="W69" s="536">
        <f>'3. Scrap (GC)'!F13</f>
        <v>-1.702444048</v>
      </c>
      <c r="X69" s="536">
        <f>'3. Scrap (GC)'!G13</f>
        <v>-1.702444048</v>
      </c>
      <c r="Y69" s="536">
        <f>'3. Scrap (GC)'!H13</f>
        <v>-1.702444048</v>
      </c>
      <c r="Z69" s="536">
        <f>'3. Scrap (GC)'!I13</f>
        <v>-1.7429784282705947</v>
      </c>
      <c r="AA69" s="536">
        <f>'3. Scrap (GC)'!J13</f>
        <v>-1.7429784282705947</v>
      </c>
      <c r="AB69" s="536">
        <f>'3. Scrap (GC)'!K13</f>
        <v>-1.7429784282705947</v>
      </c>
      <c r="AC69" s="536">
        <f>'3. Scrap (GC)'!L13</f>
        <v>-1.7429784282705947</v>
      </c>
      <c r="AD69" s="536">
        <f>'3. Scrap (GC)'!M13</f>
        <v>-1.7429784282705947</v>
      </c>
      <c r="AE69" s="536">
        <f>'3. Scrap (GC)'!N13</f>
        <v>-1.7024440461936714</v>
      </c>
      <c r="AF69" s="536">
        <f>'3. Scrap (GC)'!O13</f>
        <v>-1.6619096641511182</v>
      </c>
      <c r="AG69" s="536">
        <f>'3. Scrap (GC)'!P13</f>
        <v>-1.6619096641511182</v>
      </c>
      <c r="AH69" s="536">
        <f>'3. Scrap (GC)'!Q13</f>
        <v>-1.6619096641511182</v>
      </c>
      <c r="AI69" s="535"/>
      <c r="AJ69" s="535"/>
      <c r="AK69" s="535"/>
      <c r="AL69" s="535"/>
      <c r="AM69" s="535"/>
      <c r="AN69" s="536" t="str">
        <f>'3. Scrap (GC)'!B13</f>
        <v>TAD801 WET TCU</v>
      </c>
      <c r="AO69" s="451" t="str">
        <f>'3. Scrap (GC)'!W13</f>
        <v/>
      </c>
      <c r="AP69" s="451">
        <v>43</v>
      </c>
      <c r="AQ69" s="451" t="str">
        <f>Settings!$A$1</f>
        <v>V2</v>
      </c>
    </row>
    <row r="70" spans="1:43" ht="12.75" customHeight="1">
      <c r="A70" s="451">
        <f>'Input-FX Rates'!$C$4</f>
        <v>242</v>
      </c>
      <c r="B70" s="451" t="str">
        <f>'Input-FX Rates'!$B$4</f>
        <v>ICH Icheon (242)</v>
      </c>
      <c r="C70" s="451">
        <f>'Input-FX Rates'!$C$6</f>
        <v>780</v>
      </c>
      <c r="D70" s="451" t="str">
        <f>'Input-FX Rates'!$B$6</f>
        <v>780 BU Controls</v>
      </c>
      <c r="E70" s="451" t="str">
        <f>'Input-FX Rates'!$C$5</f>
        <v>7821 &amp; 7822</v>
      </c>
      <c r="F70" s="451" t="str">
        <f>'Input-FX Rates'!$B$5</f>
        <v>7821 PL Drivetrain Controls (&amp; Electrification)</v>
      </c>
      <c r="G70" s="451" t="s">
        <v>1466</v>
      </c>
      <c r="H70" s="451" t="s">
        <v>357</v>
      </c>
      <c r="I70" s="535"/>
      <c r="J70" s="535"/>
      <c r="K70" s="536">
        <f>'3. Scrap (GC)'!C14</f>
        <v>9459.0003038117829</v>
      </c>
      <c r="L70" s="536">
        <f>'3. Scrap (GC)'!E14</f>
        <v>17457.741804340127</v>
      </c>
      <c r="M70" s="535"/>
      <c r="N70" s="535"/>
      <c r="O70" s="536">
        <f>'3. Scrap (GC)'!R14</f>
        <v>17091.997769999998</v>
      </c>
      <c r="P70" s="536">
        <f>'3. Scrap (GC)'!S14</f>
        <v>17091.997770000002</v>
      </c>
      <c r="Q70" s="535"/>
      <c r="R70" s="535"/>
      <c r="S70" s="535"/>
      <c r="T70" s="535"/>
      <c r="U70" s="535"/>
      <c r="V70" s="535"/>
      <c r="W70" s="536">
        <f>'3. Scrap (GC)'!F14</f>
        <v>1418.7033733333335</v>
      </c>
      <c r="X70" s="536">
        <f>'3. Scrap (GC)'!G14</f>
        <v>1418.7033733333335</v>
      </c>
      <c r="Y70" s="536">
        <f>'3. Scrap (GC)'!H14</f>
        <v>1418.7033733333335</v>
      </c>
      <c r="Z70" s="536">
        <f>'3. Scrap (GC)'!I14</f>
        <v>1452.4820235588288</v>
      </c>
      <c r="AA70" s="536">
        <f>'3. Scrap (GC)'!J14</f>
        <v>1452.4820235588288</v>
      </c>
      <c r="AB70" s="536">
        <f>'3. Scrap (GC)'!K14</f>
        <v>1452.4820235588288</v>
      </c>
      <c r="AC70" s="536">
        <f>'3. Scrap (GC)'!L14</f>
        <v>1452.4820235588288</v>
      </c>
      <c r="AD70" s="536">
        <f>'3. Scrap (GC)'!M14</f>
        <v>1452.4820235588288</v>
      </c>
      <c r="AE70" s="536">
        <f>'3. Scrap (GC)'!N14</f>
        <v>1418.7033718280597</v>
      </c>
      <c r="AF70" s="536">
        <f>'3. Scrap (GC)'!O14</f>
        <v>1384.9247201259318</v>
      </c>
      <c r="AG70" s="536">
        <f>'3. Scrap (GC)'!P14</f>
        <v>1384.9247201259318</v>
      </c>
      <c r="AH70" s="536">
        <f>'3. Scrap (GC)'!Q14</f>
        <v>1384.9247201259318</v>
      </c>
      <c r="AI70" s="535"/>
      <c r="AJ70" s="535"/>
      <c r="AK70" s="535"/>
      <c r="AL70" s="535"/>
      <c r="AM70" s="535"/>
      <c r="AN70" s="536" t="str">
        <f>'3. Scrap (GC)'!B14</f>
        <v>TAD801 WET TCU</v>
      </c>
      <c r="AO70" s="451" t="str">
        <f>'3. Scrap (GC)'!W14</f>
        <v/>
      </c>
      <c r="AP70" s="451">
        <v>44</v>
      </c>
      <c r="AQ70" s="451" t="str">
        <f>Settings!$A$1</f>
        <v>V2</v>
      </c>
    </row>
    <row r="71" spans="1:43" ht="12.75" customHeight="1">
      <c r="A71" s="451">
        <f>'Input-FX Rates'!$C$4</f>
        <v>242</v>
      </c>
      <c r="B71" s="451" t="str">
        <f>'Input-FX Rates'!$B$4</f>
        <v>ICH Icheon (242)</v>
      </c>
      <c r="C71" s="451">
        <f>'Input-FX Rates'!$C$6</f>
        <v>780</v>
      </c>
      <c r="D71" s="451" t="str">
        <f>'Input-FX Rates'!$B$6</f>
        <v>780 BU Controls</v>
      </c>
      <c r="E71" s="451" t="str">
        <f>'Input-FX Rates'!$C$5</f>
        <v>7821 &amp; 7822</v>
      </c>
      <c r="F71" s="451" t="str">
        <f>'Input-FX Rates'!$B$5</f>
        <v>7821 PL Drivetrain Controls (&amp; Electrification)</v>
      </c>
      <c r="G71" s="451" t="s">
        <v>1466</v>
      </c>
      <c r="H71" s="451" t="s">
        <v>359</v>
      </c>
      <c r="I71" s="535"/>
      <c r="J71" s="535"/>
      <c r="K71" s="536">
        <f>'3. Scrap (GC)'!C16</f>
        <v>0</v>
      </c>
      <c r="L71" s="536">
        <f>'3. Scrap (GC)'!E16</f>
        <v>0</v>
      </c>
      <c r="M71" s="535"/>
      <c r="N71" s="535"/>
      <c r="O71" s="536">
        <f>'3. Scrap (GC)'!R16</f>
        <v>0</v>
      </c>
      <c r="P71" s="536">
        <f>'3. Scrap (GC)'!S16</f>
        <v>0</v>
      </c>
      <c r="Q71" s="535"/>
      <c r="R71" s="535"/>
      <c r="S71" s="535"/>
      <c r="T71" s="535"/>
      <c r="U71" s="535"/>
      <c r="V71" s="535"/>
      <c r="W71" s="536">
        <f>'3. Scrap (GC)'!F16</f>
        <v>0</v>
      </c>
      <c r="X71" s="536">
        <f>'3. Scrap (GC)'!G16</f>
        <v>0</v>
      </c>
      <c r="Y71" s="536">
        <f>'3. Scrap (GC)'!H16</f>
        <v>0</v>
      </c>
      <c r="Z71" s="536">
        <f>'3. Scrap (GC)'!I16</f>
        <v>0</v>
      </c>
      <c r="AA71" s="536">
        <f>'3. Scrap (GC)'!J16</f>
        <v>0</v>
      </c>
      <c r="AB71" s="536">
        <f>'3. Scrap (GC)'!K16</f>
        <v>0</v>
      </c>
      <c r="AC71" s="536">
        <f>'3. Scrap (GC)'!L16</f>
        <v>0</v>
      </c>
      <c r="AD71" s="536">
        <f>'3. Scrap (GC)'!M16</f>
        <v>0</v>
      </c>
      <c r="AE71" s="536">
        <f>'3. Scrap (GC)'!N16</f>
        <v>0</v>
      </c>
      <c r="AF71" s="536">
        <f>'3. Scrap (GC)'!O16</f>
        <v>0</v>
      </c>
      <c r="AG71" s="536">
        <f>'3. Scrap (GC)'!P16</f>
        <v>0</v>
      </c>
      <c r="AH71" s="536">
        <f>'3. Scrap (GC)'!Q16</f>
        <v>0</v>
      </c>
      <c r="AI71" s="535"/>
      <c r="AJ71" s="535"/>
      <c r="AK71" s="535"/>
      <c r="AL71" s="535"/>
      <c r="AM71" s="535"/>
      <c r="AN71" s="536" t="str">
        <f>'3. Scrap (GC)'!B16</f>
        <v>Area 4</v>
      </c>
      <c r="AO71" s="451" t="str">
        <f>'3. Scrap (GC)'!W16</f>
        <v/>
      </c>
      <c r="AP71" s="451">
        <v>45</v>
      </c>
      <c r="AQ71" s="451" t="str">
        <f>Settings!$A$1</f>
        <v>V2</v>
      </c>
    </row>
    <row r="72" spans="1:43" ht="12.75" customHeight="1">
      <c r="A72" s="451">
        <f>'Input-FX Rates'!$C$4</f>
        <v>242</v>
      </c>
      <c r="B72" s="451" t="str">
        <f>'Input-FX Rates'!$B$4</f>
        <v>ICH Icheon (242)</v>
      </c>
      <c r="C72" s="451">
        <f>'Input-FX Rates'!$C$6</f>
        <v>780</v>
      </c>
      <c r="D72" s="451" t="str">
        <f>'Input-FX Rates'!$B$6</f>
        <v>780 BU Controls</v>
      </c>
      <c r="E72" s="451" t="str">
        <f>'Input-FX Rates'!$C$5</f>
        <v>7821 &amp; 7822</v>
      </c>
      <c r="F72" s="451" t="str">
        <f>'Input-FX Rates'!$B$5</f>
        <v>7821 PL Drivetrain Controls (&amp; Electrification)</v>
      </c>
      <c r="G72" s="451" t="s">
        <v>1466</v>
      </c>
      <c r="H72" s="451" t="s">
        <v>361</v>
      </c>
      <c r="I72" s="535"/>
      <c r="J72" s="535"/>
      <c r="K72" s="536">
        <f>'3. Scrap (GC)'!C17</f>
        <v>0</v>
      </c>
      <c r="L72" s="536">
        <f>'3. Scrap (GC)'!E17</f>
        <v>0</v>
      </c>
      <c r="M72" s="535"/>
      <c r="N72" s="535"/>
      <c r="O72" s="536">
        <f>'3. Scrap (GC)'!R17</f>
        <v>0</v>
      </c>
      <c r="P72" s="536">
        <f>'3. Scrap (GC)'!S17</f>
        <v>0</v>
      </c>
      <c r="Q72" s="535"/>
      <c r="R72" s="535"/>
      <c r="S72" s="535"/>
      <c r="T72" s="535"/>
      <c r="U72" s="535"/>
      <c r="V72" s="535"/>
      <c r="W72" s="536">
        <f>'3. Scrap (GC)'!F17</f>
        <v>0</v>
      </c>
      <c r="X72" s="536">
        <f>'3. Scrap (GC)'!G17</f>
        <v>0</v>
      </c>
      <c r="Y72" s="536">
        <f>'3. Scrap (GC)'!H17</f>
        <v>0</v>
      </c>
      <c r="Z72" s="536">
        <f>'3. Scrap (GC)'!I17</f>
        <v>0</v>
      </c>
      <c r="AA72" s="536">
        <f>'3. Scrap (GC)'!J17</f>
        <v>0</v>
      </c>
      <c r="AB72" s="536">
        <f>'3. Scrap (GC)'!K17</f>
        <v>0</v>
      </c>
      <c r="AC72" s="536">
        <f>'3. Scrap (GC)'!L17</f>
        <v>0</v>
      </c>
      <c r="AD72" s="536">
        <f>'3. Scrap (GC)'!M17</f>
        <v>0</v>
      </c>
      <c r="AE72" s="536">
        <f>'3. Scrap (GC)'!N17</f>
        <v>0</v>
      </c>
      <c r="AF72" s="536">
        <f>'3. Scrap (GC)'!O17</f>
        <v>0</v>
      </c>
      <c r="AG72" s="536">
        <f>'3. Scrap (GC)'!P17</f>
        <v>0</v>
      </c>
      <c r="AH72" s="536">
        <f>'3. Scrap (GC)'!Q17</f>
        <v>0</v>
      </c>
      <c r="AI72" s="535"/>
      <c r="AJ72" s="535"/>
      <c r="AK72" s="535"/>
      <c r="AL72" s="535"/>
      <c r="AM72" s="535"/>
      <c r="AN72" s="536" t="str">
        <f>'3. Scrap (GC)'!B17</f>
        <v>Area 4</v>
      </c>
      <c r="AO72" s="451" t="str">
        <f>'3. Scrap (GC)'!W17</f>
        <v/>
      </c>
      <c r="AP72" s="451">
        <v>46</v>
      </c>
      <c r="AQ72" s="451" t="str">
        <f>Settings!$A$1</f>
        <v>V2</v>
      </c>
    </row>
    <row r="73" spans="1:43" ht="12.75" customHeight="1">
      <c r="A73" s="451">
        <f>'Input-FX Rates'!$C$4</f>
        <v>242</v>
      </c>
      <c r="B73" s="451" t="str">
        <f>'Input-FX Rates'!$B$4</f>
        <v>ICH Icheon (242)</v>
      </c>
      <c r="C73" s="451">
        <f>'Input-FX Rates'!$C$6</f>
        <v>780</v>
      </c>
      <c r="D73" s="451" t="str">
        <f>'Input-FX Rates'!$B$6</f>
        <v>780 BU Controls</v>
      </c>
      <c r="E73" s="451" t="str">
        <f>'Input-FX Rates'!$C$5</f>
        <v>7821 &amp; 7822</v>
      </c>
      <c r="F73" s="451" t="str">
        <f>'Input-FX Rates'!$B$5</f>
        <v>7821 PL Drivetrain Controls (&amp; Electrification)</v>
      </c>
      <c r="G73" s="451" t="s">
        <v>1466</v>
      </c>
      <c r="H73" s="451" t="s">
        <v>363</v>
      </c>
      <c r="I73" s="535"/>
      <c r="J73" s="535"/>
      <c r="K73" s="536">
        <f>'3. Scrap (GC)'!C19</f>
        <v>0</v>
      </c>
      <c r="L73" s="536">
        <f>'3. Scrap (GC)'!E19</f>
        <v>0</v>
      </c>
      <c r="M73" s="535"/>
      <c r="N73" s="535"/>
      <c r="O73" s="536">
        <f>'3. Scrap (GC)'!R19</f>
        <v>0</v>
      </c>
      <c r="P73" s="536">
        <f>'3. Scrap (GC)'!S19</f>
        <v>0</v>
      </c>
      <c r="Q73" s="535"/>
      <c r="R73" s="535"/>
      <c r="S73" s="535"/>
      <c r="T73" s="535"/>
      <c r="U73" s="535"/>
      <c r="V73" s="535"/>
      <c r="W73" s="536">
        <f>'3. Scrap (GC)'!F19</f>
        <v>0</v>
      </c>
      <c r="X73" s="536">
        <f>'3. Scrap (GC)'!G19</f>
        <v>0</v>
      </c>
      <c r="Y73" s="536">
        <f>'3. Scrap (GC)'!H19</f>
        <v>0</v>
      </c>
      <c r="Z73" s="536">
        <f>'3. Scrap (GC)'!I19</f>
        <v>0</v>
      </c>
      <c r="AA73" s="536">
        <f>'3. Scrap (GC)'!J19</f>
        <v>0</v>
      </c>
      <c r="AB73" s="536">
        <f>'3. Scrap (GC)'!K19</f>
        <v>0</v>
      </c>
      <c r="AC73" s="536">
        <f>'3. Scrap (GC)'!L19</f>
        <v>0</v>
      </c>
      <c r="AD73" s="536">
        <f>'3. Scrap (GC)'!M19</f>
        <v>0</v>
      </c>
      <c r="AE73" s="536">
        <f>'3. Scrap (GC)'!N19</f>
        <v>0</v>
      </c>
      <c r="AF73" s="536">
        <f>'3. Scrap (GC)'!O19</f>
        <v>0</v>
      </c>
      <c r="AG73" s="536">
        <f>'3. Scrap (GC)'!P19</f>
        <v>0</v>
      </c>
      <c r="AH73" s="536">
        <f>'3. Scrap (GC)'!Q19</f>
        <v>0</v>
      </c>
      <c r="AI73" s="535"/>
      <c r="AJ73" s="535"/>
      <c r="AK73" s="535"/>
      <c r="AL73" s="535"/>
      <c r="AM73" s="535"/>
      <c r="AN73" s="536" t="str">
        <f>'3. Scrap (GC)'!B19</f>
        <v>Area 5</v>
      </c>
      <c r="AO73" s="451" t="str">
        <f>'3. Scrap (GC)'!W19</f>
        <v/>
      </c>
      <c r="AP73" s="451">
        <v>47</v>
      </c>
      <c r="AQ73" s="451" t="str">
        <f>Settings!$A$1</f>
        <v>V2</v>
      </c>
    </row>
    <row r="74" spans="1:43" ht="12.75" customHeight="1">
      <c r="A74" s="451">
        <f>'Input-FX Rates'!$C$4</f>
        <v>242</v>
      </c>
      <c r="B74" s="451" t="str">
        <f>'Input-FX Rates'!$B$4</f>
        <v>ICH Icheon (242)</v>
      </c>
      <c r="C74" s="451">
        <f>'Input-FX Rates'!$C$6</f>
        <v>780</v>
      </c>
      <c r="D74" s="451" t="str">
        <f>'Input-FX Rates'!$B$6</f>
        <v>780 BU Controls</v>
      </c>
      <c r="E74" s="451" t="str">
        <f>'Input-FX Rates'!$C$5</f>
        <v>7821 &amp; 7822</v>
      </c>
      <c r="F74" s="451" t="str">
        <f>'Input-FX Rates'!$B$5</f>
        <v>7821 PL Drivetrain Controls (&amp; Electrification)</v>
      </c>
      <c r="G74" s="451" t="s">
        <v>1466</v>
      </c>
      <c r="H74" s="451" t="s">
        <v>365</v>
      </c>
      <c r="I74" s="535"/>
      <c r="J74" s="535"/>
      <c r="K74" s="536">
        <f>'3. Scrap (GC)'!C20</f>
        <v>0</v>
      </c>
      <c r="L74" s="536">
        <f>'3. Scrap (GC)'!E20</f>
        <v>0</v>
      </c>
      <c r="M74" s="535"/>
      <c r="N74" s="535"/>
      <c r="O74" s="536">
        <f>'3. Scrap (GC)'!R20</f>
        <v>0</v>
      </c>
      <c r="P74" s="536">
        <f>'3. Scrap (GC)'!S20</f>
        <v>0</v>
      </c>
      <c r="Q74" s="535"/>
      <c r="R74" s="535"/>
      <c r="S74" s="535"/>
      <c r="T74" s="535"/>
      <c r="U74" s="535"/>
      <c r="V74" s="535"/>
      <c r="W74" s="536">
        <f>'3. Scrap (GC)'!F20</f>
        <v>0</v>
      </c>
      <c r="X74" s="536">
        <f>'3. Scrap (GC)'!G20</f>
        <v>0</v>
      </c>
      <c r="Y74" s="536">
        <f>'3. Scrap (GC)'!H20</f>
        <v>0</v>
      </c>
      <c r="Z74" s="536">
        <f>'3. Scrap (GC)'!I20</f>
        <v>0</v>
      </c>
      <c r="AA74" s="536">
        <f>'3. Scrap (GC)'!J20</f>
        <v>0</v>
      </c>
      <c r="AB74" s="536">
        <f>'3. Scrap (GC)'!K20</f>
        <v>0</v>
      </c>
      <c r="AC74" s="536">
        <f>'3. Scrap (GC)'!L20</f>
        <v>0</v>
      </c>
      <c r="AD74" s="536">
        <f>'3. Scrap (GC)'!M20</f>
        <v>0</v>
      </c>
      <c r="AE74" s="536">
        <f>'3. Scrap (GC)'!N20</f>
        <v>0</v>
      </c>
      <c r="AF74" s="536">
        <f>'3. Scrap (GC)'!O20</f>
        <v>0</v>
      </c>
      <c r="AG74" s="536">
        <f>'3. Scrap (GC)'!P20</f>
        <v>0</v>
      </c>
      <c r="AH74" s="536">
        <f>'3. Scrap (GC)'!Q20</f>
        <v>0</v>
      </c>
      <c r="AI74" s="535"/>
      <c r="AJ74" s="535"/>
      <c r="AK74" s="535"/>
      <c r="AL74" s="535"/>
      <c r="AM74" s="535"/>
      <c r="AN74" s="536" t="str">
        <f>'3. Scrap (GC)'!B20</f>
        <v>Area 5</v>
      </c>
      <c r="AO74" s="451" t="str">
        <f>'3. Scrap (GC)'!W20</f>
        <v/>
      </c>
      <c r="AP74" s="451">
        <v>48</v>
      </c>
      <c r="AQ74" s="451" t="str">
        <f>Settings!$A$1</f>
        <v>V2</v>
      </c>
    </row>
    <row r="75" spans="1:43" ht="12.75" customHeight="1">
      <c r="A75" s="451">
        <f>'Input-FX Rates'!$C$4</f>
        <v>242</v>
      </c>
      <c r="B75" s="451" t="str">
        <f>'Input-FX Rates'!$B$4</f>
        <v>ICH Icheon (242)</v>
      </c>
      <c r="C75" s="451">
        <f>'Input-FX Rates'!$C$6</f>
        <v>780</v>
      </c>
      <c r="D75" s="451" t="str">
        <f>'Input-FX Rates'!$B$6</f>
        <v>780 BU Controls</v>
      </c>
      <c r="E75" s="451" t="str">
        <f>'Input-FX Rates'!$C$5</f>
        <v>7821 &amp; 7822</v>
      </c>
      <c r="F75" s="451" t="str">
        <f>'Input-FX Rates'!$B$5</f>
        <v>7821 PL Drivetrain Controls (&amp; Electrification)</v>
      </c>
      <c r="G75" s="451" t="s">
        <v>1466</v>
      </c>
      <c r="H75" s="451" t="s">
        <v>367</v>
      </c>
      <c r="I75" s="535"/>
      <c r="J75" s="535"/>
      <c r="K75" s="536">
        <f>'3. Scrap (GC)'!C22</f>
        <v>0</v>
      </c>
      <c r="L75" s="536">
        <f>'3. Scrap (GC)'!E22</f>
        <v>0</v>
      </c>
      <c r="M75" s="535"/>
      <c r="N75" s="535"/>
      <c r="O75" s="536">
        <f>'3. Scrap (GC)'!R22</f>
        <v>0</v>
      </c>
      <c r="P75" s="536">
        <f>'3. Scrap (GC)'!S22</f>
        <v>0</v>
      </c>
      <c r="Q75" s="535"/>
      <c r="R75" s="535"/>
      <c r="S75" s="535"/>
      <c r="T75" s="535"/>
      <c r="U75" s="535"/>
      <c r="V75" s="535"/>
      <c r="W75" s="536">
        <f>'3. Scrap (GC)'!F22</f>
        <v>0</v>
      </c>
      <c r="X75" s="536">
        <f>'3. Scrap (GC)'!G22</f>
        <v>0</v>
      </c>
      <c r="Y75" s="536">
        <f>'3. Scrap (GC)'!H22</f>
        <v>0</v>
      </c>
      <c r="Z75" s="536">
        <f>'3. Scrap (GC)'!I22</f>
        <v>0</v>
      </c>
      <c r="AA75" s="536">
        <f>'3. Scrap (GC)'!J22</f>
        <v>0</v>
      </c>
      <c r="AB75" s="536">
        <f>'3. Scrap (GC)'!K22</f>
        <v>0</v>
      </c>
      <c r="AC75" s="536">
        <f>'3. Scrap (GC)'!L22</f>
        <v>0</v>
      </c>
      <c r="AD75" s="536">
        <f>'3. Scrap (GC)'!M22</f>
        <v>0</v>
      </c>
      <c r="AE75" s="536">
        <f>'3. Scrap (GC)'!N22</f>
        <v>0</v>
      </c>
      <c r="AF75" s="536">
        <f>'3. Scrap (GC)'!O22</f>
        <v>0</v>
      </c>
      <c r="AG75" s="536">
        <f>'3. Scrap (GC)'!P22</f>
        <v>0</v>
      </c>
      <c r="AH75" s="536">
        <f>'3. Scrap (GC)'!Q22</f>
        <v>0</v>
      </c>
      <c r="AI75" s="535"/>
      <c r="AJ75" s="535"/>
      <c r="AK75" s="535"/>
      <c r="AL75" s="535"/>
      <c r="AM75" s="535"/>
      <c r="AN75" s="536" t="str">
        <f>'3. Scrap (GC)'!B22</f>
        <v>Area 6</v>
      </c>
      <c r="AO75" s="451" t="str">
        <f>'3. Scrap (GC)'!W22</f>
        <v/>
      </c>
      <c r="AP75" s="451">
        <v>49</v>
      </c>
      <c r="AQ75" s="451" t="str">
        <f>Settings!$A$1</f>
        <v>V2</v>
      </c>
    </row>
    <row r="76" spans="1:43" ht="12.75" customHeight="1">
      <c r="A76" s="451">
        <f>'Input-FX Rates'!$C$4</f>
        <v>242</v>
      </c>
      <c r="B76" s="451" t="str">
        <f>'Input-FX Rates'!$B$4</f>
        <v>ICH Icheon (242)</v>
      </c>
      <c r="C76" s="451">
        <f>'Input-FX Rates'!$C$6</f>
        <v>780</v>
      </c>
      <c r="D76" s="451" t="str">
        <f>'Input-FX Rates'!$B$6</f>
        <v>780 BU Controls</v>
      </c>
      <c r="E76" s="451" t="str">
        <f>'Input-FX Rates'!$C$5</f>
        <v>7821 &amp; 7822</v>
      </c>
      <c r="F76" s="451" t="str">
        <f>'Input-FX Rates'!$B$5</f>
        <v>7821 PL Drivetrain Controls (&amp; Electrification)</v>
      </c>
      <c r="G76" s="451" t="s">
        <v>1466</v>
      </c>
      <c r="H76" s="451" t="s">
        <v>369</v>
      </c>
      <c r="I76" s="535"/>
      <c r="J76" s="535"/>
      <c r="K76" s="536">
        <f>'3. Scrap (GC)'!C23</f>
        <v>0</v>
      </c>
      <c r="L76" s="536">
        <f>'3. Scrap (GC)'!E23</f>
        <v>0</v>
      </c>
      <c r="M76" s="535"/>
      <c r="N76" s="535"/>
      <c r="O76" s="536">
        <f>'3. Scrap (GC)'!R23</f>
        <v>0</v>
      </c>
      <c r="P76" s="536">
        <f>'3. Scrap (GC)'!S23</f>
        <v>0</v>
      </c>
      <c r="Q76" s="535"/>
      <c r="R76" s="535"/>
      <c r="S76" s="535"/>
      <c r="T76" s="535"/>
      <c r="U76" s="535"/>
      <c r="V76" s="535"/>
      <c r="W76" s="536">
        <f>'3. Scrap (GC)'!F23</f>
        <v>0</v>
      </c>
      <c r="X76" s="536">
        <f>'3. Scrap (GC)'!G23</f>
        <v>0</v>
      </c>
      <c r="Y76" s="536">
        <f>'3. Scrap (GC)'!H23</f>
        <v>0</v>
      </c>
      <c r="Z76" s="536">
        <f>'3. Scrap (GC)'!I23</f>
        <v>0</v>
      </c>
      <c r="AA76" s="536">
        <f>'3. Scrap (GC)'!J23</f>
        <v>0</v>
      </c>
      <c r="AB76" s="536">
        <f>'3. Scrap (GC)'!K23</f>
        <v>0</v>
      </c>
      <c r="AC76" s="536">
        <f>'3. Scrap (GC)'!L23</f>
        <v>0</v>
      </c>
      <c r="AD76" s="536">
        <f>'3. Scrap (GC)'!M23</f>
        <v>0</v>
      </c>
      <c r="AE76" s="536">
        <f>'3. Scrap (GC)'!N23</f>
        <v>0</v>
      </c>
      <c r="AF76" s="536">
        <f>'3. Scrap (GC)'!O23</f>
        <v>0</v>
      </c>
      <c r="AG76" s="536">
        <f>'3. Scrap (GC)'!P23</f>
        <v>0</v>
      </c>
      <c r="AH76" s="536">
        <f>'3. Scrap (GC)'!Q23</f>
        <v>0</v>
      </c>
      <c r="AI76" s="535"/>
      <c r="AJ76" s="535"/>
      <c r="AK76" s="535"/>
      <c r="AL76" s="535"/>
      <c r="AM76" s="535"/>
      <c r="AN76" s="536" t="str">
        <f>'3. Scrap (GC)'!B23</f>
        <v>Area 6</v>
      </c>
      <c r="AO76" s="451" t="str">
        <f>'3. Scrap (GC)'!W23</f>
        <v/>
      </c>
      <c r="AP76" s="451">
        <v>50</v>
      </c>
      <c r="AQ76" s="451" t="str">
        <f>Settings!$A$1</f>
        <v>V2</v>
      </c>
    </row>
    <row r="77" spans="1:43" ht="12.75" customHeight="1">
      <c r="A77" s="451">
        <f>'Input-FX Rates'!$C$4</f>
        <v>242</v>
      </c>
      <c r="B77" s="451" t="str">
        <f>'Input-FX Rates'!$B$4</f>
        <v>ICH Icheon (242)</v>
      </c>
      <c r="C77" s="451">
        <f>'Input-FX Rates'!$C$6</f>
        <v>780</v>
      </c>
      <c r="D77" s="451" t="str">
        <f>'Input-FX Rates'!$B$6</f>
        <v>780 BU Controls</v>
      </c>
      <c r="E77" s="451" t="str">
        <f>'Input-FX Rates'!$C$5</f>
        <v>7821 &amp; 7822</v>
      </c>
      <c r="F77" s="451" t="str">
        <f>'Input-FX Rates'!$B$5</f>
        <v>7821 PL Drivetrain Controls (&amp; Electrification)</v>
      </c>
      <c r="G77" s="451" t="s">
        <v>1466</v>
      </c>
      <c r="H77" s="451" t="s">
        <v>371</v>
      </c>
      <c r="I77" s="535"/>
      <c r="J77" s="535"/>
      <c r="K77" s="536">
        <f>'3. Scrap (GC)'!C25</f>
        <v>0</v>
      </c>
      <c r="L77" s="536">
        <f>'3. Scrap (GC)'!E25</f>
        <v>0</v>
      </c>
      <c r="M77" s="535"/>
      <c r="N77" s="535"/>
      <c r="O77" s="536">
        <f>'3. Scrap (GC)'!R25</f>
        <v>0</v>
      </c>
      <c r="P77" s="536">
        <f>'3. Scrap (GC)'!S25</f>
        <v>0</v>
      </c>
      <c r="Q77" s="535"/>
      <c r="R77" s="535"/>
      <c r="S77" s="535"/>
      <c r="T77" s="535"/>
      <c r="U77" s="535"/>
      <c r="V77" s="535"/>
      <c r="W77" s="536">
        <f>'3. Scrap (GC)'!F25</f>
        <v>0</v>
      </c>
      <c r="X77" s="536">
        <f>'3. Scrap (GC)'!G25</f>
        <v>0</v>
      </c>
      <c r="Y77" s="536">
        <f>'3. Scrap (GC)'!H25</f>
        <v>0</v>
      </c>
      <c r="Z77" s="536">
        <f>'3. Scrap (GC)'!I25</f>
        <v>0</v>
      </c>
      <c r="AA77" s="536">
        <f>'3. Scrap (GC)'!J25</f>
        <v>0</v>
      </c>
      <c r="AB77" s="536">
        <f>'3. Scrap (GC)'!K25</f>
        <v>0</v>
      </c>
      <c r="AC77" s="536">
        <f>'3. Scrap (GC)'!L25</f>
        <v>0</v>
      </c>
      <c r="AD77" s="536">
        <f>'3. Scrap (GC)'!M25</f>
        <v>0</v>
      </c>
      <c r="AE77" s="536">
        <f>'3. Scrap (GC)'!N25</f>
        <v>0</v>
      </c>
      <c r="AF77" s="536">
        <f>'3. Scrap (GC)'!O25</f>
        <v>0</v>
      </c>
      <c r="AG77" s="536">
        <f>'3. Scrap (GC)'!P25</f>
        <v>0</v>
      </c>
      <c r="AH77" s="536">
        <f>'3. Scrap (GC)'!Q25</f>
        <v>0</v>
      </c>
      <c r="AI77" s="535"/>
      <c r="AJ77" s="535"/>
      <c r="AK77" s="535"/>
      <c r="AL77" s="535"/>
      <c r="AM77" s="535"/>
      <c r="AN77" s="536" t="str">
        <f>'3. Scrap (GC)'!B25</f>
        <v>Area 7</v>
      </c>
      <c r="AO77" s="536" t="str">
        <f>'3. Scrap (GC)'!W25</f>
        <v/>
      </c>
      <c r="AP77" s="451">
        <v>1501</v>
      </c>
      <c r="AQ77" s="451" t="str">
        <f>Settings!$A$1</f>
        <v>V2</v>
      </c>
    </row>
    <row r="78" spans="1:43" ht="12.75" customHeight="1">
      <c r="A78" s="451">
        <f>'Input-FX Rates'!$C$4</f>
        <v>242</v>
      </c>
      <c r="B78" s="451" t="str">
        <f>'Input-FX Rates'!$B$4</f>
        <v>ICH Icheon (242)</v>
      </c>
      <c r="C78" s="451">
        <f>'Input-FX Rates'!$C$6</f>
        <v>780</v>
      </c>
      <c r="D78" s="451" t="str">
        <f>'Input-FX Rates'!$B$6</f>
        <v>780 BU Controls</v>
      </c>
      <c r="E78" s="451" t="str">
        <f>'Input-FX Rates'!$C$5</f>
        <v>7821 &amp; 7822</v>
      </c>
      <c r="F78" s="451" t="str">
        <f>'Input-FX Rates'!$B$5</f>
        <v>7821 PL Drivetrain Controls (&amp; Electrification)</v>
      </c>
      <c r="G78" s="451" t="s">
        <v>1466</v>
      </c>
      <c r="H78" s="451" t="s">
        <v>373</v>
      </c>
      <c r="I78" s="535"/>
      <c r="J78" s="535"/>
      <c r="K78" s="536">
        <f>'3. Scrap (GC)'!C26</f>
        <v>0</v>
      </c>
      <c r="L78" s="536">
        <f>'3. Scrap (GC)'!E26</f>
        <v>0</v>
      </c>
      <c r="M78" s="535"/>
      <c r="N78" s="535"/>
      <c r="O78" s="536">
        <f>'3. Scrap (GC)'!R26</f>
        <v>0</v>
      </c>
      <c r="P78" s="536">
        <f>'3. Scrap (GC)'!S26</f>
        <v>0</v>
      </c>
      <c r="Q78" s="535"/>
      <c r="R78" s="535"/>
      <c r="S78" s="535"/>
      <c r="T78" s="535"/>
      <c r="U78" s="535"/>
      <c r="V78" s="535"/>
      <c r="W78" s="536">
        <f>'3. Scrap (GC)'!F26</f>
        <v>0</v>
      </c>
      <c r="X78" s="536">
        <f>'3. Scrap (GC)'!G26</f>
        <v>0</v>
      </c>
      <c r="Y78" s="536">
        <f>'3. Scrap (GC)'!H26</f>
        <v>0</v>
      </c>
      <c r="Z78" s="536">
        <f>'3. Scrap (GC)'!I26</f>
        <v>0</v>
      </c>
      <c r="AA78" s="536">
        <f>'3. Scrap (GC)'!J26</f>
        <v>0</v>
      </c>
      <c r="AB78" s="536">
        <f>'3. Scrap (GC)'!K26</f>
        <v>0</v>
      </c>
      <c r="AC78" s="536">
        <f>'3. Scrap (GC)'!L26</f>
        <v>0</v>
      </c>
      <c r="AD78" s="536">
        <f>'3. Scrap (GC)'!M26</f>
        <v>0</v>
      </c>
      <c r="AE78" s="536">
        <f>'3. Scrap (GC)'!N26</f>
        <v>0</v>
      </c>
      <c r="AF78" s="536">
        <f>'3. Scrap (GC)'!O26</f>
        <v>0</v>
      </c>
      <c r="AG78" s="536">
        <f>'3. Scrap (GC)'!P26</f>
        <v>0</v>
      </c>
      <c r="AH78" s="536">
        <f>'3. Scrap (GC)'!Q26</f>
        <v>0</v>
      </c>
      <c r="AI78" s="535"/>
      <c r="AJ78" s="535"/>
      <c r="AK78" s="535"/>
      <c r="AL78" s="535"/>
      <c r="AM78" s="535"/>
      <c r="AN78" s="536" t="str">
        <f>'3. Scrap (GC)'!B26</f>
        <v>Area 7</v>
      </c>
      <c r="AO78" s="536" t="str">
        <f>'3. Scrap (GC)'!W26</f>
        <v/>
      </c>
      <c r="AP78" s="451">
        <v>1502</v>
      </c>
      <c r="AQ78" s="451" t="str">
        <f>Settings!$A$1</f>
        <v>V2</v>
      </c>
    </row>
    <row r="79" spans="1:43" ht="12.75" customHeight="1">
      <c r="A79" s="451">
        <f>'Input-FX Rates'!$C$4</f>
        <v>242</v>
      </c>
      <c r="B79" s="451" t="str">
        <f>'Input-FX Rates'!$B$4</f>
        <v>ICH Icheon (242)</v>
      </c>
      <c r="C79" s="451">
        <f>'Input-FX Rates'!$C$6</f>
        <v>780</v>
      </c>
      <c r="D79" s="451" t="str">
        <f>'Input-FX Rates'!$B$6</f>
        <v>780 BU Controls</v>
      </c>
      <c r="E79" s="451" t="str">
        <f>'Input-FX Rates'!$C$5</f>
        <v>7821 &amp; 7822</v>
      </c>
      <c r="F79" s="451" t="str">
        <f>'Input-FX Rates'!$B$5</f>
        <v>7821 PL Drivetrain Controls (&amp; Electrification)</v>
      </c>
      <c r="G79" s="451" t="s">
        <v>1466</v>
      </c>
      <c r="H79" s="451" t="s">
        <v>375</v>
      </c>
      <c r="I79" s="535"/>
      <c r="J79" s="535"/>
      <c r="K79" s="536">
        <f>'3. Scrap (GC)'!C28</f>
        <v>0</v>
      </c>
      <c r="L79" s="536">
        <f>'3. Scrap (GC)'!E28</f>
        <v>0</v>
      </c>
      <c r="M79" s="535"/>
      <c r="N79" s="535"/>
      <c r="O79" s="536">
        <f>'3. Scrap (GC)'!R28</f>
        <v>0</v>
      </c>
      <c r="P79" s="536">
        <f>'3. Scrap (GC)'!S28</f>
        <v>0</v>
      </c>
      <c r="Q79" s="535"/>
      <c r="R79" s="535"/>
      <c r="S79" s="535"/>
      <c r="T79" s="535"/>
      <c r="U79" s="535"/>
      <c r="V79" s="535"/>
      <c r="W79" s="536">
        <f>'3. Scrap (GC)'!F28</f>
        <v>0</v>
      </c>
      <c r="X79" s="536">
        <f>'3. Scrap (GC)'!G28</f>
        <v>0</v>
      </c>
      <c r="Y79" s="536">
        <f>'3. Scrap (GC)'!H28</f>
        <v>0</v>
      </c>
      <c r="Z79" s="536">
        <f>'3. Scrap (GC)'!I28</f>
        <v>0</v>
      </c>
      <c r="AA79" s="536">
        <f>'3. Scrap (GC)'!J28</f>
        <v>0</v>
      </c>
      <c r="AB79" s="536">
        <f>'3. Scrap (GC)'!K28</f>
        <v>0</v>
      </c>
      <c r="AC79" s="536">
        <f>'3. Scrap (GC)'!L28</f>
        <v>0</v>
      </c>
      <c r="AD79" s="536">
        <f>'3. Scrap (GC)'!M28</f>
        <v>0</v>
      </c>
      <c r="AE79" s="536">
        <f>'3. Scrap (GC)'!N28</f>
        <v>0</v>
      </c>
      <c r="AF79" s="536">
        <f>'3. Scrap (GC)'!O28</f>
        <v>0</v>
      </c>
      <c r="AG79" s="536">
        <f>'3. Scrap (GC)'!P28</f>
        <v>0</v>
      </c>
      <c r="AH79" s="536">
        <f>'3. Scrap (GC)'!Q28</f>
        <v>0</v>
      </c>
      <c r="AI79" s="535"/>
      <c r="AJ79" s="535"/>
      <c r="AK79" s="535"/>
      <c r="AL79" s="535"/>
      <c r="AM79" s="535"/>
      <c r="AN79" s="536" t="str">
        <f>'3. Scrap (GC)'!B28</f>
        <v>Area 8</v>
      </c>
      <c r="AO79" s="536" t="str">
        <f>'3. Scrap (GC)'!W28</f>
        <v/>
      </c>
      <c r="AP79" s="451">
        <v>1503</v>
      </c>
      <c r="AQ79" s="451" t="str">
        <f>Settings!$A$1</f>
        <v>V2</v>
      </c>
    </row>
    <row r="80" spans="1:43" ht="12.75" customHeight="1">
      <c r="A80" s="451">
        <f>'Input-FX Rates'!$C$4</f>
        <v>242</v>
      </c>
      <c r="B80" s="451" t="str">
        <f>'Input-FX Rates'!$B$4</f>
        <v>ICH Icheon (242)</v>
      </c>
      <c r="C80" s="451">
        <f>'Input-FX Rates'!$C$6</f>
        <v>780</v>
      </c>
      <c r="D80" s="451" t="str">
        <f>'Input-FX Rates'!$B$6</f>
        <v>780 BU Controls</v>
      </c>
      <c r="E80" s="451" t="str">
        <f>'Input-FX Rates'!$C$5</f>
        <v>7821 &amp; 7822</v>
      </c>
      <c r="F80" s="451" t="str">
        <f>'Input-FX Rates'!$B$5</f>
        <v>7821 PL Drivetrain Controls (&amp; Electrification)</v>
      </c>
      <c r="G80" s="451" t="s">
        <v>1466</v>
      </c>
      <c r="H80" s="451" t="s">
        <v>377</v>
      </c>
      <c r="I80" s="535"/>
      <c r="J80" s="535"/>
      <c r="K80" s="536">
        <f>'3. Scrap (GC)'!C29</f>
        <v>0</v>
      </c>
      <c r="L80" s="536">
        <f>'3. Scrap (GC)'!E29</f>
        <v>0</v>
      </c>
      <c r="M80" s="535"/>
      <c r="N80" s="535"/>
      <c r="O80" s="536">
        <f>'3. Scrap (GC)'!R29</f>
        <v>0</v>
      </c>
      <c r="P80" s="536">
        <f>'3. Scrap (GC)'!S29</f>
        <v>0</v>
      </c>
      <c r="Q80" s="535"/>
      <c r="R80" s="535"/>
      <c r="S80" s="535"/>
      <c r="T80" s="535"/>
      <c r="U80" s="535"/>
      <c r="V80" s="535"/>
      <c r="W80" s="536">
        <f>'3. Scrap (GC)'!F29</f>
        <v>0</v>
      </c>
      <c r="X80" s="536">
        <f>'3. Scrap (GC)'!G29</f>
        <v>0</v>
      </c>
      <c r="Y80" s="536">
        <f>'3. Scrap (GC)'!H29</f>
        <v>0</v>
      </c>
      <c r="Z80" s="536">
        <f>'3. Scrap (GC)'!I29</f>
        <v>0</v>
      </c>
      <c r="AA80" s="536">
        <f>'3. Scrap (GC)'!J29</f>
        <v>0</v>
      </c>
      <c r="AB80" s="536">
        <f>'3. Scrap (GC)'!K29</f>
        <v>0</v>
      </c>
      <c r="AC80" s="536">
        <f>'3. Scrap (GC)'!L29</f>
        <v>0</v>
      </c>
      <c r="AD80" s="536">
        <f>'3. Scrap (GC)'!M29</f>
        <v>0</v>
      </c>
      <c r="AE80" s="536">
        <f>'3. Scrap (GC)'!N29</f>
        <v>0</v>
      </c>
      <c r="AF80" s="536">
        <f>'3. Scrap (GC)'!O29</f>
        <v>0</v>
      </c>
      <c r="AG80" s="536">
        <f>'3. Scrap (GC)'!P29</f>
        <v>0</v>
      </c>
      <c r="AH80" s="536">
        <f>'3. Scrap (GC)'!Q29</f>
        <v>0</v>
      </c>
      <c r="AI80" s="535"/>
      <c r="AJ80" s="535"/>
      <c r="AK80" s="535"/>
      <c r="AL80" s="535"/>
      <c r="AM80" s="535"/>
      <c r="AN80" s="536" t="str">
        <f>'3. Scrap (GC)'!B29</f>
        <v>Area 8</v>
      </c>
      <c r="AO80" s="536" t="str">
        <f>'3. Scrap (GC)'!W29</f>
        <v/>
      </c>
      <c r="AP80" s="451">
        <v>1504</v>
      </c>
      <c r="AQ80" s="451" t="str">
        <f>Settings!$A$1</f>
        <v>V2</v>
      </c>
    </row>
    <row r="81" spans="1:43" ht="12.75" customHeight="1">
      <c r="A81" s="451">
        <f>'Input-FX Rates'!$C$4</f>
        <v>242</v>
      </c>
      <c r="B81" s="451" t="str">
        <f>'Input-FX Rates'!$B$4</f>
        <v>ICH Icheon (242)</v>
      </c>
      <c r="C81" s="451">
        <f>'Input-FX Rates'!$C$6</f>
        <v>780</v>
      </c>
      <c r="D81" s="451" t="str">
        <f>'Input-FX Rates'!$B$6</f>
        <v>780 BU Controls</v>
      </c>
      <c r="E81" s="451" t="str">
        <f>'Input-FX Rates'!$C$5</f>
        <v>7821 &amp; 7822</v>
      </c>
      <c r="F81" s="451" t="str">
        <f>'Input-FX Rates'!$B$5</f>
        <v>7821 PL Drivetrain Controls (&amp; Electrification)</v>
      </c>
      <c r="G81" s="451" t="s">
        <v>1466</v>
      </c>
      <c r="H81" s="451" t="s">
        <v>379</v>
      </c>
      <c r="I81" s="535"/>
      <c r="J81" s="535"/>
      <c r="K81" s="536">
        <f>'3. Scrap (GC)'!C31</f>
        <v>0</v>
      </c>
      <c r="L81" s="536">
        <f>'3. Scrap (GC)'!E31</f>
        <v>0</v>
      </c>
      <c r="M81" s="535"/>
      <c r="N81" s="535"/>
      <c r="O81" s="536">
        <f>'3. Scrap (GC)'!R31</f>
        <v>0</v>
      </c>
      <c r="P81" s="536">
        <f>'3. Scrap (GC)'!S31</f>
        <v>0</v>
      </c>
      <c r="Q81" s="535"/>
      <c r="R81" s="535"/>
      <c r="S81" s="535"/>
      <c r="T81" s="535"/>
      <c r="U81" s="535"/>
      <c r="V81" s="535"/>
      <c r="W81" s="536">
        <f>'3. Scrap (GC)'!F31</f>
        <v>0</v>
      </c>
      <c r="X81" s="536">
        <f>'3. Scrap (GC)'!G31</f>
        <v>0</v>
      </c>
      <c r="Y81" s="536">
        <f>'3. Scrap (GC)'!H31</f>
        <v>0</v>
      </c>
      <c r="Z81" s="536">
        <f>'3. Scrap (GC)'!I31</f>
        <v>0</v>
      </c>
      <c r="AA81" s="536">
        <f>'3. Scrap (GC)'!J31</f>
        <v>0</v>
      </c>
      <c r="AB81" s="536">
        <f>'3. Scrap (GC)'!K31</f>
        <v>0</v>
      </c>
      <c r="AC81" s="536">
        <f>'3. Scrap (GC)'!L31</f>
        <v>0</v>
      </c>
      <c r="AD81" s="536">
        <f>'3. Scrap (GC)'!M31</f>
        <v>0</v>
      </c>
      <c r="AE81" s="536">
        <f>'3. Scrap (GC)'!N31</f>
        <v>0</v>
      </c>
      <c r="AF81" s="536">
        <f>'3. Scrap (GC)'!O31</f>
        <v>0</v>
      </c>
      <c r="AG81" s="536">
        <f>'3. Scrap (GC)'!P31</f>
        <v>0</v>
      </c>
      <c r="AH81" s="536">
        <f>'3. Scrap (GC)'!Q31</f>
        <v>0</v>
      </c>
      <c r="AI81" s="535"/>
      <c r="AJ81" s="535"/>
      <c r="AK81" s="535"/>
      <c r="AL81" s="535"/>
      <c r="AM81" s="535"/>
      <c r="AN81" s="536" t="str">
        <f>'3. Scrap (GC)'!B31</f>
        <v>Area 9</v>
      </c>
      <c r="AO81" s="536" t="str">
        <f>'3. Scrap (GC)'!W31</f>
        <v/>
      </c>
      <c r="AP81" s="451">
        <v>1505</v>
      </c>
      <c r="AQ81" s="451" t="str">
        <f>Settings!$A$1</f>
        <v>V2</v>
      </c>
    </row>
    <row r="82" spans="1:43" ht="12.75" customHeight="1">
      <c r="A82" s="451">
        <f>'Input-FX Rates'!$C$4</f>
        <v>242</v>
      </c>
      <c r="B82" s="451" t="str">
        <f>'Input-FX Rates'!$B$4</f>
        <v>ICH Icheon (242)</v>
      </c>
      <c r="C82" s="451">
        <f>'Input-FX Rates'!$C$6</f>
        <v>780</v>
      </c>
      <c r="D82" s="451" t="str">
        <f>'Input-FX Rates'!$B$6</f>
        <v>780 BU Controls</v>
      </c>
      <c r="E82" s="451" t="str">
        <f>'Input-FX Rates'!$C$5</f>
        <v>7821 &amp; 7822</v>
      </c>
      <c r="F82" s="451" t="str">
        <f>'Input-FX Rates'!$B$5</f>
        <v>7821 PL Drivetrain Controls (&amp; Electrification)</v>
      </c>
      <c r="G82" s="451" t="s">
        <v>1466</v>
      </c>
      <c r="H82" s="451" t="s">
        <v>381</v>
      </c>
      <c r="I82" s="535"/>
      <c r="J82" s="535"/>
      <c r="K82" s="536">
        <f>'3. Scrap (GC)'!C32</f>
        <v>0</v>
      </c>
      <c r="L82" s="536">
        <f>'3. Scrap (GC)'!E32</f>
        <v>0</v>
      </c>
      <c r="M82" s="535"/>
      <c r="N82" s="535"/>
      <c r="O82" s="536">
        <f>'3. Scrap (GC)'!R32</f>
        <v>0</v>
      </c>
      <c r="P82" s="536">
        <f>'3. Scrap (GC)'!S32</f>
        <v>0</v>
      </c>
      <c r="Q82" s="535"/>
      <c r="R82" s="535"/>
      <c r="S82" s="535"/>
      <c r="T82" s="535"/>
      <c r="U82" s="535"/>
      <c r="V82" s="535"/>
      <c r="W82" s="536">
        <f>'3. Scrap (GC)'!F32</f>
        <v>0</v>
      </c>
      <c r="X82" s="536">
        <f>'3. Scrap (GC)'!G32</f>
        <v>0</v>
      </c>
      <c r="Y82" s="536">
        <f>'3. Scrap (GC)'!H32</f>
        <v>0</v>
      </c>
      <c r="Z82" s="536">
        <f>'3. Scrap (GC)'!I32</f>
        <v>0</v>
      </c>
      <c r="AA82" s="536">
        <f>'3. Scrap (GC)'!J32</f>
        <v>0</v>
      </c>
      <c r="AB82" s="536">
        <f>'3. Scrap (GC)'!K32</f>
        <v>0</v>
      </c>
      <c r="AC82" s="536">
        <f>'3. Scrap (GC)'!L32</f>
        <v>0</v>
      </c>
      <c r="AD82" s="536">
        <f>'3. Scrap (GC)'!M32</f>
        <v>0</v>
      </c>
      <c r="AE82" s="536">
        <f>'3. Scrap (GC)'!N32</f>
        <v>0</v>
      </c>
      <c r="AF82" s="536">
        <f>'3. Scrap (GC)'!O32</f>
        <v>0</v>
      </c>
      <c r="AG82" s="536">
        <f>'3. Scrap (GC)'!P32</f>
        <v>0</v>
      </c>
      <c r="AH82" s="536">
        <f>'3. Scrap (GC)'!Q32</f>
        <v>0</v>
      </c>
      <c r="AI82" s="535"/>
      <c r="AJ82" s="535"/>
      <c r="AK82" s="535"/>
      <c r="AL82" s="535"/>
      <c r="AM82" s="535"/>
      <c r="AN82" s="536" t="str">
        <f>'3. Scrap (GC)'!B32</f>
        <v>Area 9</v>
      </c>
      <c r="AO82" s="536" t="str">
        <f>'3. Scrap (GC)'!W32</f>
        <v/>
      </c>
      <c r="AP82" s="451">
        <v>1506</v>
      </c>
      <c r="AQ82" s="451" t="str">
        <f>Settings!$A$1</f>
        <v>V2</v>
      </c>
    </row>
    <row r="83" spans="1:43" ht="12.75" customHeight="1">
      <c r="A83" s="451">
        <f>'Input-FX Rates'!$C$4</f>
        <v>242</v>
      </c>
      <c r="B83" s="451" t="str">
        <f>'Input-FX Rates'!$B$4</f>
        <v>ICH Icheon (242)</v>
      </c>
      <c r="C83" s="451">
        <f>'Input-FX Rates'!$C$6</f>
        <v>780</v>
      </c>
      <c r="D83" s="451" t="str">
        <f>'Input-FX Rates'!$B$6</f>
        <v>780 BU Controls</v>
      </c>
      <c r="E83" s="451" t="str">
        <f>'Input-FX Rates'!$C$5</f>
        <v>7821 &amp; 7822</v>
      </c>
      <c r="F83" s="451" t="str">
        <f>'Input-FX Rates'!$B$5</f>
        <v>7821 PL Drivetrain Controls (&amp; Electrification)</v>
      </c>
      <c r="G83" s="451" t="s">
        <v>1466</v>
      </c>
      <c r="H83" s="451" t="s">
        <v>383</v>
      </c>
      <c r="I83" s="535"/>
      <c r="J83" s="535"/>
      <c r="K83" s="536">
        <f>'3. Scrap (GC)'!C34</f>
        <v>0</v>
      </c>
      <c r="L83" s="536">
        <f>'3. Scrap (GC)'!E34</f>
        <v>0</v>
      </c>
      <c r="M83" s="535"/>
      <c r="N83" s="535"/>
      <c r="O83" s="536">
        <f>'3. Scrap (GC)'!R34</f>
        <v>0</v>
      </c>
      <c r="P83" s="536">
        <f>'3. Scrap (GC)'!S34</f>
        <v>0</v>
      </c>
      <c r="Q83" s="535"/>
      <c r="R83" s="535"/>
      <c r="S83" s="535"/>
      <c r="T83" s="535"/>
      <c r="U83" s="535"/>
      <c r="V83" s="535"/>
      <c r="W83" s="536">
        <f>'3. Scrap (GC)'!F34</f>
        <v>0</v>
      </c>
      <c r="X83" s="536">
        <f>'3. Scrap (GC)'!G34</f>
        <v>0</v>
      </c>
      <c r="Y83" s="536">
        <f>'3. Scrap (GC)'!H34</f>
        <v>0</v>
      </c>
      <c r="Z83" s="536">
        <f>'3. Scrap (GC)'!I34</f>
        <v>0</v>
      </c>
      <c r="AA83" s="536">
        <f>'3. Scrap (GC)'!J34</f>
        <v>0</v>
      </c>
      <c r="AB83" s="536">
        <f>'3. Scrap (GC)'!K34</f>
        <v>0</v>
      </c>
      <c r="AC83" s="536">
        <f>'3. Scrap (GC)'!L34</f>
        <v>0</v>
      </c>
      <c r="AD83" s="536">
        <f>'3. Scrap (GC)'!M34</f>
        <v>0</v>
      </c>
      <c r="AE83" s="536">
        <f>'3. Scrap (GC)'!N34</f>
        <v>0</v>
      </c>
      <c r="AF83" s="536">
        <f>'3. Scrap (GC)'!O34</f>
        <v>0</v>
      </c>
      <c r="AG83" s="536">
        <f>'3. Scrap (GC)'!P34</f>
        <v>0</v>
      </c>
      <c r="AH83" s="536">
        <f>'3. Scrap (GC)'!Q34</f>
        <v>0</v>
      </c>
      <c r="AI83" s="535"/>
      <c r="AJ83" s="535"/>
      <c r="AK83" s="535"/>
      <c r="AL83" s="535"/>
      <c r="AM83" s="535"/>
      <c r="AN83" s="536" t="str">
        <f>'3. Scrap (GC)'!B34</f>
        <v>Area 10</v>
      </c>
      <c r="AO83" s="536" t="str">
        <f>'3. Scrap (GC)'!W34</f>
        <v/>
      </c>
      <c r="AP83" s="451">
        <v>1507</v>
      </c>
      <c r="AQ83" s="451" t="str">
        <f>Settings!$A$1</f>
        <v>V2</v>
      </c>
    </row>
    <row r="84" spans="1:43" ht="12.75" customHeight="1">
      <c r="A84" s="451">
        <f>'Input-FX Rates'!$C$4</f>
        <v>242</v>
      </c>
      <c r="B84" s="451" t="str">
        <f>'Input-FX Rates'!$B$4</f>
        <v>ICH Icheon (242)</v>
      </c>
      <c r="C84" s="451">
        <f>'Input-FX Rates'!$C$6</f>
        <v>780</v>
      </c>
      <c r="D84" s="451" t="str">
        <f>'Input-FX Rates'!$B$6</f>
        <v>780 BU Controls</v>
      </c>
      <c r="E84" s="451" t="str">
        <f>'Input-FX Rates'!$C$5</f>
        <v>7821 &amp; 7822</v>
      </c>
      <c r="F84" s="451" t="str">
        <f>'Input-FX Rates'!$B$5</f>
        <v>7821 PL Drivetrain Controls (&amp; Electrification)</v>
      </c>
      <c r="G84" s="451" t="s">
        <v>1466</v>
      </c>
      <c r="H84" s="451" t="s">
        <v>385</v>
      </c>
      <c r="I84" s="535"/>
      <c r="J84" s="535"/>
      <c r="K84" s="536">
        <f>'3. Scrap (GC)'!C35</f>
        <v>0</v>
      </c>
      <c r="L84" s="536">
        <f>'3. Scrap (GC)'!E35</f>
        <v>0</v>
      </c>
      <c r="M84" s="535"/>
      <c r="N84" s="535"/>
      <c r="O84" s="536">
        <f>'3. Scrap (GC)'!R35</f>
        <v>0</v>
      </c>
      <c r="P84" s="536">
        <f>'3. Scrap (GC)'!S35</f>
        <v>0</v>
      </c>
      <c r="Q84" s="535"/>
      <c r="R84" s="535"/>
      <c r="S84" s="535"/>
      <c r="T84" s="535"/>
      <c r="U84" s="535"/>
      <c r="V84" s="535"/>
      <c r="W84" s="536">
        <f>'3. Scrap (GC)'!F35</f>
        <v>0</v>
      </c>
      <c r="X84" s="536">
        <f>'3. Scrap (GC)'!G35</f>
        <v>0</v>
      </c>
      <c r="Y84" s="536">
        <f>'3. Scrap (GC)'!H35</f>
        <v>0</v>
      </c>
      <c r="Z84" s="536">
        <f>'3. Scrap (GC)'!I35</f>
        <v>0</v>
      </c>
      <c r="AA84" s="536">
        <f>'3. Scrap (GC)'!J35</f>
        <v>0</v>
      </c>
      <c r="AB84" s="536">
        <f>'3. Scrap (GC)'!K35</f>
        <v>0</v>
      </c>
      <c r="AC84" s="536">
        <f>'3. Scrap (GC)'!L35</f>
        <v>0</v>
      </c>
      <c r="AD84" s="536">
        <f>'3. Scrap (GC)'!M35</f>
        <v>0</v>
      </c>
      <c r="AE84" s="536">
        <f>'3. Scrap (GC)'!N35</f>
        <v>0</v>
      </c>
      <c r="AF84" s="536">
        <f>'3. Scrap (GC)'!O35</f>
        <v>0</v>
      </c>
      <c r="AG84" s="536">
        <f>'3. Scrap (GC)'!P35</f>
        <v>0</v>
      </c>
      <c r="AH84" s="536">
        <f>'3. Scrap (GC)'!Q35</f>
        <v>0</v>
      </c>
      <c r="AI84" s="535"/>
      <c r="AJ84" s="535"/>
      <c r="AK84" s="535"/>
      <c r="AL84" s="535"/>
      <c r="AM84" s="535"/>
      <c r="AN84" s="536" t="str">
        <f>'3. Scrap (GC)'!B35</f>
        <v>Area 10</v>
      </c>
      <c r="AO84" s="536" t="str">
        <f>'3. Scrap (GC)'!W35</f>
        <v/>
      </c>
      <c r="AP84" s="451">
        <v>1508</v>
      </c>
      <c r="AQ84" s="451" t="str">
        <f>Settings!$A$1</f>
        <v>V2</v>
      </c>
    </row>
    <row r="85" spans="1:43" ht="12.75" customHeight="1">
      <c r="A85" s="451">
        <f>'Input-FX Rates'!$C$4</f>
        <v>242</v>
      </c>
      <c r="B85" s="451" t="str">
        <f>'Input-FX Rates'!$B$4</f>
        <v>ICH Icheon (242)</v>
      </c>
      <c r="C85" s="451">
        <f>'Input-FX Rates'!$C$6</f>
        <v>780</v>
      </c>
      <c r="D85" s="451" t="str">
        <f>'Input-FX Rates'!$B$6</f>
        <v>780 BU Controls</v>
      </c>
      <c r="E85" s="451" t="str">
        <f>'Input-FX Rates'!$C$5</f>
        <v>7821 &amp; 7822</v>
      </c>
      <c r="F85" s="451" t="str">
        <f>'Input-FX Rates'!$B$5</f>
        <v>7821 PL Drivetrain Controls (&amp; Electrification)</v>
      </c>
      <c r="G85" s="451" t="s">
        <v>1466</v>
      </c>
      <c r="H85" s="451" t="s">
        <v>387</v>
      </c>
      <c r="I85" s="535"/>
      <c r="J85" s="535"/>
      <c r="K85" s="536">
        <f>'3. Scrap (GC)'!C37</f>
        <v>1.5073362962483439</v>
      </c>
      <c r="L85" s="536">
        <f>'3. Scrap (GC)'!E37</f>
        <v>-19.453528066586465</v>
      </c>
      <c r="M85" s="535"/>
      <c r="N85" s="535"/>
      <c r="O85" s="536">
        <f>'3. Scrap (GC)'!R37</f>
        <v>-14.477031658482765</v>
      </c>
      <c r="P85" s="536">
        <f>'3. Scrap (GC)'!S37</f>
        <v>0</v>
      </c>
      <c r="Q85" s="535"/>
      <c r="R85" s="535"/>
      <c r="S85" s="535"/>
      <c r="T85" s="535"/>
      <c r="U85" s="535"/>
      <c r="V85" s="535"/>
      <c r="W85" s="536">
        <f>'3. Scrap (GC)'!F37</f>
        <v>-1.2643885055556567</v>
      </c>
      <c r="X85" s="536">
        <f>'3. Scrap (GC)'!G37</f>
        <v>-1.2643880915921797</v>
      </c>
      <c r="Y85" s="536">
        <f>'3. Scrap (GC)'!H37</f>
        <v>-1.2643885057686228</v>
      </c>
      <c r="Z85" s="536">
        <f>'3. Scrap (GC)'!I37</f>
        <v>-1.2643880559688854</v>
      </c>
      <c r="AA85" s="536">
        <f>'3. Scrap (GC)'!J37</f>
        <v>-1.2147008833619375</v>
      </c>
      <c r="AB85" s="536">
        <f>'3. Scrap (GC)'!K37</f>
        <v>-1.2147008833619375</v>
      </c>
      <c r="AC85" s="536">
        <f>'3. Scrap (GC)'!L37</f>
        <v>-1.2147008833619375</v>
      </c>
      <c r="AD85" s="536">
        <f>'3. Scrap (GC)'!M37</f>
        <v>-1.2147008832009758</v>
      </c>
      <c r="AE85" s="536">
        <f>'3. Scrap (GC)'!N37</f>
        <v>-1.1401693342756072</v>
      </c>
      <c r="AF85" s="536">
        <f>'3. Scrap (GC)'!O37</f>
        <v>-1.1401690956928912</v>
      </c>
      <c r="AG85" s="536">
        <f>'3. Scrap (GC)'!P37</f>
        <v>-1.1401689578262399</v>
      </c>
      <c r="AH85" s="536">
        <f>'3. Scrap (GC)'!Q37</f>
        <v>-1.140167578515896</v>
      </c>
      <c r="AI85" s="535"/>
      <c r="AJ85" s="535"/>
      <c r="AK85" s="535"/>
      <c r="AL85" s="535"/>
      <c r="AM85" s="535"/>
      <c r="AN85" s="536" t="str">
        <f>'3. Scrap (GC)'!B37</f>
        <v>All Other</v>
      </c>
      <c r="AO85" s="536" t="str">
        <f>'3. Scrap (GC)'!W37</f>
        <v/>
      </c>
      <c r="AP85" s="451">
        <v>1509</v>
      </c>
      <c r="AQ85" s="451" t="str">
        <f>Settings!$A$1</f>
        <v>V2</v>
      </c>
    </row>
    <row r="86" spans="1:43" ht="12.75" customHeight="1">
      <c r="A86" s="451">
        <f>'Input-FX Rates'!$C$4</f>
        <v>242</v>
      </c>
      <c r="B86" s="451" t="str">
        <f>'Input-FX Rates'!$B$4</f>
        <v>ICH Icheon (242)</v>
      </c>
      <c r="C86" s="451">
        <f>'Input-FX Rates'!$C$6</f>
        <v>780</v>
      </c>
      <c r="D86" s="451" t="str">
        <f>'Input-FX Rates'!$B$6</f>
        <v>780 BU Controls</v>
      </c>
      <c r="E86" s="451" t="str">
        <f>'Input-FX Rates'!$C$5</f>
        <v>7821 &amp; 7822</v>
      </c>
      <c r="F86" s="451" t="str">
        <f>'Input-FX Rates'!$B$5</f>
        <v>7821 PL Drivetrain Controls (&amp; Electrification)</v>
      </c>
      <c r="G86" s="451" t="s">
        <v>1466</v>
      </c>
      <c r="H86" s="451" t="s">
        <v>389</v>
      </c>
      <c r="I86" s="535"/>
      <c r="J86" s="535"/>
      <c r="K86" s="536">
        <f>'3. Scrap (GC)'!C38</f>
        <v>8207.0002635990404</v>
      </c>
      <c r="L86" s="536">
        <f>'3. Scrap (GC)'!E38</f>
        <v>15933.006357132055</v>
      </c>
      <c r="M86" s="535"/>
      <c r="N86" s="535"/>
      <c r="O86" s="536">
        <f>'3. Scrap (GC)'!R38</f>
        <v>12790.193110344826</v>
      </c>
      <c r="P86" s="536">
        <f>'3. Scrap (GC)'!S38</f>
        <v>0</v>
      </c>
      <c r="Q86" s="535"/>
      <c r="R86" s="535"/>
      <c r="S86" s="535"/>
      <c r="T86" s="535"/>
      <c r="U86" s="535"/>
      <c r="V86" s="535"/>
      <c r="W86" s="536">
        <f>'3. Scrap (GC)'!F38</f>
        <v>1114.156828192931</v>
      </c>
      <c r="X86" s="536">
        <f>'3. Scrap (GC)'!G38</f>
        <v>1114.1568280509525</v>
      </c>
      <c r="Y86" s="536">
        <f>'3. Scrap (GC)'!H38</f>
        <v>1114.1568283704025</v>
      </c>
      <c r="Z86" s="536">
        <f>'3. Scrap (GC)'!I38</f>
        <v>1114.1568280200481</v>
      </c>
      <c r="AA86" s="536">
        <f>'3. Scrap (GC)'!J38</f>
        <v>1072.750483031499</v>
      </c>
      <c r="AB86" s="536">
        <f>'3. Scrap (GC)'!K38</f>
        <v>1072.750483031499</v>
      </c>
      <c r="AC86" s="536">
        <f>'3. Scrap (GC)'!L38</f>
        <v>1072.750483031499</v>
      </c>
      <c r="AD86" s="536">
        <f>'3. Scrap (GC)'!M38</f>
        <v>1072.7504835870182</v>
      </c>
      <c r="AE86" s="536">
        <f>'3. Scrap (GC)'!N38</f>
        <v>1010.6409656894425</v>
      </c>
      <c r="AF86" s="536">
        <f>'3. Scrap (GC)'!O38</f>
        <v>1010.6409657210869</v>
      </c>
      <c r="AG86" s="536">
        <f>'3. Scrap (GC)'!P38</f>
        <v>1010.6409657747414</v>
      </c>
      <c r="AH86" s="536">
        <f>'3. Scrap (GC)'!Q38</f>
        <v>1010.640967843706</v>
      </c>
      <c r="AI86" s="535"/>
      <c r="AJ86" s="535"/>
      <c r="AK86" s="535"/>
      <c r="AL86" s="535"/>
      <c r="AM86" s="535"/>
      <c r="AN86" s="536" t="str">
        <f>'3. Scrap (GC)'!B38</f>
        <v>All Other</v>
      </c>
      <c r="AO86" s="536" t="str">
        <f>'3. Scrap (GC)'!W38</f>
        <v/>
      </c>
      <c r="AP86" s="451">
        <v>1510</v>
      </c>
      <c r="AQ86" s="451" t="str">
        <f>Settings!$A$1</f>
        <v>V2</v>
      </c>
    </row>
    <row r="87" spans="1:43" ht="12.75" customHeight="1">
      <c r="A87" s="451">
        <f>'Input-FX Rates'!$C$4</f>
        <v>242</v>
      </c>
      <c r="B87" s="451" t="str">
        <f>'Input-FX Rates'!$B$4</f>
        <v>ICH Icheon (242)</v>
      </c>
      <c r="C87" s="451">
        <f>'Input-FX Rates'!$C$6</f>
        <v>780</v>
      </c>
      <c r="D87" s="451" t="str">
        <f>'Input-FX Rates'!$B$6</f>
        <v>780 BU Controls</v>
      </c>
      <c r="E87" s="451" t="str">
        <f>'Input-FX Rates'!$C$5</f>
        <v>7821 &amp; 7822</v>
      </c>
      <c r="F87" s="451" t="str">
        <f>'Input-FX Rates'!$B$5</f>
        <v>7821 PL Drivetrain Controls (&amp; Electrification)</v>
      </c>
      <c r="G87" s="451" t="s">
        <v>1466</v>
      </c>
      <c r="H87" s="451" t="s">
        <v>1467</v>
      </c>
      <c r="I87" s="535"/>
      <c r="J87" s="535"/>
      <c r="K87" s="536">
        <f>'3. Scrap (GC)'!C40</f>
        <v>-27.879984647637279</v>
      </c>
      <c r="L87" s="536">
        <f>'3. Scrap (GC)'!E40</f>
        <v>-120.11981447568249</v>
      </c>
      <c r="M87" s="535"/>
      <c r="N87" s="535"/>
      <c r="O87" s="536">
        <f>'3. Scrap (GC)'!R40</f>
        <v>-104.57777103448278</v>
      </c>
      <c r="P87" s="536">
        <f>'3. Scrap (GC)'!S40</f>
        <v>0</v>
      </c>
      <c r="Q87" s="535"/>
      <c r="R87" s="535"/>
      <c r="S87" s="535"/>
      <c r="T87" s="535"/>
      <c r="U87" s="535"/>
      <c r="V87" s="535"/>
      <c r="W87" s="536">
        <f>'3. Scrap (GC)'!F40</f>
        <v>-9.1366979310344831</v>
      </c>
      <c r="X87" s="536">
        <f>'3. Scrap (GC)'!G40</f>
        <v>-8.5627565517241369</v>
      </c>
      <c r="Y87" s="536">
        <f>'3. Scrap (GC)'!H40</f>
        <v>-9.8541241379310343</v>
      </c>
      <c r="Z87" s="536">
        <f>'3. Scrap (GC)'!I40</f>
        <v>-9.6076875862068967</v>
      </c>
      <c r="AA87" s="536">
        <f>'3. Scrap (GC)'!J40</f>
        <v>-8.6970889655172421</v>
      </c>
      <c r="AB87" s="536">
        <f>'3. Scrap (GC)'!K40</f>
        <v>-8.6970889655172421</v>
      </c>
      <c r="AC87" s="536">
        <f>'3. Scrap (GC)'!L40</f>
        <v>-8.6970889655172421</v>
      </c>
      <c r="AD87" s="536">
        <f>'3. Scrap (GC)'!M40</f>
        <v>-7.9796627586206901</v>
      </c>
      <c r="AE87" s="536">
        <f>'3. Scrap (GC)'!N40</f>
        <v>-8.0080820689655159</v>
      </c>
      <c r="AF87" s="536">
        <f>'3. Scrap (GC)'!O40</f>
        <v>-8.2545179310344832</v>
      </c>
      <c r="AG87" s="536">
        <f>'3. Scrap (GC)'!P40</f>
        <v>-8.5414882758620685</v>
      </c>
      <c r="AH87" s="536">
        <f>'3. Scrap (GC)'!Q40</f>
        <v>-8.5414868965517243</v>
      </c>
      <c r="AI87" s="535"/>
      <c r="AJ87" s="535"/>
      <c r="AK87" s="535"/>
      <c r="AL87" s="535"/>
      <c r="AM87" s="535"/>
      <c r="AN87" s="541"/>
      <c r="AO87" s="451" t="str">
        <f>'3. Scrap (GC)'!W40</f>
        <v/>
      </c>
      <c r="AP87" s="451">
        <v>51</v>
      </c>
      <c r="AQ87" s="451" t="str">
        <f>Settings!$A$1</f>
        <v>V2</v>
      </c>
    </row>
    <row r="88" spans="1:43" ht="12.75" customHeight="1">
      <c r="A88" s="451">
        <f>'Input-FX Rates'!$C$4</f>
        <v>242</v>
      </c>
      <c r="B88" s="451" t="str">
        <f>'Input-FX Rates'!$B$4</f>
        <v>ICH Icheon (242)</v>
      </c>
      <c r="C88" s="451">
        <f>'Input-FX Rates'!$C$6</f>
        <v>780</v>
      </c>
      <c r="D88" s="451" t="str">
        <f>'Input-FX Rates'!$B$6</f>
        <v>780 BU Controls</v>
      </c>
      <c r="E88" s="451" t="str">
        <f>'Input-FX Rates'!$C$5</f>
        <v>7821 &amp; 7822</v>
      </c>
      <c r="F88" s="451" t="str">
        <f>'Input-FX Rates'!$B$5</f>
        <v>7821 PL Drivetrain Controls (&amp; Electrification)</v>
      </c>
      <c r="G88" s="451" t="s">
        <v>1466</v>
      </c>
      <c r="H88" s="451" t="s">
        <v>1468</v>
      </c>
      <c r="I88" s="535"/>
      <c r="J88" s="535"/>
      <c r="K88" s="536">
        <f>'3. Scrap (GC)'!C41</f>
        <v>55718.001789595619</v>
      </c>
      <c r="L88" s="536">
        <f>'3. Scrap (GC)'!E41</f>
        <v>100126.74994033898</v>
      </c>
      <c r="M88" s="535"/>
      <c r="N88" s="535"/>
      <c r="O88" s="536">
        <f>'3. Scrap (GC)'!R41</f>
        <v>87874.142590344811</v>
      </c>
      <c r="P88" s="536">
        <f>'3. Scrap (GC)'!S41</f>
        <v>0</v>
      </c>
      <c r="Q88" s="535"/>
      <c r="R88" s="535"/>
      <c r="S88" s="535"/>
      <c r="T88" s="535"/>
      <c r="U88" s="535"/>
      <c r="V88" s="535"/>
      <c r="W88" s="536">
        <f>'3. Scrap (GC)'!F41</f>
        <v>7674.4146827586201</v>
      </c>
      <c r="X88" s="536">
        <f>'3. Scrap (GC)'!G41</f>
        <v>7196.1305448275853</v>
      </c>
      <c r="Y88" s="536">
        <f>'3. Scrap (GC)'!H41</f>
        <v>8272.2698551724134</v>
      </c>
      <c r="Z88" s="536">
        <f>'3. Scrap (GC)'!I41</f>
        <v>8066.9064365517243</v>
      </c>
      <c r="AA88" s="536">
        <f>'3. Scrap (GC)'!J41</f>
        <v>7308.073884827586</v>
      </c>
      <c r="AB88" s="536">
        <f>'3. Scrap (GC)'!K41</f>
        <v>7308.073884827586</v>
      </c>
      <c r="AC88" s="536">
        <f>'3. Scrap (GC)'!L41</f>
        <v>7308.073884827586</v>
      </c>
      <c r="AD88" s="536">
        <f>'3. Scrap (GC)'!M41</f>
        <v>6710.218713103448</v>
      </c>
      <c r="AE88" s="536">
        <f>'3. Scrap (GC)'!N41</f>
        <v>6733.9015779310348</v>
      </c>
      <c r="AF88" s="536">
        <f>'3. Scrap (GC)'!O41</f>
        <v>6939.2649951724143</v>
      </c>
      <c r="AG88" s="536">
        <f>'3. Scrap (GC)'!P41</f>
        <v>7178.4070641379312</v>
      </c>
      <c r="AH88" s="536">
        <f>'3. Scrap (GC)'!Q41</f>
        <v>7178.4070662068962</v>
      </c>
      <c r="AI88" s="535"/>
      <c r="AJ88" s="535"/>
      <c r="AK88" s="535"/>
      <c r="AL88" s="535"/>
      <c r="AM88" s="535"/>
      <c r="AN88" s="541"/>
      <c r="AO88" s="451" t="str">
        <f>'3. Scrap (GC)'!W41</f>
        <v/>
      </c>
      <c r="AP88" s="451">
        <v>52</v>
      </c>
      <c r="AQ88" s="451" t="str">
        <f>Settings!$A$1</f>
        <v>V2</v>
      </c>
    </row>
    <row r="89" spans="1:43" ht="12.75" customHeight="1">
      <c r="A89" s="451">
        <f>'Input-FX Rates'!$C$4</f>
        <v>242</v>
      </c>
      <c r="B89" s="451" t="str">
        <f>'Input-FX Rates'!$B$4</f>
        <v>ICH Icheon (242)</v>
      </c>
      <c r="C89" s="451">
        <f>'Input-FX Rates'!$C$6</f>
        <v>780</v>
      </c>
      <c r="D89" s="451" t="str">
        <f>'Input-FX Rates'!$B$6</f>
        <v>780 BU Controls</v>
      </c>
      <c r="E89" s="451" t="str">
        <f>'Input-FX Rates'!$C$5</f>
        <v>7821 &amp; 7822</v>
      </c>
      <c r="F89" s="451" t="str">
        <f>'Input-FX Rates'!$B$5</f>
        <v>7821 PL Drivetrain Controls (&amp; Electrification)</v>
      </c>
      <c r="G89" s="451" t="s">
        <v>1466</v>
      </c>
      <c r="H89" s="451" t="s">
        <v>395</v>
      </c>
      <c r="I89" s="535"/>
      <c r="J89" s="535"/>
      <c r="K89" s="536">
        <f>'3. Scrap (GC)'!C45</f>
        <v>0</v>
      </c>
      <c r="L89" s="536">
        <f>'3. Scrap (GC)'!E45</f>
        <v>0</v>
      </c>
      <c r="M89" s="535"/>
      <c r="N89" s="535"/>
      <c r="O89" s="536">
        <f>'3. Scrap (GC)'!R45</f>
        <v>0</v>
      </c>
      <c r="P89" s="536">
        <f>'3. Scrap (GC)'!S45</f>
        <v>0</v>
      </c>
      <c r="Q89" s="535"/>
      <c r="R89" s="535"/>
      <c r="S89" s="535"/>
      <c r="T89" s="535"/>
      <c r="U89" s="535"/>
      <c r="V89" s="535"/>
      <c r="W89" s="536">
        <f>'3. Scrap (GC)'!F45</f>
        <v>0</v>
      </c>
      <c r="X89" s="536">
        <f>'3. Scrap (GC)'!G45</f>
        <v>0</v>
      </c>
      <c r="Y89" s="536">
        <f>'3. Scrap (GC)'!H45</f>
        <v>0</v>
      </c>
      <c r="Z89" s="536">
        <f>'3. Scrap (GC)'!I45</f>
        <v>0</v>
      </c>
      <c r="AA89" s="536">
        <f>'3. Scrap (GC)'!J45</f>
        <v>0</v>
      </c>
      <c r="AB89" s="536">
        <f>'3. Scrap (GC)'!K45</f>
        <v>0</v>
      </c>
      <c r="AC89" s="536">
        <f>'3. Scrap (GC)'!L45</f>
        <v>0</v>
      </c>
      <c r="AD89" s="536">
        <f>'3. Scrap (GC)'!M45</f>
        <v>0</v>
      </c>
      <c r="AE89" s="536">
        <f>'3. Scrap (GC)'!N45</f>
        <v>0</v>
      </c>
      <c r="AF89" s="536">
        <f>'3. Scrap (GC)'!O45</f>
        <v>0</v>
      </c>
      <c r="AG89" s="536">
        <f>'3. Scrap (GC)'!P45</f>
        <v>0</v>
      </c>
      <c r="AH89" s="536">
        <f>'3. Scrap (GC)'!Q45</f>
        <v>0</v>
      </c>
      <c r="AI89" s="535"/>
      <c r="AJ89" s="535"/>
      <c r="AK89" s="535"/>
      <c r="AL89" s="535"/>
      <c r="AM89" s="535"/>
      <c r="AN89" s="541"/>
      <c r="AO89" s="451" t="str">
        <f>'3. Scrap (GC)'!W45</f>
        <v/>
      </c>
      <c r="AP89" s="451">
        <v>53</v>
      </c>
      <c r="AQ89" s="451" t="str">
        <f>Settings!$A$1</f>
        <v>V2</v>
      </c>
    </row>
    <row r="90" spans="1:43" ht="12.75" customHeight="1">
      <c r="A90" s="451">
        <f>'Input-FX Rates'!$C$4</f>
        <v>242</v>
      </c>
      <c r="B90" s="451" t="str">
        <f>'Input-FX Rates'!$B$4</f>
        <v>ICH Icheon (242)</v>
      </c>
      <c r="C90" s="451">
        <f>'Input-FX Rates'!$C$6</f>
        <v>780</v>
      </c>
      <c r="D90" s="451" t="str">
        <f>'Input-FX Rates'!$B$6</f>
        <v>780 BU Controls</v>
      </c>
      <c r="E90" s="451" t="str">
        <f>'Input-FX Rates'!$C$5</f>
        <v>7821 &amp; 7822</v>
      </c>
      <c r="F90" s="451" t="str">
        <f>'Input-FX Rates'!$B$5</f>
        <v>7821 PL Drivetrain Controls (&amp; Electrification)</v>
      </c>
      <c r="G90" s="451" t="s">
        <v>1466</v>
      </c>
      <c r="H90" s="451" t="s">
        <v>397</v>
      </c>
      <c r="I90" s="535"/>
      <c r="J90" s="535"/>
      <c r="K90" s="536">
        <f>'3. Scrap (GC)'!C46</f>
        <v>0</v>
      </c>
      <c r="L90" s="536">
        <f>'3. Scrap (GC)'!E46</f>
        <v>0</v>
      </c>
      <c r="M90" s="535"/>
      <c r="N90" s="535"/>
      <c r="O90" s="536">
        <f>'3. Scrap (GC)'!R46</f>
        <v>0</v>
      </c>
      <c r="P90" s="536">
        <f>'3. Scrap (GC)'!S46</f>
        <v>0</v>
      </c>
      <c r="Q90" s="535"/>
      <c r="R90" s="535"/>
      <c r="S90" s="535"/>
      <c r="T90" s="535"/>
      <c r="U90" s="535"/>
      <c r="V90" s="535"/>
      <c r="W90" s="536">
        <f>'3. Scrap (GC)'!F46</f>
        <v>0</v>
      </c>
      <c r="X90" s="536">
        <f>'3. Scrap (GC)'!G46</f>
        <v>0</v>
      </c>
      <c r="Y90" s="536">
        <f>'3. Scrap (GC)'!H46</f>
        <v>0</v>
      </c>
      <c r="Z90" s="536">
        <f>'3. Scrap (GC)'!I46</f>
        <v>0</v>
      </c>
      <c r="AA90" s="536">
        <f>'3. Scrap (GC)'!J46</f>
        <v>0</v>
      </c>
      <c r="AB90" s="536">
        <f>'3. Scrap (GC)'!K46</f>
        <v>0</v>
      </c>
      <c r="AC90" s="536">
        <f>'3. Scrap (GC)'!L46</f>
        <v>0</v>
      </c>
      <c r="AD90" s="536">
        <f>'3. Scrap (GC)'!M46</f>
        <v>0</v>
      </c>
      <c r="AE90" s="536">
        <f>'3. Scrap (GC)'!N46</f>
        <v>0</v>
      </c>
      <c r="AF90" s="536">
        <f>'3. Scrap (GC)'!O46</f>
        <v>0</v>
      </c>
      <c r="AG90" s="536">
        <f>'3. Scrap (GC)'!P46</f>
        <v>0</v>
      </c>
      <c r="AH90" s="536">
        <f>'3. Scrap (GC)'!Q46</f>
        <v>0</v>
      </c>
      <c r="AI90" s="535"/>
      <c r="AJ90" s="535"/>
      <c r="AK90" s="535"/>
      <c r="AL90" s="535"/>
      <c r="AM90" s="535"/>
      <c r="AN90" s="541"/>
      <c r="AO90" s="451" t="str">
        <f>'3. Scrap (GC)'!W46</f>
        <v/>
      </c>
      <c r="AP90" s="451">
        <v>54</v>
      </c>
      <c r="AQ90" s="451" t="str">
        <f>Settings!$A$1</f>
        <v>V2</v>
      </c>
    </row>
    <row r="91" spans="1:43" ht="12.75" customHeight="1">
      <c r="A91" s="451">
        <f>'Input-FX Rates'!$C$4</f>
        <v>242</v>
      </c>
      <c r="B91" s="451" t="str">
        <f>'Input-FX Rates'!$B$4</f>
        <v>ICH Icheon (242)</v>
      </c>
      <c r="C91" s="451">
        <f>'Input-FX Rates'!$C$6</f>
        <v>780</v>
      </c>
      <c r="D91" s="451" t="str">
        <f>'Input-FX Rates'!$B$6</f>
        <v>780 BU Controls</v>
      </c>
      <c r="E91" s="451" t="str">
        <f>'Input-FX Rates'!$C$5</f>
        <v>7821 &amp; 7822</v>
      </c>
      <c r="F91" s="451" t="str">
        <f>'Input-FX Rates'!$B$5</f>
        <v>7821 PL Drivetrain Controls (&amp; Electrification)</v>
      </c>
      <c r="G91" s="451" t="s">
        <v>1466</v>
      </c>
      <c r="H91" s="451" t="s">
        <v>315</v>
      </c>
      <c r="I91" s="535"/>
      <c r="J91" s="535"/>
      <c r="K91" s="536">
        <f>'3. Scrap (GC)'!C47</f>
        <v>0</v>
      </c>
      <c r="L91" s="536">
        <f>'3. Scrap (GC)'!E47</f>
        <v>0</v>
      </c>
      <c r="M91" s="535"/>
      <c r="N91" s="535"/>
      <c r="O91" s="536">
        <f>'3. Scrap (GC)'!R47</f>
        <v>0</v>
      </c>
      <c r="P91" s="536">
        <f>'3. Scrap (GC)'!S47</f>
        <v>0</v>
      </c>
      <c r="Q91" s="535"/>
      <c r="R91" s="535"/>
      <c r="S91" s="535"/>
      <c r="T91" s="535"/>
      <c r="U91" s="535"/>
      <c r="V91" s="535"/>
      <c r="W91" s="536">
        <f>'3. Scrap (GC)'!F47</f>
        <v>0</v>
      </c>
      <c r="X91" s="536">
        <f>'3. Scrap (GC)'!G47</f>
        <v>0</v>
      </c>
      <c r="Y91" s="536">
        <f>'3. Scrap (GC)'!H47</f>
        <v>0</v>
      </c>
      <c r="Z91" s="536">
        <f>'3. Scrap (GC)'!I47</f>
        <v>0</v>
      </c>
      <c r="AA91" s="536">
        <f>'3. Scrap (GC)'!J47</f>
        <v>0</v>
      </c>
      <c r="AB91" s="536">
        <f>'3. Scrap (GC)'!K47</f>
        <v>0</v>
      </c>
      <c r="AC91" s="536">
        <f>'3. Scrap (GC)'!L47</f>
        <v>0</v>
      </c>
      <c r="AD91" s="536">
        <f>'3. Scrap (GC)'!M47</f>
        <v>0</v>
      </c>
      <c r="AE91" s="536">
        <f>'3. Scrap (GC)'!N47</f>
        <v>0</v>
      </c>
      <c r="AF91" s="536">
        <f>'3. Scrap (GC)'!O47</f>
        <v>0</v>
      </c>
      <c r="AG91" s="536">
        <f>'3. Scrap (GC)'!P47</f>
        <v>0</v>
      </c>
      <c r="AH91" s="536">
        <f>'3. Scrap (GC)'!Q47</f>
        <v>0</v>
      </c>
      <c r="AI91" s="535"/>
      <c r="AJ91" s="535"/>
      <c r="AK91" s="535"/>
      <c r="AL91" s="535"/>
      <c r="AM91" s="535"/>
      <c r="AN91" s="541"/>
      <c r="AO91" s="451" t="str">
        <f>'3. Scrap (GC)'!W47</f>
        <v/>
      </c>
      <c r="AP91" s="451">
        <v>55</v>
      </c>
      <c r="AQ91" s="451" t="str">
        <f>Settings!$A$1</f>
        <v>V2</v>
      </c>
    </row>
    <row r="92" spans="1:43" ht="12.75" customHeight="1">
      <c r="A92" s="451">
        <f>'Input-FX Rates'!$C$4</f>
        <v>242</v>
      </c>
      <c r="B92" s="451" t="str">
        <f>'Input-FX Rates'!$B$4</f>
        <v>ICH Icheon (242)</v>
      </c>
      <c r="C92" s="451">
        <f>'Input-FX Rates'!$C$6</f>
        <v>780</v>
      </c>
      <c r="D92" s="451" t="str">
        <f>'Input-FX Rates'!$B$6</f>
        <v>780 BU Controls</v>
      </c>
      <c r="E92" s="451" t="str">
        <f>'Input-FX Rates'!$C$5</f>
        <v>7821 &amp; 7822</v>
      </c>
      <c r="F92" s="451" t="str">
        <f>'Input-FX Rates'!$B$5</f>
        <v>7821 PL Drivetrain Controls (&amp; Electrification)</v>
      </c>
      <c r="G92" s="451" t="s">
        <v>1466</v>
      </c>
      <c r="H92" s="451" t="s">
        <v>1469</v>
      </c>
      <c r="I92" s="535"/>
      <c r="J92" s="535"/>
      <c r="K92" s="536">
        <f>'3. Scrap (GC)'!C50</f>
        <v>0</v>
      </c>
      <c r="L92" s="536">
        <f>'3. Scrap (GC)'!E50</f>
        <v>0</v>
      </c>
      <c r="M92" s="535"/>
      <c r="N92" s="535"/>
      <c r="O92" s="536">
        <f>'3. Scrap (GC)'!R50</f>
        <v>0</v>
      </c>
      <c r="P92" s="536">
        <f>'3. Scrap (GC)'!S50</f>
        <v>0</v>
      </c>
      <c r="Q92" s="535"/>
      <c r="R92" s="535"/>
      <c r="S92" s="535"/>
      <c r="T92" s="535"/>
      <c r="U92" s="535"/>
      <c r="V92" s="535"/>
      <c r="W92" s="536">
        <f>'3. Scrap (GC)'!F50</f>
        <v>0</v>
      </c>
      <c r="X92" s="536">
        <f>'3. Scrap (GC)'!G50</f>
        <v>0</v>
      </c>
      <c r="Y92" s="536">
        <f>'3. Scrap (GC)'!H50</f>
        <v>0</v>
      </c>
      <c r="Z92" s="536">
        <f>'3. Scrap (GC)'!I50</f>
        <v>0</v>
      </c>
      <c r="AA92" s="536">
        <f>'3. Scrap (GC)'!J50</f>
        <v>0</v>
      </c>
      <c r="AB92" s="536">
        <f>'3. Scrap (GC)'!K50</f>
        <v>0</v>
      </c>
      <c r="AC92" s="536">
        <f>'3. Scrap (GC)'!L50</f>
        <v>0</v>
      </c>
      <c r="AD92" s="536">
        <f>'3. Scrap (GC)'!M50</f>
        <v>0</v>
      </c>
      <c r="AE92" s="536">
        <f>'3. Scrap (GC)'!N50</f>
        <v>0</v>
      </c>
      <c r="AF92" s="536">
        <f>'3. Scrap (GC)'!O50</f>
        <v>0</v>
      </c>
      <c r="AG92" s="536">
        <f>'3. Scrap (GC)'!P50</f>
        <v>0</v>
      </c>
      <c r="AH92" s="536">
        <f>'3. Scrap (GC)'!Q50</f>
        <v>0</v>
      </c>
      <c r="AI92" s="535"/>
      <c r="AJ92" s="535"/>
      <c r="AK92" s="535"/>
      <c r="AL92" s="535"/>
      <c r="AM92" s="535"/>
      <c r="AN92" s="536" t="str">
        <f>'3. Scrap (GC)'!B50</f>
        <v>Area 1</v>
      </c>
      <c r="AO92" s="451" t="str">
        <f>'3. Scrap (GC)'!W50</f>
        <v/>
      </c>
      <c r="AP92" s="451">
        <v>56</v>
      </c>
      <c r="AQ92" s="451" t="str">
        <f>Settings!$A$1</f>
        <v>V2</v>
      </c>
    </row>
    <row r="93" spans="1:43" ht="12.75" customHeight="1">
      <c r="A93" s="451">
        <f>'Input-FX Rates'!$C$4</f>
        <v>242</v>
      </c>
      <c r="B93" s="451" t="str">
        <f>'Input-FX Rates'!$B$4</f>
        <v>ICH Icheon (242)</v>
      </c>
      <c r="C93" s="451">
        <f>'Input-FX Rates'!$C$6</f>
        <v>780</v>
      </c>
      <c r="D93" s="451" t="str">
        <f>'Input-FX Rates'!$B$6</f>
        <v>780 BU Controls</v>
      </c>
      <c r="E93" s="451" t="str">
        <f>'Input-FX Rates'!$C$5</f>
        <v>7821 &amp; 7822</v>
      </c>
      <c r="F93" s="451" t="str">
        <f>'Input-FX Rates'!$B$5</f>
        <v>7821 PL Drivetrain Controls (&amp; Electrification)</v>
      </c>
      <c r="G93" s="451" t="s">
        <v>1466</v>
      </c>
      <c r="H93" s="451" t="s">
        <v>1470</v>
      </c>
      <c r="I93" s="535"/>
      <c r="J93" s="535"/>
      <c r="K93" s="536">
        <f>'3. Scrap (GC)'!C51</f>
        <v>0</v>
      </c>
      <c r="L93" s="536">
        <f>'3. Scrap (GC)'!E51</f>
        <v>0</v>
      </c>
      <c r="M93" s="535"/>
      <c r="N93" s="535"/>
      <c r="O93" s="536">
        <f>'3. Scrap (GC)'!R51</f>
        <v>0</v>
      </c>
      <c r="P93" s="536">
        <f>'3. Scrap (GC)'!S51</f>
        <v>0</v>
      </c>
      <c r="Q93" s="535"/>
      <c r="R93" s="535"/>
      <c r="S93" s="535"/>
      <c r="T93" s="535"/>
      <c r="U93" s="535"/>
      <c r="V93" s="535"/>
      <c r="W93" s="536">
        <f>'3. Scrap (GC)'!F51</f>
        <v>0</v>
      </c>
      <c r="X93" s="536">
        <f>'3. Scrap (GC)'!G51</f>
        <v>0</v>
      </c>
      <c r="Y93" s="536">
        <f>'3. Scrap (GC)'!H51</f>
        <v>0</v>
      </c>
      <c r="Z93" s="536">
        <f>'3. Scrap (GC)'!I51</f>
        <v>0</v>
      </c>
      <c r="AA93" s="536">
        <f>'3. Scrap (GC)'!J51</f>
        <v>0</v>
      </c>
      <c r="AB93" s="536">
        <f>'3. Scrap (GC)'!K51</f>
        <v>0</v>
      </c>
      <c r="AC93" s="536">
        <f>'3. Scrap (GC)'!L51</f>
        <v>0</v>
      </c>
      <c r="AD93" s="536">
        <f>'3. Scrap (GC)'!M51</f>
        <v>0</v>
      </c>
      <c r="AE93" s="536">
        <f>'3. Scrap (GC)'!N51</f>
        <v>0</v>
      </c>
      <c r="AF93" s="536">
        <f>'3. Scrap (GC)'!O51</f>
        <v>0</v>
      </c>
      <c r="AG93" s="536">
        <f>'3. Scrap (GC)'!P51</f>
        <v>0</v>
      </c>
      <c r="AH93" s="536">
        <f>'3. Scrap (GC)'!Q51</f>
        <v>0</v>
      </c>
      <c r="AI93" s="535"/>
      <c r="AJ93" s="535"/>
      <c r="AK93" s="535"/>
      <c r="AL93" s="535"/>
      <c r="AM93" s="535"/>
      <c r="AN93" s="536" t="str">
        <f>'3. Scrap (GC)'!B51</f>
        <v>Area 1</v>
      </c>
      <c r="AO93" s="451" t="str">
        <f>'3. Scrap (GC)'!W51</f>
        <v/>
      </c>
      <c r="AP93" s="451">
        <v>57</v>
      </c>
      <c r="AQ93" s="451" t="str">
        <f>Settings!$A$1</f>
        <v>V2</v>
      </c>
    </row>
    <row r="94" spans="1:43" ht="12.75" customHeight="1">
      <c r="A94" s="451">
        <f>'Input-FX Rates'!$C$4</f>
        <v>242</v>
      </c>
      <c r="B94" s="451" t="str">
        <f>'Input-FX Rates'!$B$4</f>
        <v>ICH Icheon (242)</v>
      </c>
      <c r="C94" s="451">
        <f>'Input-FX Rates'!$C$6</f>
        <v>780</v>
      </c>
      <c r="D94" s="451" t="str">
        <f>'Input-FX Rates'!$B$6</f>
        <v>780 BU Controls</v>
      </c>
      <c r="E94" s="451" t="str">
        <f>'Input-FX Rates'!$C$5</f>
        <v>7821 &amp; 7822</v>
      </c>
      <c r="F94" s="451" t="str">
        <f>'Input-FX Rates'!$B$5</f>
        <v>7821 PL Drivetrain Controls (&amp; Electrification)</v>
      </c>
      <c r="G94" s="451" t="s">
        <v>1466</v>
      </c>
      <c r="H94" s="451" t="s">
        <v>1471</v>
      </c>
      <c r="I94" s="535"/>
      <c r="J94" s="535"/>
      <c r="K94" s="536">
        <f>'3. Scrap (GC)'!C52</f>
        <v>0</v>
      </c>
      <c r="L94" s="536">
        <f>'3. Scrap (GC)'!E52</f>
        <v>0</v>
      </c>
      <c r="M94" s="535"/>
      <c r="N94" s="535"/>
      <c r="O94" s="536">
        <f>'3. Scrap (GC)'!R52</f>
        <v>0</v>
      </c>
      <c r="P94" s="536">
        <f>'3. Scrap (GC)'!S52</f>
        <v>0</v>
      </c>
      <c r="Q94" s="535"/>
      <c r="R94" s="535"/>
      <c r="S94" s="535"/>
      <c r="T94" s="535"/>
      <c r="U94" s="535"/>
      <c r="V94" s="535"/>
      <c r="W94" s="536">
        <f>'3. Scrap (GC)'!F52</f>
        <v>0</v>
      </c>
      <c r="X94" s="536">
        <f>'3. Scrap (GC)'!G52</f>
        <v>0</v>
      </c>
      <c r="Y94" s="536">
        <f>'3. Scrap (GC)'!H52</f>
        <v>0</v>
      </c>
      <c r="Z94" s="536">
        <f>'3. Scrap (GC)'!I52</f>
        <v>0</v>
      </c>
      <c r="AA94" s="536">
        <f>'3. Scrap (GC)'!J52</f>
        <v>0</v>
      </c>
      <c r="AB94" s="536">
        <f>'3. Scrap (GC)'!K52</f>
        <v>0</v>
      </c>
      <c r="AC94" s="536">
        <f>'3. Scrap (GC)'!L52</f>
        <v>0</v>
      </c>
      <c r="AD94" s="536">
        <f>'3. Scrap (GC)'!M52</f>
        <v>0</v>
      </c>
      <c r="AE94" s="536">
        <f>'3. Scrap (GC)'!N52</f>
        <v>0</v>
      </c>
      <c r="AF94" s="536">
        <f>'3. Scrap (GC)'!O52</f>
        <v>0</v>
      </c>
      <c r="AG94" s="536">
        <f>'3. Scrap (GC)'!P52</f>
        <v>0</v>
      </c>
      <c r="AH94" s="536">
        <f>'3. Scrap (GC)'!Q52</f>
        <v>0</v>
      </c>
      <c r="AI94" s="535"/>
      <c r="AJ94" s="535"/>
      <c r="AK94" s="535"/>
      <c r="AL94" s="535"/>
      <c r="AM94" s="535"/>
      <c r="AN94" s="536" t="str">
        <f>'3. Scrap (GC)'!B52</f>
        <v>Area 1</v>
      </c>
      <c r="AO94" s="451" t="str">
        <f>'3. Scrap (GC)'!W52</f>
        <v/>
      </c>
      <c r="AP94" s="451">
        <v>58</v>
      </c>
      <c r="AQ94" s="451" t="str">
        <f>Settings!$A$1</f>
        <v>V2</v>
      </c>
    </row>
    <row r="95" spans="1:43" ht="12.75" customHeight="1">
      <c r="A95" s="451">
        <f>'Input-FX Rates'!$C$4</f>
        <v>242</v>
      </c>
      <c r="B95" s="451" t="str">
        <f>'Input-FX Rates'!$B$4</f>
        <v>ICH Icheon (242)</v>
      </c>
      <c r="C95" s="451">
        <f>'Input-FX Rates'!$C$6</f>
        <v>780</v>
      </c>
      <c r="D95" s="451" t="str">
        <f>'Input-FX Rates'!$B$6</f>
        <v>780 BU Controls</v>
      </c>
      <c r="E95" s="451" t="str">
        <f>'Input-FX Rates'!$C$5</f>
        <v>7821 &amp; 7822</v>
      </c>
      <c r="F95" s="451" t="str">
        <f>'Input-FX Rates'!$B$5</f>
        <v>7821 PL Drivetrain Controls (&amp; Electrification)</v>
      </c>
      <c r="G95" s="451" t="s">
        <v>1466</v>
      </c>
      <c r="H95" s="451" t="s">
        <v>1472</v>
      </c>
      <c r="I95" s="535"/>
      <c r="J95" s="535"/>
      <c r="K95" s="536">
        <f>'3. Scrap (GC)'!C55</f>
        <v>0</v>
      </c>
      <c r="L95" s="536">
        <f>'3. Scrap (GC)'!E55</f>
        <v>0</v>
      </c>
      <c r="M95" s="535"/>
      <c r="N95" s="535"/>
      <c r="O95" s="536">
        <f>'3. Scrap (GC)'!R55</f>
        <v>0</v>
      </c>
      <c r="P95" s="536">
        <f>'3. Scrap (GC)'!S55</f>
        <v>0</v>
      </c>
      <c r="Q95" s="535"/>
      <c r="R95" s="535"/>
      <c r="S95" s="535"/>
      <c r="T95" s="535"/>
      <c r="U95" s="535"/>
      <c r="V95" s="535"/>
      <c r="W95" s="536">
        <f>'3. Scrap (GC)'!F55</f>
        <v>0</v>
      </c>
      <c r="X95" s="536">
        <f>'3. Scrap (GC)'!G55</f>
        <v>0</v>
      </c>
      <c r="Y95" s="536">
        <f>'3. Scrap (GC)'!H55</f>
        <v>0</v>
      </c>
      <c r="Z95" s="536">
        <f>'3. Scrap (GC)'!I55</f>
        <v>0</v>
      </c>
      <c r="AA95" s="536">
        <f>'3. Scrap (GC)'!J55</f>
        <v>0</v>
      </c>
      <c r="AB95" s="536">
        <f>'3. Scrap (GC)'!K55</f>
        <v>0</v>
      </c>
      <c r="AC95" s="536">
        <f>'3. Scrap (GC)'!L55</f>
        <v>0</v>
      </c>
      <c r="AD95" s="536">
        <f>'3. Scrap (GC)'!M55</f>
        <v>0</v>
      </c>
      <c r="AE95" s="536">
        <f>'3. Scrap (GC)'!N55</f>
        <v>0</v>
      </c>
      <c r="AF95" s="536">
        <f>'3. Scrap (GC)'!O55</f>
        <v>0</v>
      </c>
      <c r="AG95" s="536">
        <f>'3. Scrap (GC)'!P55</f>
        <v>0</v>
      </c>
      <c r="AH95" s="536">
        <f>'3. Scrap (GC)'!Q55</f>
        <v>0</v>
      </c>
      <c r="AI95" s="535"/>
      <c r="AJ95" s="535"/>
      <c r="AK95" s="535"/>
      <c r="AL95" s="535"/>
      <c r="AM95" s="535"/>
      <c r="AN95" s="536" t="str">
        <f>'3. Scrap (GC)'!B55</f>
        <v>Area 2</v>
      </c>
      <c r="AO95" s="451" t="str">
        <f>'3. Scrap (GC)'!W55</f>
        <v/>
      </c>
      <c r="AP95" s="451">
        <v>59</v>
      </c>
      <c r="AQ95" s="451" t="str">
        <f>Settings!$A$1</f>
        <v>V2</v>
      </c>
    </row>
    <row r="96" spans="1:43" ht="12.75" customHeight="1">
      <c r="A96" s="451">
        <f>'Input-FX Rates'!$C$4</f>
        <v>242</v>
      </c>
      <c r="B96" s="451" t="str">
        <f>'Input-FX Rates'!$B$4</f>
        <v>ICH Icheon (242)</v>
      </c>
      <c r="C96" s="451">
        <f>'Input-FX Rates'!$C$6</f>
        <v>780</v>
      </c>
      <c r="D96" s="451" t="str">
        <f>'Input-FX Rates'!$B$6</f>
        <v>780 BU Controls</v>
      </c>
      <c r="E96" s="451" t="str">
        <f>'Input-FX Rates'!$C$5</f>
        <v>7821 &amp; 7822</v>
      </c>
      <c r="F96" s="451" t="str">
        <f>'Input-FX Rates'!$B$5</f>
        <v>7821 PL Drivetrain Controls (&amp; Electrification)</v>
      </c>
      <c r="G96" s="451" t="s">
        <v>1466</v>
      </c>
      <c r="H96" s="451" t="s">
        <v>1473</v>
      </c>
      <c r="I96" s="535"/>
      <c r="J96" s="535"/>
      <c r="K96" s="536">
        <f>'3. Scrap (GC)'!C56</f>
        <v>0</v>
      </c>
      <c r="L96" s="536">
        <f>'3. Scrap (GC)'!E56</f>
        <v>0</v>
      </c>
      <c r="M96" s="535"/>
      <c r="N96" s="535"/>
      <c r="O96" s="536">
        <f>'3. Scrap (GC)'!R56</f>
        <v>0</v>
      </c>
      <c r="P96" s="536">
        <f>'3. Scrap (GC)'!S56</f>
        <v>0</v>
      </c>
      <c r="Q96" s="535"/>
      <c r="R96" s="535"/>
      <c r="S96" s="535"/>
      <c r="T96" s="535"/>
      <c r="U96" s="535"/>
      <c r="V96" s="535"/>
      <c r="W96" s="536">
        <f>'3. Scrap (GC)'!F56</f>
        <v>0</v>
      </c>
      <c r="X96" s="536">
        <f>'3. Scrap (GC)'!G56</f>
        <v>0</v>
      </c>
      <c r="Y96" s="536">
        <f>'3. Scrap (GC)'!H56</f>
        <v>0</v>
      </c>
      <c r="Z96" s="536">
        <f>'3. Scrap (GC)'!I56</f>
        <v>0</v>
      </c>
      <c r="AA96" s="536">
        <f>'3. Scrap (GC)'!J56</f>
        <v>0</v>
      </c>
      <c r="AB96" s="536">
        <f>'3. Scrap (GC)'!K56</f>
        <v>0</v>
      </c>
      <c r="AC96" s="536">
        <f>'3. Scrap (GC)'!L56</f>
        <v>0</v>
      </c>
      <c r="AD96" s="536">
        <f>'3. Scrap (GC)'!M56</f>
        <v>0</v>
      </c>
      <c r="AE96" s="536">
        <f>'3. Scrap (GC)'!N56</f>
        <v>0</v>
      </c>
      <c r="AF96" s="536">
        <f>'3. Scrap (GC)'!O56</f>
        <v>0</v>
      </c>
      <c r="AG96" s="536">
        <f>'3. Scrap (GC)'!P56</f>
        <v>0</v>
      </c>
      <c r="AH96" s="536">
        <f>'3. Scrap (GC)'!Q56</f>
        <v>0</v>
      </c>
      <c r="AI96" s="535"/>
      <c r="AJ96" s="535"/>
      <c r="AK96" s="535"/>
      <c r="AL96" s="535"/>
      <c r="AM96" s="535"/>
      <c r="AN96" s="536" t="str">
        <f>'3. Scrap (GC)'!B56</f>
        <v>Area 2</v>
      </c>
      <c r="AO96" s="451" t="str">
        <f>'3. Scrap (GC)'!W56</f>
        <v/>
      </c>
      <c r="AP96" s="451">
        <v>60</v>
      </c>
      <c r="AQ96" s="451" t="str">
        <f>Settings!$A$1</f>
        <v>V2</v>
      </c>
    </row>
    <row r="97" spans="1:44" ht="12.75" customHeight="1">
      <c r="A97" s="451">
        <f>'Input-FX Rates'!$C$4</f>
        <v>242</v>
      </c>
      <c r="B97" s="451" t="str">
        <f>'Input-FX Rates'!$B$4</f>
        <v>ICH Icheon (242)</v>
      </c>
      <c r="C97" s="451">
        <f>'Input-FX Rates'!$C$6</f>
        <v>780</v>
      </c>
      <c r="D97" s="451" t="str">
        <f>'Input-FX Rates'!$B$6</f>
        <v>780 BU Controls</v>
      </c>
      <c r="E97" s="451" t="str">
        <f>'Input-FX Rates'!$C$5</f>
        <v>7821 &amp; 7822</v>
      </c>
      <c r="F97" s="451" t="str">
        <f>'Input-FX Rates'!$B$5</f>
        <v>7821 PL Drivetrain Controls (&amp; Electrification)</v>
      </c>
      <c r="G97" s="451" t="s">
        <v>1466</v>
      </c>
      <c r="H97" s="451" t="s">
        <v>1474</v>
      </c>
      <c r="I97" s="535"/>
      <c r="J97" s="535"/>
      <c r="K97" s="536">
        <f>'3. Scrap (GC)'!C57</f>
        <v>0</v>
      </c>
      <c r="L97" s="536">
        <f>'3. Scrap (GC)'!E57</f>
        <v>0</v>
      </c>
      <c r="M97" s="535"/>
      <c r="N97" s="535"/>
      <c r="O97" s="536">
        <f>'3. Scrap (GC)'!R57</f>
        <v>0</v>
      </c>
      <c r="P97" s="536">
        <f>'3. Scrap (GC)'!S57</f>
        <v>0</v>
      </c>
      <c r="Q97" s="535"/>
      <c r="R97" s="535"/>
      <c r="S97" s="535"/>
      <c r="T97" s="535"/>
      <c r="U97" s="535"/>
      <c r="V97" s="535"/>
      <c r="W97" s="536">
        <f>'3. Scrap (GC)'!F57</f>
        <v>0</v>
      </c>
      <c r="X97" s="536">
        <f>'3. Scrap (GC)'!G57</f>
        <v>0</v>
      </c>
      <c r="Y97" s="536">
        <f>'3. Scrap (GC)'!H57</f>
        <v>0</v>
      </c>
      <c r="Z97" s="536">
        <f>'3. Scrap (GC)'!I57</f>
        <v>0</v>
      </c>
      <c r="AA97" s="536">
        <f>'3. Scrap (GC)'!J57</f>
        <v>0</v>
      </c>
      <c r="AB97" s="536">
        <f>'3. Scrap (GC)'!K57</f>
        <v>0</v>
      </c>
      <c r="AC97" s="536">
        <f>'3. Scrap (GC)'!L57</f>
        <v>0</v>
      </c>
      <c r="AD97" s="536">
        <f>'3. Scrap (GC)'!M57</f>
        <v>0</v>
      </c>
      <c r="AE97" s="536">
        <f>'3. Scrap (GC)'!N57</f>
        <v>0</v>
      </c>
      <c r="AF97" s="536">
        <f>'3. Scrap (GC)'!O57</f>
        <v>0</v>
      </c>
      <c r="AG97" s="536">
        <f>'3. Scrap (GC)'!P57</f>
        <v>0</v>
      </c>
      <c r="AH97" s="536">
        <f>'3. Scrap (GC)'!Q57</f>
        <v>0</v>
      </c>
      <c r="AI97" s="535"/>
      <c r="AJ97" s="535"/>
      <c r="AK97" s="535"/>
      <c r="AL97" s="535"/>
      <c r="AM97" s="535"/>
      <c r="AN97" s="536" t="str">
        <f>'3. Scrap (GC)'!B57</f>
        <v>Area 2</v>
      </c>
      <c r="AO97" s="451" t="str">
        <f>'3. Scrap (GC)'!W57</f>
        <v/>
      </c>
      <c r="AP97" s="451">
        <v>61</v>
      </c>
      <c r="AQ97" s="451" t="str">
        <f>Settings!$A$1</f>
        <v>V2</v>
      </c>
    </row>
    <row r="98" spans="1:44" ht="12.75" customHeight="1">
      <c r="A98" s="451">
        <f>'Input-FX Rates'!$C$4</f>
        <v>242</v>
      </c>
      <c r="B98" s="451" t="str">
        <f>'Input-FX Rates'!$B$4</f>
        <v>ICH Icheon (242)</v>
      </c>
      <c r="C98" s="451">
        <f>'Input-FX Rates'!$C$6</f>
        <v>780</v>
      </c>
      <c r="D98" s="451" t="str">
        <f>'Input-FX Rates'!$B$6</f>
        <v>780 BU Controls</v>
      </c>
      <c r="E98" s="451" t="str">
        <f>'Input-FX Rates'!$C$5</f>
        <v>7821 &amp; 7822</v>
      </c>
      <c r="F98" s="451" t="str">
        <f>'Input-FX Rates'!$B$5</f>
        <v>7821 PL Drivetrain Controls (&amp; Electrification)</v>
      </c>
      <c r="G98" s="451" t="s">
        <v>1466</v>
      </c>
      <c r="H98" s="451" t="s">
        <v>1475</v>
      </c>
      <c r="I98" s="535"/>
      <c r="J98" s="535"/>
      <c r="K98" s="536">
        <f>'3. Scrap (GC)'!C60</f>
        <v>0</v>
      </c>
      <c r="L98" s="536">
        <f>'3. Scrap (GC)'!E60</f>
        <v>0</v>
      </c>
      <c r="M98" s="535"/>
      <c r="N98" s="535"/>
      <c r="O98" s="536">
        <f>'3. Scrap (GC)'!R60</f>
        <v>0</v>
      </c>
      <c r="P98" s="536">
        <f>'3. Scrap (GC)'!S60</f>
        <v>0</v>
      </c>
      <c r="Q98" s="535"/>
      <c r="R98" s="535"/>
      <c r="S98" s="535"/>
      <c r="T98" s="535"/>
      <c r="U98" s="535"/>
      <c r="V98" s="535"/>
      <c r="W98" s="536">
        <f>'3. Scrap (GC)'!F60</f>
        <v>0</v>
      </c>
      <c r="X98" s="536">
        <f>'3. Scrap (GC)'!G60</f>
        <v>0</v>
      </c>
      <c r="Y98" s="536">
        <f>'3. Scrap (GC)'!H60</f>
        <v>0</v>
      </c>
      <c r="Z98" s="536">
        <f>'3. Scrap (GC)'!I60</f>
        <v>0</v>
      </c>
      <c r="AA98" s="536">
        <f>'3. Scrap (GC)'!J60</f>
        <v>0</v>
      </c>
      <c r="AB98" s="536">
        <f>'3. Scrap (GC)'!K60</f>
        <v>0</v>
      </c>
      <c r="AC98" s="536">
        <f>'3. Scrap (GC)'!L60</f>
        <v>0</v>
      </c>
      <c r="AD98" s="536">
        <f>'3. Scrap (GC)'!M60</f>
        <v>0</v>
      </c>
      <c r="AE98" s="536">
        <f>'3. Scrap (GC)'!N60</f>
        <v>0</v>
      </c>
      <c r="AF98" s="536">
        <f>'3. Scrap (GC)'!O60</f>
        <v>0</v>
      </c>
      <c r="AG98" s="536">
        <f>'3. Scrap (GC)'!P60</f>
        <v>0</v>
      </c>
      <c r="AH98" s="536">
        <f>'3. Scrap (GC)'!Q60</f>
        <v>0</v>
      </c>
      <c r="AI98" s="535"/>
      <c r="AJ98" s="535"/>
      <c r="AK98" s="535"/>
      <c r="AL98" s="535"/>
      <c r="AM98" s="535"/>
      <c r="AN98" s="536" t="str">
        <f>'3. Scrap (GC)'!B60</f>
        <v>Area 3</v>
      </c>
      <c r="AO98" s="451" t="str">
        <f>'3. Scrap (GC)'!W60</f>
        <v/>
      </c>
      <c r="AP98" s="451">
        <v>62</v>
      </c>
      <c r="AQ98" s="451" t="str">
        <f>Settings!$A$1</f>
        <v>V2</v>
      </c>
    </row>
    <row r="99" spans="1:44" ht="12.75" customHeight="1">
      <c r="A99" s="451">
        <f>'Input-FX Rates'!$C$4</f>
        <v>242</v>
      </c>
      <c r="B99" s="451" t="str">
        <f>'Input-FX Rates'!$B$4</f>
        <v>ICH Icheon (242)</v>
      </c>
      <c r="C99" s="451">
        <f>'Input-FX Rates'!$C$6</f>
        <v>780</v>
      </c>
      <c r="D99" s="451" t="str">
        <f>'Input-FX Rates'!$B$6</f>
        <v>780 BU Controls</v>
      </c>
      <c r="E99" s="451" t="str">
        <f>'Input-FX Rates'!$C$5</f>
        <v>7821 &amp; 7822</v>
      </c>
      <c r="F99" s="451" t="str">
        <f>'Input-FX Rates'!$B$5</f>
        <v>7821 PL Drivetrain Controls (&amp; Electrification)</v>
      </c>
      <c r="G99" s="451" t="s">
        <v>1466</v>
      </c>
      <c r="H99" s="451" t="s">
        <v>1476</v>
      </c>
      <c r="I99" s="535"/>
      <c r="J99" s="535"/>
      <c r="K99" s="536">
        <f>'3. Scrap (GC)'!C61</f>
        <v>0</v>
      </c>
      <c r="L99" s="536">
        <f>'3. Scrap (GC)'!E61</f>
        <v>0</v>
      </c>
      <c r="M99" s="535"/>
      <c r="N99" s="535"/>
      <c r="O99" s="536">
        <f>'3. Scrap (GC)'!R61</f>
        <v>0</v>
      </c>
      <c r="P99" s="536">
        <f>'3. Scrap (GC)'!S61</f>
        <v>0</v>
      </c>
      <c r="Q99" s="535"/>
      <c r="R99" s="535"/>
      <c r="S99" s="535"/>
      <c r="T99" s="535"/>
      <c r="U99" s="535"/>
      <c r="V99" s="535"/>
      <c r="W99" s="536">
        <f>'3. Scrap (GC)'!F61</f>
        <v>0</v>
      </c>
      <c r="X99" s="536">
        <f>'3. Scrap (GC)'!G61</f>
        <v>0</v>
      </c>
      <c r="Y99" s="536">
        <f>'3. Scrap (GC)'!H61</f>
        <v>0</v>
      </c>
      <c r="Z99" s="536">
        <f>'3. Scrap (GC)'!I61</f>
        <v>0</v>
      </c>
      <c r="AA99" s="536">
        <f>'3. Scrap (GC)'!J61</f>
        <v>0</v>
      </c>
      <c r="AB99" s="536">
        <f>'3. Scrap (GC)'!K61</f>
        <v>0</v>
      </c>
      <c r="AC99" s="536">
        <f>'3. Scrap (GC)'!L61</f>
        <v>0</v>
      </c>
      <c r="AD99" s="536">
        <f>'3. Scrap (GC)'!M61</f>
        <v>0</v>
      </c>
      <c r="AE99" s="536">
        <f>'3. Scrap (GC)'!N61</f>
        <v>0</v>
      </c>
      <c r="AF99" s="536">
        <f>'3. Scrap (GC)'!O61</f>
        <v>0</v>
      </c>
      <c r="AG99" s="536">
        <f>'3. Scrap (GC)'!P61</f>
        <v>0</v>
      </c>
      <c r="AH99" s="536">
        <f>'3. Scrap (GC)'!Q61</f>
        <v>0</v>
      </c>
      <c r="AI99" s="535"/>
      <c r="AJ99" s="535"/>
      <c r="AK99" s="535"/>
      <c r="AL99" s="535"/>
      <c r="AM99" s="535"/>
      <c r="AN99" s="536" t="str">
        <f>'3. Scrap (GC)'!B61</f>
        <v>Area 3</v>
      </c>
      <c r="AO99" s="451" t="str">
        <f>'3. Scrap (GC)'!W61</f>
        <v/>
      </c>
      <c r="AP99" s="451">
        <v>63</v>
      </c>
      <c r="AQ99" s="451" t="str">
        <f>Settings!$A$1</f>
        <v>V2</v>
      </c>
    </row>
    <row r="100" spans="1:44" ht="12.75" customHeight="1">
      <c r="A100" s="451">
        <f>'Input-FX Rates'!$C$4</f>
        <v>242</v>
      </c>
      <c r="B100" s="451" t="str">
        <f>'Input-FX Rates'!$B$4</f>
        <v>ICH Icheon (242)</v>
      </c>
      <c r="C100" s="451">
        <f>'Input-FX Rates'!$C$6</f>
        <v>780</v>
      </c>
      <c r="D100" s="451" t="str">
        <f>'Input-FX Rates'!$B$6</f>
        <v>780 BU Controls</v>
      </c>
      <c r="E100" s="451" t="str">
        <f>'Input-FX Rates'!$C$5</f>
        <v>7821 &amp; 7822</v>
      </c>
      <c r="F100" s="451" t="str">
        <f>'Input-FX Rates'!$B$5</f>
        <v>7821 PL Drivetrain Controls (&amp; Electrification)</v>
      </c>
      <c r="G100" s="451" t="s">
        <v>1466</v>
      </c>
      <c r="H100" s="451" t="s">
        <v>1477</v>
      </c>
      <c r="I100" s="535"/>
      <c r="J100" s="535"/>
      <c r="K100" s="536">
        <f>'3. Scrap (GC)'!C62</f>
        <v>0</v>
      </c>
      <c r="L100" s="536">
        <f>'3. Scrap (GC)'!E62</f>
        <v>0</v>
      </c>
      <c r="M100" s="535"/>
      <c r="N100" s="535"/>
      <c r="O100" s="536">
        <f>'3. Scrap (GC)'!R62</f>
        <v>0</v>
      </c>
      <c r="P100" s="536">
        <f>'3. Scrap (GC)'!S62</f>
        <v>0</v>
      </c>
      <c r="Q100" s="535"/>
      <c r="R100" s="535"/>
      <c r="S100" s="535"/>
      <c r="T100" s="535"/>
      <c r="U100" s="535"/>
      <c r="V100" s="535"/>
      <c r="W100" s="536">
        <f>'3. Scrap (GC)'!F62</f>
        <v>0</v>
      </c>
      <c r="X100" s="536">
        <f>'3. Scrap (GC)'!G62</f>
        <v>0</v>
      </c>
      <c r="Y100" s="536">
        <f>'3. Scrap (GC)'!H62</f>
        <v>0</v>
      </c>
      <c r="Z100" s="536">
        <f>'3. Scrap (GC)'!I62</f>
        <v>0</v>
      </c>
      <c r="AA100" s="536">
        <f>'3. Scrap (GC)'!J62</f>
        <v>0</v>
      </c>
      <c r="AB100" s="536">
        <f>'3. Scrap (GC)'!K62</f>
        <v>0</v>
      </c>
      <c r="AC100" s="536">
        <f>'3. Scrap (GC)'!L62</f>
        <v>0</v>
      </c>
      <c r="AD100" s="536">
        <f>'3. Scrap (GC)'!M62</f>
        <v>0</v>
      </c>
      <c r="AE100" s="536">
        <f>'3. Scrap (GC)'!N62</f>
        <v>0</v>
      </c>
      <c r="AF100" s="536">
        <f>'3. Scrap (GC)'!O62</f>
        <v>0</v>
      </c>
      <c r="AG100" s="536">
        <f>'3. Scrap (GC)'!P62</f>
        <v>0</v>
      </c>
      <c r="AH100" s="536">
        <f>'3. Scrap (GC)'!Q62</f>
        <v>0</v>
      </c>
      <c r="AI100" s="535"/>
      <c r="AJ100" s="535"/>
      <c r="AK100" s="535"/>
      <c r="AL100" s="535"/>
      <c r="AM100" s="535"/>
      <c r="AN100" s="536" t="str">
        <f>'3. Scrap (GC)'!B62</f>
        <v>Area 3</v>
      </c>
      <c r="AO100" s="451" t="str">
        <f>'3. Scrap (GC)'!W62</f>
        <v/>
      </c>
      <c r="AP100" s="451">
        <v>64</v>
      </c>
      <c r="AQ100" s="451" t="str">
        <f>Settings!$A$1</f>
        <v>V2</v>
      </c>
    </row>
    <row r="101" spans="1:44" ht="12.75" customHeight="1">
      <c r="A101" s="451">
        <f>'Input-FX Rates'!$C$4</f>
        <v>242</v>
      </c>
      <c r="B101" s="451" t="str">
        <f>'Input-FX Rates'!$B$4</f>
        <v>ICH Icheon (242)</v>
      </c>
      <c r="C101" s="451">
        <f>'Input-FX Rates'!$C$6</f>
        <v>780</v>
      </c>
      <c r="D101" s="451" t="str">
        <f>'Input-FX Rates'!$B$6</f>
        <v>780 BU Controls</v>
      </c>
      <c r="E101" s="451" t="str">
        <f>'Input-FX Rates'!$C$5</f>
        <v>7821 &amp; 7822</v>
      </c>
      <c r="F101" s="451" t="str">
        <f>'Input-FX Rates'!$B$5</f>
        <v>7821 PL Drivetrain Controls (&amp; Electrification)</v>
      </c>
      <c r="G101" s="451" t="s">
        <v>1466</v>
      </c>
      <c r="H101" s="451" t="s">
        <v>1478</v>
      </c>
      <c r="I101" s="535"/>
      <c r="J101" s="535"/>
      <c r="K101" s="536">
        <f>'3. Scrap (GC)'!C65</f>
        <v>0</v>
      </c>
      <c r="L101" s="536">
        <f>'3. Scrap (GC)'!E65</f>
        <v>0</v>
      </c>
      <c r="M101" s="535"/>
      <c r="N101" s="535"/>
      <c r="O101" s="536">
        <f>'3. Scrap (GC)'!R65</f>
        <v>0</v>
      </c>
      <c r="P101" s="536">
        <f>'3. Scrap (GC)'!S65</f>
        <v>0</v>
      </c>
      <c r="Q101" s="535"/>
      <c r="R101" s="535"/>
      <c r="S101" s="535"/>
      <c r="T101" s="535"/>
      <c r="U101" s="535"/>
      <c r="V101" s="535"/>
      <c r="W101" s="536">
        <f>'3. Scrap (GC)'!F65</f>
        <v>0</v>
      </c>
      <c r="X101" s="536">
        <f>'3. Scrap (GC)'!G65</f>
        <v>0</v>
      </c>
      <c r="Y101" s="536">
        <f>'3. Scrap (GC)'!H65</f>
        <v>0</v>
      </c>
      <c r="Z101" s="536">
        <f>'3. Scrap (GC)'!I65</f>
        <v>0</v>
      </c>
      <c r="AA101" s="536">
        <f>'3. Scrap (GC)'!J65</f>
        <v>0</v>
      </c>
      <c r="AB101" s="536">
        <f>'3. Scrap (GC)'!K65</f>
        <v>0</v>
      </c>
      <c r="AC101" s="536">
        <f>'3. Scrap (GC)'!L65</f>
        <v>0</v>
      </c>
      <c r="AD101" s="536">
        <f>'3. Scrap (GC)'!M65</f>
        <v>0</v>
      </c>
      <c r="AE101" s="536">
        <f>'3. Scrap (GC)'!N65</f>
        <v>0</v>
      </c>
      <c r="AF101" s="536">
        <f>'3. Scrap (GC)'!O65</f>
        <v>0</v>
      </c>
      <c r="AG101" s="536">
        <f>'3. Scrap (GC)'!P65</f>
        <v>0</v>
      </c>
      <c r="AH101" s="536">
        <f>'3. Scrap (GC)'!Q65</f>
        <v>0</v>
      </c>
      <c r="AI101" s="535"/>
      <c r="AJ101" s="535"/>
      <c r="AK101" s="535"/>
      <c r="AL101" s="535"/>
      <c r="AM101" s="535"/>
      <c r="AN101" s="536" t="str">
        <f>'3. Scrap (GC)'!B65</f>
        <v>All Other</v>
      </c>
      <c r="AO101" s="451" t="str">
        <f>'3. Scrap (GC)'!W65</f>
        <v/>
      </c>
      <c r="AP101" s="451">
        <v>65</v>
      </c>
      <c r="AQ101" s="451" t="str">
        <f>Settings!$A$1</f>
        <v>V2</v>
      </c>
    </row>
    <row r="102" spans="1:44" ht="12.75" customHeight="1">
      <c r="A102" s="451">
        <f>'Input-FX Rates'!$C$4</f>
        <v>242</v>
      </c>
      <c r="B102" s="451" t="str">
        <f>'Input-FX Rates'!$B$4</f>
        <v>ICH Icheon (242)</v>
      </c>
      <c r="C102" s="451">
        <f>'Input-FX Rates'!$C$6</f>
        <v>780</v>
      </c>
      <c r="D102" s="451" t="str">
        <f>'Input-FX Rates'!$B$6</f>
        <v>780 BU Controls</v>
      </c>
      <c r="E102" s="451" t="str">
        <f>'Input-FX Rates'!$C$5</f>
        <v>7821 &amp; 7822</v>
      </c>
      <c r="F102" s="451" t="str">
        <f>'Input-FX Rates'!$B$5</f>
        <v>7821 PL Drivetrain Controls (&amp; Electrification)</v>
      </c>
      <c r="G102" s="451" t="s">
        <v>1466</v>
      </c>
      <c r="H102" s="451" t="s">
        <v>1479</v>
      </c>
      <c r="I102" s="535"/>
      <c r="J102" s="535"/>
      <c r="K102" s="536">
        <f>'3. Scrap (GC)'!C66</f>
        <v>0</v>
      </c>
      <c r="L102" s="536">
        <f>'3. Scrap (GC)'!E66</f>
        <v>0</v>
      </c>
      <c r="M102" s="535"/>
      <c r="N102" s="535"/>
      <c r="O102" s="536">
        <f>'3. Scrap (GC)'!R66</f>
        <v>0</v>
      </c>
      <c r="P102" s="536">
        <f>'3. Scrap (GC)'!S66</f>
        <v>0</v>
      </c>
      <c r="Q102" s="535"/>
      <c r="R102" s="535"/>
      <c r="S102" s="535"/>
      <c r="T102" s="535"/>
      <c r="U102" s="535"/>
      <c r="V102" s="535"/>
      <c r="W102" s="536">
        <f>'3. Scrap (GC)'!F66</f>
        <v>0</v>
      </c>
      <c r="X102" s="536">
        <f>'3. Scrap (GC)'!G66</f>
        <v>0</v>
      </c>
      <c r="Y102" s="536">
        <f>'3. Scrap (GC)'!H66</f>
        <v>0</v>
      </c>
      <c r="Z102" s="536">
        <f>'3. Scrap (GC)'!I66</f>
        <v>0</v>
      </c>
      <c r="AA102" s="536">
        <f>'3. Scrap (GC)'!J66</f>
        <v>0</v>
      </c>
      <c r="AB102" s="536">
        <f>'3. Scrap (GC)'!K66</f>
        <v>0</v>
      </c>
      <c r="AC102" s="536">
        <f>'3. Scrap (GC)'!L66</f>
        <v>0</v>
      </c>
      <c r="AD102" s="536">
        <f>'3. Scrap (GC)'!M66</f>
        <v>0</v>
      </c>
      <c r="AE102" s="536">
        <f>'3. Scrap (GC)'!N66</f>
        <v>0</v>
      </c>
      <c r="AF102" s="536">
        <f>'3. Scrap (GC)'!O66</f>
        <v>0</v>
      </c>
      <c r="AG102" s="536">
        <f>'3. Scrap (GC)'!P66</f>
        <v>0</v>
      </c>
      <c r="AH102" s="536">
        <f>'3. Scrap (GC)'!Q66</f>
        <v>0</v>
      </c>
      <c r="AI102" s="535"/>
      <c r="AJ102" s="535"/>
      <c r="AK102" s="535"/>
      <c r="AL102" s="535"/>
      <c r="AM102" s="535"/>
      <c r="AN102" s="536" t="str">
        <f>'3. Scrap (GC)'!B66</f>
        <v>All Other</v>
      </c>
      <c r="AO102" s="451" t="str">
        <f>'3. Scrap (GC)'!W66</f>
        <v/>
      </c>
      <c r="AP102" s="451">
        <v>66</v>
      </c>
      <c r="AQ102" s="451" t="str">
        <f>Settings!$A$1</f>
        <v>V2</v>
      </c>
    </row>
    <row r="103" spans="1:44" ht="12.75" customHeight="1">
      <c r="A103" s="451">
        <f>'Input-FX Rates'!$C$4</f>
        <v>242</v>
      </c>
      <c r="B103" s="451" t="str">
        <f>'Input-FX Rates'!$B$4</f>
        <v>ICH Icheon (242)</v>
      </c>
      <c r="C103" s="451">
        <f>'Input-FX Rates'!$C$6</f>
        <v>780</v>
      </c>
      <c r="D103" s="451" t="str">
        <f>'Input-FX Rates'!$B$6</f>
        <v>780 BU Controls</v>
      </c>
      <c r="E103" s="451" t="str">
        <f>'Input-FX Rates'!$C$5</f>
        <v>7821 &amp; 7822</v>
      </c>
      <c r="F103" s="451" t="str">
        <f>'Input-FX Rates'!$B$5</f>
        <v>7821 PL Drivetrain Controls (&amp; Electrification)</v>
      </c>
      <c r="G103" s="451" t="s">
        <v>1466</v>
      </c>
      <c r="H103" s="451" t="s">
        <v>1480</v>
      </c>
      <c r="I103" s="535"/>
      <c r="J103" s="535"/>
      <c r="K103" s="536">
        <f>'3. Scrap (GC)'!C67</f>
        <v>0</v>
      </c>
      <c r="L103" s="536">
        <f>'3. Scrap (GC)'!E67</f>
        <v>0</v>
      </c>
      <c r="M103" s="535"/>
      <c r="N103" s="535"/>
      <c r="O103" s="536">
        <f>'3. Scrap (GC)'!R67</f>
        <v>0</v>
      </c>
      <c r="P103" s="536">
        <f>'3. Scrap (GC)'!S67</f>
        <v>0</v>
      </c>
      <c r="Q103" s="535"/>
      <c r="R103" s="535"/>
      <c r="S103" s="535"/>
      <c r="T103" s="535"/>
      <c r="U103" s="535"/>
      <c r="V103" s="535"/>
      <c r="W103" s="536">
        <f>'3. Scrap (GC)'!F67</f>
        <v>0</v>
      </c>
      <c r="X103" s="536">
        <f>'3. Scrap (GC)'!G67</f>
        <v>0</v>
      </c>
      <c r="Y103" s="536">
        <f>'3. Scrap (GC)'!H67</f>
        <v>0</v>
      </c>
      <c r="Z103" s="536">
        <f>'3. Scrap (GC)'!I67</f>
        <v>0</v>
      </c>
      <c r="AA103" s="536">
        <f>'3. Scrap (GC)'!J67</f>
        <v>0</v>
      </c>
      <c r="AB103" s="536">
        <f>'3. Scrap (GC)'!K67</f>
        <v>0</v>
      </c>
      <c r="AC103" s="536">
        <f>'3. Scrap (GC)'!L67</f>
        <v>0</v>
      </c>
      <c r="AD103" s="536">
        <f>'3. Scrap (GC)'!M67</f>
        <v>0</v>
      </c>
      <c r="AE103" s="536">
        <f>'3. Scrap (GC)'!N67</f>
        <v>0</v>
      </c>
      <c r="AF103" s="536">
        <f>'3. Scrap (GC)'!O67</f>
        <v>0</v>
      </c>
      <c r="AG103" s="536">
        <f>'3. Scrap (GC)'!P67</f>
        <v>0</v>
      </c>
      <c r="AH103" s="536">
        <f>'3. Scrap (GC)'!Q67</f>
        <v>0</v>
      </c>
      <c r="AI103" s="535"/>
      <c r="AJ103" s="535"/>
      <c r="AK103" s="535"/>
      <c r="AL103" s="535"/>
      <c r="AM103" s="535"/>
      <c r="AN103" s="536" t="str">
        <f>'3. Scrap (GC)'!B67</f>
        <v>All Other</v>
      </c>
      <c r="AO103" s="451" t="str">
        <f>'3. Scrap (GC)'!W67</f>
        <v/>
      </c>
      <c r="AP103" s="451">
        <v>67</v>
      </c>
      <c r="AQ103" s="451" t="str">
        <f>Settings!$A$1</f>
        <v>V2</v>
      </c>
    </row>
    <row r="104" spans="1:44" ht="12.75" customHeight="1">
      <c r="A104" s="451">
        <f>'Input-FX Rates'!$C$4</f>
        <v>242</v>
      </c>
      <c r="B104" s="451" t="str">
        <f>'Input-FX Rates'!$B$4</f>
        <v>ICH Icheon (242)</v>
      </c>
      <c r="C104" s="451">
        <f>'Input-FX Rates'!$C$6</f>
        <v>780</v>
      </c>
      <c r="D104" s="451" t="str">
        <f>'Input-FX Rates'!$B$6</f>
        <v>780 BU Controls</v>
      </c>
      <c r="E104" s="451" t="str">
        <f>'Input-FX Rates'!$C$5</f>
        <v>7821 &amp; 7822</v>
      </c>
      <c r="F104" s="451" t="str">
        <f>'Input-FX Rates'!$B$5</f>
        <v>7821 PL Drivetrain Controls (&amp; Electrification)</v>
      </c>
      <c r="G104" s="451" t="s">
        <v>1466</v>
      </c>
      <c r="H104" s="451" t="s">
        <v>1481</v>
      </c>
      <c r="I104" s="535"/>
      <c r="J104" s="535"/>
      <c r="K104" s="536">
        <f>'3. Scrap (GC)'!C70</f>
        <v>0</v>
      </c>
      <c r="L104" s="536">
        <f>'3. Scrap (GC)'!E70</f>
        <v>0</v>
      </c>
      <c r="M104" s="535"/>
      <c r="N104" s="535"/>
      <c r="O104" s="536">
        <f>'3. Scrap (GC)'!R70</f>
        <v>0</v>
      </c>
      <c r="P104" s="536">
        <f>'3. Scrap (GC)'!S70</f>
        <v>0</v>
      </c>
      <c r="Q104" s="535"/>
      <c r="R104" s="535"/>
      <c r="S104" s="535"/>
      <c r="T104" s="535"/>
      <c r="U104" s="535"/>
      <c r="V104" s="535"/>
      <c r="W104" s="536">
        <f>'3. Scrap (GC)'!F70</f>
        <v>0</v>
      </c>
      <c r="X104" s="536">
        <f>'3. Scrap (GC)'!G70</f>
        <v>0</v>
      </c>
      <c r="Y104" s="536">
        <f>'3. Scrap (GC)'!H70</f>
        <v>0</v>
      </c>
      <c r="Z104" s="536">
        <f>'3. Scrap (GC)'!I70</f>
        <v>0</v>
      </c>
      <c r="AA104" s="536">
        <f>'3. Scrap (GC)'!J70</f>
        <v>0</v>
      </c>
      <c r="AB104" s="536">
        <f>'3. Scrap (GC)'!K70</f>
        <v>0</v>
      </c>
      <c r="AC104" s="536">
        <f>'3. Scrap (GC)'!L70</f>
        <v>0</v>
      </c>
      <c r="AD104" s="536">
        <f>'3. Scrap (GC)'!M70</f>
        <v>0</v>
      </c>
      <c r="AE104" s="536">
        <f>'3. Scrap (GC)'!N70</f>
        <v>0</v>
      </c>
      <c r="AF104" s="536">
        <f>'3. Scrap (GC)'!O70</f>
        <v>0</v>
      </c>
      <c r="AG104" s="536">
        <f>'3. Scrap (GC)'!P70</f>
        <v>0</v>
      </c>
      <c r="AH104" s="536">
        <f>'3. Scrap (GC)'!Q70</f>
        <v>0</v>
      </c>
      <c r="AI104" s="535"/>
      <c r="AJ104" s="535"/>
      <c r="AK104" s="535"/>
      <c r="AL104" s="535"/>
      <c r="AM104" s="535"/>
      <c r="AN104" s="541"/>
      <c r="AO104" s="451" t="str">
        <f>'3. Scrap (GC)'!W70</f>
        <v/>
      </c>
      <c r="AP104" s="451">
        <v>68</v>
      </c>
      <c r="AQ104" s="451" t="str">
        <f>Settings!$A$1</f>
        <v>V2</v>
      </c>
    </row>
    <row r="105" spans="1:44" ht="12.75" customHeight="1">
      <c r="A105" s="451">
        <f>'Input-FX Rates'!$C$4</f>
        <v>242</v>
      </c>
      <c r="B105" s="451" t="str">
        <f>'Input-FX Rates'!$B$4</f>
        <v>ICH Icheon (242)</v>
      </c>
      <c r="C105" s="451">
        <f>'Input-FX Rates'!$C$6</f>
        <v>780</v>
      </c>
      <c r="D105" s="451" t="str">
        <f>'Input-FX Rates'!$B$6</f>
        <v>780 BU Controls</v>
      </c>
      <c r="E105" s="451" t="str">
        <f>'Input-FX Rates'!$C$5</f>
        <v>7821 &amp; 7822</v>
      </c>
      <c r="F105" s="451" t="str">
        <f>'Input-FX Rates'!$B$5</f>
        <v>7821 PL Drivetrain Controls (&amp; Electrification)</v>
      </c>
      <c r="G105" s="451" t="s">
        <v>1466</v>
      </c>
      <c r="H105" s="451" t="s">
        <v>1482</v>
      </c>
      <c r="I105" s="535"/>
      <c r="J105" s="535"/>
      <c r="K105" s="536">
        <f>'3. Scrap (GC)'!C71</f>
        <v>0</v>
      </c>
      <c r="L105" s="536">
        <f>'3. Scrap (GC)'!E71</f>
        <v>0</v>
      </c>
      <c r="M105" s="535"/>
      <c r="N105" s="535"/>
      <c r="O105" s="536">
        <f>'3. Scrap (GC)'!R71</f>
        <v>0</v>
      </c>
      <c r="P105" s="536">
        <f>'3. Scrap (GC)'!S71</f>
        <v>0</v>
      </c>
      <c r="Q105" s="535"/>
      <c r="R105" s="535"/>
      <c r="S105" s="535"/>
      <c r="T105" s="535"/>
      <c r="U105" s="535"/>
      <c r="V105" s="535"/>
      <c r="W105" s="536">
        <f>'3. Scrap (GC)'!F71</f>
        <v>0</v>
      </c>
      <c r="X105" s="536">
        <f>'3. Scrap (GC)'!G71</f>
        <v>0</v>
      </c>
      <c r="Y105" s="536">
        <f>'3. Scrap (GC)'!H71</f>
        <v>0</v>
      </c>
      <c r="Z105" s="536">
        <f>'3. Scrap (GC)'!I71</f>
        <v>0</v>
      </c>
      <c r="AA105" s="536">
        <f>'3. Scrap (GC)'!J71</f>
        <v>0</v>
      </c>
      <c r="AB105" s="536">
        <f>'3. Scrap (GC)'!K71</f>
        <v>0</v>
      </c>
      <c r="AC105" s="536">
        <f>'3. Scrap (GC)'!L71</f>
        <v>0</v>
      </c>
      <c r="AD105" s="536">
        <f>'3. Scrap (GC)'!M71</f>
        <v>0</v>
      </c>
      <c r="AE105" s="536">
        <f>'3. Scrap (GC)'!N71</f>
        <v>0</v>
      </c>
      <c r="AF105" s="536">
        <f>'3. Scrap (GC)'!O71</f>
        <v>0</v>
      </c>
      <c r="AG105" s="536">
        <f>'3. Scrap (GC)'!P71</f>
        <v>0</v>
      </c>
      <c r="AH105" s="536">
        <f>'3. Scrap (GC)'!Q71</f>
        <v>0</v>
      </c>
      <c r="AI105" s="535"/>
      <c r="AJ105" s="535"/>
      <c r="AK105" s="535"/>
      <c r="AL105" s="535"/>
      <c r="AM105" s="535"/>
      <c r="AN105" s="541"/>
      <c r="AO105" s="451" t="str">
        <f>'3. Scrap (GC)'!W71</f>
        <v/>
      </c>
      <c r="AP105" s="451">
        <v>69</v>
      </c>
      <c r="AQ105" s="451" t="str">
        <f>Settings!$A$1</f>
        <v>V2</v>
      </c>
    </row>
    <row r="106" spans="1:44" ht="12.75" customHeight="1">
      <c r="A106" s="451">
        <f>'Input-FX Rates'!$C$4</f>
        <v>242</v>
      </c>
      <c r="B106" s="451" t="str">
        <f>'Input-FX Rates'!$B$4</f>
        <v>ICH Icheon (242)</v>
      </c>
      <c r="C106" s="451">
        <f>'Input-FX Rates'!$C$6</f>
        <v>780</v>
      </c>
      <c r="D106" s="451" t="str">
        <f>'Input-FX Rates'!$B$6</f>
        <v>780 BU Controls</v>
      </c>
      <c r="E106" s="451" t="str">
        <f>'Input-FX Rates'!$C$5</f>
        <v>7821 &amp; 7822</v>
      </c>
      <c r="F106" s="451" t="str">
        <f>'Input-FX Rates'!$B$5</f>
        <v>7821 PL Drivetrain Controls (&amp; Electrification)</v>
      </c>
      <c r="G106" s="451" t="s">
        <v>1466</v>
      </c>
      <c r="H106" s="451" t="s">
        <v>391</v>
      </c>
      <c r="I106" s="535"/>
      <c r="J106" s="535"/>
      <c r="K106" s="536">
        <f>'3. Scrap (GC)'!C75</f>
        <v>-27.879984647637279</v>
      </c>
      <c r="L106" s="536">
        <f>'3. Scrap (GC)'!E75</f>
        <v>-120.11981447568249</v>
      </c>
      <c r="M106" s="535"/>
      <c r="N106" s="535"/>
      <c r="O106" s="536">
        <f>'3. Scrap (GC)'!R75</f>
        <v>-104.57777103448278</v>
      </c>
      <c r="P106" s="536">
        <f>'3. Scrap (GC)'!S75</f>
        <v>-90.100739376000007</v>
      </c>
      <c r="Q106" s="535"/>
      <c r="R106" s="535"/>
      <c r="S106" s="535"/>
      <c r="T106" s="535"/>
      <c r="U106" s="535"/>
      <c r="V106" s="535"/>
      <c r="W106" s="536">
        <f>'3. Scrap (GC)'!F75</f>
        <v>-9.1366979310344831</v>
      </c>
      <c r="X106" s="536">
        <f>'3. Scrap (GC)'!G75</f>
        <v>-8.5627565517241369</v>
      </c>
      <c r="Y106" s="536">
        <f>'3. Scrap (GC)'!H75</f>
        <v>-9.8541241379310343</v>
      </c>
      <c r="Z106" s="536">
        <f>'3. Scrap (GC)'!I75</f>
        <v>-9.6076875862068967</v>
      </c>
      <c r="AA106" s="536">
        <f>'3. Scrap (GC)'!J75</f>
        <v>-8.6970889655172421</v>
      </c>
      <c r="AB106" s="536">
        <f>'3. Scrap (GC)'!K75</f>
        <v>-8.6970889655172421</v>
      </c>
      <c r="AC106" s="536">
        <f>'3. Scrap (GC)'!L75</f>
        <v>-8.6970889655172421</v>
      </c>
      <c r="AD106" s="536">
        <f>'3. Scrap (GC)'!M75</f>
        <v>-7.9796627586206901</v>
      </c>
      <c r="AE106" s="536">
        <f>'3. Scrap (GC)'!N75</f>
        <v>-8.0080820689655159</v>
      </c>
      <c r="AF106" s="536">
        <f>'3. Scrap (GC)'!O75</f>
        <v>-8.2545179310344832</v>
      </c>
      <c r="AG106" s="536">
        <f>'3. Scrap (GC)'!P75</f>
        <v>-8.5414882758620685</v>
      </c>
      <c r="AH106" s="536">
        <f>'3. Scrap (GC)'!Q75</f>
        <v>-8.5414868965517243</v>
      </c>
      <c r="AI106" s="535"/>
      <c r="AJ106" s="535"/>
      <c r="AK106" s="535"/>
      <c r="AL106" s="535"/>
      <c r="AM106" s="535"/>
      <c r="AN106" s="541"/>
      <c r="AO106" s="451" t="str">
        <f>'3. Scrap (GC)'!W75</f>
        <v/>
      </c>
      <c r="AP106" s="451">
        <v>70</v>
      </c>
      <c r="AQ106" s="451" t="str">
        <f>Settings!$A$1</f>
        <v>V2</v>
      </c>
    </row>
    <row r="107" spans="1:44" s="537" customFormat="1" ht="12.75" customHeight="1">
      <c r="A107" s="537">
        <f>'Input-FX Rates'!$C$4</f>
        <v>242</v>
      </c>
      <c r="B107" s="537" t="str">
        <f>'Input-FX Rates'!$B$4</f>
        <v>ICH Icheon (242)</v>
      </c>
      <c r="C107" s="537">
        <f>'Input-FX Rates'!$C$6</f>
        <v>780</v>
      </c>
      <c r="D107" s="537" t="str">
        <f>'Input-FX Rates'!$B$6</f>
        <v>780 BU Controls</v>
      </c>
      <c r="E107" s="537" t="str">
        <f>'Input-FX Rates'!$C$5</f>
        <v>7821 &amp; 7822</v>
      </c>
      <c r="F107" s="537" t="str">
        <f>'Input-FX Rates'!$B$5</f>
        <v>7821 PL Drivetrain Controls (&amp; Electrification)</v>
      </c>
      <c r="G107" s="537" t="s">
        <v>1466</v>
      </c>
      <c r="H107" s="537" t="s">
        <v>392</v>
      </c>
      <c r="I107" s="538"/>
      <c r="J107" s="538"/>
      <c r="K107" s="539">
        <f>'3. Scrap (GC)'!C76</f>
        <v>55718.001789595619</v>
      </c>
      <c r="L107" s="539">
        <f>'3. Scrap (GC)'!E76</f>
        <v>100126.74994033898</v>
      </c>
      <c r="M107" s="538"/>
      <c r="N107" s="538"/>
      <c r="O107" s="539">
        <f>'3. Scrap (GC)'!R76</f>
        <v>87874.142590344811</v>
      </c>
      <c r="P107" s="539">
        <f>'3. Scrap (GC)'!S76</f>
        <v>75083.949479999996</v>
      </c>
      <c r="Q107" s="538"/>
      <c r="R107" s="538"/>
      <c r="S107" s="538"/>
      <c r="T107" s="538"/>
      <c r="U107" s="538"/>
      <c r="V107" s="538"/>
      <c r="W107" s="539">
        <f>'3. Scrap (GC)'!F76</f>
        <v>7674.4146827586201</v>
      </c>
      <c r="X107" s="539">
        <f>'3. Scrap (GC)'!G76</f>
        <v>7196.1305448275853</v>
      </c>
      <c r="Y107" s="539">
        <f>'3. Scrap (GC)'!H76</f>
        <v>8272.2698551724134</v>
      </c>
      <c r="Z107" s="539">
        <f>'3. Scrap (GC)'!I76</f>
        <v>8066.9064365517243</v>
      </c>
      <c r="AA107" s="539">
        <f>'3. Scrap (GC)'!J76</f>
        <v>7308.073884827586</v>
      </c>
      <c r="AB107" s="539">
        <f>'3. Scrap (GC)'!K76</f>
        <v>7308.073884827586</v>
      </c>
      <c r="AC107" s="539">
        <f>'3. Scrap (GC)'!L76</f>
        <v>7308.073884827586</v>
      </c>
      <c r="AD107" s="539">
        <f>'3. Scrap (GC)'!M76</f>
        <v>6710.218713103448</v>
      </c>
      <c r="AE107" s="539">
        <f>'3. Scrap (GC)'!N76</f>
        <v>6733.9015779310348</v>
      </c>
      <c r="AF107" s="539">
        <f>'3. Scrap (GC)'!O76</f>
        <v>6939.2649951724143</v>
      </c>
      <c r="AG107" s="539">
        <f>'3. Scrap (GC)'!P76</f>
        <v>7178.4070641379312</v>
      </c>
      <c r="AH107" s="539">
        <f>'3. Scrap (GC)'!Q76</f>
        <v>7178.4070662068962</v>
      </c>
      <c r="AI107" s="538"/>
      <c r="AJ107" s="538"/>
      <c r="AK107" s="538"/>
      <c r="AL107" s="538"/>
      <c r="AM107" s="538"/>
      <c r="AN107" s="540"/>
      <c r="AO107" s="537" t="str">
        <f>'3. Scrap (GC)'!W76</f>
        <v/>
      </c>
      <c r="AP107" s="537">
        <v>71</v>
      </c>
      <c r="AQ107" s="537" t="str">
        <f>Settings!$A$1</f>
        <v>V2</v>
      </c>
      <c r="AR107" s="451"/>
    </row>
    <row r="108" spans="1:44" ht="12.75" customHeight="1">
      <c r="A108" s="451">
        <f>'Input-FX Rates'!$C$4</f>
        <v>242</v>
      </c>
      <c r="B108" s="451" t="str">
        <f>'Input-FX Rates'!$B$4</f>
        <v>ICH Icheon (242)</v>
      </c>
      <c r="C108" s="451">
        <f>'Input-FX Rates'!$C$6</f>
        <v>780</v>
      </c>
      <c r="D108" s="451" t="str">
        <f>'Input-FX Rates'!$B$6</f>
        <v>780 BU Controls</v>
      </c>
      <c r="E108" s="451" t="str">
        <f>'Input-FX Rates'!$C$5</f>
        <v>7821 &amp; 7822</v>
      </c>
      <c r="F108" s="451" t="str">
        <f>'Input-FX Rates'!$B$5</f>
        <v>7821 PL Drivetrain Controls (&amp; Electrification)</v>
      </c>
      <c r="G108" s="451" t="s">
        <v>1483</v>
      </c>
      <c r="H108" s="451" t="s">
        <v>195</v>
      </c>
      <c r="I108" s="535"/>
      <c r="J108" s="535"/>
      <c r="K108" s="536">
        <f>'4. Fix Cost (GC)'!B7</f>
        <v>55718.001789595619</v>
      </c>
      <c r="L108" s="536">
        <f>'4. Fix Cost (GC)'!C7</f>
        <v>100126.74994033898</v>
      </c>
      <c r="M108" s="535"/>
      <c r="N108" s="535"/>
      <c r="O108" s="536">
        <f>'4. Fix Cost (GC)'!Q7</f>
        <v>87874.142590344825</v>
      </c>
      <c r="P108" s="536">
        <f>'4. Fix Cost (GC)'!R7</f>
        <v>0</v>
      </c>
      <c r="Q108" s="535"/>
      <c r="R108" s="535"/>
      <c r="S108" s="535"/>
      <c r="T108" s="535"/>
      <c r="U108" s="535"/>
      <c r="V108" s="535"/>
      <c r="W108" s="536">
        <f>'4. Fix Cost (GC)'!E7</f>
        <v>7674.4146827586201</v>
      </c>
      <c r="X108" s="536">
        <f>'4. Fix Cost (GC)'!F7</f>
        <v>7196.1305448275853</v>
      </c>
      <c r="Y108" s="536">
        <f>'4. Fix Cost (GC)'!G7</f>
        <v>8272.2698551724134</v>
      </c>
      <c r="Z108" s="536">
        <f>'4. Fix Cost (GC)'!H7</f>
        <v>8066.9064365517243</v>
      </c>
      <c r="AA108" s="536">
        <f>'4. Fix Cost (GC)'!I7</f>
        <v>7308.073884827586</v>
      </c>
      <c r="AB108" s="536">
        <f>'4. Fix Cost (GC)'!J7</f>
        <v>7308.073884827586</v>
      </c>
      <c r="AC108" s="536">
        <f>'4. Fix Cost (GC)'!K7</f>
        <v>7308.073884827586</v>
      </c>
      <c r="AD108" s="536">
        <f>'4. Fix Cost (GC)'!L7</f>
        <v>6710.218713103448</v>
      </c>
      <c r="AE108" s="536">
        <f>'4. Fix Cost (GC)'!M7</f>
        <v>6733.9015779310348</v>
      </c>
      <c r="AF108" s="536">
        <f>'4. Fix Cost (GC)'!N7</f>
        <v>6939.2649951724143</v>
      </c>
      <c r="AG108" s="536">
        <f>'4. Fix Cost (GC)'!O7</f>
        <v>7178.4070641379312</v>
      </c>
      <c r="AH108" s="536">
        <f>'4. Fix Cost (GC)'!P7</f>
        <v>7178.4070662068962</v>
      </c>
      <c r="AI108" s="535"/>
      <c r="AJ108" s="535"/>
      <c r="AK108" s="535"/>
      <c r="AL108" s="535"/>
      <c r="AM108" s="535"/>
      <c r="AN108" s="535"/>
      <c r="AO108" s="451" t="str">
        <f>'4. Fix Cost (GC)'!W7</f>
        <v/>
      </c>
      <c r="AP108" s="451">
        <v>72</v>
      </c>
      <c r="AQ108" s="451" t="str">
        <f>Settings!$A$1</f>
        <v>V2</v>
      </c>
      <c r="AR108" s="867"/>
    </row>
    <row r="109" spans="1:44" ht="12.75" customHeight="1">
      <c r="A109" s="451">
        <f>'Input-FX Rates'!$C$4</f>
        <v>242</v>
      </c>
      <c r="B109" s="451" t="str">
        <f>'Input-FX Rates'!$B$4</f>
        <v>ICH Icheon (242)</v>
      </c>
      <c r="C109" s="451">
        <f>'Input-FX Rates'!$C$6</f>
        <v>780</v>
      </c>
      <c r="D109" s="451" t="str">
        <f>'Input-FX Rates'!$B$6</f>
        <v>780 BU Controls</v>
      </c>
      <c r="E109" s="451" t="str">
        <f>'Input-FX Rates'!$C$5</f>
        <v>7821 &amp; 7822</v>
      </c>
      <c r="F109" s="451" t="str">
        <f>'Input-FX Rates'!$B$5</f>
        <v>7821 PL Drivetrain Controls (&amp; Electrification)</v>
      </c>
      <c r="G109" s="451" t="s">
        <v>1483</v>
      </c>
      <c r="H109" s="451" t="s">
        <v>435</v>
      </c>
      <c r="I109" s="535"/>
      <c r="J109" s="535"/>
      <c r="K109" s="536">
        <f>'4. Fix Cost (GC)'!B8</f>
        <v>-1379.1309812013224</v>
      </c>
      <c r="L109" s="536">
        <f>'4. Fix Cost (GC)'!C8</f>
        <v>-2758.8929761448362</v>
      </c>
      <c r="M109" s="535"/>
      <c r="N109" s="535"/>
      <c r="O109" s="536">
        <f>'4. Fix Cost (GC)'!Q8</f>
        <v>-2222.2802186206895</v>
      </c>
      <c r="P109" s="536">
        <f>'4. Fix Cost (GC)'!R8</f>
        <v>-3508.18</v>
      </c>
      <c r="Q109" s="535"/>
      <c r="R109" s="535"/>
      <c r="S109" s="535"/>
      <c r="T109" s="535"/>
      <c r="U109" s="535"/>
      <c r="V109" s="535"/>
      <c r="W109" s="536">
        <f>'4. Fix Cost (GC)'!E8</f>
        <v>-174.58724068965518</v>
      </c>
      <c r="X109" s="536">
        <f>'4. Fix Cost (GC)'!F8</f>
        <v>-176.12171931034482</v>
      </c>
      <c r="Y109" s="536">
        <f>'4. Fix Cost (GC)'!G8</f>
        <v>-176.42907862068964</v>
      </c>
      <c r="Z109" s="536">
        <f>'4. Fix Cost (GC)'!H8</f>
        <v>-160.80723931034484</v>
      </c>
      <c r="AA109" s="536">
        <f>'4. Fix Cost (GC)'!I8</f>
        <v>-169.53204206896552</v>
      </c>
      <c r="AB109" s="536">
        <f>'4. Fix Cost (GC)'!J8</f>
        <v>-174.69062827586205</v>
      </c>
      <c r="AC109" s="536">
        <f>'4. Fix Cost (GC)'!K8</f>
        <v>-223.62182551724138</v>
      </c>
      <c r="AD109" s="536">
        <f>'4. Fix Cost (GC)'!L8</f>
        <v>-199.51598689655171</v>
      </c>
      <c r="AE109" s="536">
        <f>'4. Fix Cost (GC)'!M8</f>
        <v>-192.28081034482759</v>
      </c>
      <c r="AF109" s="536">
        <f>'4. Fix Cost (GC)'!N8</f>
        <v>-192.06977999999998</v>
      </c>
      <c r="AG109" s="536">
        <f>'4. Fix Cost (GC)'!O8</f>
        <v>-188.0871427586207</v>
      </c>
      <c r="AH109" s="536">
        <f>'4. Fix Cost (GC)'!P8</f>
        <v>-194.5367248275862</v>
      </c>
      <c r="AI109" s="535"/>
      <c r="AJ109" s="535"/>
      <c r="AK109" s="535"/>
      <c r="AL109" s="535"/>
      <c r="AM109" s="535"/>
      <c r="AN109" s="535"/>
      <c r="AO109" s="451" t="str">
        <f>'4. Fix Cost (GC)'!W8</f>
        <v>Comparing to FC, Central assessment cost decrease as sales amount decrease</v>
      </c>
      <c r="AP109" s="451">
        <v>73</v>
      </c>
      <c r="AQ109" s="451" t="str">
        <f>Settings!$A$1</f>
        <v>V2</v>
      </c>
      <c r="AR109" s="867"/>
    </row>
    <row r="110" spans="1:44" ht="12.75" customHeight="1">
      <c r="A110" s="451">
        <f>'Input-FX Rates'!$C$4</f>
        <v>242</v>
      </c>
      <c r="B110" s="451" t="str">
        <f>'Input-FX Rates'!$B$4</f>
        <v>ICH Icheon (242)</v>
      </c>
      <c r="C110" s="451">
        <f>'Input-FX Rates'!$C$6</f>
        <v>780</v>
      </c>
      <c r="D110" s="451" t="str">
        <f>'Input-FX Rates'!$B$6</f>
        <v>780 BU Controls</v>
      </c>
      <c r="E110" s="451" t="str">
        <f>'Input-FX Rates'!$C$5</f>
        <v>7821 &amp; 7822</v>
      </c>
      <c r="F110" s="451" t="str">
        <f>'Input-FX Rates'!$B$5</f>
        <v>7821 PL Drivetrain Controls (&amp; Electrification)</v>
      </c>
      <c r="G110" s="451" t="s">
        <v>1483</v>
      </c>
      <c r="H110" s="451" t="s">
        <v>438</v>
      </c>
      <c r="I110" s="535"/>
      <c r="J110" s="535"/>
      <c r="K110" s="536">
        <f>'4. Fix Cost (GC)'!B9</f>
        <v>-86.686718785681393</v>
      </c>
      <c r="L110" s="536">
        <f>'4. Fix Cost (GC)'!C9</f>
        <v>-221.50371166468167</v>
      </c>
      <c r="M110" s="535"/>
      <c r="N110" s="535"/>
      <c r="O110" s="536">
        <f>'4. Fix Cost (GC)'!Q9</f>
        <v>-246.05748137931033</v>
      </c>
      <c r="P110" s="536">
        <f>'4. Fix Cost (GC)'!R9</f>
        <v>0</v>
      </c>
      <c r="Q110" s="535"/>
      <c r="R110" s="535"/>
      <c r="S110" s="535"/>
      <c r="T110" s="535"/>
      <c r="U110" s="535"/>
      <c r="V110" s="535"/>
      <c r="W110" s="536">
        <f>'4. Fix Cost (GC)'!E9</f>
        <v>-19.488312413793103</v>
      </c>
      <c r="X110" s="536">
        <f>'4. Fix Cost (GC)'!F9</f>
        <v>-20.668546896551725</v>
      </c>
      <c r="Y110" s="536">
        <f>'4. Fix Cost (GC)'!G9</f>
        <v>-19.792878620689656</v>
      </c>
      <c r="Z110" s="536">
        <f>'4. Fix Cost (GC)'!H9</f>
        <v>-18.101251034482758</v>
      </c>
      <c r="AA110" s="536">
        <f>'4. Fix Cost (GC)'!I9</f>
        <v>-18.431041379310344</v>
      </c>
      <c r="AB110" s="536">
        <f>'4. Fix Cost (GC)'!J9</f>
        <v>-20.244604137931034</v>
      </c>
      <c r="AC110" s="536">
        <f>'4. Fix Cost (GC)'!K9</f>
        <v>-24.49303448275862</v>
      </c>
      <c r="AD110" s="536">
        <f>'4. Fix Cost (GC)'!L9</f>
        <v>-20.633056551724138</v>
      </c>
      <c r="AE110" s="536">
        <f>'4. Fix Cost (GC)'!M9</f>
        <v>-22.240782758620689</v>
      </c>
      <c r="AF110" s="536">
        <f>'4. Fix Cost (GC)'!N9</f>
        <v>-20.300078620689657</v>
      </c>
      <c r="AG110" s="536">
        <f>'4. Fix Cost (GC)'!O9</f>
        <v>-20.617157931034484</v>
      </c>
      <c r="AH110" s="536">
        <f>'4. Fix Cost (GC)'!P9</f>
        <v>-21.046736551724138</v>
      </c>
      <c r="AI110" s="535"/>
      <c r="AJ110" s="535"/>
      <c r="AK110" s="535"/>
      <c r="AL110" s="535"/>
      <c r="AM110" s="535"/>
      <c r="AN110" s="535"/>
      <c r="AO110" s="451" t="str">
        <f>'4. Fix Cost (GC)'!W9</f>
        <v>FFQ HC increase influences on allocation out +2 HC for new project (HVD, VPC, eCAI)</v>
      </c>
      <c r="AP110" s="451">
        <v>74</v>
      </c>
      <c r="AQ110" s="451" t="str">
        <f>Settings!$A$1</f>
        <v>V2</v>
      </c>
      <c r="AR110" s="867"/>
    </row>
    <row r="111" spans="1:44" ht="12.75" customHeight="1">
      <c r="A111" s="451">
        <f>'Input-FX Rates'!$C$4</f>
        <v>242</v>
      </c>
      <c r="B111" s="451" t="str">
        <f>'Input-FX Rates'!$B$4</f>
        <v>ICH Icheon (242)</v>
      </c>
      <c r="C111" s="451">
        <f>'Input-FX Rates'!$C$6</f>
        <v>780</v>
      </c>
      <c r="D111" s="451" t="str">
        <f>'Input-FX Rates'!$B$6</f>
        <v>780 BU Controls</v>
      </c>
      <c r="E111" s="451" t="str">
        <f>'Input-FX Rates'!$C$5</f>
        <v>7821 &amp; 7822</v>
      </c>
      <c r="F111" s="451" t="str">
        <f>'Input-FX Rates'!$B$5</f>
        <v>7821 PL Drivetrain Controls (&amp; Electrification)</v>
      </c>
      <c r="G111" s="451" t="s">
        <v>1483</v>
      </c>
      <c r="H111" s="451" t="s">
        <v>441</v>
      </c>
      <c r="I111" s="535"/>
      <c r="J111" s="535"/>
      <c r="K111" s="536">
        <f>'4. Fix Cost (GC)'!B10</f>
        <v>-243.96900151063696</v>
      </c>
      <c r="L111" s="536">
        <f>'4. Fix Cost (GC)'!C10</f>
        <v>-324.00119873463484</v>
      </c>
      <c r="M111" s="535"/>
      <c r="N111" s="535"/>
      <c r="O111" s="536">
        <f>'4. Fix Cost (GC)'!Q10</f>
        <v>-426.19300551724137</v>
      </c>
      <c r="P111" s="536">
        <f>'4. Fix Cost (GC)'!R10</f>
        <v>0</v>
      </c>
      <c r="Q111" s="535"/>
      <c r="R111" s="535"/>
      <c r="S111" s="535"/>
      <c r="T111" s="535"/>
      <c r="U111" s="535"/>
      <c r="V111" s="535"/>
      <c r="W111" s="536">
        <f>'4. Fix Cost (GC)'!E10</f>
        <v>-48.74016551724138</v>
      </c>
      <c r="X111" s="536">
        <f>'4. Fix Cost (GC)'!F10</f>
        <v>-57.055896551724139</v>
      </c>
      <c r="Y111" s="536">
        <f>'4. Fix Cost (GC)'!G10</f>
        <v>-42.374776551724139</v>
      </c>
      <c r="Z111" s="536">
        <f>'4. Fix Cost (GC)'!H10</f>
        <v>-27.557072413793101</v>
      </c>
      <c r="AA111" s="536">
        <f>'4. Fix Cost (GC)'!I10</f>
        <v>-33.674855172413793</v>
      </c>
      <c r="AB111" s="536">
        <f>'4. Fix Cost (GC)'!J10</f>
        <v>-27.482025517241379</v>
      </c>
      <c r="AC111" s="536">
        <f>'4. Fix Cost (GC)'!K10</f>
        <v>-34.771689655172409</v>
      </c>
      <c r="AD111" s="536">
        <f>'4. Fix Cost (GC)'!L10</f>
        <v>-26.574371034482763</v>
      </c>
      <c r="AE111" s="536">
        <f>'4. Fix Cost (GC)'!M10</f>
        <v>-39.348769655172411</v>
      </c>
      <c r="AF111" s="536">
        <f>'4. Fix Cost (GC)'!N10</f>
        <v>-27.607769655172415</v>
      </c>
      <c r="AG111" s="536">
        <f>'4. Fix Cost (GC)'!O10</f>
        <v>-33.178868275862065</v>
      </c>
      <c r="AH111" s="536">
        <f>'4. Fix Cost (GC)'!P10</f>
        <v>-27.826745517241381</v>
      </c>
      <c r="AI111" s="535"/>
      <c r="AJ111" s="535"/>
      <c r="AK111" s="535"/>
      <c r="AL111" s="535"/>
      <c r="AM111" s="535"/>
      <c r="AN111" s="535"/>
      <c r="AO111" s="451" t="str">
        <f>'4. Fix Cost (GC)'!W10</f>
        <v>Average HC increase vs FC (1.8 -&gt; 2.0) -31K EUR
Other compensation increase -32K EUR
Target gap -71K EUR : FC5+7 figure is applied for FC7+5 (384K EUR)</v>
      </c>
      <c r="AP111" s="451">
        <v>75</v>
      </c>
      <c r="AQ111" s="451" t="str">
        <f>Settings!$A$1</f>
        <v>V2</v>
      </c>
      <c r="AR111" s="867"/>
    </row>
    <row r="112" spans="1:44" ht="12.75" customHeight="1">
      <c r="A112" s="451">
        <f>'Input-FX Rates'!$C$4</f>
        <v>242</v>
      </c>
      <c r="B112" s="451" t="str">
        <f>'Input-FX Rates'!$B$4</f>
        <v>ICH Icheon (242)</v>
      </c>
      <c r="C112" s="451">
        <f>'Input-FX Rates'!$C$6</f>
        <v>780</v>
      </c>
      <c r="D112" s="451" t="str">
        <f>'Input-FX Rates'!$B$6</f>
        <v>780 BU Controls</v>
      </c>
      <c r="E112" s="451" t="str">
        <f>'Input-FX Rates'!$C$5</f>
        <v>7821 &amp; 7822</v>
      </c>
      <c r="F112" s="451" t="str">
        <f>'Input-FX Rates'!$B$5</f>
        <v>7821 PL Drivetrain Controls (&amp; Electrification)</v>
      </c>
      <c r="G112" s="451" t="s">
        <v>1483</v>
      </c>
      <c r="H112" s="451" t="s">
        <v>444</v>
      </c>
      <c r="I112" s="535"/>
      <c r="J112" s="535"/>
      <c r="K112" s="536">
        <f>'4. Fix Cost (GC)'!B11</f>
        <v>-1.7440804878868141</v>
      </c>
      <c r="L112" s="536">
        <f>'4. Fix Cost (GC)'!C11</f>
        <v>-2.6570184287141085</v>
      </c>
      <c r="M112" s="535"/>
      <c r="N112" s="535"/>
      <c r="O112" s="536">
        <f>'4. Fix Cost (GC)'!Q11</f>
        <v>-12.413793103448276</v>
      </c>
      <c r="P112" s="536">
        <f>'4. Fix Cost (GC)'!R11</f>
        <v>0</v>
      </c>
      <c r="Q112" s="535"/>
      <c r="R112" s="535"/>
      <c r="S112" s="535"/>
      <c r="T112" s="535"/>
      <c r="U112" s="535"/>
      <c r="V112" s="535"/>
      <c r="W112" s="536">
        <f>'4. Fix Cost (GC)'!E11</f>
        <v>0</v>
      </c>
      <c r="X112" s="536">
        <f>'4. Fix Cost (GC)'!F11</f>
        <v>0</v>
      </c>
      <c r="Y112" s="536">
        <f>'4. Fix Cost (GC)'!G11</f>
        <v>0</v>
      </c>
      <c r="Z112" s="536">
        <f>'4. Fix Cost (GC)'!H11</f>
        <v>0</v>
      </c>
      <c r="AA112" s="536">
        <f>'4. Fix Cost (GC)'!I11</f>
        <v>-3.4482758620689653</v>
      </c>
      <c r="AB112" s="536">
        <f>'4. Fix Cost (GC)'!J11</f>
        <v>0</v>
      </c>
      <c r="AC112" s="536">
        <f>'4. Fix Cost (GC)'!K11</f>
        <v>0</v>
      </c>
      <c r="AD112" s="536">
        <f>'4. Fix Cost (GC)'!L11</f>
        <v>-8.9655172413793096</v>
      </c>
      <c r="AE112" s="536">
        <f>'4. Fix Cost (GC)'!M11</f>
        <v>0</v>
      </c>
      <c r="AF112" s="536">
        <f>'4. Fix Cost (GC)'!N11</f>
        <v>0</v>
      </c>
      <c r="AG112" s="536">
        <f>'4. Fix Cost (GC)'!O11</f>
        <v>0</v>
      </c>
      <c r="AH112" s="536">
        <f>'4. Fix Cost (GC)'!P11</f>
        <v>0</v>
      </c>
      <c r="AI112" s="535"/>
      <c r="AJ112" s="535"/>
      <c r="AK112" s="535"/>
      <c r="AL112" s="535"/>
      <c r="AM112" s="535"/>
      <c r="AN112" s="535"/>
      <c r="AO112" s="451" t="str">
        <f>'4. Fix Cost (GC)'!W11</f>
        <v/>
      </c>
      <c r="AP112" s="451">
        <v>76</v>
      </c>
      <c r="AQ112" s="451" t="str">
        <f>Settings!$A$1</f>
        <v>V2</v>
      </c>
      <c r="AR112" s="867"/>
    </row>
    <row r="113" spans="1:44" ht="12.75" customHeight="1">
      <c r="A113" s="451">
        <f>'Input-FX Rates'!$C$4</f>
        <v>242</v>
      </c>
      <c r="B113" s="451" t="str">
        <f>'Input-FX Rates'!$B$4</f>
        <v>ICH Icheon (242)</v>
      </c>
      <c r="C113" s="451">
        <f>'Input-FX Rates'!$C$6</f>
        <v>780</v>
      </c>
      <c r="D113" s="451" t="str">
        <f>'Input-FX Rates'!$B$6</f>
        <v>780 BU Controls</v>
      </c>
      <c r="E113" s="451" t="str">
        <f>'Input-FX Rates'!$C$5</f>
        <v>7821 &amp; 7822</v>
      </c>
      <c r="F113" s="451" t="str">
        <f>'Input-FX Rates'!$B$5</f>
        <v>7821 PL Drivetrain Controls (&amp; Electrification)</v>
      </c>
      <c r="G113" s="451" t="s">
        <v>1483</v>
      </c>
      <c r="H113" s="451" t="s">
        <v>446</v>
      </c>
      <c r="I113" s="535"/>
      <c r="J113" s="535"/>
      <c r="K113" s="536">
        <f>'4. Fix Cost (GC)'!B12</f>
        <v>-39.975182117281449</v>
      </c>
      <c r="L113" s="536">
        <f>'4. Fix Cost (GC)'!C12</f>
        <v>-94.902949898543127</v>
      </c>
      <c r="M113" s="535"/>
      <c r="N113" s="535"/>
      <c r="O113" s="536">
        <f>'4. Fix Cost (GC)'!Q12</f>
        <v>-128.64400000000001</v>
      </c>
      <c r="P113" s="536">
        <f>'4. Fix Cost (GC)'!R12</f>
        <v>-100</v>
      </c>
      <c r="Q113" s="535"/>
      <c r="R113" s="535"/>
      <c r="S113" s="535"/>
      <c r="T113" s="535"/>
      <c r="U113" s="535"/>
      <c r="V113" s="535"/>
      <c r="W113" s="536">
        <f>'4. Fix Cost (GC)'!E12</f>
        <v>-10.720333793103448</v>
      </c>
      <c r="X113" s="536">
        <f>'4. Fix Cost (GC)'!F12</f>
        <v>-10.720333793103448</v>
      </c>
      <c r="Y113" s="536">
        <f>'4. Fix Cost (GC)'!G12</f>
        <v>-10.720333793103448</v>
      </c>
      <c r="Z113" s="536">
        <f>'4. Fix Cost (GC)'!H12</f>
        <v>-10.720333793103448</v>
      </c>
      <c r="AA113" s="536">
        <f>'4. Fix Cost (GC)'!I12</f>
        <v>-10.720333793103448</v>
      </c>
      <c r="AB113" s="536">
        <f>'4. Fix Cost (GC)'!J12</f>
        <v>-10.720333793103448</v>
      </c>
      <c r="AC113" s="536">
        <f>'4. Fix Cost (GC)'!K12</f>
        <v>-10.720333793103448</v>
      </c>
      <c r="AD113" s="536">
        <f>'4. Fix Cost (GC)'!L12</f>
        <v>-10.720333793103448</v>
      </c>
      <c r="AE113" s="536">
        <f>'4. Fix Cost (GC)'!M12</f>
        <v>-10.720333793103448</v>
      </c>
      <c r="AF113" s="536">
        <f>'4. Fix Cost (GC)'!N12</f>
        <v>-10.720333793103448</v>
      </c>
      <c r="AG113" s="536">
        <f>'4. Fix Cost (GC)'!O12</f>
        <v>-10.720333793103448</v>
      </c>
      <c r="AH113" s="536">
        <f>'4. Fix Cost (GC)'!P12</f>
        <v>-10.720328275862069</v>
      </c>
      <c r="AI113" s="535"/>
      <c r="AJ113" s="535"/>
      <c r="AK113" s="535"/>
      <c r="AL113" s="535"/>
      <c r="AM113" s="535"/>
      <c r="AN113" s="535"/>
      <c r="AO113" s="451" t="str">
        <f>'4. Fix Cost (GC)'!W12</f>
        <v>Target amount is applied rather than VT lab survey result</v>
      </c>
      <c r="AP113" s="451">
        <v>77</v>
      </c>
      <c r="AQ113" s="451" t="str">
        <f>Settings!$A$1</f>
        <v>V2</v>
      </c>
      <c r="AR113" s="867"/>
    </row>
    <row r="114" spans="1:44" ht="12.75" customHeight="1">
      <c r="A114" s="451">
        <f>'Input-FX Rates'!$C$4</f>
        <v>242</v>
      </c>
      <c r="B114" s="451" t="str">
        <f>'Input-FX Rates'!$B$4</f>
        <v>ICH Icheon (242)</v>
      </c>
      <c r="C114" s="451">
        <f>'Input-FX Rates'!$C$6</f>
        <v>780</v>
      </c>
      <c r="D114" s="451" t="str">
        <f>'Input-FX Rates'!$B$6</f>
        <v>780 BU Controls</v>
      </c>
      <c r="E114" s="451" t="str">
        <f>'Input-FX Rates'!$C$5</f>
        <v>7821 &amp; 7822</v>
      </c>
      <c r="F114" s="451" t="str">
        <f>'Input-FX Rates'!$B$5</f>
        <v>7821 PL Drivetrain Controls (&amp; Electrification)</v>
      </c>
      <c r="G114" s="451" t="s">
        <v>1483</v>
      </c>
      <c r="H114" s="451" t="s">
        <v>449</v>
      </c>
      <c r="I114" s="535"/>
      <c r="J114" s="535"/>
      <c r="K114" s="536">
        <f>'4. Fix Cost (GC)'!B13</f>
        <v>0</v>
      </c>
      <c r="L114" s="536">
        <f>'4. Fix Cost (GC)'!C13</f>
        <v>0</v>
      </c>
      <c r="M114" s="535"/>
      <c r="N114" s="535"/>
      <c r="O114" s="536">
        <f>'4. Fix Cost (GC)'!Q13</f>
        <v>0</v>
      </c>
      <c r="P114" s="536">
        <f>'4. Fix Cost (GC)'!R13</f>
        <v>0</v>
      </c>
      <c r="Q114" s="535"/>
      <c r="R114" s="535"/>
      <c r="S114" s="535"/>
      <c r="T114" s="535"/>
      <c r="U114" s="535"/>
      <c r="V114" s="535"/>
      <c r="W114" s="536">
        <f>'4. Fix Cost (GC)'!E13</f>
        <v>0</v>
      </c>
      <c r="X114" s="536">
        <f>'4. Fix Cost (GC)'!F13</f>
        <v>0</v>
      </c>
      <c r="Y114" s="536">
        <f>'4. Fix Cost (GC)'!G13</f>
        <v>0</v>
      </c>
      <c r="Z114" s="536">
        <f>'4. Fix Cost (GC)'!H13</f>
        <v>0</v>
      </c>
      <c r="AA114" s="536">
        <f>'4. Fix Cost (GC)'!I13</f>
        <v>0</v>
      </c>
      <c r="AB114" s="536">
        <f>'4. Fix Cost (GC)'!J13</f>
        <v>0</v>
      </c>
      <c r="AC114" s="536">
        <f>'4. Fix Cost (GC)'!K13</f>
        <v>0</v>
      </c>
      <c r="AD114" s="536">
        <f>'4. Fix Cost (GC)'!L13</f>
        <v>0</v>
      </c>
      <c r="AE114" s="536">
        <f>'4. Fix Cost (GC)'!M13</f>
        <v>0</v>
      </c>
      <c r="AF114" s="536">
        <f>'4. Fix Cost (GC)'!N13</f>
        <v>0</v>
      </c>
      <c r="AG114" s="536">
        <f>'4. Fix Cost (GC)'!O13</f>
        <v>0</v>
      </c>
      <c r="AH114" s="536">
        <f>'4. Fix Cost (GC)'!P13</f>
        <v>0</v>
      </c>
      <c r="AI114" s="535"/>
      <c r="AJ114" s="535"/>
      <c r="AK114" s="535"/>
      <c r="AL114" s="535"/>
      <c r="AM114" s="535"/>
      <c r="AN114" s="535"/>
      <c r="AO114" s="451" t="str">
        <f>'4. Fix Cost (GC)'!W13</f>
        <v>No PRE is expected due to no new project in 2024</v>
      </c>
      <c r="AP114" s="451">
        <v>78</v>
      </c>
      <c r="AQ114" s="451" t="str">
        <f>Settings!$A$1</f>
        <v>V2</v>
      </c>
      <c r="AR114" s="867"/>
    </row>
    <row r="115" spans="1:44" ht="12.75" customHeight="1">
      <c r="A115" s="451">
        <f>'Input-FX Rates'!$C$4</f>
        <v>242</v>
      </c>
      <c r="B115" s="451" t="str">
        <f>'Input-FX Rates'!$B$4</f>
        <v>ICH Icheon (242)</v>
      </c>
      <c r="C115" s="451">
        <f>'Input-FX Rates'!$C$6</f>
        <v>780</v>
      </c>
      <c r="D115" s="451" t="str">
        <f>'Input-FX Rates'!$B$6</f>
        <v>780 BU Controls</v>
      </c>
      <c r="E115" s="451" t="str">
        <f>'Input-FX Rates'!$C$5</f>
        <v>7821 &amp; 7822</v>
      </c>
      <c r="F115" s="451" t="str">
        <f>'Input-FX Rates'!$B$5</f>
        <v>7821 PL Drivetrain Controls (&amp; Electrification)</v>
      </c>
      <c r="G115" s="451" t="s">
        <v>1483</v>
      </c>
      <c r="H115" s="451" t="s">
        <v>452</v>
      </c>
      <c r="I115" s="535"/>
      <c r="J115" s="535"/>
      <c r="K115" s="536">
        <f>'4. Fix Cost (GC)'!B14</f>
        <v>-133.8251225799759</v>
      </c>
      <c r="L115" s="536">
        <f>'4. Fix Cost (GC)'!C14</f>
        <v>-293.77550500928226</v>
      </c>
      <c r="M115" s="535"/>
      <c r="N115" s="535"/>
      <c r="O115" s="536">
        <f>'4. Fix Cost (GC)'!Q14</f>
        <v>-307.72892689655174</v>
      </c>
      <c r="P115" s="536">
        <f>'4. Fix Cost (GC)'!R14</f>
        <v>0</v>
      </c>
      <c r="Q115" s="535"/>
      <c r="R115" s="535"/>
      <c r="S115" s="535"/>
      <c r="T115" s="535"/>
      <c r="U115" s="535"/>
      <c r="V115" s="535"/>
      <c r="W115" s="536">
        <f>'4. Fix Cost (GC)'!E14</f>
        <v>-20.133958620689658</v>
      </c>
      <c r="X115" s="536">
        <f>'4. Fix Cost (GC)'!F14</f>
        <v>-20.544393103448275</v>
      </c>
      <c r="Y115" s="536">
        <f>'4. Fix Cost (GC)'!G14</f>
        <v>-21.256750344827587</v>
      </c>
      <c r="Z115" s="536">
        <f>'4. Fix Cost (GC)'!H14</f>
        <v>-24.271185517241378</v>
      </c>
      <c r="AA115" s="536">
        <f>'4. Fix Cost (GC)'!I14</f>
        <v>-20.620286206896552</v>
      </c>
      <c r="AB115" s="536">
        <f>'4. Fix Cost (GC)'!J14</f>
        <v>-26.0534</v>
      </c>
      <c r="AC115" s="536">
        <f>'4. Fix Cost (GC)'!K14</f>
        <v>-20.096696551724136</v>
      </c>
      <c r="AD115" s="536">
        <f>'4. Fix Cost (GC)'!L14</f>
        <v>-64.723373793103448</v>
      </c>
      <c r="AE115" s="536">
        <f>'4. Fix Cost (GC)'!M14</f>
        <v>-24.664795862068964</v>
      </c>
      <c r="AF115" s="536">
        <f>'4. Fix Cost (GC)'!N14</f>
        <v>-20.628122068965517</v>
      </c>
      <c r="AG115" s="536">
        <f>'4. Fix Cost (GC)'!O14</f>
        <v>-24.401444827586207</v>
      </c>
      <c r="AH115" s="536">
        <f>'4. Fix Cost (GC)'!P14</f>
        <v>-20.334520000000001</v>
      </c>
      <c r="AI115" s="535"/>
      <c r="AJ115" s="535"/>
      <c r="AK115" s="535"/>
      <c r="AL115" s="535"/>
      <c r="AM115" s="535"/>
      <c r="AN115" s="535"/>
      <c r="AO115" s="451" t="str">
        <f>'4. Fix Cost (GC)'!W14</f>
        <v>Calibration and Inspection fee -26K   cost reduction measure in Fees and purchased service +24K</v>
      </c>
      <c r="AP115" s="451">
        <v>79</v>
      </c>
      <c r="AQ115" s="451" t="str">
        <f>Settings!$A$1</f>
        <v>V2</v>
      </c>
      <c r="AR115" s="867"/>
    </row>
    <row r="116" spans="1:44" ht="12.75" customHeight="1">
      <c r="A116" s="451">
        <f>'Input-FX Rates'!$C$4</f>
        <v>242</v>
      </c>
      <c r="B116" s="451" t="str">
        <f>'Input-FX Rates'!$B$4</f>
        <v>ICH Icheon (242)</v>
      </c>
      <c r="C116" s="451">
        <f>'Input-FX Rates'!$C$6</f>
        <v>780</v>
      </c>
      <c r="D116" s="451" t="str">
        <f>'Input-FX Rates'!$B$6</f>
        <v>780 BU Controls</v>
      </c>
      <c r="E116" s="451" t="str">
        <f>'Input-FX Rates'!$C$5</f>
        <v>7821 &amp; 7822</v>
      </c>
      <c r="F116" s="451" t="str">
        <f>'Input-FX Rates'!$B$5</f>
        <v>7821 PL Drivetrain Controls (&amp; Electrification)</v>
      </c>
      <c r="G116" s="451" t="s">
        <v>1483</v>
      </c>
      <c r="H116" s="451" t="s">
        <v>455</v>
      </c>
      <c r="I116" s="535"/>
      <c r="J116" s="535"/>
      <c r="K116" s="536">
        <f>'4. Fix Cost (GC)'!B15</f>
        <v>-1885.3310866827851</v>
      </c>
      <c r="L116" s="536">
        <f>'4. Fix Cost (GC)'!C15</f>
        <v>-3695.7333598806922</v>
      </c>
      <c r="M116" s="535"/>
      <c r="N116" s="535"/>
      <c r="O116" s="536">
        <f>'4. Fix Cost (GC)'!Q15</f>
        <v>-3343.3174255172412</v>
      </c>
      <c r="P116" s="536">
        <f>'4. Fix Cost (GC)'!R15</f>
        <v>-3608.18</v>
      </c>
      <c r="Q116" s="535"/>
      <c r="R116" s="535"/>
      <c r="S116" s="535"/>
      <c r="T116" s="535"/>
      <c r="U116" s="535"/>
      <c r="V116" s="535"/>
      <c r="W116" s="536">
        <f>'4. Fix Cost (GC)'!E15</f>
        <v>-273.67001103448274</v>
      </c>
      <c r="X116" s="536">
        <f>'4. Fix Cost (GC)'!F15</f>
        <v>-285.1108896551724</v>
      </c>
      <c r="Y116" s="536">
        <f>'4. Fix Cost (GC)'!G15</f>
        <v>-270.57381793103445</v>
      </c>
      <c r="Z116" s="536">
        <f>'4. Fix Cost (GC)'!H15</f>
        <v>-241.45708206896549</v>
      </c>
      <c r="AA116" s="536">
        <f>'4. Fix Cost (GC)'!I15</f>
        <v>-256.42683448275858</v>
      </c>
      <c r="AB116" s="536">
        <f>'4. Fix Cost (GC)'!J15</f>
        <v>-259.19099172413792</v>
      </c>
      <c r="AC116" s="536">
        <f>'4. Fix Cost (GC)'!K15</f>
        <v>-313.70358000000004</v>
      </c>
      <c r="AD116" s="536">
        <f>'4. Fix Cost (GC)'!L15</f>
        <v>-331.13263931034481</v>
      </c>
      <c r="AE116" s="536">
        <f>'4. Fix Cost (GC)'!M15</f>
        <v>-289.25549241379315</v>
      </c>
      <c r="AF116" s="536">
        <f>'4. Fix Cost (GC)'!N15</f>
        <v>-271.32608413793105</v>
      </c>
      <c r="AG116" s="536">
        <f>'4. Fix Cost (GC)'!O15</f>
        <v>-277.00494758620687</v>
      </c>
      <c r="AH116" s="536">
        <f>'4. Fix Cost (GC)'!P15</f>
        <v>-274.46505517241383</v>
      </c>
      <c r="AI116" s="535"/>
      <c r="AJ116" s="535"/>
      <c r="AK116" s="535"/>
      <c r="AL116" s="535"/>
      <c r="AM116" s="535"/>
      <c r="AN116" s="535"/>
      <c r="AO116" s="451" t="str">
        <f>'4. Fix Cost (GC)'!W15</f>
        <v/>
      </c>
      <c r="AP116" s="451">
        <v>80</v>
      </c>
      <c r="AQ116" s="451" t="str">
        <f>Settings!$A$1</f>
        <v>V2</v>
      </c>
      <c r="AR116" s="867"/>
    </row>
    <row r="117" spans="1:44" ht="12.75" customHeight="1">
      <c r="A117" s="451">
        <f>'Input-FX Rates'!$C$4</f>
        <v>242</v>
      </c>
      <c r="B117" s="451" t="str">
        <f>'Input-FX Rates'!$B$4</f>
        <v>ICH Icheon (242)</v>
      </c>
      <c r="C117" s="451">
        <f>'Input-FX Rates'!$C$6</f>
        <v>780</v>
      </c>
      <c r="D117" s="451" t="str">
        <f>'Input-FX Rates'!$B$6</f>
        <v>780 BU Controls</v>
      </c>
      <c r="E117" s="451" t="str">
        <f>'Input-FX Rates'!$C$5</f>
        <v>7821 &amp; 7822</v>
      </c>
      <c r="F117" s="451" t="str">
        <f>'Input-FX Rates'!$B$5</f>
        <v>7821 PL Drivetrain Controls (&amp; Electrification)</v>
      </c>
      <c r="G117" s="451" t="s">
        <v>1483</v>
      </c>
      <c r="H117" s="451" t="s">
        <v>456</v>
      </c>
      <c r="I117" s="535"/>
      <c r="J117" s="535"/>
      <c r="K117" s="536">
        <f>'4. Fix Cost (GC)'!B16</f>
        <v>-949.6457315093453</v>
      </c>
      <c r="L117" s="536">
        <f>'4. Fix Cost (GC)'!C16</f>
        <v>-1838.0280403482805</v>
      </c>
      <c r="M117" s="535"/>
      <c r="N117" s="535"/>
      <c r="O117" s="536">
        <f>'4. Fix Cost (GC)'!Q16</f>
        <v>-1785.2200303448278</v>
      </c>
      <c r="P117" s="536">
        <f>'4. Fix Cost (GC)'!R16</f>
        <v>-1779.3127282758619</v>
      </c>
      <c r="Q117" s="535"/>
      <c r="R117" s="535"/>
      <c r="S117" s="535"/>
      <c r="T117" s="535"/>
      <c r="U117" s="535"/>
      <c r="V117" s="535"/>
      <c r="W117" s="536">
        <f>'4. Fix Cost (GC)'!E16</f>
        <v>-148.76833586206897</v>
      </c>
      <c r="X117" s="536">
        <f>'4. Fix Cost (GC)'!F16</f>
        <v>-148.76833586206897</v>
      </c>
      <c r="Y117" s="536">
        <f>'4. Fix Cost (GC)'!G16</f>
        <v>-148.76833586206897</v>
      </c>
      <c r="Z117" s="536">
        <f>'4. Fix Cost (GC)'!H16</f>
        <v>-148.76833586206897</v>
      </c>
      <c r="AA117" s="536">
        <f>'4. Fix Cost (GC)'!I16</f>
        <v>-148.76833586206897</v>
      </c>
      <c r="AB117" s="536">
        <f>'4. Fix Cost (GC)'!J16</f>
        <v>-148.76833586206897</v>
      </c>
      <c r="AC117" s="536">
        <f>'4. Fix Cost (GC)'!K16</f>
        <v>-148.76833586206897</v>
      </c>
      <c r="AD117" s="536">
        <f>'4. Fix Cost (GC)'!L16</f>
        <v>-148.76833586206897</v>
      </c>
      <c r="AE117" s="536">
        <f>'4. Fix Cost (GC)'!M16</f>
        <v>-148.76833586206897</v>
      </c>
      <c r="AF117" s="536">
        <f>'4. Fix Cost (GC)'!N16</f>
        <v>-148.76833586206897</v>
      </c>
      <c r="AG117" s="536">
        <f>'4. Fix Cost (GC)'!O16</f>
        <v>-148.76833586206897</v>
      </c>
      <c r="AH117" s="536">
        <f>'4. Fix Cost (GC)'!P16</f>
        <v>-148.76833586206897</v>
      </c>
      <c r="AI117" s="535"/>
      <c r="AJ117" s="535"/>
      <c r="AK117" s="535"/>
      <c r="AL117" s="535"/>
      <c r="AM117" s="535"/>
      <c r="AN117" s="535"/>
      <c r="AO117" s="451" t="str">
        <f>'4. Fix Cost (GC)'!W16</f>
        <v>FC 7+5</v>
      </c>
      <c r="AP117" s="451">
        <v>81</v>
      </c>
      <c r="AQ117" s="451" t="str">
        <f>Settings!$A$1</f>
        <v>V2</v>
      </c>
      <c r="AR117" s="867"/>
    </row>
    <row r="118" spans="1:44" ht="12.75" customHeight="1">
      <c r="A118" s="451">
        <f>'Input-FX Rates'!$C$4</f>
        <v>242</v>
      </c>
      <c r="B118" s="451" t="str">
        <f>'Input-FX Rates'!$B$4</f>
        <v>ICH Icheon (242)</v>
      </c>
      <c r="C118" s="451">
        <f>'Input-FX Rates'!$C$6</f>
        <v>780</v>
      </c>
      <c r="D118" s="451" t="str">
        <f>'Input-FX Rates'!$B$6</f>
        <v>780 BU Controls</v>
      </c>
      <c r="E118" s="451" t="str">
        <f>'Input-FX Rates'!$C$5</f>
        <v>7821 &amp; 7822</v>
      </c>
      <c r="F118" s="451" t="str">
        <f>'Input-FX Rates'!$B$5</f>
        <v>7821 PL Drivetrain Controls (&amp; Electrification)</v>
      </c>
      <c r="G118" s="451" t="s">
        <v>1483</v>
      </c>
      <c r="H118" s="451" t="s">
        <v>458</v>
      </c>
      <c r="I118" s="535"/>
      <c r="J118" s="535"/>
      <c r="K118" s="536">
        <f>'4. Fix Cost (GC)'!B17</f>
        <v>-413.76360048341417</v>
      </c>
      <c r="L118" s="536">
        <f>'4. Fix Cost (GC)'!C17</f>
        <v>-791.50953720838436</v>
      </c>
      <c r="M118" s="535"/>
      <c r="N118" s="535"/>
      <c r="O118" s="536">
        <f>'4. Fix Cost (GC)'!Q17</f>
        <v>-800.72634206896555</v>
      </c>
      <c r="P118" s="536">
        <f>'4. Fix Cost (GC)'!R17</f>
        <v>-766.22497655172413</v>
      </c>
      <c r="Q118" s="535"/>
      <c r="R118" s="535"/>
      <c r="S118" s="535"/>
      <c r="T118" s="535"/>
      <c r="U118" s="535"/>
      <c r="V118" s="535"/>
      <c r="W118" s="536">
        <f>'4. Fix Cost (GC)'!E17</f>
        <v>-66.727195172413801</v>
      </c>
      <c r="X118" s="536">
        <f>'4. Fix Cost (GC)'!F17</f>
        <v>-66.727195172413801</v>
      </c>
      <c r="Y118" s="536">
        <f>'4. Fix Cost (GC)'!G17</f>
        <v>-66.727195172413801</v>
      </c>
      <c r="Z118" s="536">
        <f>'4. Fix Cost (GC)'!H17</f>
        <v>-66.727195172413801</v>
      </c>
      <c r="AA118" s="536">
        <f>'4. Fix Cost (GC)'!I17</f>
        <v>-66.727195172413801</v>
      </c>
      <c r="AB118" s="536">
        <f>'4. Fix Cost (GC)'!J17</f>
        <v>-66.727195172413801</v>
      </c>
      <c r="AC118" s="536">
        <f>'4. Fix Cost (GC)'!K17</f>
        <v>-66.727195172413801</v>
      </c>
      <c r="AD118" s="536">
        <f>'4. Fix Cost (GC)'!L17</f>
        <v>-66.727195172413801</v>
      </c>
      <c r="AE118" s="536">
        <f>'4. Fix Cost (GC)'!M17</f>
        <v>-66.727195172413801</v>
      </c>
      <c r="AF118" s="536">
        <f>'4. Fix Cost (GC)'!N17</f>
        <v>-66.727195172413801</v>
      </c>
      <c r="AG118" s="536">
        <f>'4. Fix Cost (GC)'!O17</f>
        <v>-66.727195172413801</v>
      </c>
      <c r="AH118" s="536">
        <f>'4. Fix Cost (GC)'!P17</f>
        <v>-66.727195172413801</v>
      </c>
      <c r="AI118" s="535"/>
      <c r="AJ118" s="535"/>
      <c r="AK118" s="535"/>
      <c r="AL118" s="535"/>
      <c r="AM118" s="535"/>
      <c r="AN118" s="535"/>
      <c r="AO118" s="451" t="str">
        <f>'4. Fix Cost (GC)'!W17</f>
        <v>FC 7+5</v>
      </c>
      <c r="AP118" s="451">
        <v>82</v>
      </c>
      <c r="AQ118" s="451" t="str">
        <f>Settings!$A$1</f>
        <v>V2</v>
      </c>
      <c r="AR118" s="867"/>
    </row>
    <row r="119" spans="1:44" ht="12.75" customHeight="1">
      <c r="A119" s="451">
        <f>'Input-FX Rates'!$C$4</f>
        <v>242</v>
      </c>
      <c r="B119" s="451" t="str">
        <f>'Input-FX Rates'!$B$4</f>
        <v>ICH Icheon (242)</v>
      </c>
      <c r="C119" s="451">
        <f>'Input-FX Rates'!$C$6</f>
        <v>780</v>
      </c>
      <c r="D119" s="451" t="str">
        <f>'Input-FX Rates'!$B$6</f>
        <v>780 BU Controls</v>
      </c>
      <c r="E119" s="451" t="str">
        <f>'Input-FX Rates'!$C$5</f>
        <v>7821 &amp; 7822</v>
      </c>
      <c r="F119" s="451" t="str">
        <f>'Input-FX Rates'!$B$5</f>
        <v>7821 PL Drivetrain Controls (&amp; Electrification)</v>
      </c>
      <c r="G119" s="451" t="s">
        <v>1483</v>
      </c>
      <c r="H119" s="451" t="s">
        <v>460</v>
      </c>
      <c r="I119" s="535"/>
      <c r="J119" s="535"/>
      <c r="K119" s="536">
        <f>'4. Fix Cost (GC)'!B18</f>
        <v>14.036738393023711</v>
      </c>
      <c r="L119" s="536">
        <f>'4. Fix Cost (GC)'!C18</f>
        <v>28.016929839870784</v>
      </c>
      <c r="M119" s="535"/>
      <c r="N119" s="535"/>
      <c r="O119" s="536">
        <f>'4. Fix Cost (GC)'!Q18</f>
        <v>80.75020137931034</v>
      </c>
      <c r="P119" s="536">
        <f>'4. Fix Cost (GC)'!R18</f>
        <v>0</v>
      </c>
      <c r="Q119" s="535"/>
      <c r="R119" s="535"/>
      <c r="S119" s="535"/>
      <c r="T119" s="535"/>
      <c r="U119" s="535"/>
      <c r="V119" s="535"/>
      <c r="W119" s="536">
        <f>'4. Fix Cost (GC)'!E18</f>
        <v>6.7291834482758626</v>
      </c>
      <c r="X119" s="536">
        <f>'4. Fix Cost (GC)'!F18</f>
        <v>6.7291834482758626</v>
      </c>
      <c r="Y119" s="536">
        <f>'4. Fix Cost (GC)'!G18</f>
        <v>6.7291834482758626</v>
      </c>
      <c r="Z119" s="536">
        <f>'4. Fix Cost (GC)'!H18</f>
        <v>6.7291834482758626</v>
      </c>
      <c r="AA119" s="536">
        <f>'4. Fix Cost (GC)'!I18</f>
        <v>6.7291834482758626</v>
      </c>
      <c r="AB119" s="536">
        <f>'4. Fix Cost (GC)'!J18</f>
        <v>6.7291834482758626</v>
      </c>
      <c r="AC119" s="536">
        <f>'4. Fix Cost (GC)'!K18</f>
        <v>6.7291834482758626</v>
      </c>
      <c r="AD119" s="536">
        <f>'4. Fix Cost (GC)'!L18</f>
        <v>6.7291834482758626</v>
      </c>
      <c r="AE119" s="536">
        <f>'4. Fix Cost (GC)'!M18</f>
        <v>6.7291834482758626</v>
      </c>
      <c r="AF119" s="536">
        <f>'4. Fix Cost (GC)'!N18</f>
        <v>6.7291834482758626</v>
      </c>
      <c r="AG119" s="536">
        <f>'4. Fix Cost (GC)'!O18</f>
        <v>6.7291834482758626</v>
      </c>
      <c r="AH119" s="536">
        <f>'4. Fix Cost (GC)'!P18</f>
        <v>6.7291834482758626</v>
      </c>
      <c r="AI119" s="535"/>
      <c r="AJ119" s="535"/>
      <c r="AK119" s="535"/>
      <c r="AL119" s="535"/>
      <c r="AM119" s="535"/>
      <c r="AN119" s="535"/>
      <c r="AO119" s="451" t="str">
        <f>'4. Fix Cost (GC)'!W18</f>
        <v>Line share cost increase</v>
      </c>
      <c r="AP119" s="451">
        <v>83</v>
      </c>
      <c r="AQ119" s="451" t="str">
        <f>Settings!$A$1</f>
        <v>V2</v>
      </c>
      <c r="AR119" s="867"/>
    </row>
    <row r="120" spans="1:44" ht="12.75" customHeight="1">
      <c r="A120" s="451">
        <f>'Input-FX Rates'!$C$4</f>
        <v>242</v>
      </c>
      <c r="B120" s="451" t="str">
        <f>'Input-FX Rates'!$B$4</f>
        <v>ICH Icheon (242)</v>
      </c>
      <c r="C120" s="451">
        <f>'Input-FX Rates'!$C$6</f>
        <v>780</v>
      </c>
      <c r="D120" s="451" t="str">
        <f>'Input-FX Rates'!$B$6</f>
        <v>780 BU Controls</v>
      </c>
      <c r="E120" s="451" t="str">
        <f>'Input-FX Rates'!$C$5</f>
        <v>7821 &amp; 7822</v>
      </c>
      <c r="F120" s="451" t="str">
        <f>'Input-FX Rates'!$B$5</f>
        <v>7821 PL Drivetrain Controls (&amp; Electrification)</v>
      </c>
      <c r="G120" s="451" t="s">
        <v>1483</v>
      </c>
      <c r="H120" s="451" t="s">
        <v>463</v>
      </c>
      <c r="I120" s="535"/>
      <c r="J120" s="535"/>
      <c r="K120" s="536">
        <f>'4. Fix Cost (GC)'!B19</f>
        <v>-823.87447808755462</v>
      </c>
      <c r="L120" s="536">
        <f>'4. Fix Cost (GC)'!C19</f>
        <v>-1644.4299831726621</v>
      </c>
      <c r="M120" s="535"/>
      <c r="N120" s="535"/>
      <c r="O120" s="536">
        <f>'4. Fix Cost (GC)'!Q19</f>
        <v>-1591.8991117241378</v>
      </c>
      <c r="P120" s="536">
        <f>'4. Fix Cost (GC)'!R19</f>
        <v>0</v>
      </c>
      <c r="Q120" s="535"/>
      <c r="R120" s="535"/>
      <c r="S120" s="535"/>
      <c r="T120" s="535"/>
      <c r="U120" s="535"/>
      <c r="V120" s="535"/>
      <c r="W120" s="536">
        <f>'4. Fix Cost (GC)'!E19</f>
        <v>-132.65825931034482</v>
      </c>
      <c r="X120" s="536">
        <f>'4. Fix Cost (GC)'!F19</f>
        <v>-132.65825931034482</v>
      </c>
      <c r="Y120" s="536">
        <f>'4. Fix Cost (GC)'!G19</f>
        <v>-132.65825931034482</v>
      </c>
      <c r="Z120" s="536">
        <f>'4. Fix Cost (GC)'!H19</f>
        <v>-132.65825931034482</v>
      </c>
      <c r="AA120" s="536">
        <f>'4. Fix Cost (GC)'!I19</f>
        <v>-132.65825931034482</v>
      </c>
      <c r="AB120" s="536">
        <f>'4. Fix Cost (GC)'!J19</f>
        <v>-132.65825931034482</v>
      </c>
      <c r="AC120" s="536">
        <f>'4. Fix Cost (GC)'!K19</f>
        <v>-132.65825931034482</v>
      </c>
      <c r="AD120" s="536">
        <f>'4. Fix Cost (GC)'!L19</f>
        <v>-132.65825931034482</v>
      </c>
      <c r="AE120" s="536">
        <f>'4. Fix Cost (GC)'!M19</f>
        <v>-132.65825931034482</v>
      </c>
      <c r="AF120" s="536">
        <f>'4. Fix Cost (GC)'!N19</f>
        <v>-132.65825931034482</v>
      </c>
      <c r="AG120" s="536">
        <f>'4. Fix Cost (GC)'!O19</f>
        <v>-132.65825931034482</v>
      </c>
      <c r="AH120" s="536">
        <f>'4. Fix Cost (GC)'!P19</f>
        <v>-132.65825931034482</v>
      </c>
      <c r="AI120" s="535"/>
      <c r="AJ120" s="535"/>
      <c r="AK120" s="535"/>
      <c r="AL120" s="535"/>
      <c r="AM120" s="535"/>
      <c r="AN120" s="535"/>
      <c r="AO120" s="451" t="str">
        <f>'4. Fix Cost (GC)'!W19</f>
        <v>Depreciation of intangible asset capitalization 'RDE HMC 7 STEP'</v>
      </c>
      <c r="AP120" s="451">
        <v>84</v>
      </c>
      <c r="AQ120" s="451" t="str">
        <f>Settings!$A$1</f>
        <v>V2</v>
      </c>
      <c r="AR120" s="867"/>
    </row>
    <row r="121" spans="1:44" ht="12.75" customHeight="1">
      <c r="A121" s="451">
        <f>'Input-FX Rates'!$C$4</f>
        <v>242</v>
      </c>
      <c r="B121" s="451" t="str">
        <f>'Input-FX Rates'!$B$4</f>
        <v>ICH Icheon (242)</v>
      </c>
      <c r="C121" s="451">
        <f>'Input-FX Rates'!$C$6</f>
        <v>780</v>
      </c>
      <c r="D121" s="451" t="str">
        <f>'Input-FX Rates'!$B$6</f>
        <v>780 BU Controls</v>
      </c>
      <c r="E121" s="451" t="str">
        <f>'Input-FX Rates'!$C$5</f>
        <v>7821 &amp; 7822</v>
      </c>
      <c r="F121" s="451" t="str">
        <f>'Input-FX Rates'!$B$5</f>
        <v>7821 PL Drivetrain Controls (&amp; Electrification)</v>
      </c>
      <c r="G121" s="451" t="s">
        <v>1483</v>
      </c>
      <c r="H121" s="451" t="s">
        <v>466</v>
      </c>
      <c r="I121" s="535"/>
      <c r="J121" s="535"/>
      <c r="K121" s="536">
        <f>'4. Fix Cost (GC)'!B20</f>
        <v>-1459.6385617338033</v>
      </c>
      <c r="L121" s="536">
        <f>'4. Fix Cost (GC)'!C20</f>
        <v>-2859.8288887951358</v>
      </c>
      <c r="M121" s="535"/>
      <c r="N121" s="535"/>
      <c r="O121" s="536">
        <f>'4. Fix Cost (GC)'!Q20</f>
        <v>-2648.6486806896551</v>
      </c>
      <c r="P121" s="536">
        <f>'4. Fix Cost (GC)'!R20</f>
        <v>0</v>
      </c>
      <c r="Q121" s="535"/>
      <c r="R121" s="535"/>
      <c r="S121" s="535"/>
      <c r="T121" s="535"/>
      <c r="U121" s="535"/>
      <c r="V121" s="535"/>
      <c r="W121" s="536">
        <f>'4. Fix Cost (GC)'!E20</f>
        <v>-216.80935172413794</v>
      </c>
      <c r="X121" s="536">
        <f>'4. Fix Cost (GC)'!F20</f>
        <v>-216.80935172413794</v>
      </c>
      <c r="Y121" s="536">
        <f>'4. Fix Cost (GC)'!G20</f>
        <v>-216.80935172413794</v>
      </c>
      <c r="Z121" s="536">
        <f>'4. Fix Cost (GC)'!H20</f>
        <v>-217.60206000000002</v>
      </c>
      <c r="AA121" s="536">
        <f>'4. Fix Cost (GC)'!I20</f>
        <v>-217.60206000000002</v>
      </c>
      <c r="AB121" s="536">
        <f>'4. Fix Cost (GC)'!J20</f>
        <v>-218.2687268965517</v>
      </c>
      <c r="AC121" s="536">
        <f>'4. Fix Cost (GC)'!K20</f>
        <v>-219.0812268965517</v>
      </c>
      <c r="AD121" s="536">
        <f>'4. Fix Cost (GC)'!L20</f>
        <v>-225.13331034482758</v>
      </c>
      <c r="AE121" s="536">
        <f>'4. Fix Cost (GC)'!M20</f>
        <v>-225.13331034482758</v>
      </c>
      <c r="AF121" s="536">
        <f>'4. Fix Cost (GC)'!N20</f>
        <v>-225.13331034482758</v>
      </c>
      <c r="AG121" s="536">
        <f>'4. Fix Cost (GC)'!O20</f>
        <v>-225.13331034482758</v>
      </c>
      <c r="AH121" s="536">
        <f>'4. Fix Cost (GC)'!P20</f>
        <v>-225.13331034482758</v>
      </c>
      <c r="AI121" s="535"/>
      <c r="AJ121" s="535"/>
      <c r="AK121" s="535"/>
      <c r="AL121" s="535"/>
      <c r="AM121" s="535"/>
      <c r="AN121" s="535"/>
      <c r="AO121" s="451" t="str">
        <f>'4. Fix Cost (GC)'!W20</f>
        <v>No new project investment is expected</v>
      </c>
      <c r="AP121" s="451">
        <v>85</v>
      </c>
      <c r="AQ121" s="451" t="str">
        <f>Settings!$A$1</f>
        <v>V2</v>
      </c>
      <c r="AR121" s="867"/>
    </row>
    <row r="122" spans="1:44" ht="12.75" customHeight="1">
      <c r="A122" s="451">
        <f>'Input-FX Rates'!$C$4</f>
        <v>242</v>
      </c>
      <c r="B122" s="451" t="str">
        <f>'Input-FX Rates'!$B$4</f>
        <v>ICH Icheon (242)</v>
      </c>
      <c r="C122" s="451">
        <f>'Input-FX Rates'!$C$6</f>
        <v>780</v>
      </c>
      <c r="D122" s="451" t="str">
        <f>'Input-FX Rates'!$B$6</f>
        <v>780 BU Controls</v>
      </c>
      <c r="E122" s="451" t="str">
        <f>'Input-FX Rates'!$C$5</f>
        <v>7821 &amp; 7822</v>
      </c>
      <c r="F122" s="451" t="str">
        <f>'Input-FX Rates'!$B$5</f>
        <v>7821 PL Drivetrain Controls (&amp; Electrification)</v>
      </c>
      <c r="G122" s="451" t="s">
        <v>1483</v>
      </c>
      <c r="H122" s="451" t="s">
        <v>469</v>
      </c>
      <c r="I122" s="535"/>
      <c r="J122" s="535"/>
      <c r="K122" s="536">
        <f>'4. Fix Cost (GC)'!B21</f>
        <v>-3632.8856334210932</v>
      </c>
      <c r="L122" s="536">
        <f>'4. Fix Cost (GC)'!C21</f>
        <v>-7105.7795196845918</v>
      </c>
      <c r="M122" s="535"/>
      <c r="N122" s="535"/>
      <c r="O122" s="536">
        <f>'4. Fix Cost (GC)'!Q21</f>
        <v>-6745.7439634482753</v>
      </c>
      <c r="P122" s="536">
        <f>'4. Fix Cost (GC)'!R21</f>
        <v>-2545.5377048275859</v>
      </c>
      <c r="Q122" s="535"/>
      <c r="R122" s="535"/>
      <c r="S122" s="535"/>
      <c r="T122" s="535"/>
      <c r="U122" s="535"/>
      <c r="V122" s="535"/>
      <c r="W122" s="536">
        <f>'4. Fix Cost (GC)'!E21</f>
        <v>-558.23395862068969</v>
      </c>
      <c r="X122" s="536">
        <f>'4. Fix Cost (GC)'!F21</f>
        <v>-558.23395862068969</v>
      </c>
      <c r="Y122" s="536">
        <f>'4. Fix Cost (GC)'!G21</f>
        <v>-558.23395862068969</v>
      </c>
      <c r="Z122" s="536">
        <f>'4. Fix Cost (GC)'!H21</f>
        <v>-559.02666689655177</v>
      </c>
      <c r="AA122" s="536">
        <f>'4. Fix Cost (GC)'!I21</f>
        <v>-559.02666689655177</v>
      </c>
      <c r="AB122" s="536">
        <f>'4. Fix Cost (GC)'!J21</f>
        <v>-559.69333379310342</v>
      </c>
      <c r="AC122" s="536">
        <f>'4. Fix Cost (GC)'!K21</f>
        <v>-560.50583379310342</v>
      </c>
      <c r="AD122" s="536">
        <f>'4. Fix Cost (GC)'!L21</f>
        <v>-566.5579172413793</v>
      </c>
      <c r="AE122" s="536">
        <f>'4. Fix Cost (GC)'!M21</f>
        <v>-566.5579172413793</v>
      </c>
      <c r="AF122" s="536">
        <f>'4. Fix Cost (GC)'!N21</f>
        <v>-566.5579172413793</v>
      </c>
      <c r="AG122" s="536">
        <f>'4. Fix Cost (GC)'!O21</f>
        <v>-566.5579172413793</v>
      </c>
      <c r="AH122" s="536">
        <f>'4. Fix Cost (GC)'!P21</f>
        <v>-566.5579172413793</v>
      </c>
      <c r="AI122" s="535"/>
      <c r="AJ122" s="535"/>
      <c r="AK122" s="535"/>
      <c r="AL122" s="535"/>
      <c r="AM122" s="535"/>
      <c r="AN122" s="535"/>
      <c r="AO122" s="451" t="str">
        <f>'4. Fix Cost (GC)'!W21</f>
        <v/>
      </c>
      <c r="AP122" s="451">
        <v>86</v>
      </c>
      <c r="AQ122" s="451" t="str">
        <f>Settings!$A$1</f>
        <v>V2</v>
      </c>
      <c r="AR122" s="867"/>
    </row>
    <row r="123" spans="1:44" ht="12.75" customHeight="1">
      <c r="A123" s="451">
        <f>'Input-FX Rates'!$C$4</f>
        <v>242</v>
      </c>
      <c r="B123" s="451" t="str">
        <f>'Input-FX Rates'!$B$4</f>
        <v>ICH Icheon (242)</v>
      </c>
      <c r="C123" s="451">
        <f>'Input-FX Rates'!$C$6</f>
        <v>780</v>
      </c>
      <c r="D123" s="451" t="str">
        <f>'Input-FX Rates'!$B$6</f>
        <v>780 BU Controls</v>
      </c>
      <c r="E123" s="451" t="str">
        <f>'Input-FX Rates'!$C$5</f>
        <v>7821 &amp; 7822</v>
      </c>
      <c r="F123" s="451" t="str">
        <f>'Input-FX Rates'!$B$5</f>
        <v>7821 PL Drivetrain Controls (&amp; Electrification)</v>
      </c>
      <c r="G123" s="451" t="s">
        <v>1483</v>
      </c>
      <c r="H123" s="451" t="s">
        <v>470</v>
      </c>
      <c r="I123" s="535"/>
      <c r="J123" s="535"/>
      <c r="K123" s="536">
        <f>'4. Fix Cost (GC)'!B22</f>
        <v>0</v>
      </c>
      <c r="L123" s="536">
        <f>'4. Fix Cost (GC)'!C22</f>
        <v>0</v>
      </c>
      <c r="M123" s="535"/>
      <c r="N123" s="535"/>
      <c r="O123" s="536">
        <f>'4. Fix Cost (GC)'!Q22</f>
        <v>0</v>
      </c>
      <c r="P123" s="536">
        <f>'4. Fix Cost (GC)'!R22</f>
        <v>0</v>
      </c>
      <c r="Q123" s="535"/>
      <c r="R123" s="535"/>
      <c r="S123" s="535"/>
      <c r="T123" s="535"/>
      <c r="U123" s="535"/>
      <c r="V123" s="535"/>
      <c r="W123" s="536">
        <f>'4. Fix Cost (GC)'!E22</f>
        <v>0</v>
      </c>
      <c r="X123" s="536">
        <f>'4. Fix Cost (GC)'!F22</f>
        <v>0</v>
      </c>
      <c r="Y123" s="536">
        <f>'4. Fix Cost (GC)'!G22</f>
        <v>0</v>
      </c>
      <c r="Z123" s="536">
        <f>'4. Fix Cost (GC)'!H22</f>
        <v>0</v>
      </c>
      <c r="AA123" s="536">
        <f>'4. Fix Cost (GC)'!I22</f>
        <v>0</v>
      </c>
      <c r="AB123" s="536">
        <f>'4. Fix Cost (GC)'!J22</f>
        <v>0</v>
      </c>
      <c r="AC123" s="536">
        <f>'4. Fix Cost (GC)'!K22</f>
        <v>0</v>
      </c>
      <c r="AD123" s="536">
        <f>'4. Fix Cost (GC)'!L22</f>
        <v>0</v>
      </c>
      <c r="AE123" s="536">
        <f>'4. Fix Cost (GC)'!M22</f>
        <v>0</v>
      </c>
      <c r="AF123" s="536">
        <f>'4. Fix Cost (GC)'!N22</f>
        <v>0</v>
      </c>
      <c r="AG123" s="536">
        <f>'4. Fix Cost (GC)'!O22</f>
        <v>0</v>
      </c>
      <c r="AH123" s="536">
        <f>'4. Fix Cost (GC)'!P22</f>
        <v>0</v>
      </c>
      <c r="AI123" s="535"/>
      <c r="AJ123" s="535"/>
      <c r="AK123" s="535"/>
      <c r="AL123" s="535"/>
      <c r="AM123" s="535"/>
      <c r="AN123" s="535"/>
      <c r="AO123" s="451" t="str">
        <f>'4. Fix Cost (GC)'!W22</f>
        <v/>
      </c>
      <c r="AP123" s="451">
        <v>87</v>
      </c>
      <c r="AQ123" s="451" t="str">
        <f>Settings!$A$1</f>
        <v>V2</v>
      </c>
      <c r="AR123" s="867"/>
    </row>
    <row r="124" spans="1:44" ht="12.75" customHeight="1">
      <c r="A124" s="451">
        <f>'Input-FX Rates'!$C$4</f>
        <v>242</v>
      </c>
      <c r="B124" s="451" t="str">
        <f>'Input-FX Rates'!$B$4</f>
        <v>ICH Icheon (242)</v>
      </c>
      <c r="C124" s="451">
        <f>'Input-FX Rates'!$C$6</f>
        <v>780</v>
      </c>
      <c r="D124" s="451" t="str">
        <f>'Input-FX Rates'!$B$6</f>
        <v>780 BU Controls</v>
      </c>
      <c r="E124" s="451" t="str">
        <f>'Input-FX Rates'!$C$5</f>
        <v>7821 &amp; 7822</v>
      </c>
      <c r="F124" s="451" t="str">
        <f>'Input-FX Rates'!$B$5</f>
        <v>7821 PL Drivetrain Controls (&amp; Electrification)</v>
      </c>
      <c r="G124" s="451" t="s">
        <v>1483</v>
      </c>
      <c r="H124" s="451" t="s">
        <v>471</v>
      </c>
      <c r="I124" s="535"/>
      <c r="J124" s="535"/>
      <c r="K124" s="536">
        <f>'4. Fix Cost (GC)'!B23</f>
        <v>-5518.2167201038783</v>
      </c>
      <c r="L124" s="536">
        <f>'4. Fix Cost (GC)'!C23</f>
        <v>-10801.512879565285</v>
      </c>
      <c r="M124" s="535"/>
      <c r="N124" s="535"/>
      <c r="O124" s="536">
        <f>'4. Fix Cost (GC)'!Q23</f>
        <v>-10089.061388965516</v>
      </c>
      <c r="P124" s="536">
        <f>'4. Fix Cost (GC)'!R23</f>
        <v>-6153.7177048275862</v>
      </c>
      <c r="Q124" s="535"/>
      <c r="R124" s="535"/>
      <c r="S124" s="535"/>
      <c r="T124" s="535"/>
      <c r="U124" s="535"/>
      <c r="V124" s="535"/>
      <c r="W124" s="536">
        <f>'4. Fix Cost (GC)'!E23</f>
        <v>-831.90396965517232</v>
      </c>
      <c r="X124" s="536">
        <f>'4. Fix Cost (GC)'!F23</f>
        <v>-843.34484827586209</v>
      </c>
      <c r="Y124" s="536">
        <f>'4. Fix Cost (GC)'!G23</f>
        <v>-828.80777655172415</v>
      </c>
      <c r="Z124" s="536">
        <f>'4. Fix Cost (GC)'!H23</f>
        <v>-800.48374896551718</v>
      </c>
      <c r="AA124" s="536">
        <f>'4. Fix Cost (GC)'!I23</f>
        <v>-815.45350137931041</v>
      </c>
      <c r="AB124" s="536">
        <f>'4. Fix Cost (GC)'!J23</f>
        <v>-818.88432551724145</v>
      </c>
      <c r="AC124" s="536">
        <f>'4. Fix Cost (GC)'!K23</f>
        <v>-874.20941379310352</v>
      </c>
      <c r="AD124" s="536">
        <f>'4. Fix Cost (GC)'!L23</f>
        <v>-897.69055655172428</v>
      </c>
      <c r="AE124" s="536">
        <f>'4. Fix Cost (GC)'!M23</f>
        <v>-855.81340965517245</v>
      </c>
      <c r="AF124" s="536">
        <f>'4. Fix Cost (GC)'!N23</f>
        <v>-837.88400137931023</v>
      </c>
      <c r="AG124" s="536">
        <f>'4. Fix Cost (GC)'!O23</f>
        <v>-843.56286482758617</v>
      </c>
      <c r="AH124" s="536">
        <f>'4. Fix Cost (GC)'!P23</f>
        <v>-841.02297241379313</v>
      </c>
      <c r="AI124" s="535"/>
      <c r="AJ124" s="535"/>
      <c r="AK124" s="535"/>
      <c r="AL124" s="535"/>
      <c r="AM124" s="535"/>
      <c r="AN124" s="535"/>
      <c r="AO124" s="451" t="str">
        <f>'4. Fix Cost (GC)'!W23</f>
        <v/>
      </c>
      <c r="AP124" s="451">
        <v>88</v>
      </c>
      <c r="AQ124" s="451" t="str">
        <f>Settings!$A$1</f>
        <v>V2</v>
      </c>
      <c r="AR124" s="867"/>
    </row>
    <row r="125" spans="1:44" ht="12.75" customHeight="1">
      <c r="A125" s="451">
        <f>'Input-FX Rates'!$C$4</f>
        <v>242</v>
      </c>
      <c r="B125" s="451" t="str">
        <f>'Input-FX Rates'!$B$4</f>
        <v>ICH Icheon (242)</v>
      </c>
      <c r="C125" s="451">
        <f>'Input-FX Rates'!$C$6</f>
        <v>780</v>
      </c>
      <c r="D125" s="451" t="str">
        <f>'Input-FX Rates'!$B$6</f>
        <v>780 BU Controls</v>
      </c>
      <c r="E125" s="451" t="str">
        <f>'Input-FX Rates'!$C$5</f>
        <v>7821 &amp; 7822</v>
      </c>
      <c r="F125" s="451" t="str">
        <f>'Input-FX Rates'!$B$5</f>
        <v>7821 PL Drivetrain Controls (&amp; Electrification)</v>
      </c>
      <c r="G125" s="451" t="s">
        <v>1483</v>
      </c>
      <c r="H125" s="451" t="s">
        <v>473</v>
      </c>
      <c r="I125" s="535"/>
      <c r="J125" s="535"/>
      <c r="K125" s="536">
        <f>'4. Fix Cost (GC)'!B24</f>
        <v>-2756.0599108780011</v>
      </c>
      <c r="L125" s="536">
        <f>'4. Fix Cost (GC)'!C24</f>
        <v>-4874.6609352184751</v>
      </c>
      <c r="M125" s="535"/>
      <c r="N125" s="535"/>
      <c r="O125" s="536">
        <f>'4. Fix Cost (GC)'!Q24</f>
        <v>-4051.9545455172415</v>
      </c>
      <c r="P125" s="536">
        <f>'4. Fix Cost (GC)'!R24</f>
        <v>0</v>
      </c>
      <c r="Q125" s="535"/>
      <c r="R125" s="535"/>
      <c r="S125" s="535"/>
      <c r="T125" s="535"/>
      <c r="U125" s="535"/>
      <c r="V125" s="535"/>
      <c r="W125" s="536">
        <f>'4. Fix Cost (GC)'!E24</f>
        <v>-359.24545448275859</v>
      </c>
      <c r="X125" s="536">
        <f>'4. Fix Cost (GC)'!F24</f>
        <v>-325.82727241379308</v>
      </c>
      <c r="Y125" s="536">
        <f>'4. Fix Cost (GC)'!G24</f>
        <v>-401.01818206896547</v>
      </c>
      <c r="Z125" s="536">
        <f>'4. Fix Cost (GC)'!H24</f>
        <v>-384.30909103448278</v>
      </c>
      <c r="AA125" s="536">
        <f>'4. Fix Cost (GC)'!I24</f>
        <v>-334.18181793103446</v>
      </c>
      <c r="AB125" s="536">
        <f>'4. Fix Cost (GC)'!J24</f>
        <v>-334.18181793103446</v>
      </c>
      <c r="AC125" s="536">
        <f>'4. Fix Cost (GC)'!K24</f>
        <v>-334.18181793103446</v>
      </c>
      <c r="AD125" s="536">
        <f>'4. Fix Cost (GC)'!L24</f>
        <v>-292.40909103448274</v>
      </c>
      <c r="AE125" s="536">
        <f>'4. Fix Cost (GC)'!M24</f>
        <v>-300.76363655172412</v>
      </c>
      <c r="AF125" s="536">
        <f>'4. Fix Cost (GC)'!N24</f>
        <v>-317.47272758620693</v>
      </c>
      <c r="AG125" s="536">
        <f>'4. Fix Cost (GC)'!O24</f>
        <v>-334.18181793103446</v>
      </c>
      <c r="AH125" s="536">
        <f>'4. Fix Cost (GC)'!P24</f>
        <v>-334.18181862068963</v>
      </c>
      <c r="AI125" s="535"/>
      <c r="AJ125" s="535"/>
      <c r="AK125" s="535"/>
      <c r="AL125" s="535"/>
      <c r="AM125" s="535"/>
      <c r="AN125" s="535"/>
      <c r="AO125" s="451" t="str">
        <f>'4. Fix Cost (GC)'!W24</f>
        <v/>
      </c>
      <c r="AP125" s="451">
        <v>89</v>
      </c>
      <c r="AQ125" s="451" t="str">
        <f>Settings!$A$1</f>
        <v>V2</v>
      </c>
      <c r="AR125" s="867"/>
    </row>
    <row r="126" spans="1:44" ht="12.75" customHeight="1">
      <c r="A126" s="451">
        <f>'Input-FX Rates'!$C$4</f>
        <v>242</v>
      </c>
      <c r="B126" s="451" t="str">
        <f>'Input-FX Rates'!$B$4</f>
        <v>ICH Icheon (242)</v>
      </c>
      <c r="C126" s="451">
        <f>'Input-FX Rates'!$C$6</f>
        <v>780</v>
      </c>
      <c r="D126" s="451" t="str">
        <f>'Input-FX Rates'!$B$6</f>
        <v>780 BU Controls</v>
      </c>
      <c r="E126" s="451" t="str">
        <f>'Input-FX Rates'!$C$5</f>
        <v>7821 &amp; 7822</v>
      </c>
      <c r="F126" s="451" t="str">
        <f>'Input-FX Rates'!$B$5</f>
        <v>7821 PL Drivetrain Controls (&amp; Electrification)</v>
      </c>
      <c r="G126" s="451" t="s">
        <v>1483</v>
      </c>
      <c r="H126" s="451" t="s">
        <v>475</v>
      </c>
      <c r="I126" s="535"/>
      <c r="J126" s="535"/>
      <c r="K126" s="536">
        <f>'4. Fix Cost (GC)'!B25</f>
        <v>-3.4249401996403939</v>
      </c>
      <c r="L126" s="536">
        <f>'4. Fix Cost (GC)'!C25</f>
        <v>-4.7364985872066274</v>
      </c>
      <c r="M126" s="535"/>
      <c r="N126" s="535"/>
      <c r="O126" s="536">
        <f>'4. Fix Cost (GC)'!Q25</f>
        <v>-6.0955765517241378</v>
      </c>
      <c r="P126" s="536">
        <f>'4. Fix Cost (GC)'!R25</f>
        <v>0</v>
      </c>
      <c r="Q126" s="535"/>
      <c r="R126" s="535"/>
      <c r="S126" s="535"/>
      <c r="T126" s="535"/>
      <c r="U126" s="535"/>
      <c r="V126" s="535"/>
      <c r="W126" s="536">
        <f>'4. Fix Cost (GC)'!E25</f>
        <v>-0.92099931034482763</v>
      </c>
      <c r="X126" s="536">
        <f>'4. Fix Cost (GC)'!F25</f>
        <v>-1.0062682758620689</v>
      </c>
      <c r="Y126" s="536">
        <f>'4. Fix Cost (GC)'!G25</f>
        <v>-0.66530758620689656</v>
      </c>
      <c r="Z126" s="536">
        <f>'4. Fix Cost (GC)'!H25</f>
        <v>-0.32117448275862065</v>
      </c>
      <c r="AA126" s="536">
        <f>'4. Fix Cost (GC)'!I25</f>
        <v>-0.46325655172413793</v>
      </c>
      <c r="AB126" s="536">
        <f>'4. Fix Cost (GC)'!J25</f>
        <v>-0.31943172413793103</v>
      </c>
      <c r="AC126" s="536">
        <f>'4. Fix Cost (GC)'!K25</f>
        <v>-0.37651999999999997</v>
      </c>
      <c r="AD126" s="536">
        <f>'4. Fix Cost (GC)'!L25</f>
        <v>-0.28232206896551726</v>
      </c>
      <c r="AE126" s="536">
        <f>'4. Fix Cost (GC)'!M25</f>
        <v>-0.68685931034482761</v>
      </c>
      <c r="AF126" s="536">
        <f>'4. Fix Cost (GC)'!N25</f>
        <v>-0.30632206896551722</v>
      </c>
      <c r="AG126" s="536">
        <f>'4. Fix Cost (GC)'!O25</f>
        <v>-0.43570758620689654</v>
      </c>
      <c r="AH126" s="536">
        <f>'4. Fix Cost (GC)'!P25</f>
        <v>-0.31140758620689657</v>
      </c>
      <c r="AI126" s="535"/>
      <c r="AJ126" s="535"/>
      <c r="AK126" s="535"/>
      <c r="AL126" s="535"/>
      <c r="AM126" s="535"/>
      <c r="AN126" s="535"/>
      <c r="AO126" s="451" t="str">
        <f>'4. Fix Cost (GC)'!W25</f>
        <v/>
      </c>
      <c r="AP126" s="451">
        <v>90</v>
      </c>
      <c r="AQ126" s="451" t="str">
        <f>Settings!$A$1</f>
        <v>V2</v>
      </c>
      <c r="AR126" s="867"/>
    </row>
    <row r="127" spans="1:44" ht="12.75" customHeight="1">
      <c r="A127" s="451">
        <f>'Input-FX Rates'!$C$4</f>
        <v>242</v>
      </c>
      <c r="B127" s="451" t="str">
        <f>'Input-FX Rates'!$B$4</f>
        <v>ICH Icheon (242)</v>
      </c>
      <c r="C127" s="451">
        <f>'Input-FX Rates'!$C$6</f>
        <v>780</v>
      </c>
      <c r="D127" s="451" t="str">
        <f>'Input-FX Rates'!$B$6</f>
        <v>780 BU Controls</v>
      </c>
      <c r="E127" s="451" t="str">
        <f>'Input-FX Rates'!$C$5</f>
        <v>7821 &amp; 7822</v>
      </c>
      <c r="F127" s="451" t="str">
        <f>'Input-FX Rates'!$B$5</f>
        <v>7821 PL Drivetrain Controls (&amp; Electrification)</v>
      </c>
      <c r="G127" s="451" t="s">
        <v>1483</v>
      </c>
      <c r="H127" s="451" t="s">
        <v>477</v>
      </c>
      <c r="I127" s="535"/>
      <c r="J127" s="535"/>
      <c r="K127" s="536">
        <f>'4. Fix Cost (GC)'!B26</f>
        <v>-292.25811580286114</v>
      </c>
      <c r="L127" s="536">
        <f>'4. Fix Cost (GC)'!C26</f>
        <v>-553.07709988687316</v>
      </c>
      <c r="M127" s="535"/>
      <c r="N127" s="535"/>
      <c r="O127" s="536">
        <f>'4. Fix Cost (GC)'!Q26</f>
        <v>-433.16340344827591</v>
      </c>
      <c r="P127" s="536">
        <f>'4. Fix Cost (GC)'!R26</f>
        <v>0</v>
      </c>
      <c r="Q127" s="535"/>
      <c r="R127" s="535"/>
      <c r="S127" s="535"/>
      <c r="T127" s="535"/>
      <c r="U127" s="535"/>
      <c r="V127" s="535"/>
      <c r="W127" s="536">
        <f>'4. Fix Cost (GC)'!E26</f>
        <v>-41.16297310344828</v>
      </c>
      <c r="X127" s="536">
        <f>'4. Fix Cost (GC)'!F26</f>
        <v>-35.237539999999996</v>
      </c>
      <c r="Y127" s="536">
        <f>'4. Fix Cost (GC)'!G26</f>
        <v>-35.22563103448276</v>
      </c>
      <c r="Z127" s="536">
        <f>'4. Fix Cost (GC)'!H26</f>
        <v>-33.07376</v>
      </c>
      <c r="AA127" s="536">
        <f>'4. Fix Cost (GC)'!I26</f>
        <v>-35.011873103448274</v>
      </c>
      <c r="AB127" s="536">
        <f>'4. Fix Cost (GC)'!J26</f>
        <v>-34.073667586206895</v>
      </c>
      <c r="AC127" s="536">
        <f>'4. Fix Cost (GC)'!K26</f>
        <v>-43.19038344827586</v>
      </c>
      <c r="AD127" s="536">
        <f>'4. Fix Cost (GC)'!L26</f>
        <v>-36.12514137931035</v>
      </c>
      <c r="AE127" s="536">
        <f>'4. Fix Cost (GC)'!M26</f>
        <v>-35.846911724137932</v>
      </c>
      <c r="AF127" s="536">
        <f>'4. Fix Cost (GC)'!N26</f>
        <v>-34.271788275862072</v>
      </c>
      <c r="AG127" s="536">
        <f>'4. Fix Cost (GC)'!O26</f>
        <v>-34.808588275862071</v>
      </c>
      <c r="AH127" s="536">
        <f>'4. Fix Cost (GC)'!P26</f>
        <v>-35.135145517241384</v>
      </c>
      <c r="AI127" s="535"/>
      <c r="AJ127" s="535"/>
      <c r="AK127" s="535"/>
      <c r="AL127" s="535"/>
      <c r="AM127" s="535"/>
      <c r="AN127" s="535"/>
      <c r="AO127" s="451" t="str">
        <f>'4. Fix Cost (GC)'!W26</f>
        <v/>
      </c>
      <c r="AP127" s="451">
        <v>91</v>
      </c>
      <c r="AQ127" s="451" t="str">
        <f>Settings!$A$1</f>
        <v>V2</v>
      </c>
      <c r="AR127" s="867"/>
    </row>
    <row r="128" spans="1:44" ht="12.75" customHeight="1">
      <c r="A128" s="451">
        <f>'Input-FX Rates'!$C$4</f>
        <v>242</v>
      </c>
      <c r="B128" s="451" t="str">
        <f>'Input-FX Rates'!$B$4</f>
        <v>ICH Icheon (242)</v>
      </c>
      <c r="C128" s="451">
        <f>'Input-FX Rates'!$C$6</f>
        <v>780</v>
      </c>
      <c r="D128" s="451" t="str">
        <f>'Input-FX Rates'!$B$6</f>
        <v>780 BU Controls</v>
      </c>
      <c r="E128" s="451" t="str">
        <f>'Input-FX Rates'!$C$5</f>
        <v>7821 &amp; 7822</v>
      </c>
      <c r="F128" s="451" t="str">
        <f>'Input-FX Rates'!$B$5</f>
        <v>7821 PL Drivetrain Controls (&amp; Electrification)</v>
      </c>
      <c r="G128" s="451" t="s">
        <v>1483</v>
      </c>
      <c r="H128" s="451" t="s">
        <v>458</v>
      </c>
      <c r="I128" s="535"/>
      <c r="J128" s="535"/>
      <c r="K128" s="536">
        <f>'4. Fix Cost (GC)'!B27</f>
        <v>0</v>
      </c>
      <c r="L128" s="536">
        <f>'4. Fix Cost (GC)'!C27</f>
        <v>0</v>
      </c>
      <c r="M128" s="535"/>
      <c r="N128" s="535"/>
      <c r="O128" s="536">
        <f>'4. Fix Cost (GC)'!Q27</f>
        <v>0</v>
      </c>
      <c r="P128" s="536">
        <f>'4. Fix Cost (GC)'!R27</f>
        <v>0</v>
      </c>
      <c r="Q128" s="535"/>
      <c r="R128" s="535"/>
      <c r="S128" s="535"/>
      <c r="T128" s="535"/>
      <c r="U128" s="535"/>
      <c r="V128" s="535"/>
      <c r="W128" s="536">
        <f>'4. Fix Cost (GC)'!E27</f>
        <v>0</v>
      </c>
      <c r="X128" s="536">
        <f>'4. Fix Cost (GC)'!F27</f>
        <v>0</v>
      </c>
      <c r="Y128" s="536">
        <f>'4. Fix Cost (GC)'!G27</f>
        <v>0</v>
      </c>
      <c r="Z128" s="536">
        <f>'4. Fix Cost (GC)'!H27</f>
        <v>0</v>
      </c>
      <c r="AA128" s="536">
        <f>'4. Fix Cost (GC)'!I27</f>
        <v>0</v>
      </c>
      <c r="AB128" s="536">
        <f>'4. Fix Cost (GC)'!J27</f>
        <v>0</v>
      </c>
      <c r="AC128" s="536">
        <f>'4. Fix Cost (GC)'!K27</f>
        <v>0</v>
      </c>
      <c r="AD128" s="536">
        <f>'4. Fix Cost (GC)'!L27</f>
        <v>0</v>
      </c>
      <c r="AE128" s="536">
        <f>'4. Fix Cost (GC)'!M27</f>
        <v>0</v>
      </c>
      <c r="AF128" s="536">
        <f>'4. Fix Cost (GC)'!N27</f>
        <v>0</v>
      </c>
      <c r="AG128" s="536">
        <f>'4. Fix Cost (GC)'!O27</f>
        <v>0</v>
      </c>
      <c r="AH128" s="536">
        <f>'4. Fix Cost (GC)'!P27</f>
        <v>0</v>
      </c>
      <c r="AI128" s="535"/>
      <c r="AJ128" s="535"/>
      <c r="AK128" s="535"/>
      <c r="AL128" s="535"/>
      <c r="AM128" s="535"/>
      <c r="AN128" s="535"/>
      <c r="AO128" s="451" t="str">
        <f>'4. Fix Cost (GC)'!W27</f>
        <v/>
      </c>
      <c r="AP128" s="451">
        <v>92</v>
      </c>
      <c r="AQ128" s="451" t="str">
        <f>Settings!$A$1</f>
        <v>V2</v>
      </c>
      <c r="AR128" s="867"/>
    </row>
    <row r="129" spans="1:44" ht="12.75" customHeight="1">
      <c r="A129" s="451">
        <f>'Input-FX Rates'!$C$4</f>
        <v>242</v>
      </c>
      <c r="B129" s="451" t="str">
        <f>'Input-FX Rates'!$B$4</f>
        <v>ICH Icheon (242)</v>
      </c>
      <c r="C129" s="451">
        <f>'Input-FX Rates'!$C$6</f>
        <v>780</v>
      </c>
      <c r="D129" s="451" t="str">
        <f>'Input-FX Rates'!$B$6</f>
        <v>780 BU Controls</v>
      </c>
      <c r="E129" s="451" t="str">
        <f>'Input-FX Rates'!$C$5</f>
        <v>7821 &amp; 7822</v>
      </c>
      <c r="F129" s="451" t="str">
        <f>'Input-FX Rates'!$B$5</f>
        <v>7821 PL Drivetrain Controls (&amp; Electrification)</v>
      </c>
      <c r="G129" s="451" t="s">
        <v>1483</v>
      </c>
      <c r="H129" s="451" t="s">
        <v>456</v>
      </c>
      <c r="I129" s="535"/>
      <c r="J129" s="535"/>
      <c r="K129" s="536">
        <f>'4. Fix Cost (GC)'!B28</f>
        <v>0</v>
      </c>
      <c r="L129" s="536">
        <f>'4. Fix Cost (GC)'!C28</f>
        <v>0</v>
      </c>
      <c r="M129" s="535"/>
      <c r="N129" s="535"/>
      <c r="O129" s="536">
        <f>'4. Fix Cost (GC)'!Q28</f>
        <v>0</v>
      </c>
      <c r="P129" s="536">
        <f>'4. Fix Cost (GC)'!R28</f>
        <v>0</v>
      </c>
      <c r="Q129" s="535"/>
      <c r="R129" s="535"/>
      <c r="S129" s="535"/>
      <c r="T129" s="535"/>
      <c r="U129" s="535"/>
      <c r="V129" s="535"/>
      <c r="W129" s="536">
        <f>'4. Fix Cost (GC)'!E28</f>
        <v>0</v>
      </c>
      <c r="X129" s="536">
        <f>'4. Fix Cost (GC)'!F28</f>
        <v>0</v>
      </c>
      <c r="Y129" s="536">
        <f>'4. Fix Cost (GC)'!G28</f>
        <v>0</v>
      </c>
      <c r="Z129" s="536">
        <f>'4. Fix Cost (GC)'!H28</f>
        <v>0</v>
      </c>
      <c r="AA129" s="536">
        <f>'4. Fix Cost (GC)'!I28</f>
        <v>0</v>
      </c>
      <c r="AB129" s="536">
        <f>'4. Fix Cost (GC)'!J28</f>
        <v>0</v>
      </c>
      <c r="AC129" s="536">
        <f>'4. Fix Cost (GC)'!K28</f>
        <v>0</v>
      </c>
      <c r="AD129" s="536">
        <f>'4. Fix Cost (GC)'!L28</f>
        <v>0</v>
      </c>
      <c r="AE129" s="536">
        <f>'4. Fix Cost (GC)'!M28</f>
        <v>0</v>
      </c>
      <c r="AF129" s="536">
        <f>'4. Fix Cost (GC)'!N28</f>
        <v>0</v>
      </c>
      <c r="AG129" s="536">
        <f>'4. Fix Cost (GC)'!O28</f>
        <v>0</v>
      </c>
      <c r="AH129" s="536">
        <f>'4. Fix Cost (GC)'!P28</f>
        <v>0</v>
      </c>
      <c r="AI129" s="535"/>
      <c r="AJ129" s="535"/>
      <c r="AK129" s="535"/>
      <c r="AL129" s="535"/>
      <c r="AM129" s="535"/>
      <c r="AN129" s="535"/>
      <c r="AO129" s="451" t="str">
        <f>'4. Fix Cost (GC)'!W28</f>
        <v/>
      </c>
      <c r="AP129" s="451">
        <v>93</v>
      </c>
      <c r="AQ129" s="451" t="str">
        <f>Settings!$A$1</f>
        <v>V2</v>
      </c>
      <c r="AR129" s="867"/>
    </row>
    <row r="130" spans="1:44" ht="12.75" customHeight="1">
      <c r="A130" s="451">
        <f>'Input-FX Rates'!$C$4</f>
        <v>242</v>
      </c>
      <c r="B130" s="451" t="str">
        <f>'Input-FX Rates'!$B$4</f>
        <v>ICH Icheon (242)</v>
      </c>
      <c r="C130" s="451">
        <f>'Input-FX Rates'!$C$6</f>
        <v>780</v>
      </c>
      <c r="D130" s="451" t="str">
        <f>'Input-FX Rates'!$B$6</f>
        <v>780 BU Controls</v>
      </c>
      <c r="E130" s="451" t="str">
        <f>'Input-FX Rates'!$C$5</f>
        <v>7821 &amp; 7822</v>
      </c>
      <c r="F130" s="451" t="str">
        <f>'Input-FX Rates'!$B$5</f>
        <v>7821 PL Drivetrain Controls (&amp; Electrification)</v>
      </c>
      <c r="G130" s="451" t="s">
        <v>1483</v>
      </c>
      <c r="H130" s="451" t="s">
        <v>452</v>
      </c>
      <c r="I130" s="535"/>
      <c r="J130" s="535"/>
      <c r="K130" s="536">
        <f>'4. Fix Cost (GC)'!B29</f>
        <v>0</v>
      </c>
      <c r="L130" s="536">
        <f>'4. Fix Cost (GC)'!C29</f>
        <v>0</v>
      </c>
      <c r="M130" s="535"/>
      <c r="N130" s="535"/>
      <c r="O130" s="536">
        <f>'4. Fix Cost (GC)'!Q29</f>
        <v>-8.9672055172413625</v>
      </c>
      <c r="P130" s="536">
        <f>'4. Fix Cost (GC)'!R29</f>
        <v>0</v>
      </c>
      <c r="Q130" s="535"/>
      <c r="R130" s="535"/>
      <c r="S130" s="535"/>
      <c r="T130" s="535"/>
      <c r="U130" s="535"/>
      <c r="V130" s="535"/>
      <c r="W130" s="536">
        <f>'4. Fix Cost (GC)'!E29</f>
        <v>-0.74726712643678006</v>
      </c>
      <c r="X130" s="536">
        <f>'4. Fix Cost (GC)'!F29</f>
        <v>-0.74726712643678006</v>
      </c>
      <c r="Y130" s="536">
        <f>'4. Fix Cost (GC)'!G29</f>
        <v>-0.74726712643678006</v>
      </c>
      <c r="Z130" s="536">
        <f>'4. Fix Cost (GC)'!H29</f>
        <v>-0.74726712643678006</v>
      </c>
      <c r="AA130" s="536">
        <f>'4. Fix Cost (GC)'!I29</f>
        <v>-0.74726712643678006</v>
      </c>
      <c r="AB130" s="536">
        <f>'4. Fix Cost (GC)'!J29</f>
        <v>-0.74726712643678006</v>
      </c>
      <c r="AC130" s="536">
        <f>'4. Fix Cost (GC)'!K29</f>
        <v>-0.74726712643678006</v>
      </c>
      <c r="AD130" s="536">
        <f>'4. Fix Cost (GC)'!L29</f>
        <v>-0.74726712643678006</v>
      </c>
      <c r="AE130" s="536">
        <f>'4. Fix Cost (GC)'!M29</f>
        <v>-0.74726712643678006</v>
      </c>
      <c r="AF130" s="536">
        <f>'4. Fix Cost (GC)'!N29</f>
        <v>-0.74726712643678006</v>
      </c>
      <c r="AG130" s="536">
        <f>'4. Fix Cost (GC)'!O29</f>
        <v>-0.74726712643678006</v>
      </c>
      <c r="AH130" s="536">
        <f>'4. Fix Cost (GC)'!P29</f>
        <v>-0.74726712643678006</v>
      </c>
      <c r="AI130" s="535"/>
      <c r="AJ130" s="535"/>
      <c r="AK130" s="535"/>
      <c r="AL130" s="535"/>
      <c r="AM130" s="535"/>
      <c r="AN130" s="535"/>
      <c r="AO130" s="451" t="str">
        <f>'4. Fix Cost (GC)'!W29</f>
        <v/>
      </c>
      <c r="AP130" s="451">
        <v>94</v>
      </c>
      <c r="AQ130" s="451" t="str">
        <f>Settings!$A$1</f>
        <v>V2</v>
      </c>
      <c r="AR130" s="867"/>
    </row>
    <row r="131" spans="1:44" ht="12.75" customHeight="1">
      <c r="A131" s="451">
        <f>'Input-FX Rates'!$C$4</f>
        <v>242</v>
      </c>
      <c r="B131" s="451" t="str">
        <f>'Input-FX Rates'!$B$4</f>
        <v>ICH Icheon (242)</v>
      </c>
      <c r="C131" s="451">
        <f>'Input-FX Rates'!$C$6</f>
        <v>780</v>
      </c>
      <c r="D131" s="451" t="str">
        <f>'Input-FX Rates'!$B$6</f>
        <v>780 BU Controls</v>
      </c>
      <c r="E131" s="451" t="str">
        <f>'Input-FX Rates'!$C$5</f>
        <v>7821 &amp; 7822</v>
      </c>
      <c r="F131" s="451" t="str">
        <f>'Input-FX Rates'!$B$5</f>
        <v>7821 PL Drivetrain Controls (&amp; Electrification)</v>
      </c>
      <c r="G131" s="451" t="s">
        <v>1483</v>
      </c>
      <c r="H131" s="451" t="s">
        <v>484</v>
      </c>
      <c r="I131" s="535"/>
      <c r="J131" s="535"/>
      <c r="K131" s="536">
        <f>'4. Fix Cost (GC)'!B30</f>
        <v>-295.68305600250159</v>
      </c>
      <c r="L131" s="536">
        <f>'4. Fix Cost (GC)'!C30</f>
        <v>-557.81359847407975</v>
      </c>
      <c r="M131" s="535"/>
      <c r="N131" s="535"/>
      <c r="O131" s="536">
        <f>'4. Fix Cost (GC)'!Q30</f>
        <v>-448.22618551724139</v>
      </c>
      <c r="P131" s="536">
        <f>'4. Fix Cost (GC)'!R30</f>
        <v>0</v>
      </c>
      <c r="Q131" s="535"/>
      <c r="R131" s="535"/>
      <c r="S131" s="535"/>
      <c r="T131" s="535"/>
      <c r="U131" s="535"/>
      <c r="V131" s="535"/>
      <c r="W131" s="536">
        <f>'4. Fix Cost (GC)'!E30</f>
        <v>-42.831239540229888</v>
      </c>
      <c r="X131" s="536">
        <f>'4. Fix Cost (GC)'!F30</f>
        <v>-36.991075402298847</v>
      </c>
      <c r="Y131" s="536">
        <f>'4. Fix Cost (GC)'!G30</f>
        <v>-36.638205747126442</v>
      </c>
      <c r="Z131" s="536">
        <f>'4. Fix Cost (GC)'!H30</f>
        <v>-34.142201609195403</v>
      </c>
      <c r="AA131" s="536">
        <f>'4. Fix Cost (GC)'!I30</f>
        <v>-36.222396781609199</v>
      </c>
      <c r="AB131" s="536">
        <f>'4. Fix Cost (GC)'!J30</f>
        <v>-35.140366436781612</v>
      </c>
      <c r="AC131" s="536">
        <f>'4. Fix Cost (GC)'!K30</f>
        <v>-44.314170574712641</v>
      </c>
      <c r="AD131" s="536">
        <f>'4. Fix Cost (GC)'!L30</f>
        <v>-37.154730574712644</v>
      </c>
      <c r="AE131" s="536">
        <f>'4. Fix Cost (GC)'!M30</f>
        <v>-37.281038160919543</v>
      </c>
      <c r="AF131" s="536">
        <f>'4. Fix Cost (GC)'!N30</f>
        <v>-35.325377471264368</v>
      </c>
      <c r="AG131" s="536">
        <f>'4. Fix Cost (GC)'!O30</f>
        <v>-35.991562988505748</v>
      </c>
      <c r="AH131" s="536">
        <f>'4. Fix Cost (GC)'!P30</f>
        <v>-36.193820229885056</v>
      </c>
      <c r="AI131" s="535"/>
      <c r="AJ131" s="535"/>
      <c r="AK131" s="535"/>
      <c r="AL131" s="535"/>
      <c r="AM131" s="535"/>
      <c r="AN131" s="535"/>
      <c r="AO131" s="451" t="str">
        <f>'4. Fix Cost (GC)'!W30</f>
        <v/>
      </c>
      <c r="AP131" s="451">
        <v>95</v>
      </c>
      <c r="AQ131" s="451" t="str">
        <f>Settings!$A$1</f>
        <v>V2</v>
      </c>
      <c r="AR131" s="867"/>
    </row>
    <row r="132" spans="1:44" ht="12.75" customHeight="1">
      <c r="A132" s="451">
        <f>'Input-FX Rates'!$C$4</f>
        <v>242</v>
      </c>
      <c r="B132" s="451" t="str">
        <f>'Input-FX Rates'!$B$4</f>
        <v>ICH Icheon (242)</v>
      </c>
      <c r="C132" s="451">
        <f>'Input-FX Rates'!$C$6</f>
        <v>780</v>
      </c>
      <c r="D132" s="451" t="str">
        <f>'Input-FX Rates'!$B$6</f>
        <v>780 BU Controls</v>
      </c>
      <c r="E132" s="451" t="str">
        <f>'Input-FX Rates'!$C$5</f>
        <v>7821 &amp; 7822</v>
      </c>
      <c r="F132" s="451" t="str">
        <f>'Input-FX Rates'!$B$5</f>
        <v>7821 PL Drivetrain Controls (&amp; Electrification)</v>
      </c>
      <c r="G132" s="451" t="s">
        <v>1483</v>
      </c>
      <c r="H132" s="451" t="s">
        <v>486</v>
      </c>
      <c r="I132" s="535"/>
      <c r="J132" s="535"/>
      <c r="K132" s="536">
        <f>'4. Fix Cost (GC)'!B31</f>
        <v>-507.22552372705434</v>
      </c>
      <c r="L132" s="536">
        <f>'4. Fix Cost (GC)'!C31</f>
        <v>-928.9794532535027</v>
      </c>
      <c r="M132" s="535"/>
      <c r="N132" s="535"/>
      <c r="O132" s="536">
        <f>'4. Fix Cost (GC)'!Q31</f>
        <v>-1003.2592386206898</v>
      </c>
      <c r="P132" s="536">
        <f>'4. Fix Cost (GC)'!R31</f>
        <v>0</v>
      </c>
      <c r="Q132" s="535"/>
      <c r="R132" s="535"/>
      <c r="S132" s="535"/>
      <c r="T132" s="535"/>
      <c r="U132" s="535"/>
      <c r="V132" s="535"/>
      <c r="W132" s="536">
        <f>'4. Fix Cost (GC)'!E31</f>
        <v>-83.604936551724151</v>
      </c>
      <c r="X132" s="536">
        <f>'4. Fix Cost (GC)'!F31</f>
        <v>-83.604936551724151</v>
      </c>
      <c r="Y132" s="536">
        <f>'4. Fix Cost (GC)'!G31</f>
        <v>-83.604936551724151</v>
      </c>
      <c r="Z132" s="536">
        <f>'4. Fix Cost (GC)'!H31</f>
        <v>-83.604936551724151</v>
      </c>
      <c r="AA132" s="536">
        <f>'4. Fix Cost (GC)'!I31</f>
        <v>-83.604936551724151</v>
      </c>
      <c r="AB132" s="536">
        <f>'4. Fix Cost (GC)'!J31</f>
        <v>-83.604936551724151</v>
      </c>
      <c r="AC132" s="536">
        <f>'4. Fix Cost (GC)'!K31</f>
        <v>-83.604936551724151</v>
      </c>
      <c r="AD132" s="536">
        <f>'4. Fix Cost (GC)'!L31</f>
        <v>-83.604936551724151</v>
      </c>
      <c r="AE132" s="536">
        <f>'4. Fix Cost (GC)'!M31</f>
        <v>-83.604936551724151</v>
      </c>
      <c r="AF132" s="536">
        <f>'4. Fix Cost (GC)'!N31</f>
        <v>-83.604936551724151</v>
      </c>
      <c r="AG132" s="536">
        <f>'4. Fix Cost (GC)'!O31</f>
        <v>-83.604936551724151</v>
      </c>
      <c r="AH132" s="536">
        <f>'4. Fix Cost (GC)'!P31</f>
        <v>-83.604936551724151</v>
      </c>
      <c r="AI132" s="535"/>
      <c r="AJ132" s="535"/>
      <c r="AK132" s="535"/>
      <c r="AL132" s="535"/>
      <c r="AM132" s="535"/>
      <c r="AN132" s="535"/>
      <c r="AO132" s="451" t="str">
        <f>'4. Fix Cost (GC)'!W31</f>
        <v/>
      </c>
      <c r="AP132" s="451">
        <v>96</v>
      </c>
      <c r="AQ132" s="451" t="str">
        <f>Settings!$A$1</f>
        <v>V2</v>
      </c>
      <c r="AR132" s="867"/>
    </row>
    <row r="133" spans="1:44" ht="12.75" customHeight="1">
      <c r="A133" s="451">
        <f>'Input-FX Rates'!$C$4</f>
        <v>242</v>
      </c>
      <c r="B133" s="451" t="str">
        <f>'Input-FX Rates'!$B$4</f>
        <v>ICH Icheon (242)</v>
      </c>
      <c r="C133" s="451">
        <f>'Input-FX Rates'!$C$6</f>
        <v>780</v>
      </c>
      <c r="D133" s="451" t="str">
        <f>'Input-FX Rates'!$B$6</f>
        <v>780 BU Controls</v>
      </c>
      <c r="E133" s="451" t="str">
        <f>'Input-FX Rates'!$C$5</f>
        <v>7821 &amp; 7822</v>
      </c>
      <c r="F133" s="451" t="str">
        <f>'Input-FX Rates'!$B$5</f>
        <v>7821 PL Drivetrain Controls (&amp; Electrification)</v>
      </c>
      <c r="G133" s="451" t="s">
        <v>1483</v>
      </c>
      <c r="H133" s="451" t="s">
        <v>488</v>
      </c>
      <c r="I133" s="535"/>
      <c r="J133" s="535"/>
      <c r="K133" s="536">
        <f>'4. Fix Cost (GC)'!B32</f>
        <v>-3589.8585817133476</v>
      </c>
      <c r="L133" s="536">
        <f>'4. Fix Cost (GC)'!C32</f>
        <v>-7285.8323079216616</v>
      </c>
      <c r="M133" s="535"/>
      <c r="N133" s="535"/>
      <c r="O133" s="536">
        <f>'4. Fix Cost (GC)'!Q32</f>
        <v>-7492.445147586207</v>
      </c>
      <c r="P133" s="536">
        <f>'4. Fix Cost (GC)'!R32</f>
        <v>0</v>
      </c>
      <c r="Q133" s="535"/>
      <c r="R133" s="535"/>
      <c r="S133" s="535"/>
      <c r="T133" s="535"/>
      <c r="U133" s="535"/>
      <c r="V133" s="535"/>
      <c r="W133" s="536">
        <f>'4. Fix Cost (GC)'!E32</f>
        <v>-624.37042896551725</v>
      </c>
      <c r="X133" s="536">
        <f>'4. Fix Cost (GC)'!F32</f>
        <v>-624.37042896551725</v>
      </c>
      <c r="Y133" s="536">
        <f>'4. Fix Cost (GC)'!G32</f>
        <v>-624.37042896551725</v>
      </c>
      <c r="Z133" s="536">
        <f>'4. Fix Cost (GC)'!H32</f>
        <v>-624.37042896551725</v>
      </c>
      <c r="AA133" s="536">
        <f>'4. Fix Cost (GC)'!I32</f>
        <v>-624.37042896551725</v>
      </c>
      <c r="AB133" s="536">
        <f>'4. Fix Cost (GC)'!J32</f>
        <v>-624.37042896551725</v>
      </c>
      <c r="AC133" s="536">
        <f>'4. Fix Cost (GC)'!K32</f>
        <v>-624.37042896551725</v>
      </c>
      <c r="AD133" s="536">
        <f>'4. Fix Cost (GC)'!L32</f>
        <v>-624.37042896551725</v>
      </c>
      <c r="AE133" s="536">
        <f>'4. Fix Cost (GC)'!M32</f>
        <v>-624.37042896551725</v>
      </c>
      <c r="AF133" s="536">
        <f>'4. Fix Cost (GC)'!N32</f>
        <v>-624.37042896551725</v>
      </c>
      <c r="AG133" s="536">
        <f>'4. Fix Cost (GC)'!O32</f>
        <v>-624.37042896551725</v>
      </c>
      <c r="AH133" s="536">
        <f>'4. Fix Cost (GC)'!P32</f>
        <v>-624.37042896551725</v>
      </c>
      <c r="AI133" s="535"/>
      <c r="AJ133" s="535"/>
      <c r="AK133" s="535"/>
      <c r="AL133" s="535"/>
      <c r="AM133" s="535"/>
      <c r="AN133" s="535"/>
      <c r="AO133" s="451" t="str">
        <f>'4. Fix Cost (GC)'!W32</f>
        <v/>
      </c>
      <c r="AP133" s="451">
        <v>97</v>
      </c>
      <c r="AQ133" s="451" t="str">
        <f>Settings!$A$1</f>
        <v>V2</v>
      </c>
      <c r="AR133" s="867"/>
    </row>
    <row r="134" spans="1:44" ht="12.75" customHeight="1">
      <c r="A134" s="451">
        <f>'Input-FX Rates'!$C$4</f>
        <v>242</v>
      </c>
      <c r="B134" s="451" t="str">
        <f>'Input-FX Rates'!$B$4</f>
        <v>ICH Icheon (242)</v>
      </c>
      <c r="C134" s="451">
        <f>'Input-FX Rates'!$C$6</f>
        <v>780</v>
      </c>
      <c r="D134" s="451" t="str">
        <f>'Input-FX Rates'!$B$6</f>
        <v>780 BU Controls</v>
      </c>
      <c r="E134" s="451" t="str">
        <f>'Input-FX Rates'!$C$5</f>
        <v>7821 &amp; 7822</v>
      </c>
      <c r="F134" s="451" t="str">
        <f>'Input-FX Rates'!$B$5</f>
        <v>7821 PL Drivetrain Controls (&amp; Electrification)</v>
      </c>
      <c r="G134" s="451" t="s">
        <v>1483</v>
      </c>
      <c r="H134" s="451" t="s">
        <v>490</v>
      </c>
      <c r="I134" s="535"/>
      <c r="J134" s="535"/>
      <c r="K134" s="536">
        <f>'4. Fix Cost (GC)'!B33</f>
        <v>-924.79886787246835</v>
      </c>
      <c r="L134" s="536">
        <f>'4. Fix Cost (GC)'!C33</f>
        <v>-1773.8974585762821</v>
      </c>
      <c r="M134" s="535"/>
      <c r="N134" s="535"/>
      <c r="O134" s="536">
        <f>'4. Fix Cost (GC)'!Q33</f>
        <v>-1781.555120689655</v>
      </c>
      <c r="P134" s="536">
        <f>'4. Fix Cost (GC)'!R33</f>
        <v>0</v>
      </c>
      <c r="Q134" s="535"/>
      <c r="R134" s="535"/>
      <c r="S134" s="535"/>
      <c r="T134" s="535"/>
      <c r="U134" s="535"/>
      <c r="V134" s="535"/>
      <c r="W134" s="536">
        <f>'4. Fix Cost (GC)'!E33</f>
        <v>-148.46292672413793</v>
      </c>
      <c r="X134" s="536">
        <f>'4. Fix Cost (GC)'!F33</f>
        <v>-148.46292672413793</v>
      </c>
      <c r="Y134" s="536">
        <f>'4. Fix Cost (GC)'!G33</f>
        <v>-148.46292672413793</v>
      </c>
      <c r="Z134" s="536">
        <f>'4. Fix Cost (GC)'!H33</f>
        <v>-148.46292672413793</v>
      </c>
      <c r="AA134" s="536">
        <f>'4. Fix Cost (GC)'!I33</f>
        <v>-148.46292672413793</v>
      </c>
      <c r="AB134" s="536">
        <f>'4. Fix Cost (GC)'!J33</f>
        <v>-148.46292672413793</v>
      </c>
      <c r="AC134" s="536">
        <f>'4. Fix Cost (GC)'!K33</f>
        <v>-148.46292672413793</v>
      </c>
      <c r="AD134" s="536">
        <f>'4. Fix Cost (GC)'!L33</f>
        <v>-148.46292672413793</v>
      </c>
      <c r="AE134" s="536">
        <f>'4. Fix Cost (GC)'!M33</f>
        <v>-148.46292672413793</v>
      </c>
      <c r="AF134" s="536">
        <f>'4. Fix Cost (GC)'!N33</f>
        <v>-148.46292672413793</v>
      </c>
      <c r="AG134" s="536">
        <f>'4. Fix Cost (GC)'!O33</f>
        <v>-148.46292672413793</v>
      </c>
      <c r="AH134" s="536">
        <f>'4. Fix Cost (GC)'!P33</f>
        <v>-148.46292672413793</v>
      </c>
      <c r="AI134" s="535"/>
      <c r="AJ134" s="535"/>
      <c r="AK134" s="535"/>
      <c r="AL134" s="535"/>
      <c r="AM134" s="535"/>
      <c r="AN134" s="535"/>
      <c r="AO134" s="451" t="str">
        <f>'4. Fix Cost (GC)'!W33</f>
        <v/>
      </c>
      <c r="AP134" s="451">
        <v>98</v>
      </c>
      <c r="AQ134" s="451" t="str">
        <f>Settings!$A$1</f>
        <v>V2</v>
      </c>
      <c r="AR134" s="867"/>
    </row>
    <row r="135" spans="1:44" ht="12.75" customHeight="1">
      <c r="A135" s="451">
        <f>'Input-FX Rates'!$C$4</f>
        <v>242</v>
      </c>
      <c r="B135" s="451" t="str">
        <f>'Input-FX Rates'!$B$4</f>
        <v>ICH Icheon (242)</v>
      </c>
      <c r="C135" s="451">
        <f>'Input-FX Rates'!$C$6</f>
        <v>780</v>
      </c>
      <c r="D135" s="451" t="str">
        <f>'Input-FX Rates'!$B$6</f>
        <v>780 BU Controls</v>
      </c>
      <c r="E135" s="451" t="str">
        <f>'Input-FX Rates'!$C$5</f>
        <v>7821 &amp; 7822</v>
      </c>
      <c r="F135" s="451" t="str">
        <f>'Input-FX Rates'!$B$5</f>
        <v>7821 PL Drivetrain Controls (&amp; Electrification)</v>
      </c>
      <c r="G135" s="451" t="s">
        <v>1483</v>
      </c>
      <c r="H135" s="451" t="s">
        <v>492</v>
      </c>
      <c r="I135" s="535"/>
      <c r="J135" s="535"/>
      <c r="K135" s="536">
        <f>'4. Fix Cost (GC)'!B34</f>
        <v>-13591.842660297252</v>
      </c>
      <c r="L135" s="536">
        <f>'4. Fix Cost (GC)'!C34</f>
        <v>-26222.696633009291</v>
      </c>
      <c r="M135" s="535"/>
      <c r="N135" s="535"/>
      <c r="O135" s="536">
        <f>'4. Fix Cost (GC)'!Q34</f>
        <v>-24866.501626896548</v>
      </c>
      <c r="P135" s="536">
        <f>'4. Fix Cost (GC)'!R34</f>
        <v>-6153.7177048275862</v>
      </c>
      <c r="Q135" s="535"/>
      <c r="R135" s="535"/>
      <c r="S135" s="535"/>
      <c r="T135" s="535"/>
      <c r="U135" s="535"/>
      <c r="V135" s="535"/>
      <c r="W135" s="536">
        <f>'4. Fix Cost (GC)'!E34</f>
        <v>-2090.4189559195402</v>
      </c>
      <c r="X135" s="536">
        <f>'4. Fix Cost (GC)'!F34</f>
        <v>-2062.6014883333332</v>
      </c>
      <c r="Y135" s="536">
        <f>'4. Fix Cost (GC)'!G34</f>
        <v>-2122.9024566091953</v>
      </c>
      <c r="Z135" s="536">
        <f>'4. Fix Cost (GC)'!H34</f>
        <v>-2075.3733338505745</v>
      </c>
      <c r="AA135" s="536">
        <f>'4. Fix Cost (GC)'!I34</f>
        <v>-2042.2960083333332</v>
      </c>
      <c r="AB135" s="536">
        <f>'4. Fix Cost (GC)'!J34</f>
        <v>-2044.6448021264368</v>
      </c>
      <c r="AC135" s="536">
        <f>'4. Fix Cost (GC)'!K34</f>
        <v>-2109.1436945402297</v>
      </c>
      <c r="AD135" s="536">
        <f>'4. Fix Cost (GC)'!L34</f>
        <v>-2083.692670402299</v>
      </c>
      <c r="AE135" s="536">
        <f>'4. Fix Cost (GC)'!M34</f>
        <v>-2050.2963766091957</v>
      </c>
      <c r="AF135" s="536">
        <f>'4. Fix Cost (GC)'!N34</f>
        <v>-2047.1203986781607</v>
      </c>
      <c r="AG135" s="536">
        <f>'4. Fix Cost (GC)'!O34</f>
        <v>-2070.174537988506</v>
      </c>
      <c r="AH135" s="536">
        <f>'4. Fix Cost (GC)'!P34</f>
        <v>-2067.8369035057472</v>
      </c>
      <c r="AI135" s="535"/>
      <c r="AJ135" s="535"/>
      <c r="AK135" s="535"/>
      <c r="AL135" s="535"/>
      <c r="AM135" s="535"/>
      <c r="AN135" s="535"/>
      <c r="AO135" s="451" t="str">
        <f>'4. Fix Cost (GC)'!W34</f>
        <v/>
      </c>
      <c r="AP135" s="451">
        <v>99</v>
      </c>
      <c r="AQ135" s="451" t="str">
        <f>Settings!$A$1</f>
        <v>V2</v>
      </c>
      <c r="AR135" s="867"/>
    </row>
    <row r="136" spans="1:44" ht="12.75" customHeight="1">
      <c r="A136" s="451">
        <f>'Input-FX Rates'!$C$4</f>
        <v>242</v>
      </c>
      <c r="B136" s="451" t="str">
        <f>'Input-FX Rates'!$B$4</f>
        <v>ICH Icheon (242)</v>
      </c>
      <c r="C136" s="451">
        <f>'Input-FX Rates'!$C$6</f>
        <v>780</v>
      </c>
      <c r="D136" s="451" t="str">
        <f>'Input-FX Rates'!$B$6</f>
        <v>780 BU Controls</v>
      </c>
      <c r="E136" s="451" t="str">
        <f>'Input-FX Rates'!$C$5</f>
        <v>7821 &amp; 7822</v>
      </c>
      <c r="F136" s="451" t="str">
        <f>'Input-FX Rates'!$B$5</f>
        <v>7821 PL Drivetrain Controls (&amp; Electrification)</v>
      </c>
      <c r="G136" s="451" t="s">
        <v>1483</v>
      </c>
      <c r="H136" s="451" t="s">
        <v>494</v>
      </c>
      <c r="I136" s="535"/>
      <c r="J136" s="535"/>
      <c r="K136" s="536">
        <f>'4. Fix Cost (GC)'!B36</f>
        <v>-1885.3310866827851</v>
      </c>
      <c r="L136" s="536">
        <f>'4. Fix Cost (GC)'!C36</f>
        <v>-3695.7333598806922</v>
      </c>
      <c r="M136" s="535"/>
      <c r="N136" s="535"/>
      <c r="O136" s="536">
        <f>'4. Fix Cost (GC)'!Q36</f>
        <v>-3343.3174255172412</v>
      </c>
      <c r="P136" s="536">
        <f>'4. Fix Cost (GC)'!R36</f>
        <v>-3608.18</v>
      </c>
      <c r="Q136" s="535"/>
      <c r="R136" s="535"/>
      <c r="S136" s="535"/>
      <c r="T136" s="535"/>
      <c r="U136" s="535"/>
      <c r="V136" s="535"/>
      <c r="W136" s="536">
        <f>'4. Fix Cost (GC)'!E36</f>
        <v>-273.67001103448274</v>
      </c>
      <c r="X136" s="536">
        <f>'4. Fix Cost (GC)'!F36</f>
        <v>-285.1108896551724</v>
      </c>
      <c r="Y136" s="536">
        <f>'4. Fix Cost (GC)'!G36</f>
        <v>-270.57381793103445</v>
      </c>
      <c r="Z136" s="536">
        <f>'4. Fix Cost (GC)'!H36</f>
        <v>-241.45708206896549</v>
      </c>
      <c r="AA136" s="536">
        <f>'4. Fix Cost (GC)'!I36</f>
        <v>-256.42683448275858</v>
      </c>
      <c r="AB136" s="536">
        <f>'4. Fix Cost (GC)'!J36</f>
        <v>-259.19099172413792</v>
      </c>
      <c r="AC136" s="536">
        <f>'4. Fix Cost (GC)'!K36</f>
        <v>-313.70358000000004</v>
      </c>
      <c r="AD136" s="536">
        <f>'4. Fix Cost (GC)'!L36</f>
        <v>-331.13263931034481</v>
      </c>
      <c r="AE136" s="536">
        <f>'4. Fix Cost (GC)'!M36</f>
        <v>-289.25549241379315</v>
      </c>
      <c r="AF136" s="536">
        <f>'4. Fix Cost (GC)'!N36</f>
        <v>-271.32608413793105</v>
      </c>
      <c r="AG136" s="536">
        <f>'4. Fix Cost (GC)'!O36</f>
        <v>-277.00494758620687</v>
      </c>
      <c r="AH136" s="536">
        <f>'4. Fix Cost (GC)'!P36</f>
        <v>-274.46505517241383</v>
      </c>
      <c r="AI136" s="535"/>
      <c r="AJ136" s="535"/>
      <c r="AK136" s="535"/>
      <c r="AL136" s="535"/>
      <c r="AM136" s="535"/>
      <c r="AN136" s="535"/>
      <c r="AO136" s="451" t="str">
        <f>'4. Fix Cost (GC)'!W36</f>
        <v/>
      </c>
      <c r="AP136" s="451">
        <v>100</v>
      </c>
      <c r="AQ136" s="451" t="str">
        <f>Settings!$A$1</f>
        <v>V2</v>
      </c>
      <c r="AR136" s="867"/>
    </row>
    <row r="137" spans="1:44" ht="12.75" customHeight="1">
      <c r="A137" s="451">
        <f>'Input-FX Rates'!$C$4</f>
        <v>242</v>
      </c>
      <c r="B137" s="451" t="str">
        <f>'Input-FX Rates'!$B$4</f>
        <v>ICH Icheon (242)</v>
      </c>
      <c r="C137" s="451">
        <f>'Input-FX Rates'!$C$6</f>
        <v>780</v>
      </c>
      <c r="D137" s="451" t="str">
        <f>'Input-FX Rates'!$B$6</f>
        <v>780 BU Controls</v>
      </c>
      <c r="E137" s="451" t="str">
        <f>'Input-FX Rates'!$C$5</f>
        <v>7821 &amp; 7822</v>
      </c>
      <c r="F137" s="451" t="str">
        <f>'Input-FX Rates'!$B$5</f>
        <v>7821 PL Drivetrain Controls (&amp; Electrification)</v>
      </c>
      <c r="G137" s="451" t="s">
        <v>1483</v>
      </c>
      <c r="H137" s="451" t="s">
        <v>496</v>
      </c>
      <c r="I137" s="535"/>
      <c r="J137" s="535"/>
      <c r="K137" s="536">
        <f>'4. Fix Cost (GC)'!B38</f>
        <v>-3632.8856334210932</v>
      </c>
      <c r="L137" s="536">
        <f>'4. Fix Cost (GC)'!C38</f>
        <v>-7105.7795196845918</v>
      </c>
      <c r="M137" s="535"/>
      <c r="N137" s="535"/>
      <c r="O137" s="536">
        <f>'4. Fix Cost (GC)'!Q38</f>
        <v>-6745.7439634482753</v>
      </c>
      <c r="P137" s="536">
        <f>'4. Fix Cost (GC)'!R38</f>
        <v>-2545.5377048275859</v>
      </c>
      <c r="Q137" s="535"/>
      <c r="R137" s="535"/>
      <c r="S137" s="535"/>
      <c r="T137" s="535"/>
      <c r="U137" s="535"/>
      <c r="V137" s="535"/>
      <c r="W137" s="536">
        <f>'4. Fix Cost (GC)'!E38</f>
        <v>-558.23395862068969</v>
      </c>
      <c r="X137" s="536">
        <f>'4. Fix Cost (GC)'!F38</f>
        <v>-558.23395862068969</v>
      </c>
      <c r="Y137" s="536">
        <f>'4. Fix Cost (GC)'!G38</f>
        <v>-558.23395862068969</v>
      </c>
      <c r="Z137" s="536">
        <f>'4. Fix Cost (GC)'!H38</f>
        <v>-559.02666689655177</v>
      </c>
      <c r="AA137" s="536">
        <f>'4. Fix Cost (GC)'!I38</f>
        <v>-559.02666689655177</v>
      </c>
      <c r="AB137" s="536">
        <f>'4. Fix Cost (GC)'!J38</f>
        <v>-559.69333379310342</v>
      </c>
      <c r="AC137" s="536">
        <f>'4. Fix Cost (GC)'!K38</f>
        <v>-560.50583379310342</v>
      </c>
      <c r="AD137" s="536">
        <f>'4. Fix Cost (GC)'!L38</f>
        <v>-566.5579172413793</v>
      </c>
      <c r="AE137" s="536">
        <f>'4. Fix Cost (GC)'!M38</f>
        <v>-566.5579172413793</v>
      </c>
      <c r="AF137" s="536">
        <f>'4. Fix Cost (GC)'!N38</f>
        <v>-566.5579172413793</v>
      </c>
      <c r="AG137" s="536">
        <f>'4. Fix Cost (GC)'!O38</f>
        <v>-566.5579172413793</v>
      </c>
      <c r="AH137" s="536">
        <f>'4. Fix Cost (GC)'!P38</f>
        <v>-566.5579172413793</v>
      </c>
      <c r="AI137" s="535"/>
      <c r="AJ137" s="535"/>
      <c r="AK137" s="535"/>
      <c r="AL137" s="535"/>
      <c r="AM137" s="535"/>
      <c r="AN137" s="535"/>
      <c r="AO137" s="451" t="str">
        <f>'4. Fix Cost (GC)'!W38</f>
        <v/>
      </c>
      <c r="AP137" s="451">
        <v>101</v>
      </c>
      <c r="AQ137" s="451" t="str">
        <f>Settings!$A$1</f>
        <v>V2</v>
      </c>
      <c r="AR137" s="867"/>
    </row>
    <row r="138" spans="1:44" ht="12.75" customHeight="1">
      <c r="A138" s="451">
        <f>'Input-FX Rates'!$C$4</f>
        <v>242</v>
      </c>
      <c r="B138" s="451" t="str">
        <f>'Input-FX Rates'!$B$4</f>
        <v>ICH Icheon (242)</v>
      </c>
      <c r="C138" s="451">
        <f>'Input-FX Rates'!$C$6</f>
        <v>780</v>
      </c>
      <c r="D138" s="451" t="str">
        <f>'Input-FX Rates'!$B$6</f>
        <v>780 BU Controls</v>
      </c>
      <c r="E138" s="451" t="str">
        <f>'Input-FX Rates'!$C$5</f>
        <v>7821 &amp; 7822</v>
      </c>
      <c r="F138" s="451" t="str">
        <f>'Input-FX Rates'!$B$5</f>
        <v>7821 PL Drivetrain Controls (&amp; Electrification)</v>
      </c>
      <c r="G138" s="451" t="s">
        <v>1483</v>
      </c>
      <c r="H138" s="451" t="s">
        <v>471</v>
      </c>
      <c r="I138" s="535"/>
      <c r="J138" s="535"/>
      <c r="K138" s="536">
        <f>'4. Fix Cost (GC)'!B40</f>
        <v>-5518.2167201038783</v>
      </c>
      <c r="L138" s="536">
        <f>'4. Fix Cost (GC)'!C40</f>
        <v>-10801.512879565285</v>
      </c>
      <c r="M138" s="535"/>
      <c r="N138" s="535"/>
      <c r="O138" s="536">
        <f>'4. Fix Cost (GC)'!Q40</f>
        <v>-10089.061388965516</v>
      </c>
      <c r="P138" s="536">
        <f>'4. Fix Cost (GC)'!R40</f>
        <v>-6153.7177048275862</v>
      </c>
      <c r="Q138" s="535"/>
      <c r="R138" s="535"/>
      <c r="S138" s="535"/>
      <c r="T138" s="535"/>
      <c r="U138" s="535"/>
      <c r="V138" s="535"/>
      <c r="W138" s="536">
        <f>'4. Fix Cost (GC)'!E40</f>
        <v>-831.90396965517243</v>
      </c>
      <c r="X138" s="536">
        <f>'4. Fix Cost (GC)'!F40</f>
        <v>-843.34484827586209</v>
      </c>
      <c r="Y138" s="536">
        <f>'4. Fix Cost (GC)'!G40</f>
        <v>-828.80777655172415</v>
      </c>
      <c r="Z138" s="536">
        <f>'4. Fix Cost (GC)'!H40</f>
        <v>-800.48374896551741</v>
      </c>
      <c r="AA138" s="536">
        <f>'4. Fix Cost (GC)'!I40</f>
        <v>-815.45350137931041</v>
      </c>
      <c r="AB138" s="536">
        <f>'4. Fix Cost (GC)'!J40</f>
        <v>-818.88432551724134</v>
      </c>
      <c r="AC138" s="536">
        <f>'4. Fix Cost (GC)'!K40</f>
        <v>-874.20941379310352</v>
      </c>
      <c r="AD138" s="536">
        <f>'4. Fix Cost (GC)'!L40</f>
        <v>-897.69055655172417</v>
      </c>
      <c r="AE138" s="536">
        <f>'4. Fix Cost (GC)'!M40</f>
        <v>-855.81340965517245</v>
      </c>
      <c r="AF138" s="536">
        <f>'4. Fix Cost (GC)'!N40</f>
        <v>-837.88400137931023</v>
      </c>
      <c r="AG138" s="536">
        <f>'4. Fix Cost (GC)'!O40</f>
        <v>-843.56286482758628</v>
      </c>
      <c r="AH138" s="536">
        <f>'4. Fix Cost (GC)'!P40</f>
        <v>-841.02297241379313</v>
      </c>
      <c r="AI138" s="535"/>
      <c r="AJ138" s="535"/>
      <c r="AK138" s="535"/>
      <c r="AL138" s="535"/>
      <c r="AM138" s="535"/>
      <c r="AN138" s="535"/>
      <c r="AO138" s="451" t="str">
        <f>'4. Fix Cost (GC)'!W40</f>
        <v/>
      </c>
      <c r="AP138" s="451">
        <v>102</v>
      </c>
      <c r="AQ138" s="451" t="str">
        <f>Settings!$A$1</f>
        <v>V2</v>
      </c>
      <c r="AR138" s="867"/>
    </row>
    <row r="139" spans="1:44" s="537" customFormat="1" ht="12.75" customHeight="1">
      <c r="A139" s="537">
        <f>'Input-FX Rates'!$C$4</f>
        <v>242</v>
      </c>
      <c r="B139" s="537" t="str">
        <f>'Input-FX Rates'!$B$4</f>
        <v>ICH Icheon (242)</v>
      </c>
      <c r="C139" s="537">
        <f>'Input-FX Rates'!$C$6</f>
        <v>780</v>
      </c>
      <c r="D139" s="537" t="str">
        <f>'Input-FX Rates'!$B$6</f>
        <v>780 BU Controls</v>
      </c>
      <c r="E139" s="537" t="str">
        <f>'Input-FX Rates'!$C$5</f>
        <v>7821 &amp; 7822</v>
      </c>
      <c r="F139" s="537" t="str">
        <f>'Input-FX Rates'!$B$5</f>
        <v>7821 PL Drivetrain Controls (&amp; Electrification)</v>
      </c>
      <c r="G139" s="537" t="s">
        <v>1483</v>
      </c>
      <c r="H139" s="537" t="s">
        <v>497</v>
      </c>
      <c r="I139" s="538"/>
      <c r="J139" s="538"/>
      <c r="K139" s="539">
        <f>'4. Fix Cost (GC)'!B42</f>
        <v>-1671.3890970041834</v>
      </c>
      <c r="L139" s="539">
        <f>'4. Fix Cost (GC)'!C42</f>
        <v>-3311.9700760317091</v>
      </c>
      <c r="M139" s="538"/>
      <c r="N139" s="538"/>
      <c r="O139" s="539">
        <f>'4. Fix Cost (GC)'!Q42</f>
        <v>-2655.4436220689654</v>
      </c>
      <c r="P139" s="539">
        <f>'4. Fix Cost (GC)'!R42</f>
        <v>-3508.18</v>
      </c>
      <c r="Q139" s="538"/>
      <c r="R139" s="538"/>
      <c r="S139" s="538"/>
      <c r="T139" s="538"/>
      <c r="U139" s="538"/>
      <c r="V139" s="538"/>
      <c r="W139" s="539">
        <f>'4. Fix Cost (GC)'!E42</f>
        <v>-215.75021379310346</v>
      </c>
      <c r="X139" s="539">
        <f>'4. Fix Cost (GC)'!F42</f>
        <v>-211.35925931034481</v>
      </c>
      <c r="Y139" s="539">
        <f>'4. Fix Cost (GC)'!G42</f>
        <v>-211.65470965517238</v>
      </c>
      <c r="Z139" s="539">
        <f>'4. Fix Cost (GC)'!H42</f>
        <v>-193.88099931034483</v>
      </c>
      <c r="AA139" s="539">
        <f>'4. Fix Cost (GC)'!I42</f>
        <v>-204.54391517241382</v>
      </c>
      <c r="AB139" s="539">
        <f>'4. Fix Cost (GC)'!J42</f>
        <v>-208.76429586206896</v>
      </c>
      <c r="AC139" s="539">
        <f>'4. Fix Cost (GC)'!K42</f>
        <v>-266.81220896551724</v>
      </c>
      <c r="AD139" s="539">
        <f>'4. Fix Cost (GC)'!L42</f>
        <v>-235.64112827586206</v>
      </c>
      <c r="AE139" s="539">
        <f>'4. Fix Cost (GC)'!M42</f>
        <v>-228.12772206896551</v>
      </c>
      <c r="AF139" s="539">
        <f>'4. Fix Cost (GC)'!N42</f>
        <v>-226.34156827586204</v>
      </c>
      <c r="AG139" s="539">
        <f>'4. Fix Cost (GC)'!O42</f>
        <v>-222.89573103448276</v>
      </c>
      <c r="AH139" s="539">
        <f>'4. Fix Cost (GC)'!P42</f>
        <v>-229.6718703448276</v>
      </c>
      <c r="AI139" s="538"/>
      <c r="AJ139" s="538"/>
      <c r="AK139" s="538"/>
      <c r="AL139" s="538"/>
      <c r="AM139" s="538"/>
      <c r="AN139" s="538"/>
      <c r="AO139" s="537" t="str">
        <f>'4. Fix Cost (GC)'!W42</f>
        <v/>
      </c>
      <c r="AP139" s="537">
        <v>103</v>
      </c>
      <c r="AQ139" s="537" t="str">
        <f>Settings!$A$1</f>
        <v>V2</v>
      </c>
      <c r="AR139" s="868"/>
    </row>
    <row r="140" spans="1:44" ht="12.75" customHeight="1">
      <c r="A140" s="451">
        <f>'Input-FX Rates'!$C$4</f>
        <v>242</v>
      </c>
      <c r="B140" s="451" t="str">
        <f>'Input-FX Rates'!$B$4</f>
        <v>ICH Icheon (242)</v>
      </c>
      <c r="C140" s="451">
        <f>'Input-FX Rates'!$C$6</f>
        <v>780</v>
      </c>
      <c r="D140" s="451" t="str">
        <f>'Input-FX Rates'!$B$6</f>
        <v>780 BU Controls</v>
      </c>
      <c r="E140" s="451" t="str">
        <f>'Input-FX Rates'!$C$5</f>
        <v>7821 &amp; 7822</v>
      </c>
      <c r="F140" s="451" t="str">
        <f>'Input-FX Rates'!$B$5</f>
        <v>7821 PL Drivetrain Controls (&amp; Electrification)</v>
      </c>
      <c r="G140" s="451" t="s">
        <v>1484</v>
      </c>
      <c r="H140" s="451" t="s">
        <v>195</v>
      </c>
      <c r="I140" s="535"/>
      <c r="J140" s="535"/>
      <c r="K140" s="536">
        <f>'5.  Logistic Cost (GC)'!B6</f>
        <v>55718.001789595619</v>
      </c>
      <c r="L140" s="536">
        <f>'5.  Logistic Cost (GC)'!C6</f>
        <v>100126.74994033898</v>
      </c>
      <c r="M140" s="536">
        <f>'5.  Logistic Cost (GC)'!D6</f>
        <v>3022.7447892794153</v>
      </c>
      <c r="N140" s="536">
        <f>'5.  Logistic Cost (GC)'!E6</f>
        <v>97104.00515105958</v>
      </c>
      <c r="O140" s="536">
        <f>'5.  Logistic Cost (GC)'!M6</f>
        <v>87874.142590344825</v>
      </c>
      <c r="P140" s="536">
        <f>'5.  Logistic Cost (GC)'!L6</f>
        <v>0</v>
      </c>
      <c r="Q140" s="536">
        <f>'5.  Logistic Cost (GC)'!F6</f>
        <v>-5202.0327006265215</v>
      </c>
      <c r="R140" s="536">
        <f>'5.  Logistic Cost (GC)'!G6</f>
        <v>0</v>
      </c>
      <c r="S140" s="536">
        <f>'5.  Logistic Cost (GC)'!H6</f>
        <v>-1878.0395368420614</v>
      </c>
      <c r="T140" s="536">
        <f>'5.  Logistic Cost (GC)'!I6</f>
        <v>0</v>
      </c>
      <c r="U140" s="536">
        <f>'5.  Logistic Cost (GC)'!J6</f>
        <v>749.9571807719625</v>
      </c>
      <c r="V140" s="536">
        <f>'5.  Logistic Cost (GC)'!K6</f>
        <v>-2899.7475040181307</v>
      </c>
      <c r="W140" s="535"/>
      <c r="X140" s="535"/>
      <c r="Y140" s="535"/>
      <c r="Z140" s="535"/>
      <c r="AA140" s="535"/>
      <c r="AB140" s="535"/>
      <c r="AC140" s="535"/>
      <c r="AD140" s="535"/>
      <c r="AE140" s="535"/>
      <c r="AF140" s="535"/>
      <c r="AG140" s="535"/>
      <c r="AH140" s="535"/>
      <c r="AI140" s="535"/>
      <c r="AJ140" s="535"/>
      <c r="AK140" s="535"/>
      <c r="AL140" s="535"/>
      <c r="AM140" s="535"/>
      <c r="AN140" s="535"/>
      <c r="AO140" s="451" t="str">
        <f>'5.  Logistic Cost (GC)'!O6</f>
        <v/>
      </c>
      <c r="AP140" s="451">
        <v>104</v>
      </c>
      <c r="AQ140" s="451" t="str">
        <f>Settings!$A$1</f>
        <v>V2</v>
      </c>
    </row>
    <row r="141" spans="1:44" ht="12.75" customHeight="1">
      <c r="A141" s="451">
        <f>'Input-FX Rates'!$C$4</f>
        <v>242</v>
      </c>
      <c r="B141" s="451" t="str">
        <f>'Input-FX Rates'!$B$4</f>
        <v>ICH Icheon (242)</v>
      </c>
      <c r="C141" s="451">
        <f>'Input-FX Rates'!$C$6</f>
        <v>780</v>
      </c>
      <c r="D141" s="451" t="str">
        <f>'Input-FX Rates'!$B$6</f>
        <v>780 BU Controls</v>
      </c>
      <c r="E141" s="451" t="str">
        <f>'Input-FX Rates'!$C$5</f>
        <v>7821 &amp; 7822</v>
      </c>
      <c r="F141" s="451" t="str">
        <f>'Input-FX Rates'!$B$5</f>
        <v>7821 PL Drivetrain Controls (&amp; Electrification)</v>
      </c>
      <c r="G141" s="451" t="s">
        <v>1484</v>
      </c>
      <c r="H141" s="451" t="s">
        <v>508</v>
      </c>
      <c r="I141" s="535"/>
      <c r="J141" s="535"/>
      <c r="K141" s="536">
        <f>'5.  Logistic Cost (GC)'!B7</f>
        <v>56065.221779407824</v>
      </c>
      <c r="L141" s="536">
        <f>'5.  Logistic Cost (GC)'!C7</f>
        <v>95989.283423216315</v>
      </c>
      <c r="M141" s="536">
        <f>'5.  Logistic Cost (GC)'!D7</f>
        <v>3022.7447892794153</v>
      </c>
      <c r="N141" s="536">
        <f>'5.  Logistic Cost (GC)'!E7</f>
        <v>92966.5386339369</v>
      </c>
      <c r="O141" s="536">
        <f>'5.  Logistic Cost (GC)'!M7</f>
        <v>87148.142590000003</v>
      </c>
      <c r="P141" s="536">
        <f>'5.  Logistic Cost (GC)'!L7</f>
        <v>0</v>
      </c>
      <c r="Q141" s="536">
        <f>'5.  Logistic Cost (GC)'!F7</f>
        <v>0</v>
      </c>
      <c r="R141" s="536">
        <f>'5.  Logistic Cost (GC)'!G7</f>
        <v>0</v>
      </c>
      <c r="S141" s="536">
        <f>'5.  Logistic Cost (GC)'!H7</f>
        <v>0</v>
      </c>
      <c r="T141" s="536">
        <f>'5.  Logistic Cost (GC)'!I7</f>
        <v>0</v>
      </c>
      <c r="U141" s="536">
        <f>'5.  Logistic Cost (GC)'!J7</f>
        <v>0</v>
      </c>
      <c r="V141" s="536">
        <f>'5.  Logistic Cost (GC)'!K7</f>
        <v>-2875.7903235909907</v>
      </c>
      <c r="W141" s="535"/>
      <c r="X141" s="535"/>
      <c r="Y141" s="535"/>
      <c r="Z141" s="535"/>
      <c r="AA141" s="535"/>
      <c r="AB141" s="535"/>
      <c r="AC141" s="535"/>
      <c r="AD141" s="535"/>
      <c r="AE141" s="535"/>
      <c r="AF141" s="535"/>
      <c r="AG141" s="535"/>
      <c r="AH141" s="535"/>
      <c r="AI141" s="535"/>
      <c r="AJ141" s="535"/>
      <c r="AK141" s="535"/>
      <c r="AL141" s="535"/>
      <c r="AM141" s="535"/>
      <c r="AN141" s="535"/>
      <c r="AO141" s="451" t="str">
        <f>'5.  Logistic Cost (GC)'!O7</f>
        <v/>
      </c>
      <c r="AP141" s="451">
        <v>105</v>
      </c>
      <c r="AQ141" s="451" t="str">
        <f>Settings!$A$1</f>
        <v>V2</v>
      </c>
    </row>
    <row r="142" spans="1:44" ht="12.75" customHeight="1">
      <c r="A142" s="451">
        <f>'Input-FX Rates'!$C$4</f>
        <v>242</v>
      </c>
      <c r="B142" s="451" t="str">
        <f>'Input-FX Rates'!$B$4</f>
        <v>ICH Icheon (242)</v>
      </c>
      <c r="C142" s="451">
        <f>'Input-FX Rates'!$C$6</f>
        <v>780</v>
      </c>
      <c r="D142" s="451" t="str">
        <f>'Input-FX Rates'!$B$6</f>
        <v>780 BU Controls</v>
      </c>
      <c r="E142" s="451" t="str">
        <f>'Input-FX Rates'!$C$5</f>
        <v>7821 &amp; 7822</v>
      </c>
      <c r="F142" s="451" t="str">
        <f>'Input-FX Rates'!$B$5</f>
        <v>7821 PL Drivetrain Controls (&amp; Electrification)</v>
      </c>
      <c r="G142" s="451" t="s">
        <v>1484</v>
      </c>
      <c r="H142" s="451" t="s">
        <v>509</v>
      </c>
      <c r="I142" s="535"/>
      <c r="J142" s="535"/>
      <c r="K142" s="536">
        <f>'5.  Logistic Cost (GC)'!B8</f>
        <v>-1304.5844788914935</v>
      </c>
      <c r="L142" s="536">
        <f>'5.  Logistic Cost (GC)'!C8</f>
        <v>-2470.1215735874152</v>
      </c>
      <c r="M142" s="536">
        <f>'5.  Logistic Cost (GC)'!D8</f>
        <v>-309.99885335295198</v>
      </c>
      <c r="N142" s="536">
        <f>'5.  Logistic Cost (GC)'!E8</f>
        <v>-2160.122720234463</v>
      </c>
      <c r="O142" s="536">
        <f>'5.  Logistic Cost (GC)'!M8</f>
        <v>-1645.5438751911192</v>
      </c>
      <c r="P142" s="536">
        <f>'5.  Logistic Cost (GC)'!L8</f>
        <v>0</v>
      </c>
      <c r="Q142" s="536">
        <f>'5.  Logistic Cost (GC)'!F8</f>
        <v>115.72152043128573</v>
      </c>
      <c r="R142" s="536">
        <f>'5.  Logistic Cost (GC)'!G8</f>
        <v>64.255379434234925</v>
      </c>
      <c r="S142" s="536">
        <f>'5.  Logistic Cost (GC)'!H8</f>
        <v>-8.1257316017089085</v>
      </c>
      <c r="T142" s="536">
        <f>'5.  Logistic Cost (GC)'!I8</f>
        <v>112.53917149529522</v>
      </c>
      <c r="U142" s="536">
        <f>'5.  Logistic Cost (GC)'!J8</f>
        <v>0</v>
      </c>
      <c r="V142" s="536">
        <f>'5.  Logistic Cost (GC)'!K8</f>
        <v>54.301090220390279</v>
      </c>
      <c r="W142" s="535"/>
      <c r="X142" s="535"/>
      <c r="Y142" s="535"/>
      <c r="Z142" s="535"/>
      <c r="AA142" s="535"/>
      <c r="AB142" s="535"/>
      <c r="AC142" s="535"/>
      <c r="AD142" s="535"/>
      <c r="AE142" s="535"/>
      <c r="AF142" s="535"/>
      <c r="AG142" s="535"/>
      <c r="AH142" s="535"/>
      <c r="AI142" s="535"/>
      <c r="AJ142" s="535"/>
      <c r="AK142" s="535"/>
      <c r="AL142" s="535"/>
      <c r="AM142" s="535"/>
      <c r="AN142" s="535"/>
      <c r="AO142" s="451" t="str">
        <f>'5.  Logistic Cost (GC)'!O8</f>
        <v/>
      </c>
      <c r="AP142" s="451">
        <v>106</v>
      </c>
      <c r="AQ142" s="451" t="str">
        <f>Settings!$A$1</f>
        <v>V2</v>
      </c>
      <c r="AR142"/>
    </row>
    <row r="143" spans="1:44" ht="12.75" customHeight="1">
      <c r="A143" s="451">
        <f>'Input-FX Rates'!$C$4</f>
        <v>242</v>
      </c>
      <c r="B143" s="451" t="str">
        <f>'Input-FX Rates'!$B$4</f>
        <v>ICH Icheon (242)</v>
      </c>
      <c r="C143" s="451">
        <f>'Input-FX Rates'!$C$6</f>
        <v>780</v>
      </c>
      <c r="D143" s="451" t="str">
        <f>'Input-FX Rates'!$B$6</f>
        <v>780 BU Controls</v>
      </c>
      <c r="E143" s="451" t="str">
        <f>'Input-FX Rates'!$C$5</f>
        <v>7821 &amp; 7822</v>
      </c>
      <c r="F143" s="451" t="str">
        <f>'Input-FX Rates'!$B$5</f>
        <v>7821 PL Drivetrain Controls (&amp; Electrification)</v>
      </c>
      <c r="G143" s="451" t="s">
        <v>1484</v>
      </c>
      <c r="H143" s="451" t="s">
        <v>511</v>
      </c>
      <c r="I143" s="535"/>
      <c r="J143" s="535"/>
      <c r="K143" s="536">
        <f>'5.  Logistic Cost (GC)'!B10</f>
        <v>-738.9754260972378</v>
      </c>
      <c r="L143" s="536">
        <f>'5.  Logistic Cost (GC)'!C10</f>
        <v>-1408.8599338580766</v>
      </c>
      <c r="M143" s="536">
        <f>'5.  Logistic Cost (GC)'!D10</f>
        <v>-233.03029705898669</v>
      </c>
      <c r="N143" s="536">
        <f>'5.  Logistic Cost (GC)'!E10</f>
        <v>-1175.8296367990899</v>
      </c>
      <c r="O143" s="536">
        <f>'5.  Logistic Cost (GC)'!M10</f>
        <v>-862.35438400199155</v>
      </c>
      <c r="P143" s="536">
        <f>'5.  Logistic Cost (GC)'!L10</f>
        <v>0</v>
      </c>
      <c r="Q143" s="536">
        <f>'5.  Logistic Cost (GC)'!F10</f>
        <v>62.990846333410403</v>
      </c>
      <c r="R143" s="536">
        <f>'5.  Logistic Cost (GC)'!G10</f>
        <v>64.255379434234925</v>
      </c>
      <c r="S143" s="536">
        <f>'5.  Logistic Cost (GC)'!H10</f>
        <v>-4.0831651685416741</v>
      </c>
      <c r="T143" s="536">
        <f>'5.  Logistic Cost (GC)'!I10</f>
        <v>112.53917149529522</v>
      </c>
      <c r="U143" s="536">
        <f>'5.  Logistic Cost (GC)'!J10</f>
        <v>49.316299545870649</v>
      </c>
      <c r="V143" s="536">
        <f>'5.  Logistic Cost (GC)'!K10</f>
        <v>28.456721156828849</v>
      </c>
      <c r="W143" s="535"/>
      <c r="X143" s="535"/>
      <c r="Y143" s="535"/>
      <c r="Z143" s="535"/>
      <c r="AA143" s="535"/>
      <c r="AB143" s="535"/>
      <c r="AC143" s="535"/>
      <c r="AD143" s="535"/>
      <c r="AE143" s="535"/>
      <c r="AF143" s="535"/>
      <c r="AG143" s="535"/>
      <c r="AH143" s="535"/>
      <c r="AI143" s="535"/>
      <c r="AJ143" s="535"/>
      <c r="AK143" s="535"/>
      <c r="AL143" s="535"/>
      <c r="AM143" s="535"/>
      <c r="AN143" s="535"/>
      <c r="AO143" s="451" t="str">
        <f>'5.  Logistic Cost (GC)'!O10</f>
        <v/>
      </c>
      <c r="AP143" s="451">
        <v>107</v>
      </c>
      <c r="AQ143" s="451" t="str">
        <f>Settings!$A$1</f>
        <v>V2</v>
      </c>
      <c r="AR143"/>
    </row>
    <row r="144" spans="1:44" ht="12.75" customHeight="1">
      <c r="A144" s="451">
        <f>'Input-FX Rates'!$C$4</f>
        <v>242</v>
      </c>
      <c r="B144" s="451" t="str">
        <f>'Input-FX Rates'!$B$4</f>
        <v>ICH Icheon (242)</v>
      </c>
      <c r="C144" s="451">
        <f>'Input-FX Rates'!$C$6</f>
        <v>780</v>
      </c>
      <c r="D144" s="451" t="str">
        <f>'Input-FX Rates'!$B$6</f>
        <v>780 BU Controls</v>
      </c>
      <c r="E144" s="451" t="str">
        <f>'Input-FX Rates'!$C$5</f>
        <v>7821 &amp; 7822</v>
      </c>
      <c r="F144" s="451" t="str">
        <f>'Input-FX Rates'!$B$5</f>
        <v>7821 PL Drivetrain Controls (&amp; Electrification)</v>
      </c>
      <c r="G144" s="451" t="s">
        <v>1484</v>
      </c>
      <c r="H144" s="451" t="s">
        <v>544</v>
      </c>
      <c r="I144" s="535"/>
      <c r="J144" s="535"/>
      <c r="K144" s="536">
        <f>'5.  Logistic Cost (GC)'!B11</f>
        <v>-99.2249399683527</v>
      </c>
      <c r="L144" s="536">
        <f>'5.  Logistic Cost (GC)'!C11</f>
        <v>-167.67033950819746</v>
      </c>
      <c r="M144" s="536">
        <f>'5.  Logistic Cost (GC)'!D11</f>
        <v>0</v>
      </c>
      <c r="N144" s="536">
        <f>'5.  Logistic Cost (GC)'!E11</f>
        <v>-167.67033950819746</v>
      </c>
      <c r="O144" s="536">
        <f>'5.  Logistic Cost (GC)'!M11</f>
        <v>-109.35885103448275</v>
      </c>
      <c r="P144" s="536">
        <f>'5.  Logistic Cost (GC)'!L11</f>
        <v>0</v>
      </c>
      <c r="Q144" s="536">
        <f>'5.  Logistic Cost (GC)'!F11</f>
        <v>8.9821032874341302</v>
      </c>
      <c r="R144" s="536">
        <f>'5.  Logistic Cost (GC)'!G11</f>
        <v>0</v>
      </c>
      <c r="S144" s="536">
        <f>'5.  Logistic Cost (GC)'!H11</f>
        <v>-4.0831651685416741</v>
      </c>
      <c r="T144" s="536">
        <f>'5.  Logistic Cost (GC)'!I11</f>
        <v>0</v>
      </c>
      <c r="U144" s="536">
        <f>'5.  Logistic Cost (GC)'!J11</f>
        <v>49.80383172631894</v>
      </c>
      <c r="V144" s="536">
        <f>'5.  Logistic Cost (GC)'!K11</f>
        <v>3.6087186285032971</v>
      </c>
      <c r="W144" s="535"/>
      <c r="X144" s="535"/>
      <c r="Y144" s="535"/>
      <c r="Z144" s="535"/>
      <c r="AA144" s="535"/>
      <c r="AB144" s="535"/>
      <c r="AC144" s="535"/>
      <c r="AD144" s="535"/>
      <c r="AE144" s="535"/>
      <c r="AF144" s="535"/>
      <c r="AG144" s="535"/>
      <c r="AH144" s="535"/>
      <c r="AI144" s="535"/>
      <c r="AJ144" s="535"/>
      <c r="AK144" s="535"/>
      <c r="AL144" s="535"/>
      <c r="AM144" s="535"/>
      <c r="AN144" s="535"/>
      <c r="AO144" s="451" t="str">
        <f>'5.  Logistic Cost (GC)'!O11</f>
        <v>1HC Transfer to VK</v>
      </c>
      <c r="AP144" s="451">
        <v>108</v>
      </c>
      <c r="AQ144" s="451" t="str">
        <f>Settings!$A$1</f>
        <v>V2</v>
      </c>
      <c r="AR144"/>
    </row>
    <row r="145" spans="1:44" ht="12.75" customHeight="1">
      <c r="A145" s="451">
        <f>'Input-FX Rates'!$C$4</f>
        <v>242</v>
      </c>
      <c r="B145" s="451" t="str">
        <f>'Input-FX Rates'!$B$4</f>
        <v>ICH Icheon (242)</v>
      </c>
      <c r="C145" s="451">
        <f>'Input-FX Rates'!$C$6</f>
        <v>780</v>
      </c>
      <c r="D145" s="451" t="str">
        <f>'Input-FX Rates'!$B$6</f>
        <v>780 BU Controls</v>
      </c>
      <c r="E145" s="451" t="str">
        <f>'Input-FX Rates'!$C$5</f>
        <v>7821 &amp; 7822</v>
      </c>
      <c r="F145" s="451" t="str">
        <f>'Input-FX Rates'!$B$5</f>
        <v>7821 PL Drivetrain Controls (&amp; Electrification)</v>
      </c>
      <c r="G145" s="451" t="s">
        <v>1484</v>
      </c>
      <c r="H145" s="451" t="s">
        <v>515</v>
      </c>
      <c r="I145" s="535"/>
      <c r="J145" s="535"/>
      <c r="K145" s="536">
        <f>'5.  Logistic Cost (GC)'!B12</f>
        <v>-252.73508612375386</v>
      </c>
      <c r="L145" s="536">
        <f>'5.  Logistic Cost (GC)'!C12</f>
        <v>-576.75053479760572</v>
      </c>
      <c r="M145" s="536">
        <f>'5.  Logistic Cost (GC)'!D12</f>
        <v>0</v>
      </c>
      <c r="N145" s="536">
        <f>'5.  Logistic Cost (GC)'!E12</f>
        <v>-576.75053479760572</v>
      </c>
      <c r="O145" s="536">
        <f>'5.  Logistic Cost (GC)'!M12</f>
        <v>-451.79620551724139</v>
      </c>
      <c r="P145" s="536">
        <f>'5.  Logistic Cost (GC)'!L12</f>
        <v>0</v>
      </c>
      <c r="Q145" s="536">
        <f>'5.  Logistic Cost (GC)'!F12</f>
        <v>30.897352440991295</v>
      </c>
      <c r="R145" s="536">
        <f>'5.  Logistic Cost (GC)'!G12</f>
        <v>79.146948677353237</v>
      </c>
      <c r="S145" s="536">
        <f>'5.  Logistic Cost (GC)'!H12</f>
        <v>0</v>
      </c>
      <c r="T145" s="536">
        <f>'5.  Logistic Cost (GC)'!I12</f>
        <v>0</v>
      </c>
      <c r="U145" s="536">
        <f>'5.  Logistic Cost (GC)'!J12</f>
        <v>1.2634144542753793E-3</v>
      </c>
      <c r="V145" s="536">
        <f>'5.  Logistic Cost (GC)'!K12</f>
        <v>14.908764747565556</v>
      </c>
      <c r="W145" s="535"/>
      <c r="X145" s="535"/>
      <c r="Y145" s="535"/>
      <c r="Z145" s="535"/>
      <c r="AA145" s="535"/>
      <c r="AB145" s="535"/>
      <c r="AC145" s="535"/>
      <c r="AD145" s="535"/>
      <c r="AE145" s="535"/>
      <c r="AF145" s="535"/>
      <c r="AG145" s="535"/>
      <c r="AH145" s="535"/>
      <c r="AI145" s="535"/>
      <c r="AJ145" s="535"/>
      <c r="AK145" s="535"/>
      <c r="AL145" s="535"/>
      <c r="AM145" s="535"/>
      <c r="AN145" s="535"/>
      <c r="AO145" s="451" t="str">
        <f>'5.  Logistic Cost (GC)'!O12</f>
        <v/>
      </c>
      <c r="AP145" s="451">
        <v>109</v>
      </c>
      <c r="AQ145" s="451" t="str">
        <f>Settings!$A$1</f>
        <v>V2</v>
      </c>
      <c r="AR145"/>
    </row>
    <row r="146" spans="1:44" ht="12.75" customHeight="1">
      <c r="A146" s="451">
        <f>'Input-FX Rates'!$C$4</f>
        <v>242</v>
      </c>
      <c r="B146" s="451" t="str">
        <f>'Input-FX Rates'!$B$4</f>
        <v>ICH Icheon (242)</v>
      </c>
      <c r="C146" s="451">
        <f>'Input-FX Rates'!$C$6</f>
        <v>780</v>
      </c>
      <c r="D146" s="451" t="str">
        <f>'Input-FX Rates'!$B$6</f>
        <v>780 BU Controls</v>
      </c>
      <c r="E146" s="451" t="str">
        <f>'Input-FX Rates'!$C$5</f>
        <v>7821 &amp; 7822</v>
      </c>
      <c r="F146" s="451" t="str">
        <f>'Input-FX Rates'!$B$5</f>
        <v>7821 PL Drivetrain Controls (&amp; Electrification)</v>
      </c>
      <c r="G146" s="451" t="s">
        <v>1484</v>
      </c>
      <c r="H146" s="451" t="s">
        <v>517</v>
      </c>
      <c r="I146" s="535"/>
      <c r="J146" s="535"/>
      <c r="K146" s="536">
        <f>'5.  Logistic Cost (GC)'!B13</f>
        <v>-116.67600502602421</v>
      </c>
      <c r="L146" s="536">
        <f>'5.  Logistic Cost (GC)'!C13</f>
        <v>-233.03029705898669</v>
      </c>
      <c r="M146" s="536">
        <f>'5.  Logistic Cost (GC)'!D13</f>
        <v>-233.03029705898669</v>
      </c>
      <c r="N146" s="536">
        <f>'5.  Logistic Cost (GC)'!E13</f>
        <v>0</v>
      </c>
      <c r="O146" s="536">
        <f>'5.  Logistic Cost (GC)'!M13</f>
        <v>0</v>
      </c>
      <c r="P146" s="536">
        <f>'5.  Logistic Cost (GC)'!L13</f>
        <v>0</v>
      </c>
      <c r="Q146" s="536">
        <f>'5.  Logistic Cost (GC)'!F13</f>
        <v>0</v>
      </c>
      <c r="R146" s="536">
        <f>'5.  Logistic Cost (GC)'!G13</f>
        <v>0</v>
      </c>
      <c r="S146" s="536">
        <f>'5.  Logistic Cost (GC)'!H13</f>
        <v>0</v>
      </c>
      <c r="T146" s="536">
        <f>'5.  Logistic Cost (GC)'!I13</f>
        <v>0</v>
      </c>
      <c r="U146" s="536">
        <f>'5.  Logistic Cost (GC)'!J13</f>
        <v>0</v>
      </c>
      <c r="V146" s="536">
        <f>'5.  Logistic Cost (GC)'!K13</f>
        <v>0</v>
      </c>
      <c r="W146" s="535"/>
      <c r="X146" s="535"/>
      <c r="Y146" s="535"/>
      <c r="Z146" s="535"/>
      <c r="AA146" s="535"/>
      <c r="AB146" s="535"/>
      <c r="AC146" s="535"/>
      <c r="AD146" s="535"/>
      <c r="AE146" s="535"/>
      <c r="AF146" s="535"/>
      <c r="AG146" s="535"/>
      <c r="AH146" s="535"/>
      <c r="AI146" s="535"/>
      <c r="AJ146" s="535"/>
      <c r="AK146" s="535"/>
      <c r="AL146" s="535"/>
      <c r="AM146" s="535"/>
      <c r="AN146" s="535"/>
      <c r="AO146" s="451" t="str">
        <f>'5.  Logistic Cost (GC)'!O13</f>
        <v/>
      </c>
      <c r="AP146" s="451">
        <v>110</v>
      </c>
      <c r="AQ146" s="451" t="str">
        <f>Settings!$A$1</f>
        <v>V2</v>
      </c>
      <c r="AR146"/>
    </row>
    <row r="147" spans="1:44" ht="12.75" customHeight="1">
      <c r="A147" s="451">
        <f>'Input-FX Rates'!$C$4</f>
        <v>242</v>
      </c>
      <c r="B147" s="451" t="str">
        <f>'Input-FX Rates'!$B$4</f>
        <v>ICH Icheon (242)</v>
      </c>
      <c r="C147" s="451">
        <f>'Input-FX Rates'!$C$6</f>
        <v>780</v>
      </c>
      <c r="D147" s="451" t="str">
        <f>'Input-FX Rates'!$B$6</f>
        <v>780 BU Controls</v>
      </c>
      <c r="E147" s="451" t="str">
        <f>'Input-FX Rates'!$C$5</f>
        <v>7821 &amp; 7822</v>
      </c>
      <c r="F147" s="451" t="str">
        <f>'Input-FX Rates'!$B$5</f>
        <v>7821 PL Drivetrain Controls (&amp; Electrification)</v>
      </c>
      <c r="G147" s="451" t="s">
        <v>1484</v>
      </c>
      <c r="H147" s="451" t="s">
        <v>519</v>
      </c>
      <c r="I147" s="535"/>
      <c r="J147" s="535"/>
      <c r="K147" s="536">
        <f>'5.  Logistic Cost (GC)'!B14</f>
        <v>0</v>
      </c>
      <c r="L147" s="536">
        <f>'5.  Logistic Cost (GC)'!C14</f>
        <v>0</v>
      </c>
      <c r="M147" s="536">
        <f>'5.  Logistic Cost (GC)'!D14</f>
        <v>0</v>
      </c>
      <c r="N147" s="536">
        <f>'5.  Logistic Cost (GC)'!E14</f>
        <v>0</v>
      </c>
      <c r="O147" s="536">
        <f>'5.  Logistic Cost (GC)'!M14</f>
        <v>0</v>
      </c>
      <c r="P147" s="536">
        <f>'5.  Logistic Cost (GC)'!L14</f>
        <v>0</v>
      </c>
      <c r="Q147" s="536">
        <f>'5.  Logistic Cost (GC)'!F14</f>
        <v>0</v>
      </c>
      <c r="R147" s="536">
        <f>'5.  Logistic Cost (GC)'!G14</f>
        <v>0</v>
      </c>
      <c r="S147" s="536">
        <f>'5.  Logistic Cost (GC)'!H14</f>
        <v>0</v>
      </c>
      <c r="T147" s="536">
        <f>'5.  Logistic Cost (GC)'!I14</f>
        <v>0</v>
      </c>
      <c r="U147" s="536">
        <f>'5.  Logistic Cost (GC)'!J14</f>
        <v>0</v>
      </c>
      <c r="V147" s="536">
        <f>'5.  Logistic Cost (GC)'!K14</f>
        <v>0</v>
      </c>
      <c r="W147" s="535"/>
      <c r="X147" s="535"/>
      <c r="Y147" s="535"/>
      <c r="Z147" s="535"/>
      <c r="AA147" s="535"/>
      <c r="AB147" s="535"/>
      <c r="AC147" s="535"/>
      <c r="AD147" s="535"/>
      <c r="AE147" s="535"/>
      <c r="AF147" s="535"/>
      <c r="AG147" s="535"/>
      <c r="AH147" s="535"/>
      <c r="AI147" s="535"/>
      <c r="AJ147" s="535"/>
      <c r="AK147" s="535"/>
      <c r="AL147" s="535"/>
      <c r="AM147" s="535"/>
      <c r="AN147" s="535"/>
      <c r="AO147" s="451" t="str">
        <f>'5.  Logistic Cost (GC)'!O14</f>
        <v/>
      </c>
      <c r="AP147" s="451">
        <v>111</v>
      </c>
      <c r="AQ147" s="451" t="str">
        <f>Settings!$A$1</f>
        <v>V2</v>
      </c>
      <c r="AR147"/>
    </row>
    <row r="148" spans="1:44" ht="12.75" customHeight="1">
      <c r="A148" s="451">
        <f>'Input-FX Rates'!$C$4</f>
        <v>242</v>
      </c>
      <c r="B148" s="451" t="str">
        <f>'Input-FX Rates'!$B$4</f>
        <v>ICH Icheon (242)</v>
      </c>
      <c r="C148" s="451">
        <f>'Input-FX Rates'!$C$6</f>
        <v>780</v>
      </c>
      <c r="D148" s="451" t="str">
        <f>'Input-FX Rates'!$B$6</f>
        <v>780 BU Controls</v>
      </c>
      <c r="E148" s="451" t="str">
        <f>'Input-FX Rates'!$C$5</f>
        <v>7821 &amp; 7822</v>
      </c>
      <c r="F148" s="451" t="str">
        <f>'Input-FX Rates'!$B$5</f>
        <v>7821 PL Drivetrain Controls (&amp; Electrification)</v>
      </c>
      <c r="G148" s="451" t="s">
        <v>1484</v>
      </c>
      <c r="H148" s="451" t="s">
        <v>521</v>
      </c>
      <c r="I148" s="535"/>
      <c r="J148" s="535"/>
      <c r="K148" s="536">
        <f>'5.  Logistic Cost (GC)'!B15</f>
        <v>-81.964069057991949</v>
      </c>
      <c r="L148" s="536">
        <f>'5.  Logistic Cost (GC)'!C15</f>
        <v>-128.24023160358871</v>
      </c>
      <c r="M148" s="536">
        <f>'5.  Logistic Cost (GC)'!D15</f>
        <v>0</v>
      </c>
      <c r="N148" s="536">
        <f>'5.  Logistic Cost (GC)'!E15</f>
        <v>-128.24023160358871</v>
      </c>
      <c r="O148" s="536">
        <f>'5.  Logistic Cost (GC)'!M15</f>
        <v>-117.96672245940113</v>
      </c>
      <c r="P148" s="536">
        <f>'5.  Logistic Cost (GC)'!L15</f>
        <v>0</v>
      </c>
      <c r="Q148" s="536">
        <f>'5.  Logistic Cost (GC)'!F15</f>
        <v>6.8697986992962656</v>
      </c>
      <c r="R148" s="536">
        <f>'5.  Logistic Cost (GC)'!G15</f>
        <v>0</v>
      </c>
      <c r="S148" s="536">
        <f>'5.  Logistic Cost (GC)'!H15</f>
        <v>0</v>
      </c>
      <c r="T148" s="536">
        <f>'5.  Logistic Cost (GC)'!I15</f>
        <v>0</v>
      </c>
      <c r="U148" s="536">
        <f>'5.  Logistic Cost (GC)'!J15</f>
        <v>-0.48905822317456166</v>
      </c>
      <c r="V148" s="536">
        <f>'5.  Logistic Cost (GC)'!K15</f>
        <v>3.8927686680658837</v>
      </c>
      <c r="W148" s="535"/>
      <c r="X148" s="535"/>
      <c r="Y148" s="535"/>
      <c r="Z148" s="535"/>
      <c r="AA148" s="535"/>
      <c r="AB148" s="535"/>
      <c r="AC148" s="535"/>
      <c r="AD148" s="535"/>
      <c r="AE148" s="535"/>
      <c r="AF148" s="535"/>
      <c r="AG148" s="535"/>
      <c r="AH148" s="535"/>
      <c r="AI148" s="535"/>
      <c r="AJ148" s="535"/>
      <c r="AK148" s="535"/>
      <c r="AL148" s="535"/>
      <c r="AM148" s="535"/>
      <c r="AN148" s="535"/>
      <c r="AO148" s="451" t="str">
        <f>'5.  Logistic Cost (GC)'!O15</f>
        <v/>
      </c>
      <c r="AP148" s="451">
        <v>112</v>
      </c>
      <c r="AQ148" s="451" t="str">
        <f>Settings!$A$1</f>
        <v>V2</v>
      </c>
      <c r="AR148"/>
    </row>
    <row r="149" spans="1:44" ht="12.75" customHeight="1">
      <c r="A149" s="451">
        <f>'Input-FX Rates'!$C$4</f>
        <v>242</v>
      </c>
      <c r="B149" s="451" t="str">
        <f>'Input-FX Rates'!$B$4</f>
        <v>ICH Icheon (242)</v>
      </c>
      <c r="C149" s="451">
        <f>'Input-FX Rates'!$C$6</f>
        <v>780</v>
      </c>
      <c r="D149" s="451" t="str">
        <f>'Input-FX Rates'!$B$6</f>
        <v>780 BU Controls</v>
      </c>
      <c r="E149" s="451" t="str">
        <f>'Input-FX Rates'!$C$5</f>
        <v>7821 &amp; 7822</v>
      </c>
      <c r="F149" s="451" t="str">
        <f>'Input-FX Rates'!$B$5</f>
        <v>7821 PL Drivetrain Controls (&amp; Electrification)</v>
      </c>
      <c r="G149" s="451" t="s">
        <v>1484</v>
      </c>
      <c r="H149" s="451" t="s">
        <v>523</v>
      </c>
      <c r="I149" s="535"/>
      <c r="J149" s="535"/>
      <c r="K149" s="536">
        <f>'5.  Logistic Cost (GC)'!B16</f>
        <v>-167.74263745259512</v>
      </c>
      <c r="L149" s="536">
        <f>'5.  Logistic Cost (GC)'!C16</f>
        <v>-262.44859392592753</v>
      </c>
      <c r="M149" s="536">
        <f>'5.  Logistic Cost (GC)'!D16</f>
        <v>0</v>
      </c>
      <c r="N149" s="536">
        <f>'5.  Logistic Cost (GC)'!E16</f>
        <v>-262.44859392592753</v>
      </c>
      <c r="O149" s="536">
        <f>'5.  Logistic Cost (GC)'!M16</f>
        <v>-131.50933257707305</v>
      </c>
      <c r="P149" s="536">
        <f>'5.  Logistic Cost (GC)'!L16</f>
        <v>0</v>
      </c>
      <c r="Q149" s="536">
        <f>'5.  Logistic Cost (GC)'!F16</f>
        <v>14.060183255139593</v>
      </c>
      <c r="R149" s="536">
        <f>'5.  Logistic Cost (GC)'!G16</f>
        <v>0</v>
      </c>
      <c r="S149" s="536">
        <f>'5.  Logistic Cost (GC)'!H16</f>
        <v>0</v>
      </c>
      <c r="T149" s="536">
        <f>'5.  Logistic Cost (GC)'!I16</f>
        <v>112.53917149529522</v>
      </c>
      <c r="U149" s="536">
        <f>'5.  Logistic Cost (GC)'!J16</f>
        <v>2.4708477614382072E-4</v>
      </c>
      <c r="V149" s="536">
        <f>'5.  Logistic Cost (GC)'!K16</f>
        <v>4.3396595136435394</v>
      </c>
      <c r="W149" s="535"/>
      <c r="X149" s="535"/>
      <c r="Y149" s="535"/>
      <c r="Z149" s="535"/>
      <c r="AA149" s="535"/>
      <c r="AB149" s="535"/>
      <c r="AC149" s="535"/>
      <c r="AD149" s="535"/>
      <c r="AE149" s="535"/>
      <c r="AF149" s="535"/>
      <c r="AG149" s="535"/>
      <c r="AH149" s="535"/>
      <c r="AI149" s="535"/>
      <c r="AJ149" s="535"/>
      <c r="AK149" s="535"/>
      <c r="AL149" s="535"/>
      <c r="AM149" s="535"/>
      <c r="AN149" s="535"/>
      <c r="AO149" s="451" t="str">
        <f>'5.  Logistic Cost (GC)'!O16</f>
        <v>Gen2 Motor duty improvement</v>
      </c>
      <c r="AP149" s="451">
        <v>1121</v>
      </c>
      <c r="AQ149" s="451" t="str">
        <f>Settings!$A$1</f>
        <v>V2</v>
      </c>
      <c r="AR149"/>
    </row>
    <row r="150" spans="1:44" ht="12.75" customHeight="1">
      <c r="A150" s="451">
        <f>'Input-FX Rates'!$C$4</f>
        <v>242</v>
      </c>
      <c r="B150" s="451" t="str">
        <f>'Input-FX Rates'!$B$4</f>
        <v>ICH Icheon (242)</v>
      </c>
      <c r="C150" s="451">
        <f>'Input-FX Rates'!$C$6</f>
        <v>780</v>
      </c>
      <c r="D150" s="451" t="str">
        <f>'Input-FX Rates'!$B$6</f>
        <v>780 BU Controls</v>
      </c>
      <c r="E150" s="451" t="str">
        <f>'Input-FX Rates'!$C$5</f>
        <v>7821 &amp; 7822</v>
      </c>
      <c r="F150" s="451" t="str">
        <f>'Input-FX Rates'!$B$5</f>
        <v>7821 PL Drivetrain Controls (&amp; Electrification)</v>
      </c>
      <c r="G150" s="451" t="s">
        <v>1484</v>
      </c>
      <c r="H150" s="451" t="s">
        <v>546</v>
      </c>
      <c r="I150" s="535"/>
      <c r="J150" s="535"/>
      <c r="K150" s="536">
        <f>'5.  Logistic Cost (GC)'!B17</f>
        <v>-20.63268846851987</v>
      </c>
      <c r="L150" s="536">
        <f>'5.  Logistic Cost (GC)'!C17</f>
        <v>-40.719936963770408</v>
      </c>
      <c r="M150" s="536">
        <f>'5.  Logistic Cost (GC)'!D17</f>
        <v>0</v>
      </c>
      <c r="N150" s="536">
        <f>'5.  Logistic Cost (GC)'!E17</f>
        <v>-40.719936963770408</v>
      </c>
      <c r="O150" s="536">
        <f>'5.  Logistic Cost (GC)'!M17</f>
        <v>-51.723272413793097</v>
      </c>
      <c r="P150" s="536">
        <f>'5.  Logistic Cost (GC)'!L17</f>
        <v>0</v>
      </c>
      <c r="Q150" s="536">
        <f>'5.  Logistic Cost (GC)'!F17</f>
        <v>2.1814086505491201</v>
      </c>
      <c r="R150" s="536">
        <f>'5.  Logistic Cost (GC)'!G17</f>
        <v>-14.891569243118308</v>
      </c>
      <c r="S150" s="536">
        <f>'5.  Logistic Cost (GC)'!H17</f>
        <v>0</v>
      </c>
      <c r="T150" s="536">
        <f>'5.  Logistic Cost (GC)'!I17</f>
        <v>0</v>
      </c>
      <c r="U150" s="536">
        <f>'5.  Logistic Cost (GC)'!J17</f>
        <v>1.5543495848949181E-5</v>
      </c>
      <c r="V150" s="536">
        <f>'5.  Logistic Cost (GC)'!K17</f>
        <v>1.7068095990506507</v>
      </c>
      <c r="W150" s="535"/>
      <c r="X150" s="535"/>
      <c r="Y150" s="535"/>
      <c r="Z150" s="535"/>
      <c r="AA150" s="535"/>
      <c r="AB150" s="535"/>
      <c r="AC150" s="535"/>
      <c r="AD150" s="535"/>
      <c r="AE150" s="535"/>
      <c r="AF150" s="535"/>
      <c r="AG150" s="535"/>
      <c r="AH150" s="535"/>
      <c r="AI150" s="535"/>
      <c r="AJ150" s="535"/>
      <c r="AK150" s="535"/>
      <c r="AL150" s="535"/>
      <c r="AM150" s="535"/>
      <c r="AN150" s="535"/>
      <c r="AO150" s="451" t="str">
        <f>'5.  Logistic Cost (GC)'!O17</f>
        <v/>
      </c>
      <c r="AP150" s="451">
        <v>113</v>
      </c>
      <c r="AQ150" s="451" t="str">
        <f>Settings!$A$1</f>
        <v>V2</v>
      </c>
    </row>
    <row r="151" spans="1:44" ht="12.75" customHeight="1">
      <c r="A151" s="451">
        <f>'Input-FX Rates'!$C$4</f>
        <v>242</v>
      </c>
      <c r="B151" s="451" t="str">
        <f>'Input-FX Rates'!$B$4</f>
        <v>ICH Icheon (242)</v>
      </c>
      <c r="C151" s="451">
        <f>'Input-FX Rates'!$C$6</f>
        <v>780</v>
      </c>
      <c r="D151" s="451" t="str">
        <f>'Input-FX Rates'!$B$6</f>
        <v>780 BU Controls</v>
      </c>
      <c r="E151" s="451" t="str">
        <f>'Input-FX Rates'!$C$5</f>
        <v>7821 &amp; 7822</v>
      </c>
      <c r="F151" s="451" t="str">
        <f>'Input-FX Rates'!$B$5</f>
        <v>7821 PL Drivetrain Controls (&amp; Electrification)</v>
      </c>
      <c r="G151" s="451" t="s">
        <v>1484</v>
      </c>
      <c r="H151" s="451" t="s">
        <v>528</v>
      </c>
      <c r="I151" s="535"/>
      <c r="J151" s="535"/>
      <c r="K151" s="536">
        <f>'5.  Logistic Cost (GC)'!B18</f>
        <v>-565.60905279425583</v>
      </c>
      <c r="L151" s="536">
        <f>'5.  Logistic Cost (GC)'!C18</f>
        <v>-1061.2616397293386</v>
      </c>
      <c r="M151" s="536">
        <f>'5.  Logistic Cost (GC)'!D18</f>
        <v>-76.968556293965307</v>
      </c>
      <c r="N151" s="536">
        <f>'5.  Logistic Cost (GC)'!E18</f>
        <v>-984.29308343537332</v>
      </c>
      <c r="O151" s="536">
        <f>'5.  Logistic Cost (GC)'!M18</f>
        <v>-783.18949118912747</v>
      </c>
      <c r="P151" s="536">
        <f>'5.  Logistic Cost (GC)'!L18</f>
        <v>0</v>
      </c>
      <c r="Q151" s="536">
        <f>'5.  Logistic Cost (GC)'!F18</f>
        <v>52.729961684860768</v>
      </c>
      <c r="R151" s="536">
        <f>'5.  Logistic Cost (GC)'!G18</f>
        <v>0</v>
      </c>
      <c r="S151" s="536">
        <f>'5.  Logistic Cost (GC)'!H18</f>
        <v>-4.0425664331672353</v>
      </c>
      <c r="T151" s="536">
        <f>'5.  Logistic Cost (GC)'!I18</f>
        <v>0</v>
      </c>
      <c r="U151" s="536">
        <f>'5.  Logistic Cost (GC)'!J18</f>
        <v>126.57182793099079</v>
      </c>
      <c r="V151" s="536">
        <f>'5.  Logistic Cost (GC)'!K18</f>
        <v>25.844369063561544</v>
      </c>
      <c r="W151" s="535"/>
      <c r="X151" s="535"/>
      <c r="Y151" s="535"/>
      <c r="Z151" s="535"/>
      <c r="AA151" s="535"/>
      <c r="AB151" s="535"/>
      <c r="AC151" s="535"/>
      <c r="AD151" s="535"/>
      <c r="AE151" s="535"/>
      <c r="AF151" s="535"/>
      <c r="AG151" s="535"/>
      <c r="AH151" s="535"/>
      <c r="AI151" s="535"/>
      <c r="AJ151" s="535"/>
      <c r="AK151" s="535"/>
      <c r="AL151" s="535"/>
      <c r="AM151" s="535"/>
      <c r="AN151" s="535"/>
      <c r="AO151" s="451" t="str">
        <f>'5.  Logistic Cost (GC)'!O18</f>
        <v/>
      </c>
      <c r="AP151" s="451">
        <v>114</v>
      </c>
      <c r="AQ151" s="451" t="str">
        <f>Settings!$A$1</f>
        <v>V2</v>
      </c>
    </row>
    <row r="152" spans="1:44" ht="12.75" customHeight="1">
      <c r="A152" s="451">
        <f>'Input-FX Rates'!$C$4</f>
        <v>242</v>
      </c>
      <c r="B152" s="451" t="str">
        <f>'Input-FX Rates'!$B$4</f>
        <v>ICH Icheon (242)</v>
      </c>
      <c r="C152" s="451">
        <f>'Input-FX Rates'!$C$6</f>
        <v>780</v>
      </c>
      <c r="D152" s="451" t="str">
        <f>'Input-FX Rates'!$B$6</f>
        <v>780 BU Controls</v>
      </c>
      <c r="E152" s="451" t="str">
        <f>'Input-FX Rates'!$C$5</f>
        <v>7821 &amp; 7822</v>
      </c>
      <c r="F152" s="451" t="str">
        <f>'Input-FX Rates'!$B$5</f>
        <v>7821 PL Drivetrain Controls (&amp; Electrification)</v>
      </c>
      <c r="G152" s="451" t="s">
        <v>1484</v>
      </c>
      <c r="H152" s="451" t="s">
        <v>547</v>
      </c>
      <c r="I152" s="535"/>
      <c r="J152" s="535"/>
      <c r="K152" s="536">
        <f>'5.  Logistic Cost (GC)'!B19</f>
        <v>-42.123975368775014</v>
      </c>
      <c r="L152" s="536">
        <f>'5.  Logistic Cost (GC)'!C19</f>
        <v>-79.061399775587375</v>
      </c>
      <c r="M152" s="536">
        <f>'5.  Logistic Cost (GC)'!D19</f>
        <v>0</v>
      </c>
      <c r="N152" s="536">
        <f>'5.  Logistic Cost (GC)'!E19</f>
        <v>-79.061399775587375</v>
      </c>
      <c r="O152" s="536">
        <f>'5.  Logistic Cost (GC)'!M19</f>
        <v>-108.27150068965518</v>
      </c>
      <c r="P152" s="536">
        <f>'5.  Logistic Cost (GC)'!L19</f>
        <v>0</v>
      </c>
      <c r="Q152" s="536">
        <f>'5.  Logistic Cost (GC)'!F19</f>
        <v>4.2352953714939643</v>
      </c>
      <c r="R152" s="536">
        <f>'5.  Logistic Cost (GC)'!G19</f>
        <v>0</v>
      </c>
      <c r="S152" s="536">
        <f>'5.  Logistic Cost (GC)'!H19</f>
        <v>-4.0425664331672353</v>
      </c>
      <c r="T152" s="536">
        <f>'5.  Logistic Cost (GC)'!I19</f>
        <v>0</v>
      </c>
      <c r="U152" s="536">
        <f>'5.  Logistic Cost (GC)'!J19</f>
        <v>-32.975667147032567</v>
      </c>
      <c r="V152" s="536">
        <f>'5.  Logistic Cost (GC)'!K19</f>
        <v>3.5728372946380347</v>
      </c>
      <c r="W152" s="535"/>
      <c r="X152" s="535"/>
      <c r="Y152" s="535"/>
      <c r="Z152" s="535"/>
      <c r="AA152" s="535"/>
      <c r="AB152" s="535"/>
      <c r="AC152" s="535"/>
      <c r="AD152" s="535"/>
      <c r="AE152" s="535"/>
      <c r="AF152" s="535"/>
      <c r="AG152" s="535"/>
      <c r="AH152" s="535"/>
      <c r="AI152" s="535"/>
      <c r="AJ152" s="535"/>
      <c r="AK152" s="535"/>
      <c r="AL152" s="535"/>
      <c r="AM152" s="535"/>
      <c r="AN152" s="535"/>
      <c r="AO152" s="451" t="str">
        <f>'5.  Logistic Cost (GC)'!O19</f>
        <v>1HC Transfer to VK</v>
      </c>
      <c r="AP152" s="451">
        <v>115</v>
      </c>
      <c r="AQ152" s="451" t="str">
        <f>Settings!$A$1</f>
        <v>V2</v>
      </c>
    </row>
    <row r="153" spans="1:44" ht="12.75" customHeight="1">
      <c r="A153" s="451">
        <f>'Input-FX Rates'!$C$4</f>
        <v>242</v>
      </c>
      <c r="B153" s="451" t="str">
        <f>'Input-FX Rates'!$B$4</f>
        <v>ICH Icheon (242)</v>
      </c>
      <c r="C153" s="451">
        <f>'Input-FX Rates'!$C$6</f>
        <v>780</v>
      </c>
      <c r="D153" s="451" t="str">
        <f>'Input-FX Rates'!$B$6</f>
        <v>780 BU Controls</v>
      </c>
      <c r="E153" s="451" t="str">
        <f>'Input-FX Rates'!$C$5</f>
        <v>7821 &amp; 7822</v>
      </c>
      <c r="F153" s="451" t="str">
        <f>'Input-FX Rates'!$B$5</f>
        <v>7821 PL Drivetrain Controls (&amp; Electrification)</v>
      </c>
      <c r="G153" s="451" t="s">
        <v>1484</v>
      </c>
      <c r="H153" s="451" t="s">
        <v>531</v>
      </c>
      <c r="I153" s="535"/>
      <c r="J153" s="535"/>
      <c r="K153" s="536">
        <f>'5.  Logistic Cost (GC)'!B20</f>
        <v>-360.91523264850144</v>
      </c>
      <c r="L153" s="536">
        <f>'5.  Logistic Cost (GC)'!C20</f>
        <v>-676.01098203446088</v>
      </c>
      <c r="M153" s="536">
        <f>'5.  Logistic Cost (GC)'!D20</f>
        <v>0</v>
      </c>
      <c r="N153" s="536">
        <f>'5.  Logistic Cost (GC)'!E20</f>
        <v>-676.01098203446088</v>
      </c>
      <c r="O153" s="536">
        <f>'5.  Logistic Cost (GC)'!M20</f>
        <v>-505.51990689655173</v>
      </c>
      <c r="P153" s="536">
        <f>'5.  Logistic Cost (GC)'!L20</f>
        <v>0</v>
      </c>
      <c r="Q153" s="536">
        <f>'5.  Logistic Cost (GC)'!F20</f>
        <v>36.214803181585232</v>
      </c>
      <c r="R153" s="536">
        <f>'5.  Logistic Cost (GC)'!G20</f>
        <v>0</v>
      </c>
      <c r="S153" s="536">
        <f>'5.  Logistic Cost (GC)'!H20</f>
        <v>0</v>
      </c>
      <c r="T153" s="536">
        <f>'5.  Logistic Cost (GC)'!I20</f>
        <v>0</v>
      </c>
      <c r="U153" s="536">
        <f>'5.  Logistic Cost (GC)'!J20</f>
        <v>117.59468571213777</v>
      </c>
      <c r="V153" s="536">
        <f>'5.  Logistic Cost (GC)'!K20</f>
        <v>16.681586244186121</v>
      </c>
      <c r="W153" s="535"/>
      <c r="X153" s="535"/>
      <c r="Y153" s="535"/>
      <c r="Z153" s="535"/>
      <c r="AA153" s="535"/>
      <c r="AB153" s="535"/>
      <c r="AC153" s="535"/>
      <c r="AD153" s="535"/>
      <c r="AE153" s="535"/>
      <c r="AF153" s="535"/>
      <c r="AG153" s="535"/>
      <c r="AH153" s="535"/>
      <c r="AI153" s="535"/>
      <c r="AJ153" s="535"/>
      <c r="AK153" s="535"/>
      <c r="AL153" s="535"/>
      <c r="AM153" s="535"/>
      <c r="AN153" s="535"/>
      <c r="AO153" s="451" t="str">
        <f>'5.  Logistic Cost (GC)'!O20</f>
        <v/>
      </c>
      <c r="AP153" s="451">
        <v>116</v>
      </c>
      <c r="AQ153" s="451" t="str">
        <f>Settings!$A$1</f>
        <v>V2</v>
      </c>
    </row>
    <row r="154" spans="1:44" ht="12.75" customHeight="1">
      <c r="A154" s="451">
        <f>'Input-FX Rates'!$C$4</f>
        <v>242</v>
      </c>
      <c r="B154" s="451" t="str">
        <f>'Input-FX Rates'!$B$4</f>
        <v>ICH Icheon (242)</v>
      </c>
      <c r="C154" s="451">
        <f>'Input-FX Rates'!$C$6</f>
        <v>780</v>
      </c>
      <c r="D154" s="451" t="str">
        <f>'Input-FX Rates'!$B$6</f>
        <v>780 BU Controls</v>
      </c>
      <c r="E154" s="451" t="str">
        <f>'Input-FX Rates'!$C$5</f>
        <v>7821 &amp; 7822</v>
      </c>
      <c r="F154" s="451" t="str">
        <f>'Input-FX Rates'!$B$5</f>
        <v>7821 PL Drivetrain Controls (&amp; Electrification)</v>
      </c>
      <c r="G154" s="451" t="s">
        <v>1484</v>
      </c>
      <c r="H154" s="451" t="s">
        <v>533</v>
      </c>
      <c r="I154" s="535"/>
      <c r="J154" s="535"/>
      <c r="K154" s="536">
        <f>'5.  Logistic Cost (GC)'!B21</f>
        <v>-42.831053238870687</v>
      </c>
      <c r="L154" s="536">
        <f>'5.  Logistic Cost (GC)'!C21</f>
        <v>-76.968556293965307</v>
      </c>
      <c r="M154" s="536">
        <f>'5.  Logistic Cost (GC)'!D21</f>
        <v>-76.968556293965307</v>
      </c>
      <c r="N154" s="536">
        <f>'5.  Logistic Cost (GC)'!E21</f>
        <v>0</v>
      </c>
      <c r="O154" s="536">
        <f>'5.  Logistic Cost (GC)'!M21</f>
        <v>0</v>
      </c>
      <c r="P154" s="536">
        <f>'5.  Logistic Cost (GC)'!L21</f>
        <v>0</v>
      </c>
      <c r="Q154" s="536">
        <f>'5.  Logistic Cost (GC)'!F21</f>
        <v>0</v>
      </c>
      <c r="R154" s="536">
        <f>'5.  Logistic Cost (GC)'!G21</f>
        <v>0</v>
      </c>
      <c r="S154" s="536">
        <f>'5.  Logistic Cost (GC)'!H21</f>
        <v>0</v>
      </c>
      <c r="T154" s="536">
        <f>'5.  Logistic Cost (GC)'!I21</f>
        <v>0</v>
      </c>
      <c r="U154" s="536">
        <f>'5.  Logistic Cost (GC)'!J21</f>
        <v>0</v>
      </c>
      <c r="V154" s="536">
        <f>'5.  Logistic Cost (GC)'!K21</f>
        <v>0</v>
      </c>
      <c r="W154" s="535"/>
      <c r="X154" s="535"/>
      <c r="Y154" s="535"/>
      <c r="Z154" s="535"/>
      <c r="AA154" s="535"/>
      <c r="AB154" s="535"/>
      <c r="AC154" s="535"/>
      <c r="AD154" s="535"/>
      <c r="AE154" s="535"/>
      <c r="AF154" s="535"/>
      <c r="AG154" s="535"/>
      <c r="AH154" s="535"/>
      <c r="AI154" s="535"/>
      <c r="AJ154" s="535"/>
      <c r="AK154" s="535"/>
      <c r="AL154" s="535"/>
      <c r="AM154" s="535"/>
      <c r="AN154" s="535"/>
      <c r="AO154" s="451" t="str">
        <f>'5.  Logistic Cost (GC)'!O21</f>
        <v/>
      </c>
      <c r="AP154" s="451">
        <v>117</v>
      </c>
      <c r="AQ154" s="451" t="str">
        <f>Settings!$A$1</f>
        <v>V2</v>
      </c>
    </row>
    <row r="155" spans="1:44" ht="12.75" customHeight="1">
      <c r="A155" s="451">
        <f>'Input-FX Rates'!$C$4</f>
        <v>242</v>
      </c>
      <c r="B155" s="451" t="str">
        <f>'Input-FX Rates'!$B$4</f>
        <v>ICH Icheon (242)</v>
      </c>
      <c r="C155" s="451">
        <f>'Input-FX Rates'!$C$6</f>
        <v>780</v>
      </c>
      <c r="D155" s="451" t="str">
        <f>'Input-FX Rates'!$B$6</f>
        <v>780 BU Controls</v>
      </c>
      <c r="E155" s="451" t="str">
        <f>'Input-FX Rates'!$C$5</f>
        <v>7821 &amp; 7822</v>
      </c>
      <c r="F155" s="451" t="str">
        <f>'Input-FX Rates'!$B$5</f>
        <v>7821 PL Drivetrain Controls (&amp; Electrification)</v>
      </c>
      <c r="G155" s="451" t="s">
        <v>1484</v>
      </c>
      <c r="H155" s="451" t="s">
        <v>535</v>
      </c>
      <c r="I155" s="535"/>
      <c r="J155" s="535"/>
      <c r="K155" s="536">
        <f>'5.  Logistic Cost (GC)'!B22</f>
        <v>-21.840572711716359</v>
      </c>
      <c r="L155" s="536">
        <f>'5.  Logistic Cost (GC)'!C22</f>
        <v>-38.41816765789104</v>
      </c>
      <c r="M155" s="536">
        <f>'5.  Logistic Cost (GC)'!D22</f>
        <v>0</v>
      </c>
      <c r="N155" s="536">
        <f>'5.  Logistic Cost (GC)'!E22</f>
        <v>-38.41816765789104</v>
      </c>
      <c r="O155" s="536">
        <f>'5.  Logistic Cost (GC)'!M22</f>
        <v>-34.654465517241377</v>
      </c>
      <c r="P155" s="536">
        <f>'5.  Logistic Cost (GC)'!L22</f>
        <v>0</v>
      </c>
      <c r="Q155" s="536">
        <f>'5.  Logistic Cost (GC)'!F22</f>
        <v>2.0581611990321385</v>
      </c>
      <c r="R155" s="536">
        <f>'5.  Logistic Cost (GC)'!G22</f>
        <v>0</v>
      </c>
      <c r="S155" s="536">
        <f>'5.  Logistic Cost (GC)'!H22</f>
        <v>0</v>
      </c>
      <c r="T155" s="536">
        <f>'5.  Logistic Cost (GC)'!I22</f>
        <v>0</v>
      </c>
      <c r="U155" s="536">
        <f>'5.  Logistic Cost (GC)'!J22</f>
        <v>0.56198270111021686</v>
      </c>
      <c r="V155" s="536">
        <f>'5.  Logistic Cost (GC)'!K22</f>
        <v>1.1435582405073106</v>
      </c>
      <c r="W155" s="535"/>
      <c r="X155" s="535"/>
      <c r="Y155" s="535"/>
      <c r="Z155" s="535"/>
      <c r="AA155" s="535"/>
      <c r="AB155" s="535"/>
      <c r="AC155" s="535"/>
      <c r="AD155" s="535"/>
      <c r="AE155" s="535"/>
      <c r="AF155" s="535"/>
      <c r="AG155" s="535"/>
      <c r="AH155" s="535"/>
      <c r="AI155" s="535"/>
      <c r="AJ155" s="535"/>
      <c r="AK155" s="535"/>
      <c r="AL155" s="535"/>
      <c r="AM155" s="535"/>
      <c r="AN155" s="535"/>
      <c r="AO155" s="451" t="str">
        <f>'5.  Logistic Cost (GC)'!O22</f>
        <v/>
      </c>
      <c r="AP155" s="451">
        <v>118</v>
      </c>
      <c r="AQ155" s="451" t="str">
        <f>Settings!$A$1</f>
        <v>V2</v>
      </c>
    </row>
    <row r="156" spans="1:44" ht="12.75" customHeight="1">
      <c r="A156" s="451">
        <f>'Input-FX Rates'!$C$4</f>
        <v>242</v>
      </c>
      <c r="B156" s="451" t="str">
        <f>'Input-FX Rates'!$B$4</f>
        <v>ICH Icheon (242)</v>
      </c>
      <c r="C156" s="451">
        <f>'Input-FX Rates'!$C$6</f>
        <v>780</v>
      </c>
      <c r="D156" s="451" t="str">
        <f>'Input-FX Rates'!$B$6</f>
        <v>780 BU Controls</v>
      </c>
      <c r="E156" s="451" t="str">
        <f>'Input-FX Rates'!$C$5</f>
        <v>7821 &amp; 7822</v>
      </c>
      <c r="F156" s="451" t="str">
        <f>'Input-FX Rates'!$B$5</f>
        <v>7821 PL Drivetrain Controls (&amp; Electrification)</v>
      </c>
      <c r="G156" s="451" t="s">
        <v>1484</v>
      </c>
      <c r="H156" s="451" t="s">
        <v>549</v>
      </c>
      <c r="I156" s="535"/>
      <c r="J156" s="535"/>
      <c r="K156" s="536">
        <f>'5.  Logistic Cost (GC)'!B23</f>
        <v>-97.898218826392309</v>
      </c>
      <c r="L156" s="536">
        <f>'5.  Logistic Cost (GC)'!C23</f>
        <v>-190.80253396743407</v>
      </c>
      <c r="M156" s="536">
        <f>'5.  Logistic Cost (GC)'!D23</f>
        <v>0</v>
      </c>
      <c r="N156" s="536">
        <f>'5.  Logistic Cost (GC)'!E23</f>
        <v>-190.80253396743407</v>
      </c>
      <c r="O156" s="536">
        <f>'5.  Logistic Cost (GC)'!M23</f>
        <v>-134.74361808567929</v>
      </c>
      <c r="P156" s="536">
        <f>'5.  Logistic Cost (GC)'!L23</f>
        <v>0</v>
      </c>
      <c r="Q156" s="536">
        <f>'5.  Logistic Cost (GC)'!F23</f>
        <v>10.221701932749438</v>
      </c>
      <c r="R156" s="536">
        <f>'5.  Logistic Cost (GC)'!G23</f>
        <v>0</v>
      </c>
      <c r="S156" s="536">
        <f>'5.  Logistic Cost (GC)'!H23</f>
        <v>0</v>
      </c>
      <c r="T156" s="536">
        <f>'5.  Logistic Cost (GC)'!I23</f>
        <v>0</v>
      </c>
      <c r="U156" s="536">
        <f>'5.  Logistic Cost (GC)'!J23</f>
        <v>41.390826664775368</v>
      </c>
      <c r="V156" s="536">
        <f>'5.  Logistic Cost (GC)'!K23</f>
        <v>4.446387284229985</v>
      </c>
      <c r="W156" s="535"/>
      <c r="X156" s="535"/>
      <c r="Y156" s="535"/>
      <c r="Z156" s="535"/>
      <c r="AA156" s="535"/>
      <c r="AB156" s="535"/>
      <c r="AC156" s="535"/>
      <c r="AD156" s="535"/>
      <c r="AE156" s="535"/>
      <c r="AF156" s="535"/>
      <c r="AG156" s="535"/>
      <c r="AH156" s="535"/>
      <c r="AI156" s="535"/>
      <c r="AJ156" s="535"/>
      <c r="AK156" s="535"/>
      <c r="AL156" s="535"/>
      <c r="AM156" s="535"/>
      <c r="AN156" s="535"/>
      <c r="AO156" s="451" t="str">
        <f>'5.  Logistic Cost (GC)'!O23</f>
        <v/>
      </c>
      <c r="AP156" s="451">
        <v>119</v>
      </c>
      <c r="AQ156" s="451" t="str">
        <f>Settings!$A$1</f>
        <v>V2</v>
      </c>
    </row>
    <row r="157" spans="1:44" ht="12.75" customHeight="1">
      <c r="A157" s="451">
        <f>'Input-FX Rates'!$C$4</f>
        <v>242</v>
      </c>
      <c r="B157" s="451" t="str">
        <f>'Input-FX Rates'!$B$4</f>
        <v>ICH Icheon (242)</v>
      </c>
      <c r="C157" s="451">
        <f>'Input-FX Rates'!$C$6</f>
        <v>780</v>
      </c>
      <c r="D157" s="451" t="str">
        <f>'Input-FX Rates'!$B$6</f>
        <v>780 BU Controls</v>
      </c>
      <c r="E157" s="451" t="str">
        <f>'Input-FX Rates'!$C$5</f>
        <v>7821 &amp; 7822</v>
      </c>
      <c r="F157" s="451" t="str">
        <f>'Input-FX Rates'!$B$5</f>
        <v>7821 PL Drivetrain Controls (&amp; Electrification)</v>
      </c>
      <c r="G157" s="451" t="s">
        <v>1484</v>
      </c>
      <c r="H157" s="451" t="s">
        <v>539</v>
      </c>
      <c r="I157" s="535"/>
      <c r="J157" s="535"/>
      <c r="K157" s="536">
        <f>'5.  Logistic Cost (GC)'!B24</f>
        <v>5</v>
      </c>
      <c r="L157" s="536">
        <f>'5.  Logistic Cost (GC)'!C24</f>
        <v>4</v>
      </c>
      <c r="M157" s="536">
        <f>'5.  Logistic Cost (GC)'!D24</f>
        <v>0</v>
      </c>
      <c r="N157" s="536">
        <f>'5.  Logistic Cost (GC)'!E24</f>
        <v>4</v>
      </c>
      <c r="O157" s="536">
        <f>'5.  Logistic Cost (GC)'!M24</f>
        <v>4</v>
      </c>
      <c r="P157" s="536">
        <f>'5.  Logistic Cost (GC)'!L24</f>
        <v>0</v>
      </c>
      <c r="Q157" s="536">
        <f>'5.  Logistic Cost (GC)'!F24</f>
        <v>0</v>
      </c>
      <c r="R157" s="536">
        <f>'5.  Logistic Cost (GC)'!G24</f>
        <v>0</v>
      </c>
      <c r="S157" s="536">
        <f>'5.  Logistic Cost (GC)'!H24</f>
        <v>0</v>
      </c>
      <c r="T157" s="536">
        <f>'5.  Logistic Cost (GC)'!I24</f>
        <v>0</v>
      </c>
      <c r="U157" s="536">
        <f>'5.  Logistic Cost (GC)'!J24</f>
        <v>0</v>
      </c>
      <c r="V157" s="536">
        <f>'5.  Logistic Cost (GC)'!K24</f>
        <v>0</v>
      </c>
      <c r="W157" s="535"/>
      <c r="X157" s="535"/>
      <c r="Y157" s="535"/>
      <c r="Z157" s="535"/>
      <c r="AA157" s="535"/>
      <c r="AB157" s="535"/>
      <c r="AC157" s="535"/>
      <c r="AD157" s="535"/>
      <c r="AE157" s="535"/>
      <c r="AF157" s="535"/>
      <c r="AG157" s="535"/>
      <c r="AH157" s="535"/>
      <c r="AI157" s="535"/>
      <c r="AJ157" s="535"/>
      <c r="AK157" s="535"/>
      <c r="AL157" s="535"/>
      <c r="AM157" s="535"/>
      <c r="AN157" s="535"/>
      <c r="AO157" s="451" t="str">
        <f>'5.  Logistic Cost (GC)'!O24</f>
        <v/>
      </c>
      <c r="AP157" s="451">
        <v>125</v>
      </c>
      <c r="AQ157" s="451" t="str">
        <f>Settings!$A$1</f>
        <v>V2</v>
      </c>
    </row>
    <row r="158" spans="1:44" ht="12.75" customHeight="1">
      <c r="A158" s="451">
        <f>'Input-FX Rates'!$C$4</f>
        <v>242</v>
      </c>
      <c r="B158" s="451" t="str">
        <f>'Input-FX Rates'!$B$4</f>
        <v>ICH Icheon (242)</v>
      </c>
      <c r="C158" s="451">
        <f>'Input-FX Rates'!$C$6</f>
        <v>780</v>
      </c>
      <c r="D158" s="451" t="str">
        <f>'Input-FX Rates'!$B$6</f>
        <v>780 BU Controls</v>
      </c>
      <c r="E158" s="451" t="str">
        <f>'Input-FX Rates'!$C$5</f>
        <v>7821 &amp; 7822</v>
      </c>
      <c r="F158" s="451" t="str">
        <f>'Input-FX Rates'!$B$5</f>
        <v>7821 PL Drivetrain Controls (&amp; Electrification)</v>
      </c>
      <c r="G158" s="451" t="s">
        <v>1484</v>
      </c>
      <c r="H158" s="451" t="s">
        <v>541</v>
      </c>
      <c r="I158" s="535"/>
      <c r="J158" s="535"/>
      <c r="K158" s="536">
        <f>'5.  Logistic Cost (GC)'!B25</f>
        <v>5</v>
      </c>
      <c r="L158" s="536">
        <f>'5.  Logistic Cost (GC)'!C25</f>
        <v>4</v>
      </c>
      <c r="M158" s="536">
        <f>'5.  Logistic Cost (GC)'!D25</f>
        <v>0</v>
      </c>
      <c r="N158" s="536">
        <f>'5.  Logistic Cost (GC)'!E25</f>
        <v>4</v>
      </c>
      <c r="O158" s="536">
        <f>'5.  Logistic Cost (GC)'!M25</f>
        <v>4</v>
      </c>
      <c r="P158" s="536">
        <f>'5.  Logistic Cost (GC)'!L25</f>
        <v>0</v>
      </c>
      <c r="Q158" s="536">
        <f>'5.  Logistic Cost (GC)'!F25</f>
        <v>0</v>
      </c>
      <c r="R158" s="536">
        <f>'5.  Logistic Cost (GC)'!G25</f>
        <v>0</v>
      </c>
      <c r="S158" s="536">
        <f>'5.  Logistic Cost (GC)'!H25</f>
        <v>0</v>
      </c>
      <c r="T158" s="536">
        <f>'5.  Logistic Cost (GC)'!I25</f>
        <v>0</v>
      </c>
      <c r="U158" s="536">
        <f>'5.  Logistic Cost (GC)'!J25</f>
        <v>0</v>
      </c>
      <c r="V158" s="536">
        <f>'5.  Logistic Cost (GC)'!K25</f>
        <v>0</v>
      </c>
      <c r="W158" s="535"/>
      <c r="X158" s="535"/>
      <c r="Y158" s="535"/>
      <c r="Z158" s="535"/>
      <c r="AA158" s="535"/>
      <c r="AB158" s="535"/>
      <c r="AC158" s="535"/>
      <c r="AD158" s="535"/>
      <c r="AE158" s="535"/>
      <c r="AF158" s="535"/>
      <c r="AG158" s="535"/>
      <c r="AH158" s="535"/>
      <c r="AI158" s="535"/>
      <c r="AJ158" s="535"/>
      <c r="AK158" s="535"/>
      <c r="AL158" s="535"/>
      <c r="AM158" s="535"/>
      <c r="AN158" s="535"/>
      <c r="AO158" s="451" t="str">
        <f>'5.  Logistic Cost (GC)'!O25</f>
        <v/>
      </c>
      <c r="AP158" s="451">
        <v>126</v>
      </c>
      <c r="AQ158" s="451" t="str">
        <f>Settings!$A$1</f>
        <v>V2</v>
      </c>
    </row>
    <row r="159" spans="1:44" s="537" customFormat="1" ht="12.75" customHeight="1">
      <c r="A159" s="537">
        <f>'Input-FX Rates'!$C$4</f>
        <v>242</v>
      </c>
      <c r="B159" s="537" t="str">
        <f>'Input-FX Rates'!$B$4</f>
        <v>ICH Icheon (242)</v>
      </c>
      <c r="C159" s="537">
        <f>'Input-FX Rates'!$C$6</f>
        <v>780</v>
      </c>
      <c r="D159" s="537" t="str">
        <f>'Input-FX Rates'!$B$6</f>
        <v>780 BU Controls</v>
      </c>
      <c r="E159" s="537" t="str">
        <f>'Input-FX Rates'!$C$5</f>
        <v>7821 &amp; 7822</v>
      </c>
      <c r="F159" s="537" t="str">
        <f>'Input-FX Rates'!$B$5</f>
        <v>7821 PL Drivetrain Controls (&amp; Electrification)</v>
      </c>
      <c r="G159" s="537" t="s">
        <v>1484</v>
      </c>
      <c r="H159" s="537" t="s">
        <v>542</v>
      </c>
      <c r="I159" s="538"/>
      <c r="J159" s="538"/>
      <c r="K159" s="539">
        <f>'5.  Logistic Cost (GC)'!B26</f>
        <v>0</v>
      </c>
      <c r="L159" s="539">
        <f>'5.  Logistic Cost (GC)'!C26</f>
        <v>0</v>
      </c>
      <c r="M159" s="539">
        <f>'5.  Logistic Cost (GC)'!D26</f>
        <v>0</v>
      </c>
      <c r="N159" s="539">
        <f>'5.  Logistic Cost (GC)'!E26</f>
        <v>0</v>
      </c>
      <c r="O159" s="539">
        <f>'5.  Logistic Cost (GC)'!M26</f>
        <v>0</v>
      </c>
      <c r="P159" s="539">
        <f>'5.  Logistic Cost (GC)'!L26</f>
        <v>0</v>
      </c>
      <c r="Q159" s="539">
        <f>'5.  Logistic Cost (GC)'!F26</f>
        <v>0</v>
      </c>
      <c r="R159" s="539">
        <f>'5.  Logistic Cost (GC)'!G26</f>
        <v>0</v>
      </c>
      <c r="S159" s="539">
        <f>'5.  Logistic Cost (GC)'!H26</f>
        <v>0</v>
      </c>
      <c r="T159" s="539">
        <f>'5.  Logistic Cost (GC)'!I26</f>
        <v>0</v>
      </c>
      <c r="U159" s="539">
        <f>'5.  Logistic Cost (GC)'!J26</f>
        <v>0</v>
      </c>
      <c r="V159" s="539">
        <f>'5.  Logistic Cost (GC)'!K26</f>
        <v>0</v>
      </c>
      <c r="W159" s="538"/>
      <c r="X159" s="538"/>
      <c r="Y159" s="538"/>
      <c r="Z159" s="538"/>
      <c r="AA159" s="538"/>
      <c r="AB159" s="538"/>
      <c r="AC159" s="538"/>
      <c r="AD159" s="538"/>
      <c r="AE159" s="538"/>
      <c r="AF159" s="538"/>
      <c r="AG159" s="538"/>
      <c r="AH159" s="538"/>
      <c r="AI159" s="538"/>
      <c r="AJ159" s="538"/>
      <c r="AK159" s="538"/>
      <c r="AL159" s="538"/>
      <c r="AM159" s="538"/>
      <c r="AN159" s="538"/>
      <c r="AO159" s="537" t="str">
        <f>'5.  Logistic Cost (GC)'!O26</f>
        <v/>
      </c>
      <c r="AP159" s="537">
        <v>127</v>
      </c>
      <c r="AQ159" s="537" t="str">
        <f>Settings!$A$1</f>
        <v>V2</v>
      </c>
    </row>
    <row r="160" spans="1:44" s="861" customFormat="1" ht="12.75" customHeight="1">
      <c r="A160" s="861">
        <f>'Input-FX Rates'!$C$4</f>
        <v>242</v>
      </c>
      <c r="B160" s="861" t="str">
        <f>'Input-FX Rates'!$B$4</f>
        <v>ICH Icheon (242)</v>
      </c>
      <c r="C160" s="861">
        <f>'Input-FX Rates'!$C$6</f>
        <v>780</v>
      </c>
      <c r="D160" s="861" t="str">
        <f>'Input-FX Rates'!$B$6</f>
        <v>780 BU Controls</v>
      </c>
      <c r="E160" s="861" t="str">
        <f>'Input-FX Rates'!$C$5</f>
        <v>7821 &amp; 7822</v>
      </c>
      <c r="F160" s="861" t="str">
        <f>'Input-FX Rates'!$B$5</f>
        <v>7821 PL Drivetrain Controls (&amp; Electrification)</v>
      </c>
      <c r="G160" s="861" t="s">
        <v>1485</v>
      </c>
      <c r="H160" s="861" t="s">
        <v>568</v>
      </c>
      <c r="I160" s="862"/>
      <c r="J160" s="862"/>
      <c r="K160" s="863">
        <f>'5.1 Inventory (GC)'!C8</f>
        <v>3226.8023258090002</v>
      </c>
      <c r="L160" s="863">
        <f>'5.1 Inventory (GC)'!D8</f>
        <v>2684.6172420677485</v>
      </c>
      <c r="M160" s="862"/>
      <c r="N160" s="862"/>
      <c r="O160" s="863">
        <f>'5.1 Inventory (GC)'!Q8</f>
        <v>2571.8566406109908</v>
      </c>
      <c r="P160" s="862"/>
      <c r="Q160" s="862"/>
      <c r="R160" s="862"/>
      <c r="S160" s="862"/>
      <c r="T160" s="862"/>
      <c r="U160" s="862"/>
      <c r="V160" s="862"/>
      <c r="W160" s="863">
        <f>'5.1 Inventory (GC)'!F8</f>
        <v>2571.93987168904</v>
      </c>
      <c r="X160" s="863">
        <f>'5.1 Inventory (GC)'!G8</f>
        <v>2374.2883166889942</v>
      </c>
      <c r="Y160" s="863">
        <f>'5.1 Inventory (GC)'!H8</f>
        <v>2450.8011326769647</v>
      </c>
      <c r="Z160" s="863">
        <f>'5.1 Inventory (GC)'!I8</f>
        <v>2445.3765357550874</v>
      </c>
      <c r="AA160" s="863">
        <f>'5.1 Inventory (GC)'!J8</f>
        <v>2317.3446142414891</v>
      </c>
      <c r="AB160" s="863">
        <f>'5.1 Inventory (GC)'!K8</f>
        <v>2764.3075224954673</v>
      </c>
      <c r="AC160" s="863">
        <f>'5.1 Inventory (GC)'!L8</f>
        <v>2488.1613900213056</v>
      </c>
      <c r="AD160" s="863">
        <f>'5.1 Inventory (GC)'!M8</f>
        <v>2160.1711176818344</v>
      </c>
      <c r="AE160" s="863">
        <f>'5.1 Inventory (GC)'!N8</f>
        <v>2600.2535196425074</v>
      </c>
      <c r="AF160" s="863">
        <f>'5.1 Inventory (GC)'!O8</f>
        <v>2313.7146211962454</v>
      </c>
      <c r="AG160" s="863">
        <f>'5.1 Inventory (GC)'!P8</f>
        <v>2043.5106126638977</v>
      </c>
      <c r="AH160" s="863">
        <f>'5.1 Inventory (GC)'!Q8</f>
        <v>2571.8566406109908</v>
      </c>
      <c r="AI160" s="862"/>
      <c r="AJ160" s="862"/>
      <c r="AK160" s="862"/>
      <c r="AL160" s="862"/>
      <c r="AM160" s="862"/>
      <c r="AN160" s="862"/>
      <c r="AO160" s="861" t="str">
        <f>'5.1 Inventory (GC)'!S8</f>
        <v/>
      </c>
      <c r="AP160" s="861">
        <v>128</v>
      </c>
      <c r="AQ160" s="861" t="str">
        <f>Settings!$A$1</f>
        <v>V2</v>
      </c>
    </row>
    <row r="161" spans="1:43" s="861" customFormat="1" ht="12.75" customHeight="1">
      <c r="A161" s="861">
        <f>'Input-FX Rates'!$C$4</f>
        <v>242</v>
      </c>
      <c r="B161" s="861" t="str">
        <f>'Input-FX Rates'!$B$4</f>
        <v>ICH Icheon (242)</v>
      </c>
      <c r="C161" s="861">
        <f>'Input-FX Rates'!$C$6</f>
        <v>780</v>
      </c>
      <c r="D161" s="861" t="str">
        <f>'Input-FX Rates'!$B$6</f>
        <v>780 BU Controls</v>
      </c>
      <c r="E161" s="861" t="str">
        <f>'Input-FX Rates'!$C$5</f>
        <v>7821 &amp; 7822</v>
      </c>
      <c r="F161" s="861" t="str">
        <f>'Input-FX Rates'!$B$5</f>
        <v>7821 PL Drivetrain Controls (&amp; Electrification)</v>
      </c>
      <c r="G161" s="861" t="s">
        <v>1485</v>
      </c>
      <c r="H161" s="861" t="s">
        <v>571</v>
      </c>
      <c r="I161" s="862"/>
      <c r="J161" s="862"/>
      <c r="K161" s="863">
        <f>'5.1 Inventory (GC)'!C9</f>
        <v>2339.7456241654845</v>
      </c>
      <c r="L161" s="863">
        <f>'5.1 Inventory (GC)'!D9</f>
        <v>1905.4025948931633</v>
      </c>
      <c r="M161" s="862"/>
      <c r="N161" s="862"/>
      <c r="O161" s="863">
        <f>'5.1 Inventory (GC)'!Q9</f>
        <v>2067.5052318744838</v>
      </c>
      <c r="P161" s="862"/>
      <c r="Q161" s="862"/>
      <c r="R161" s="862"/>
      <c r="S161" s="862"/>
      <c r="T161" s="862"/>
      <c r="U161" s="862"/>
      <c r="V161" s="862"/>
      <c r="W161" s="863">
        <f>'5.1 Inventory (GC)'!F9</f>
        <v>2011.8289785671263</v>
      </c>
      <c r="X161" s="863">
        <f>'5.1 Inventory (GC)'!G9</f>
        <v>1831.8903484117225</v>
      </c>
      <c r="Y161" s="863">
        <f>'5.1 Inventory (GC)'!H9</f>
        <v>1923.2499576655193</v>
      </c>
      <c r="Z161" s="863">
        <f>'5.1 Inventory (GC)'!I9</f>
        <v>1934.4070585983904</v>
      </c>
      <c r="AA161" s="863">
        <f>'5.1 Inventory (GC)'!J9</f>
        <v>1807.3051454981605</v>
      </c>
      <c r="AB161" s="863">
        <f>'5.1 Inventory (GC)'!K9</f>
        <v>2255.0484741278156</v>
      </c>
      <c r="AC161" s="863">
        <f>'5.1 Inventory (GC)'!L9</f>
        <v>1979.8978414416085</v>
      </c>
      <c r="AD161" s="863">
        <f>'5.1 Inventory (GC)'!M9</f>
        <v>1652.6328980733344</v>
      </c>
      <c r="AE161" s="863">
        <f>'5.1 Inventory (GC)'!N9</f>
        <v>2093.3788619133334</v>
      </c>
      <c r="AF161" s="863">
        <f>'5.1 Inventory (GC)'!O9</f>
        <v>1807.7643916641382</v>
      </c>
      <c r="AG161" s="863">
        <f>'5.1 Inventory (GC)'!P9</f>
        <v>1538.3308792891944</v>
      </c>
      <c r="AH161" s="863">
        <f>'5.1 Inventory (GC)'!Q9</f>
        <v>2067.5052318744838</v>
      </c>
      <c r="AI161" s="862"/>
      <c r="AJ161" s="862"/>
      <c r="AK161" s="862"/>
      <c r="AL161" s="862"/>
      <c r="AM161" s="862"/>
      <c r="AN161" s="862"/>
      <c r="AO161" s="861" t="str">
        <f>'5.1 Inventory (GC)'!S9</f>
        <v/>
      </c>
      <c r="AP161" s="861">
        <v>129</v>
      </c>
      <c r="AQ161" s="861" t="str">
        <f>Settings!$A$1</f>
        <v>V2</v>
      </c>
    </row>
    <row r="162" spans="1:43" s="861" customFormat="1" ht="12.75" customHeight="1">
      <c r="A162" s="861">
        <f>'Input-FX Rates'!$C$4</f>
        <v>242</v>
      </c>
      <c r="B162" s="861" t="str">
        <f>'Input-FX Rates'!$B$4</f>
        <v>ICH Icheon (242)</v>
      </c>
      <c r="C162" s="861">
        <f>'Input-FX Rates'!$C$6</f>
        <v>780</v>
      </c>
      <c r="D162" s="861" t="str">
        <f>'Input-FX Rates'!$B$6</f>
        <v>780 BU Controls</v>
      </c>
      <c r="E162" s="861" t="str">
        <f>'Input-FX Rates'!$C$5</f>
        <v>7821 &amp; 7822</v>
      </c>
      <c r="F162" s="861" t="str">
        <f>'Input-FX Rates'!$B$5</f>
        <v>7821 PL Drivetrain Controls (&amp; Electrification)</v>
      </c>
      <c r="G162" s="861" t="s">
        <v>1485</v>
      </c>
      <c r="H162" s="861" t="s">
        <v>572</v>
      </c>
      <c r="I162" s="862"/>
      <c r="J162" s="862"/>
      <c r="K162" s="863">
        <f>'5.1 Inventory (GC)'!C10</f>
        <v>0</v>
      </c>
      <c r="L162" s="863">
        <f>'5.1 Inventory (GC)'!D10</f>
        <v>0</v>
      </c>
      <c r="M162" s="862"/>
      <c r="N162" s="862"/>
      <c r="O162" s="863">
        <f>'5.1 Inventory (GC)'!Q10</f>
        <v>0</v>
      </c>
      <c r="P162" s="862"/>
      <c r="Q162" s="862"/>
      <c r="R162" s="862"/>
      <c r="S162" s="862"/>
      <c r="T162" s="862"/>
      <c r="U162" s="862"/>
      <c r="V162" s="862"/>
      <c r="W162" s="863">
        <f>'5.1 Inventory (GC)'!F10</f>
        <v>0</v>
      </c>
      <c r="X162" s="863">
        <f>'5.1 Inventory (GC)'!G10</f>
        <v>0</v>
      </c>
      <c r="Y162" s="863">
        <f>'5.1 Inventory (GC)'!H10</f>
        <v>0</v>
      </c>
      <c r="Z162" s="863">
        <f>'5.1 Inventory (GC)'!I10</f>
        <v>0</v>
      </c>
      <c r="AA162" s="863">
        <f>'5.1 Inventory (GC)'!J10</f>
        <v>0</v>
      </c>
      <c r="AB162" s="863">
        <f>'5.1 Inventory (GC)'!K10</f>
        <v>0</v>
      </c>
      <c r="AC162" s="863">
        <f>'5.1 Inventory (GC)'!L10</f>
        <v>0</v>
      </c>
      <c r="AD162" s="863">
        <f>'5.1 Inventory (GC)'!M10</f>
        <v>0</v>
      </c>
      <c r="AE162" s="863">
        <f>'5.1 Inventory (GC)'!N10</f>
        <v>0</v>
      </c>
      <c r="AF162" s="863">
        <f>'5.1 Inventory (GC)'!O10</f>
        <v>0</v>
      </c>
      <c r="AG162" s="863">
        <f>'5.1 Inventory (GC)'!P10</f>
        <v>0</v>
      </c>
      <c r="AH162" s="863">
        <f>'5.1 Inventory (GC)'!Q10</f>
        <v>0</v>
      </c>
      <c r="AI162" s="862"/>
      <c r="AJ162" s="862"/>
      <c r="AK162" s="862"/>
      <c r="AL162" s="862"/>
      <c r="AM162" s="862"/>
      <c r="AN162" s="862"/>
      <c r="AO162" s="861" t="str">
        <f>'5.1 Inventory (GC)'!S10</f>
        <v/>
      </c>
      <c r="AP162" s="861">
        <v>130</v>
      </c>
      <c r="AQ162" s="861" t="str">
        <f>Settings!$A$1</f>
        <v>V2</v>
      </c>
    </row>
    <row r="163" spans="1:43" s="861" customFormat="1" ht="12.75" customHeight="1">
      <c r="A163" s="861">
        <f>'Input-FX Rates'!$C$4</f>
        <v>242</v>
      </c>
      <c r="B163" s="861" t="str">
        <f>'Input-FX Rates'!$B$4</f>
        <v>ICH Icheon (242)</v>
      </c>
      <c r="C163" s="861">
        <f>'Input-FX Rates'!$C$6</f>
        <v>780</v>
      </c>
      <c r="D163" s="861" t="str">
        <f>'Input-FX Rates'!$B$6</f>
        <v>780 BU Controls</v>
      </c>
      <c r="E163" s="861" t="str">
        <f>'Input-FX Rates'!$C$5</f>
        <v>7821 &amp; 7822</v>
      </c>
      <c r="F163" s="861" t="str">
        <f>'Input-FX Rates'!$B$5</f>
        <v>7821 PL Drivetrain Controls (&amp; Electrification)</v>
      </c>
      <c r="G163" s="861" t="s">
        <v>1485</v>
      </c>
      <c r="H163" s="861" t="s">
        <v>573</v>
      </c>
      <c r="I163" s="862"/>
      <c r="J163" s="862"/>
      <c r="K163" s="863">
        <f>'5.1 Inventory (GC)'!C11</f>
        <v>0</v>
      </c>
      <c r="L163" s="863">
        <f>'5.1 Inventory (GC)'!D11</f>
        <v>0</v>
      </c>
      <c r="M163" s="862"/>
      <c r="N163" s="862"/>
      <c r="O163" s="863">
        <f>'5.1 Inventory (GC)'!Q11</f>
        <v>0</v>
      </c>
      <c r="P163" s="862"/>
      <c r="Q163" s="862"/>
      <c r="R163" s="862"/>
      <c r="S163" s="862"/>
      <c r="T163" s="862"/>
      <c r="U163" s="862"/>
      <c r="V163" s="862"/>
      <c r="W163" s="863">
        <f>'5.1 Inventory (GC)'!F11</f>
        <v>0</v>
      </c>
      <c r="X163" s="863">
        <f>'5.1 Inventory (GC)'!G11</f>
        <v>0</v>
      </c>
      <c r="Y163" s="863">
        <f>'5.1 Inventory (GC)'!H11</f>
        <v>0</v>
      </c>
      <c r="Z163" s="863">
        <f>'5.1 Inventory (GC)'!I11</f>
        <v>0</v>
      </c>
      <c r="AA163" s="863">
        <f>'5.1 Inventory (GC)'!J11</f>
        <v>0</v>
      </c>
      <c r="AB163" s="863">
        <f>'5.1 Inventory (GC)'!K11</f>
        <v>0</v>
      </c>
      <c r="AC163" s="863">
        <f>'5.1 Inventory (GC)'!L11</f>
        <v>0</v>
      </c>
      <c r="AD163" s="863">
        <f>'5.1 Inventory (GC)'!M11</f>
        <v>0</v>
      </c>
      <c r="AE163" s="863">
        <f>'5.1 Inventory (GC)'!N11</f>
        <v>0</v>
      </c>
      <c r="AF163" s="863">
        <f>'5.1 Inventory (GC)'!O11</f>
        <v>0</v>
      </c>
      <c r="AG163" s="863">
        <f>'5.1 Inventory (GC)'!P11</f>
        <v>0</v>
      </c>
      <c r="AH163" s="863">
        <f>'5.1 Inventory (GC)'!Q11</f>
        <v>0</v>
      </c>
      <c r="AI163" s="862"/>
      <c r="AJ163" s="862"/>
      <c r="AK163" s="862"/>
      <c r="AL163" s="862"/>
      <c r="AM163" s="862"/>
      <c r="AN163" s="862"/>
      <c r="AO163" s="861" t="str">
        <f>'5.1 Inventory (GC)'!S11</f>
        <v/>
      </c>
      <c r="AP163" s="861">
        <v>131</v>
      </c>
      <c r="AQ163" s="861" t="str">
        <f>Settings!$A$1</f>
        <v>V2</v>
      </c>
    </row>
    <row r="164" spans="1:43" s="861" customFormat="1" ht="12.75" customHeight="1">
      <c r="A164" s="861">
        <f>'Input-FX Rates'!$C$4</f>
        <v>242</v>
      </c>
      <c r="B164" s="861" t="str">
        <f>'Input-FX Rates'!$B$4</f>
        <v>ICH Icheon (242)</v>
      </c>
      <c r="C164" s="861">
        <f>'Input-FX Rates'!$C$6</f>
        <v>780</v>
      </c>
      <c r="D164" s="861" t="str">
        <f>'Input-FX Rates'!$B$6</f>
        <v>780 BU Controls</v>
      </c>
      <c r="E164" s="861" t="str">
        <f>'Input-FX Rates'!$C$5</f>
        <v>7821 &amp; 7822</v>
      </c>
      <c r="F164" s="861" t="str">
        <f>'Input-FX Rates'!$B$5</f>
        <v>7821 PL Drivetrain Controls (&amp; Electrification)</v>
      </c>
      <c r="G164" s="861" t="s">
        <v>1485</v>
      </c>
      <c r="H164" s="861" t="s">
        <v>574</v>
      </c>
      <c r="I164" s="862"/>
      <c r="J164" s="862"/>
      <c r="K164" s="863">
        <f>'5.1 Inventory (GC)'!C12</f>
        <v>0</v>
      </c>
      <c r="L164" s="863">
        <f>'5.1 Inventory (GC)'!D12</f>
        <v>0</v>
      </c>
      <c r="M164" s="862"/>
      <c r="N164" s="862"/>
      <c r="O164" s="863">
        <f>'5.1 Inventory (GC)'!Q12</f>
        <v>0</v>
      </c>
      <c r="P164" s="862"/>
      <c r="Q164" s="862"/>
      <c r="R164" s="862"/>
      <c r="S164" s="862"/>
      <c r="T164" s="862"/>
      <c r="U164" s="862"/>
      <c r="V164" s="862"/>
      <c r="W164" s="863">
        <f>'5.1 Inventory (GC)'!F12</f>
        <v>0</v>
      </c>
      <c r="X164" s="863">
        <f>'5.1 Inventory (GC)'!G12</f>
        <v>0</v>
      </c>
      <c r="Y164" s="863">
        <f>'5.1 Inventory (GC)'!H12</f>
        <v>0</v>
      </c>
      <c r="Z164" s="863">
        <f>'5.1 Inventory (GC)'!I12</f>
        <v>0</v>
      </c>
      <c r="AA164" s="863">
        <f>'5.1 Inventory (GC)'!J12</f>
        <v>0</v>
      </c>
      <c r="AB164" s="863">
        <f>'5.1 Inventory (GC)'!K12</f>
        <v>0</v>
      </c>
      <c r="AC164" s="863">
        <f>'5.1 Inventory (GC)'!L12</f>
        <v>0</v>
      </c>
      <c r="AD164" s="863">
        <f>'5.1 Inventory (GC)'!M12</f>
        <v>0</v>
      </c>
      <c r="AE164" s="863">
        <f>'5.1 Inventory (GC)'!N12</f>
        <v>0</v>
      </c>
      <c r="AF164" s="863">
        <f>'5.1 Inventory (GC)'!O12</f>
        <v>0</v>
      </c>
      <c r="AG164" s="863">
        <f>'5.1 Inventory (GC)'!P12</f>
        <v>0</v>
      </c>
      <c r="AH164" s="863">
        <f>'5.1 Inventory (GC)'!Q12</f>
        <v>0</v>
      </c>
      <c r="AI164" s="862"/>
      <c r="AJ164" s="862"/>
      <c r="AK164" s="862"/>
      <c r="AL164" s="862"/>
      <c r="AM164" s="862"/>
      <c r="AN164" s="862"/>
      <c r="AO164" s="861" t="str">
        <f>'5.1 Inventory (GC)'!S12</f>
        <v/>
      </c>
      <c r="AP164" s="861">
        <v>132</v>
      </c>
      <c r="AQ164" s="861" t="str">
        <f>Settings!$A$1</f>
        <v>V2</v>
      </c>
    </row>
    <row r="165" spans="1:43" s="861" customFormat="1" ht="12.75" customHeight="1">
      <c r="A165" s="861">
        <f>'Input-FX Rates'!$C$4</f>
        <v>242</v>
      </c>
      <c r="B165" s="861" t="str">
        <f>'Input-FX Rates'!$B$4</f>
        <v>ICH Icheon (242)</v>
      </c>
      <c r="C165" s="861">
        <f>'Input-FX Rates'!$C$6</f>
        <v>780</v>
      </c>
      <c r="D165" s="861" t="str">
        <f>'Input-FX Rates'!$B$6</f>
        <v>780 BU Controls</v>
      </c>
      <c r="E165" s="861" t="str">
        <f>'Input-FX Rates'!$C$5</f>
        <v>7821 &amp; 7822</v>
      </c>
      <c r="F165" s="861" t="str">
        <f>'Input-FX Rates'!$B$5</f>
        <v>7821 PL Drivetrain Controls (&amp; Electrification)</v>
      </c>
      <c r="G165" s="861" t="s">
        <v>1485</v>
      </c>
      <c r="H165" s="861" t="s">
        <v>575</v>
      </c>
      <c r="I165" s="862"/>
      <c r="J165" s="862"/>
      <c r="K165" s="863">
        <f>'5.1 Inventory (GC)'!C13</f>
        <v>0</v>
      </c>
      <c r="L165" s="863">
        <f>'5.1 Inventory (GC)'!D13</f>
        <v>0</v>
      </c>
      <c r="M165" s="862"/>
      <c r="N165" s="862"/>
      <c r="O165" s="863">
        <f>'5.1 Inventory (GC)'!Q13</f>
        <v>0</v>
      </c>
      <c r="P165" s="862"/>
      <c r="Q165" s="862"/>
      <c r="R165" s="862"/>
      <c r="S165" s="862"/>
      <c r="T165" s="862"/>
      <c r="U165" s="862"/>
      <c r="V165" s="862"/>
      <c r="W165" s="863">
        <f>'5.1 Inventory (GC)'!F13</f>
        <v>0</v>
      </c>
      <c r="X165" s="863">
        <f>'5.1 Inventory (GC)'!G13</f>
        <v>0</v>
      </c>
      <c r="Y165" s="863">
        <f>'5.1 Inventory (GC)'!H13</f>
        <v>0</v>
      </c>
      <c r="Z165" s="863">
        <f>'5.1 Inventory (GC)'!I13</f>
        <v>0</v>
      </c>
      <c r="AA165" s="863">
        <f>'5.1 Inventory (GC)'!J13</f>
        <v>0</v>
      </c>
      <c r="AB165" s="863">
        <f>'5.1 Inventory (GC)'!K13</f>
        <v>0</v>
      </c>
      <c r="AC165" s="863">
        <f>'5.1 Inventory (GC)'!L13</f>
        <v>0</v>
      </c>
      <c r="AD165" s="863">
        <f>'5.1 Inventory (GC)'!M13</f>
        <v>0</v>
      </c>
      <c r="AE165" s="863">
        <f>'5.1 Inventory (GC)'!N13</f>
        <v>0</v>
      </c>
      <c r="AF165" s="863">
        <f>'5.1 Inventory (GC)'!O13</f>
        <v>0</v>
      </c>
      <c r="AG165" s="863">
        <f>'5.1 Inventory (GC)'!P13</f>
        <v>0</v>
      </c>
      <c r="AH165" s="863">
        <f>'5.1 Inventory (GC)'!Q13</f>
        <v>0</v>
      </c>
      <c r="AI165" s="862"/>
      <c r="AJ165" s="862"/>
      <c r="AK165" s="862"/>
      <c r="AL165" s="862"/>
      <c r="AM165" s="862"/>
      <c r="AN165" s="862"/>
      <c r="AO165" s="861" t="str">
        <f>'5.1 Inventory (GC)'!S13</f>
        <v/>
      </c>
      <c r="AP165" s="861">
        <v>133</v>
      </c>
      <c r="AQ165" s="861" t="str">
        <f>Settings!$A$1</f>
        <v>V2</v>
      </c>
    </row>
    <row r="166" spans="1:43" s="861" customFormat="1" ht="12.75" customHeight="1">
      <c r="A166" s="861">
        <f>'Input-FX Rates'!$C$4</f>
        <v>242</v>
      </c>
      <c r="B166" s="861" t="str">
        <f>'Input-FX Rates'!$B$4</f>
        <v>ICH Icheon (242)</v>
      </c>
      <c r="C166" s="861">
        <f>'Input-FX Rates'!$C$6</f>
        <v>780</v>
      </c>
      <c r="D166" s="861" t="str">
        <f>'Input-FX Rates'!$B$6</f>
        <v>780 BU Controls</v>
      </c>
      <c r="E166" s="861" t="str">
        <f>'Input-FX Rates'!$C$5</f>
        <v>7821 &amp; 7822</v>
      </c>
      <c r="F166" s="861" t="str">
        <f>'Input-FX Rates'!$B$5</f>
        <v>7821 PL Drivetrain Controls (&amp; Electrification)</v>
      </c>
      <c r="G166" s="861" t="s">
        <v>1485</v>
      </c>
      <c r="H166" s="861" t="s">
        <v>577</v>
      </c>
      <c r="I166" s="862"/>
      <c r="J166" s="862"/>
      <c r="K166" s="863">
        <f>'5.1 Inventory (GC)'!C14</f>
        <v>0</v>
      </c>
      <c r="L166" s="863">
        <f>'5.1 Inventory (GC)'!D14</f>
        <v>0</v>
      </c>
      <c r="M166" s="862"/>
      <c r="N166" s="862"/>
      <c r="O166" s="863">
        <f>'5.1 Inventory (GC)'!Q14</f>
        <v>0</v>
      </c>
      <c r="P166" s="862"/>
      <c r="Q166" s="862"/>
      <c r="R166" s="862"/>
      <c r="S166" s="862"/>
      <c r="T166" s="862"/>
      <c r="U166" s="862"/>
      <c r="V166" s="862"/>
      <c r="W166" s="863">
        <f>'5.1 Inventory (GC)'!F14</f>
        <v>0</v>
      </c>
      <c r="X166" s="863">
        <f>'5.1 Inventory (GC)'!G14</f>
        <v>0</v>
      </c>
      <c r="Y166" s="863">
        <f>'5.1 Inventory (GC)'!H14</f>
        <v>0</v>
      </c>
      <c r="Z166" s="863">
        <f>'5.1 Inventory (GC)'!I14</f>
        <v>0</v>
      </c>
      <c r="AA166" s="863">
        <f>'5.1 Inventory (GC)'!J14</f>
        <v>0</v>
      </c>
      <c r="AB166" s="863">
        <f>'5.1 Inventory (GC)'!K14</f>
        <v>0</v>
      </c>
      <c r="AC166" s="863">
        <f>'5.1 Inventory (GC)'!L14</f>
        <v>0</v>
      </c>
      <c r="AD166" s="863">
        <f>'5.1 Inventory (GC)'!M14</f>
        <v>0</v>
      </c>
      <c r="AE166" s="863">
        <f>'5.1 Inventory (GC)'!N14</f>
        <v>0</v>
      </c>
      <c r="AF166" s="863">
        <f>'5.1 Inventory (GC)'!O14</f>
        <v>0</v>
      </c>
      <c r="AG166" s="863">
        <f>'5.1 Inventory (GC)'!P14</f>
        <v>0</v>
      </c>
      <c r="AH166" s="863">
        <f>'5.1 Inventory (GC)'!Q14</f>
        <v>0</v>
      </c>
      <c r="AI166" s="862"/>
      <c r="AJ166" s="862"/>
      <c r="AK166" s="862"/>
      <c r="AL166" s="862"/>
      <c r="AM166" s="862"/>
      <c r="AN166" s="862"/>
      <c r="AO166" s="861" t="str">
        <f>'5.1 Inventory (GC)'!S14</f>
        <v/>
      </c>
      <c r="AP166" s="861">
        <v>134</v>
      </c>
      <c r="AQ166" s="861" t="str">
        <f>Settings!$A$1</f>
        <v>V2</v>
      </c>
    </row>
    <row r="167" spans="1:43" s="861" customFormat="1" ht="12.75" customHeight="1">
      <c r="A167" s="861">
        <f>'Input-FX Rates'!$C$4</f>
        <v>242</v>
      </c>
      <c r="B167" s="861" t="str">
        <f>'Input-FX Rates'!$B$4</f>
        <v>ICH Icheon (242)</v>
      </c>
      <c r="C167" s="861">
        <f>'Input-FX Rates'!$C$6</f>
        <v>780</v>
      </c>
      <c r="D167" s="861" t="str">
        <f>'Input-FX Rates'!$B$6</f>
        <v>780 BU Controls</v>
      </c>
      <c r="E167" s="861" t="str">
        <f>'Input-FX Rates'!$C$5</f>
        <v>7821 &amp; 7822</v>
      </c>
      <c r="F167" s="861" t="str">
        <f>'Input-FX Rates'!$B$5</f>
        <v>7821 PL Drivetrain Controls (&amp; Electrification)</v>
      </c>
      <c r="G167" s="861" t="s">
        <v>1485</v>
      </c>
      <c r="H167" s="861" t="s">
        <v>578</v>
      </c>
      <c r="I167" s="862"/>
      <c r="J167" s="862"/>
      <c r="K167" s="863">
        <f>'5.1 Inventory (GC)'!C15</f>
        <v>0</v>
      </c>
      <c r="L167" s="863">
        <f>'5.1 Inventory (GC)'!D15</f>
        <v>0</v>
      </c>
      <c r="M167" s="862"/>
      <c r="N167" s="862"/>
      <c r="O167" s="863">
        <f>'5.1 Inventory (GC)'!Q15</f>
        <v>0</v>
      </c>
      <c r="P167" s="862"/>
      <c r="Q167" s="862"/>
      <c r="R167" s="862"/>
      <c r="S167" s="862"/>
      <c r="T167" s="862"/>
      <c r="U167" s="862"/>
      <c r="V167" s="862"/>
      <c r="W167" s="863">
        <f>'5.1 Inventory (GC)'!F15</f>
        <v>0</v>
      </c>
      <c r="X167" s="863">
        <f>'5.1 Inventory (GC)'!G15</f>
        <v>0</v>
      </c>
      <c r="Y167" s="863">
        <f>'5.1 Inventory (GC)'!H15</f>
        <v>0</v>
      </c>
      <c r="Z167" s="863">
        <f>'5.1 Inventory (GC)'!I15</f>
        <v>0</v>
      </c>
      <c r="AA167" s="863">
        <f>'5.1 Inventory (GC)'!J15</f>
        <v>0</v>
      </c>
      <c r="AB167" s="863">
        <f>'5.1 Inventory (GC)'!K15</f>
        <v>0</v>
      </c>
      <c r="AC167" s="863">
        <f>'5.1 Inventory (GC)'!L15</f>
        <v>0</v>
      </c>
      <c r="AD167" s="863">
        <f>'5.1 Inventory (GC)'!M15</f>
        <v>0</v>
      </c>
      <c r="AE167" s="863">
        <f>'5.1 Inventory (GC)'!N15</f>
        <v>0</v>
      </c>
      <c r="AF167" s="863">
        <f>'5.1 Inventory (GC)'!O15</f>
        <v>0</v>
      </c>
      <c r="AG167" s="863">
        <f>'5.1 Inventory (GC)'!P15</f>
        <v>0</v>
      </c>
      <c r="AH167" s="863">
        <f>'5.1 Inventory (GC)'!Q15</f>
        <v>0</v>
      </c>
      <c r="AI167" s="862"/>
      <c r="AJ167" s="862"/>
      <c r="AK167" s="862"/>
      <c r="AL167" s="862"/>
      <c r="AM167" s="862"/>
      <c r="AN167" s="862"/>
      <c r="AO167" s="861" t="str">
        <f>'5.1 Inventory (GC)'!S15</f>
        <v/>
      </c>
      <c r="AP167" s="861">
        <v>135</v>
      </c>
      <c r="AQ167" s="861" t="str">
        <f>Settings!$A$1</f>
        <v>V2</v>
      </c>
    </row>
    <row r="168" spans="1:43" s="861" customFormat="1" ht="12.75" customHeight="1">
      <c r="A168" s="861">
        <f>'Input-FX Rates'!$C$4</f>
        <v>242</v>
      </c>
      <c r="B168" s="861" t="str">
        <f>'Input-FX Rates'!$B$4</f>
        <v>ICH Icheon (242)</v>
      </c>
      <c r="C168" s="861">
        <f>'Input-FX Rates'!$C$6</f>
        <v>780</v>
      </c>
      <c r="D168" s="861" t="str">
        <f>'Input-FX Rates'!$B$6</f>
        <v>780 BU Controls</v>
      </c>
      <c r="E168" s="861" t="str">
        <f>'Input-FX Rates'!$C$5</f>
        <v>7821 &amp; 7822</v>
      </c>
      <c r="F168" s="861" t="str">
        <f>'Input-FX Rates'!$B$5</f>
        <v>7821 PL Drivetrain Controls (&amp; Electrification)</v>
      </c>
      <c r="G168" s="861" t="s">
        <v>1485</v>
      </c>
      <c r="H168" s="861" t="s">
        <v>579</v>
      </c>
      <c r="I168" s="862"/>
      <c r="J168" s="862"/>
      <c r="K168" s="863">
        <f>'5.1 Inventory (GC)'!C16</f>
        <v>539.12909742951615</v>
      </c>
      <c r="L168" s="863">
        <f>'5.1 Inventory (GC)'!D16</f>
        <v>542.03542310936189</v>
      </c>
      <c r="M168" s="862"/>
      <c r="N168" s="862"/>
      <c r="O168" s="863">
        <f>'5.1 Inventory (GC)'!Q16</f>
        <v>461.93244956409302</v>
      </c>
      <c r="P168" s="862"/>
      <c r="Q168" s="862"/>
      <c r="R168" s="862"/>
      <c r="S168" s="862"/>
      <c r="T168" s="862"/>
      <c r="U168" s="862"/>
      <c r="V168" s="862"/>
      <c r="W168" s="863">
        <f>'5.1 Inventory (GC)'!F16</f>
        <v>470.78860724467216</v>
      </c>
      <c r="X168" s="863">
        <f>'5.1 Inventory (GC)'!G16</f>
        <v>470.07382793106478</v>
      </c>
      <c r="Y168" s="863">
        <f>'5.1 Inventory (GC)'!H16</f>
        <v>469.32541153696246</v>
      </c>
      <c r="Z168" s="863">
        <f>'5.1 Inventory (GC)'!I16</f>
        <v>468.40327976773153</v>
      </c>
      <c r="AA168" s="863">
        <f>'5.1 Inventory (GC)'!J16</f>
        <v>467.60848232263862</v>
      </c>
      <c r="AB168" s="863">
        <f>'5.1 Inventory (GC)'!K16</f>
        <v>466.83596447799658</v>
      </c>
      <c r="AC168" s="863">
        <f>'5.1 Inventory (GC)'!L16</f>
        <v>465.841344952111</v>
      </c>
      <c r="AD168" s="863">
        <f>'5.1 Inventory (GC)'!M16</f>
        <v>465.11656090505198</v>
      </c>
      <c r="AE168" s="863">
        <f>'5.1 Inventory (GC)'!N16</f>
        <v>464.45360269469131</v>
      </c>
      <c r="AF168" s="863">
        <f>'5.1 Inventory (GC)'!O16</f>
        <v>463.53001284245198</v>
      </c>
      <c r="AG168" s="863">
        <f>'5.1 Inventory (GC)'!P16</f>
        <v>462.76006160918615</v>
      </c>
      <c r="AH168" s="863">
        <f>'5.1 Inventory (GC)'!Q16</f>
        <v>461.93244956409302</v>
      </c>
      <c r="AI168" s="862"/>
      <c r="AJ168" s="862"/>
      <c r="AK168" s="862"/>
      <c r="AL168" s="862"/>
      <c r="AM168" s="862"/>
      <c r="AN168" s="862"/>
      <c r="AO168" s="861" t="str">
        <f>'5.1 Inventory (GC)'!S16</f>
        <v>ATB stock will decrease according to demand</v>
      </c>
      <c r="AP168" s="861">
        <v>136</v>
      </c>
      <c r="AQ168" s="861" t="str">
        <f>Settings!$A$1</f>
        <v>V2</v>
      </c>
    </row>
    <row r="169" spans="1:43" s="861" customFormat="1" ht="12.75" customHeight="1">
      <c r="A169" s="861">
        <f>'Input-FX Rates'!$C$4</f>
        <v>242</v>
      </c>
      <c r="B169" s="861" t="str">
        <f>'Input-FX Rates'!$B$4</f>
        <v>ICH Icheon (242)</v>
      </c>
      <c r="C169" s="861">
        <f>'Input-FX Rates'!$C$6</f>
        <v>780</v>
      </c>
      <c r="D169" s="861" t="str">
        <f>'Input-FX Rates'!$B$6</f>
        <v>780 BU Controls</v>
      </c>
      <c r="E169" s="861" t="str">
        <f>'Input-FX Rates'!$C$5</f>
        <v>7821 &amp; 7822</v>
      </c>
      <c r="F169" s="861" t="str">
        <f>'Input-FX Rates'!$B$5</f>
        <v>7821 PL Drivetrain Controls (&amp; Electrification)</v>
      </c>
      <c r="G169" s="861" t="s">
        <v>1485</v>
      </c>
      <c r="H169" s="861" t="s">
        <v>581</v>
      </c>
      <c r="I169" s="862"/>
      <c r="J169" s="862"/>
      <c r="K169" s="863">
        <f>'5.1 Inventory (GC)'!C17</f>
        <v>347.92760421399959</v>
      </c>
      <c r="L169" s="863">
        <f>'5.1 Inventory (GC)'!D17</f>
        <v>54.969075063255552</v>
      </c>
      <c r="M169" s="862"/>
      <c r="N169" s="862"/>
      <c r="O169" s="863">
        <f>'5.1 Inventory (GC)'!Q17</f>
        <v>0</v>
      </c>
      <c r="P169" s="862"/>
      <c r="Q169" s="862"/>
      <c r="R169" s="862"/>
      <c r="S169" s="862"/>
      <c r="T169" s="862"/>
      <c r="U169" s="862"/>
      <c r="V169" s="862"/>
      <c r="W169" s="863">
        <f>'5.1 Inventory (GC)'!F17</f>
        <v>0</v>
      </c>
      <c r="X169" s="863">
        <f>'5.1 Inventory (GC)'!G17</f>
        <v>0</v>
      </c>
      <c r="Y169" s="863">
        <f>'5.1 Inventory (GC)'!H17</f>
        <v>0</v>
      </c>
      <c r="Z169" s="863">
        <f>'5.1 Inventory (GC)'!I17</f>
        <v>0</v>
      </c>
      <c r="AA169" s="863">
        <f>'5.1 Inventory (GC)'!J17</f>
        <v>0</v>
      </c>
      <c r="AB169" s="863">
        <f>'5.1 Inventory (GC)'!K17</f>
        <v>0</v>
      </c>
      <c r="AC169" s="863">
        <f>'5.1 Inventory (GC)'!L17</f>
        <v>0</v>
      </c>
      <c r="AD169" s="863">
        <f>'5.1 Inventory (GC)'!M17</f>
        <v>0</v>
      </c>
      <c r="AE169" s="863">
        <f>'5.1 Inventory (GC)'!N17</f>
        <v>0</v>
      </c>
      <c r="AF169" s="863">
        <f>'5.1 Inventory (GC)'!O17</f>
        <v>0</v>
      </c>
      <c r="AG169" s="863">
        <f>'5.1 Inventory (GC)'!P17</f>
        <v>0</v>
      </c>
      <c r="AH169" s="863">
        <f>'5.1 Inventory (GC)'!Q17</f>
        <v>0</v>
      </c>
      <c r="AI169" s="862"/>
      <c r="AJ169" s="862"/>
      <c r="AK169" s="862"/>
      <c r="AL169" s="862"/>
      <c r="AM169" s="862"/>
      <c r="AN169" s="862"/>
      <c r="AO169" s="861" t="str">
        <f>'5.1 Inventory (GC)'!S17</f>
        <v/>
      </c>
      <c r="AP169" s="861">
        <v>137</v>
      </c>
      <c r="AQ169" s="861" t="str">
        <f>Settings!$A$1</f>
        <v>V2</v>
      </c>
    </row>
    <row r="170" spans="1:43" s="861" customFormat="1" ht="12.75" customHeight="1">
      <c r="A170" s="861">
        <f>'Input-FX Rates'!$C$4</f>
        <v>242</v>
      </c>
      <c r="B170" s="861" t="str">
        <f>'Input-FX Rates'!$B$4</f>
        <v>ICH Icheon (242)</v>
      </c>
      <c r="C170" s="861">
        <f>'Input-FX Rates'!$C$6</f>
        <v>780</v>
      </c>
      <c r="D170" s="861" t="str">
        <f>'Input-FX Rates'!$B$6</f>
        <v>780 BU Controls</v>
      </c>
      <c r="E170" s="861" t="str">
        <f>'Input-FX Rates'!$C$5</f>
        <v>7821 &amp; 7822</v>
      </c>
      <c r="F170" s="861" t="str">
        <f>'Input-FX Rates'!$B$5</f>
        <v>7821 PL Drivetrain Controls (&amp; Electrification)</v>
      </c>
      <c r="G170" s="861" t="s">
        <v>1485</v>
      </c>
      <c r="H170" s="861" t="s">
        <v>574</v>
      </c>
      <c r="I170" s="862"/>
      <c r="J170" s="862"/>
      <c r="K170" s="863">
        <f>'5.1 Inventory (GC)'!C18</f>
        <v>0</v>
      </c>
      <c r="L170" s="863">
        <f>'5.1 Inventory (GC)'!D18</f>
        <v>0</v>
      </c>
      <c r="M170" s="862"/>
      <c r="N170" s="862"/>
      <c r="O170" s="863">
        <f>'5.1 Inventory (GC)'!Q18</f>
        <v>0</v>
      </c>
      <c r="P170" s="862"/>
      <c r="Q170" s="862"/>
      <c r="R170" s="862"/>
      <c r="S170" s="862"/>
      <c r="T170" s="862"/>
      <c r="U170" s="862"/>
      <c r="V170" s="862"/>
      <c r="W170" s="863">
        <f>'5.1 Inventory (GC)'!F18</f>
        <v>0</v>
      </c>
      <c r="X170" s="863">
        <f>'5.1 Inventory (GC)'!G18</f>
        <v>0</v>
      </c>
      <c r="Y170" s="863">
        <f>'5.1 Inventory (GC)'!H18</f>
        <v>0</v>
      </c>
      <c r="Z170" s="863">
        <f>'5.1 Inventory (GC)'!I18</f>
        <v>0</v>
      </c>
      <c r="AA170" s="863">
        <f>'5.1 Inventory (GC)'!J18</f>
        <v>0</v>
      </c>
      <c r="AB170" s="863">
        <f>'5.1 Inventory (GC)'!K18</f>
        <v>0</v>
      </c>
      <c r="AC170" s="863">
        <f>'5.1 Inventory (GC)'!L18</f>
        <v>0</v>
      </c>
      <c r="AD170" s="863">
        <f>'5.1 Inventory (GC)'!M18</f>
        <v>0</v>
      </c>
      <c r="AE170" s="863">
        <f>'5.1 Inventory (GC)'!N18</f>
        <v>0</v>
      </c>
      <c r="AF170" s="863">
        <f>'5.1 Inventory (GC)'!O18</f>
        <v>0</v>
      </c>
      <c r="AG170" s="863">
        <f>'5.1 Inventory (GC)'!P18</f>
        <v>0</v>
      </c>
      <c r="AH170" s="863">
        <f>'5.1 Inventory (GC)'!Q18</f>
        <v>0</v>
      </c>
      <c r="AI170" s="862"/>
      <c r="AJ170" s="862"/>
      <c r="AK170" s="862"/>
      <c r="AL170" s="862"/>
      <c r="AM170" s="862"/>
      <c r="AN170" s="862"/>
      <c r="AO170" s="861" t="str">
        <f>'5.1 Inventory (GC)'!S18</f>
        <v/>
      </c>
      <c r="AP170" s="861">
        <v>138</v>
      </c>
      <c r="AQ170" s="861" t="str">
        <f>Settings!$A$1</f>
        <v>V2</v>
      </c>
    </row>
    <row r="171" spans="1:43" s="861" customFormat="1" ht="12.75" customHeight="1">
      <c r="A171" s="861">
        <f>'Input-FX Rates'!$C$4</f>
        <v>242</v>
      </c>
      <c r="B171" s="861" t="str">
        <f>'Input-FX Rates'!$B$4</f>
        <v>ICH Icheon (242)</v>
      </c>
      <c r="C171" s="861">
        <f>'Input-FX Rates'!$C$6</f>
        <v>780</v>
      </c>
      <c r="D171" s="861" t="str">
        <f>'Input-FX Rates'!$B$6</f>
        <v>780 BU Controls</v>
      </c>
      <c r="E171" s="861" t="str">
        <f>'Input-FX Rates'!$C$5</f>
        <v>7821 &amp; 7822</v>
      </c>
      <c r="F171" s="861" t="str">
        <f>'Input-FX Rates'!$B$5</f>
        <v>7821 PL Drivetrain Controls (&amp; Electrification)</v>
      </c>
      <c r="G171" s="861" t="s">
        <v>1485</v>
      </c>
      <c r="H171" s="861" t="s">
        <v>582</v>
      </c>
      <c r="I171" s="862"/>
      <c r="J171" s="862"/>
      <c r="K171" s="863">
        <f>'5.1 Inventory (GC)'!C19</f>
        <v>0</v>
      </c>
      <c r="L171" s="863">
        <f>'5.1 Inventory (GC)'!D19</f>
        <v>182.21014900196795</v>
      </c>
      <c r="M171" s="862"/>
      <c r="N171" s="862"/>
      <c r="O171" s="863">
        <f>'5.1 Inventory (GC)'!Q19</f>
        <v>19.323581289655174</v>
      </c>
      <c r="P171" s="862"/>
      <c r="Q171" s="862"/>
      <c r="R171" s="862"/>
      <c r="S171" s="862"/>
      <c r="T171" s="862"/>
      <c r="U171" s="862"/>
      <c r="V171" s="862"/>
      <c r="W171" s="863">
        <f>'5.1 Inventory (GC)'!F19</f>
        <v>66.219580739310345</v>
      </c>
      <c r="X171" s="863">
        <f>'5.1 Inventory (GC)'!G19</f>
        <v>49.222063966896556</v>
      </c>
      <c r="Y171" s="863">
        <f>'5.1 Inventory (GC)'!H19</f>
        <v>35.124190102068972</v>
      </c>
      <c r="Z171" s="863">
        <f>'5.1 Inventory (GC)'!I19</f>
        <v>19.465336609655171</v>
      </c>
      <c r="AA171" s="863">
        <f>'5.1 Inventory (GC)'!J19</f>
        <v>19.330855062068963</v>
      </c>
      <c r="AB171" s="863">
        <f>'5.1 Inventory (GC)'!K19</f>
        <v>19.323581289655174</v>
      </c>
      <c r="AC171" s="863">
        <f>'5.1 Inventory (GC)'!L19</f>
        <v>19.323581289655174</v>
      </c>
      <c r="AD171" s="863">
        <f>'5.1 Inventory (GC)'!M19</f>
        <v>19.323581289655174</v>
      </c>
      <c r="AE171" s="863">
        <f>'5.1 Inventory (GC)'!N19</f>
        <v>19.323581289655174</v>
      </c>
      <c r="AF171" s="863">
        <f>'5.1 Inventory (GC)'!O19</f>
        <v>19.323581289655174</v>
      </c>
      <c r="AG171" s="863">
        <f>'5.1 Inventory (GC)'!P19</f>
        <v>19.323581289655174</v>
      </c>
      <c r="AH171" s="863">
        <f>'5.1 Inventory (GC)'!Q19</f>
        <v>19.323581289655174</v>
      </c>
      <c r="AI171" s="862"/>
      <c r="AJ171" s="862"/>
      <c r="AK171" s="862"/>
      <c r="AL171" s="862"/>
      <c r="AM171" s="862"/>
      <c r="AN171" s="862"/>
      <c r="AO171" s="861" t="str">
        <f>'5.1 Inventory (GC)'!S19</f>
        <v/>
      </c>
      <c r="AP171" s="861">
        <v>139</v>
      </c>
      <c r="AQ171" s="861" t="str">
        <f>Settings!$A$1</f>
        <v>V2</v>
      </c>
    </row>
    <row r="172" spans="1:43" s="861" customFormat="1" ht="12.75" customHeight="1">
      <c r="A172" s="861">
        <f>'Input-FX Rates'!$C$4</f>
        <v>242</v>
      </c>
      <c r="B172" s="861" t="str">
        <f>'Input-FX Rates'!$B$4</f>
        <v>ICH Icheon (242)</v>
      </c>
      <c r="C172" s="861">
        <f>'Input-FX Rates'!$C$6</f>
        <v>780</v>
      </c>
      <c r="D172" s="861" t="str">
        <f>'Input-FX Rates'!$B$6</f>
        <v>780 BU Controls</v>
      </c>
      <c r="E172" s="861" t="str">
        <f>'Input-FX Rates'!$C$5</f>
        <v>7821 &amp; 7822</v>
      </c>
      <c r="F172" s="861" t="str">
        <f>'Input-FX Rates'!$B$5</f>
        <v>7821 PL Drivetrain Controls (&amp; Electrification)</v>
      </c>
      <c r="G172" s="861" t="s">
        <v>1485</v>
      </c>
      <c r="H172" s="861" t="s">
        <v>575</v>
      </c>
      <c r="I172" s="862"/>
      <c r="J172" s="862"/>
      <c r="K172" s="863">
        <f>'5.1 Inventory (GC)'!C20</f>
        <v>0</v>
      </c>
      <c r="L172" s="863">
        <f>'5.1 Inventory (GC)'!D20</f>
        <v>0</v>
      </c>
      <c r="M172" s="862"/>
      <c r="N172" s="862"/>
      <c r="O172" s="863">
        <f>'5.1 Inventory (GC)'!Q20</f>
        <v>23.095377882758623</v>
      </c>
      <c r="P172" s="862"/>
      <c r="Q172" s="862"/>
      <c r="R172" s="862"/>
      <c r="S172" s="862"/>
      <c r="T172" s="862"/>
      <c r="U172" s="862"/>
      <c r="V172" s="862"/>
      <c r="W172" s="863">
        <f>'5.1 Inventory (GC)'!F20</f>
        <v>23.102705137931039</v>
      </c>
      <c r="X172" s="863">
        <f>'5.1 Inventory (GC)'!G20</f>
        <v>23.102076379310347</v>
      </c>
      <c r="Y172" s="863">
        <f>'5.1 Inventory (GC)'!H20</f>
        <v>23.101573372413796</v>
      </c>
      <c r="Z172" s="863">
        <f>'5.1 Inventory (GC)'!I20</f>
        <v>23.100860779310345</v>
      </c>
      <c r="AA172" s="863">
        <f>'5.1 Inventory (GC)'!J20</f>
        <v>23.10013135862069</v>
      </c>
      <c r="AB172" s="863">
        <f>'5.1 Inventory (GC)'!K20</f>
        <v>23.099502600000005</v>
      </c>
      <c r="AC172" s="863">
        <f>'5.1 Inventory (GC)'!L20</f>
        <v>23.098622337931037</v>
      </c>
      <c r="AD172" s="863">
        <f>'5.1 Inventory (GC)'!M20</f>
        <v>23.098077413793103</v>
      </c>
      <c r="AE172" s="863">
        <f>'5.1 Inventory (GC)'!N20</f>
        <v>23.097473744827585</v>
      </c>
      <c r="AF172" s="863">
        <f>'5.1 Inventory (GC)'!O20</f>
        <v>23.0966354</v>
      </c>
      <c r="AG172" s="863">
        <f>'5.1 Inventory (GC)'!P20</f>
        <v>23.096090475862074</v>
      </c>
      <c r="AH172" s="863">
        <f>'5.1 Inventory (GC)'!Q20</f>
        <v>23.095377882758623</v>
      </c>
      <c r="AI172" s="862"/>
      <c r="AJ172" s="862"/>
      <c r="AK172" s="862"/>
      <c r="AL172" s="862"/>
      <c r="AM172" s="862"/>
      <c r="AN172" s="862"/>
      <c r="AO172" s="861" t="str">
        <f>'5.1 Inventory (GC)'!S20</f>
        <v/>
      </c>
      <c r="AP172" s="861">
        <v>140</v>
      </c>
      <c r="AQ172" s="861" t="str">
        <f>Settings!$A$1</f>
        <v>V2</v>
      </c>
    </row>
    <row r="173" spans="1:43" s="861" customFormat="1" ht="12.75" customHeight="1">
      <c r="A173" s="861">
        <f>'Input-FX Rates'!$C$4</f>
        <v>242</v>
      </c>
      <c r="B173" s="861" t="str">
        <f>'Input-FX Rates'!$B$4</f>
        <v>ICH Icheon (242)</v>
      </c>
      <c r="C173" s="861">
        <f>'Input-FX Rates'!$C$6</f>
        <v>780</v>
      </c>
      <c r="D173" s="861" t="str">
        <f>'Input-FX Rates'!$B$6</f>
        <v>780 BU Controls</v>
      </c>
      <c r="E173" s="861" t="str">
        <f>'Input-FX Rates'!$C$5</f>
        <v>7821 &amp; 7822</v>
      </c>
      <c r="F173" s="861" t="str">
        <f>'Input-FX Rates'!$B$5</f>
        <v>7821 PL Drivetrain Controls (&amp; Electrification)</v>
      </c>
      <c r="G173" s="861" t="s">
        <v>1485</v>
      </c>
      <c r="H173" s="861" t="s">
        <v>583</v>
      </c>
      <c r="I173" s="862"/>
      <c r="J173" s="862"/>
      <c r="K173" s="863">
        <f>'5.1 Inventory (GC)'!C21</f>
        <v>0</v>
      </c>
      <c r="L173" s="863">
        <f>'5.1 Inventory (GC)'!D21</f>
        <v>0</v>
      </c>
      <c r="M173" s="862"/>
      <c r="N173" s="862"/>
      <c r="O173" s="863">
        <f>'5.1 Inventory (GC)'!Q21</f>
        <v>0</v>
      </c>
      <c r="P173" s="862"/>
      <c r="Q173" s="862"/>
      <c r="R173" s="862"/>
      <c r="S173" s="862"/>
      <c r="T173" s="862"/>
      <c r="U173" s="862"/>
      <c r="V173" s="862"/>
      <c r="W173" s="863">
        <f>'5.1 Inventory (GC)'!F21</f>
        <v>0</v>
      </c>
      <c r="X173" s="863">
        <f>'5.1 Inventory (GC)'!G21</f>
        <v>0</v>
      </c>
      <c r="Y173" s="863">
        <f>'5.1 Inventory (GC)'!H21</f>
        <v>0</v>
      </c>
      <c r="Z173" s="863">
        <f>'5.1 Inventory (GC)'!I21</f>
        <v>0</v>
      </c>
      <c r="AA173" s="863">
        <f>'5.1 Inventory (GC)'!J21</f>
        <v>0</v>
      </c>
      <c r="AB173" s="863">
        <f>'5.1 Inventory (GC)'!K21</f>
        <v>0</v>
      </c>
      <c r="AC173" s="863">
        <f>'5.1 Inventory (GC)'!L21</f>
        <v>0</v>
      </c>
      <c r="AD173" s="863">
        <f>'5.1 Inventory (GC)'!M21</f>
        <v>0</v>
      </c>
      <c r="AE173" s="863">
        <f>'5.1 Inventory (GC)'!N21</f>
        <v>0</v>
      </c>
      <c r="AF173" s="863">
        <f>'5.1 Inventory (GC)'!O21</f>
        <v>0</v>
      </c>
      <c r="AG173" s="863">
        <f>'5.1 Inventory (GC)'!P21</f>
        <v>0</v>
      </c>
      <c r="AH173" s="863">
        <f>'5.1 Inventory (GC)'!Q21</f>
        <v>0</v>
      </c>
      <c r="AI173" s="862"/>
      <c r="AJ173" s="862"/>
      <c r="AK173" s="862"/>
      <c r="AL173" s="862"/>
      <c r="AM173" s="862"/>
      <c r="AN173" s="862"/>
      <c r="AO173" s="861" t="str">
        <f>'5.1 Inventory (GC)'!S21</f>
        <v/>
      </c>
      <c r="AP173" s="861">
        <v>1401</v>
      </c>
      <c r="AQ173" s="861" t="str">
        <f>Settings!$A$1</f>
        <v>V2</v>
      </c>
    </row>
    <row r="174" spans="1:43" s="861" customFormat="1" ht="12.75" customHeight="1">
      <c r="A174" s="861">
        <f>'Input-FX Rates'!$C$4</f>
        <v>242</v>
      </c>
      <c r="B174" s="861" t="str">
        <f>'Input-FX Rates'!$B$4</f>
        <v>ICH Icheon (242)</v>
      </c>
      <c r="C174" s="861">
        <f>'Input-FX Rates'!$C$6</f>
        <v>780</v>
      </c>
      <c r="D174" s="861" t="str">
        <f>'Input-FX Rates'!$B$6</f>
        <v>780 BU Controls</v>
      </c>
      <c r="E174" s="861" t="str">
        <f>'Input-FX Rates'!$C$5</f>
        <v>7821 &amp; 7822</v>
      </c>
      <c r="F174" s="861" t="str">
        <f>'Input-FX Rates'!$B$5</f>
        <v>7821 PL Drivetrain Controls (&amp; Electrification)</v>
      </c>
      <c r="G174" s="861" t="s">
        <v>1485</v>
      </c>
      <c r="H174" s="861" t="s">
        <v>584</v>
      </c>
      <c r="I174" s="862"/>
      <c r="J174" s="862"/>
      <c r="K174" s="863">
        <f>'5.1 Inventory (GC)'!C22</f>
        <v>0</v>
      </c>
      <c r="L174" s="863">
        <f>'5.1 Inventory (GC)'!D22</f>
        <v>0</v>
      </c>
      <c r="M174" s="862"/>
      <c r="N174" s="862"/>
      <c r="O174" s="863">
        <f>'5.1 Inventory (GC)'!Q22</f>
        <v>0</v>
      </c>
      <c r="P174" s="862"/>
      <c r="Q174" s="862"/>
      <c r="R174" s="862"/>
      <c r="S174" s="862"/>
      <c r="T174" s="862"/>
      <c r="U174" s="862"/>
      <c r="V174" s="862"/>
      <c r="W174" s="863">
        <f>'5.1 Inventory (GC)'!F22</f>
        <v>0</v>
      </c>
      <c r="X174" s="863">
        <f>'5.1 Inventory (GC)'!G22</f>
        <v>0</v>
      </c>
      <c r="Y174" s="863">
        <f>'5.1 Inventory (GC)'!H22</f>
        <v>0</v>
      </c>
      <c r="Z174" s="863">
        <f>'5.1 Inventory (GC)'!I22</f>
        <v>0</v>
      </c>
      <c r="AA174" s="863">
        <f>'5.1 Inventory (GC)'!J22</f>
        <v>0</v>
      </c>
      <c r="AB174" s="863">
        <f>'5.1 Inventory (GC)'!K22</f>
        <v>0</v>
      </c>
      <c r="AC174" s="863">
        <f>'5.1 Inventory (GC)'!L22</f>
        <v>0</v>
      </c>
      <c r="AD174" s="863">
        <f>'5.1 Inventory (GC)'!M22</f>
        <v>0</v>
      </c>
      <c r="AE174" s="863">
        <f>'5.1 Inventory (GC)'!N22</f>
        <v>0</v>
      </c>
      <c r="AF174" s="863">
        <f>'5.1 Inventory (GC)'!O22</f>
        <v>0</v>
      </c>
      <c r="AG174" s="863">
        <f>'5.1 Inventory (GC)'!P22</f>
        <v>0</v>
      </c>
      <c r="AH174" s="863">
        <f>'5.1 Inventory (GC)'!Q22</f>
        <v>0</v>
      </c>
      <c r="AI174" s="862"/>
      <c r="AJ174" s="862"/>
      <c r="AK174" s="862"/>
      <c r="AL174" s="862"/>
      <c r="AM174" s="862"/>
      <c r="AN174" s="862"/>
      <c r="AO174" s="861" t="str">
        <f>'5.1 Inventory (GC)'!S22</f>
        <v/>
      </c>
      <c r="AP174" s="861">
        <v>1402</v>
      </c>
      <c r="AQ174" s="861" t="str">
        <f>Settings!$A$1</f>
        <v>V2</v>
      </c>
    </row>
    <row r="175" spans="1:43" s="861" customFormat="1" ht="12.75" customHeight="1">
      <c r="A175" s="861">
        <f>'Input-FX Rates'!$C$4</f>
        <v>242</v>
      </c>
      <c r="B175" s="861" t="str">
        <f>'Input-FX Rates'!$B$4</f>
        <v>ICH Icheon (242)</v>
      </c>
      <c r="C175" s="861">
        <f>'Input-FX Rates'!$C$6</f>
        <v>780</v>
      </c>
      <c r="D175" s="861" t="str">
        <f>'Input-FX Rates'!$B$6</f>
        <v>780 BU Controls</v>
      </c>
      <c r="E175" s="861" t="str">
        <f>'Input-FX Rates'!$C$5</f>
        <v>7821 &amp; 7822</v>
      </c>
      <c r="F175" s="861" t="str">
        <f>'Input-FX Rates'!$B$5</f>
        <v>7821 PL Drivetrain Controls (&amp; Electrification)</v>
      </c>
      <c r="G175" s="861" t="s">
        <v>1485</v>
      </c>
      <c r="H175" s="861" t="s">
        <v>585</v>
      </c>
      <c r="I175" s="862"/>
      <c r="J175" s="862"/>
      <c r="K175" s="863">
        <f>'5.1 Inventory (GC)'!C23</f>
        <v>0</v>
      </c>
      <c r="L175" s="863">
        <f>'5.1 Inventory (GC)'!D23</f>
        <v>0</v>
      </c>
      <c r="M175" s="862"/>
      <c r="N175" s="862"/>
      <c r="O175" s="863">
        <f>'5.1 Inventory (GC)'!Q23</f>
        <v>0</v>
      </c>
      <c r="P175" s="862"/>
      <c r="Q175" s="862"/>
      <c r="R175" s="862"/>
      <c r="S175" s="862"/>
      <c r="T175" s="862"/>
      <c r="U175" s="862"/>
      <c r="V175" s="862"/>
      <c r="W175" s="863">
        <f>'5.1 Inventory (GC)'!F23</f>
        <v>0</v>
      </c>
      <c r="X175" s="863">
        <f>'5.1 Inventory (GC)'!G23</f>
        <v>0</v>
      </c>
      <c r="Y175" s="863">
        <f>'5.1 Inventory (GC)'!H23</f>
        <v>0</v>
      </c>
      <c r="Z175" s="863">
        <f>'5.1 Inventory (GC)'!I23</f>
        <v>0</v>
      </c>
      <c r="AA175" s="863">
        <f>'5.1 Inventory (GC)'!J23</f>
        <v>0</v>
      </c>
      <c r="AB175" s="863">
        <f>'5.1 Inventory (GC)'!K23</f>
        <v>0</v>
      </c>
      <c r="AC175" s="863">
        <f>'5.1 Inventory (GC)'!L23</f>
        <v>0</v>
      </c>
      <c r="AD175" s="863">
        <f>'5.1 Inventory (GC)'!M23</f>
        <v>0</v>
      </c>
      <c r="AE175" s="863">
        <f>'5.1 Inventory (GC)'!N23</f>
        <v>0</v>
      </c>
      <c r="AF175" s="863">
        <f>'5.1 Inventory (GC)'!O23</f>
        <v>0</v>
      </c>
      <c r="AG175" s="863">
        <f>'5.1 Inventory (GC)'!P23</f>
        <v>0</v>
      </c>
      <c r="AH175" s="863">
        <f>'5.1 Inventory (GC)'!Q23</f>
        <v>0</v>
      </c>
      <c r="AI175" s="862"/>
      <c r="AJ175" s="862"/>
      <c r="AK175" s="862"/>
      <c r="AL175" s="862"/>
      <c r="AM175" s="862"/>
      <c r="AN175" s="862"/>
      <c r="AO175" s="861" t="str">
        <f>'5.1 Inventory (GC)'!S23</f>
        <v/>
      </c>
      <c r="AP175" s="861">
        <v>1403</v>
      </c>
      <c r="AQ175" s="861" t="str">
        <f>Settings!$A$1</f>
        <v>V2</v>
      </c>
    </row>
    <row r="176" spans="1:43" s="861" customFormat="1" ht="12.75" customHeight="1">
      <c r="A176" s="861">
        <f>'Input-FX Rates'!$C$4</f>
        <v>242</v>
      </c>
      <c r="B176" s="861" t="str">
        <f>'Input-FX Rates'!$B$4</f>
        <v>ICH Icheon (242)</v>
      </c>
      <c r="C176" s="861">
        <f>'Input-FX Rates'!$C$6</f>
        <v>780</v>
      </c>
      <c r="D176" s="861" t="str">
        <f>'Input-FX Rates'!$B$6</f>
        <v>780 BU Controls</v>
      </c>
      <c r="E176" s="861" t="str">
        <f>'Input-FX Rates'!$C$5</f>
        <v>7821 &amp; 7822</v>
      </c>
      <c r="F176" s="861" t="str">
        <f>'Input-FX Rates'!$B$5</f>
        <v>7821 PL Drivetrain Controls (&amp; Electrification)</v>
      </c>
      <c r="G176" s="861" t="s">
        <v>1485</v>
      </c>
      <c r="H176" s="861" t="s">
        <v>586</v>
      </c>
      <c r="I176" s="862"/>
      <c r="J176" s="862"/>
      <c r="K176" s="863">
        <f>'5.1 Inventory (GC)'!C24</f>
        <v>419.35852412144254</v>
      </c>
      <c r="L176" s="863">
        <f>'5.1 Inventory (GC)'!D24</f>
        <v>251.54825511388319</v>
      </c>
      <c r="M176" s="862"/>
      <c r="N176" s="862"/>
      <c r="O176" s="863">
        <f>'5.1 Inventory (GC)'!Q24</f>
        <v>186.48916508654546</v>
      </c>
      <c r="P176" s="862"/>
      <c r="Q176" s="862"/>
      <c r="R176" s="862"/>
      <c r="S176" s="862"/>
      <c r="T176" s="862"/>
      <c r="U176" s="862"/>
      <c r="V176" s="862"/>
      <c r="W176" s="863">
        <f>'5.1 Inventory (GC)'!F24</f>
        <v>199.48456468793248</v>
      </c>
      <c r="X176" s="863">
        <f>'5.1 Inventory (GC)'!G24</f>
        <v>280.43028041678878</v>
      </c>
      <c r="Y176" s="863">
        <f>'5.1 Inventory (GC)'!H24</f>
        <v>268.93546275065512</v>
      </c>
      <c r="Z176" s="863">
        <f>'5.1 Inventory (GC)'!I24</f>
        <v>209.76784864184134</v>
      </c>
      <c r="AA176" s="863">
        <f>'5.1 Inventory (GC)'!J24</f>
        <v>189.88643578981623</v>
      </c>
      <c r="AB176" s="863">
        <f>'5.1 Inventory (GC)'!K24</f>
        <v>237.35804473727035</v>
      </c>
      <c r="AC176" s="863">
        <f>'5.1 Inventory (GC)'!L24</f>
        <v>237.35804473727035</v>
      </c>
      <c r="AD176" s="863">
        <f>'5.1 Inventory (GC)'!M24</f>
        <v>217.77828784511161</v>
      </c>
      <c r="AE176" s="863">
        <f>'5.1 Inventory (GC)'!N24</f>
        <v>174.84312135015958</v>
      </c>
      <c r="AF176" s="863">
        <f>'5.1 Inventory (GC)'!O24</f>
        <v>180.22364288105462</v>
      </c>
      <c r="AG176" s="863">
        <f>'5.1 Inventory (GC)'!P24</f>
        <v>233.11145635818178</v>
      </c>
      <c r="AH176" s="863">
        <f>'5.1 Inventory (GC)'!Q24</f>
        <v>186.48916508654546</v>
      </c>
      <c r="AI176" s="862"/>
      <c r="AJ176" s="862"/>
      <c r="AK176" s="862"/>
      <c r="AL176" s="862"/>
      <c r="AM176" s="862"/>
      <c r="AN176" s="862"/>
      <c r="AO176" s="861" t="str">
        <f>'5.1 Inventory (GC)'!S24</f>
        <v/>
      </c>
      <c r="AP176" s="861">
        <v>142</v>
      </c>
      <c r="AQ176" s="861" t="str">
        <f>Settings!$A$1</f>
        <v>V2</v>
      </c>
    </row>
    <row r="177" spans="1:43" s="861" customFormat="1" ht="12.75" customHeight="1">
      <c r="A177" s="861">
        <f>'Input-FX Rates'!$C$4</f>
        <v>242</v>
      </c>
      <c r="B177" s="861" t="str">
        <f>'Input-FX Rates'!$B$4</f>
        <v>ICH Icheon (242)</v>
      </c>
      <c r="C177" s="861">
        <f>'Input-FX Rates'!$C$6</f>
        <v>780</v>
      </c>
      <c r="D177" s="861" t="str">
        <f>'Input-FX Rates'!$B$6</f>
        <v>780 BU Controls</v>
      </c>
      <c r="E177" s="861" t="str">
        <f>'Input-FX Rates'!$C$5</f>
        <v>7821 &amp; 7822</v>
      </c>
      <c r="F177" s="861" t="str">
        <f>'Input-FX Rates'!$B$5</f>
        <v>7821 PL Drivetrain Controls (&amp; Electrification)</v>
      </c>
      <c r="G177" s="861" t="s">
        <v>1485</v>
      </c>
      <c r="H177" s="861" t="s">
        <v>587</v>
      </c>
      <c r="I177" s="862"/>
      <c r="J177" s="862"/>
      <c r="K177" s="863">
        <f>'5.1 Inventory (GC)'!C25</f>
        <v>419.35852412144254</v>
      </c>
      <c r="L177" s="863">
        <f>'5.1 Inventory (GC)'!D25</f>
        <v>251.54825511388319</v>
      </c>
      <c r="M177" s="862"/>
      <c r="N177" s="862"/>
      <c r="O177" s="863">
        <f>'5.1 Inventory (GC)'!Q25</f>
        <v>186.48916508654546</v>
      </c>
      <c r="P177" s="862"/>
      <c r="Q177" s="862"/>
      <c r="R177" s="862"/>
      <c r="S177" s="862"/>
      <c r="T177" s="862"/>
      <c r="U177" s="862"/>
      <c r="V177" s="862"/>
      <c r="W177" s="863">
        <f>'5.1 Inventory (GC)'!F25</f>
        <v>199.48456468793248</v>
      </c>
      <c r="X177" s="863">
        <f>'5.1 Inventory (GC)'!G25</f>
        <v>280.43028041678878</v>
      </c>
      <c r="Y177" s="863">
        <f>'5.1 Inventory (GC)'!H25</f>
        <v>268.93546275065512</v>
      </c>
      <c r="Z177" s="863">
        <f>'5.1 Inventory (GC)'!I25</f>
        <v>209.76784864184134</v>
      </c>
      <c r="AA177" s="863">
        <f>'5.1 Inventory (GC)'!J25</f>
        <v>189.88643578981623</v>
      </c>
      <c r="AB177" s="863">
        <f>'5.1 Inventory (GC)'!K25</f>
        <v>237.35804473727035</v>
      </c>
      <c r="AC177" s="863">
        <f>'5.1 Inventory (GC)'!L25</f>
        <v>237.35804473727035</v>
      </c>
      <c r="AD177" s="863">
        <f>'5.1 Inventory (GC)'!M25</f>
        <v>217.77828784511161</v>
      </c>
      <c r="AE177" s="863">
        <f>'5.1 Inventory (GC)'!N25</f>
        <v>174.84312135015958</v>
      </c>
      <c r="AF177" s="863">
        <f>'5.1 Inventory (GC)'!O25</f>
        <v>180.22364288105462</v>
      </c>
      <c r="AG177" s="863">
        <f>'5.1 Inventory (GC)'!P25</f>
        <v>233.11145635818178</v>
      </c>
      <c r="AH177" s="863">
        <f>'5.1 Inventory (GC)'!Q25</f>
        <v>186.48916508654546</v>
      </c>
      <c r="AI177" s="862"/>
      <c r="AJ177" s="862"/>
      <c r="AK177" s="862"/>
      <c r="AL177" s="862"/>
      <c r="AM177" s="862"/>
      <c r="AN177" s="862"/>
      <c r="AO177" s="861" t="str">
        <f>'5.1 Inventory (GC)'!S25</f>
        <v>1.5 Days of ROC</v>
      </c>
      <c r="AP177" s="861">
        <v>143</v>
      </c>
      <c r="AQ177" s="861" t="str">
        <f>Settings!$A$1</f>
        <v>V2</v>
      </c>
    </row>
    <row r="178" spans="1:43" s="861" customFormat="1" ht="12.75" customHeight="1">
      <c r="A178" s="861">
        <f>'Input-FX Rates'!$C$4</f>
        <v>242</v>
      </c>
      <c r="B178" s="861" t="str">
        <f>'Input-FX Rates'!$B$4</f>
        <v>ICH Icheon (242)</v>
      </c>
      <c r="C178" s="861">
        <f>'Input-FX Rates'!$C$6</f>
        <v>780</v>
      </c>
      <c r="D178" s="861" t="str">
        <f>'Input-FX Rates'!$B$6</f>
        <v>780 BU Controls</v>
      </c>
      <c r="E178" s="861" t="str">
        <f>'Input-FX Rates'!$C$5</f>
        <v>7821 &amp; 7822</v>
      </c>
      <c r="F178" s="861" t="str">
        <f>'Input-FX Rates'!$B$5</f>
        <v>7821 PL Drivetrain Controls (&amp; Electrification)</v>
      </c>
      <c r="G178" s="861" t="s">
        <v>1485</v>
      </c>
      <c r="H178" s="861" t="s">
        <v>574</v>
      </c>
      <c r="I178" s="862"/>
      <c r="J178" s="862"/>
      <c r="K178" s="863">
        <f>'5.1 Inventory (GC)'!C26</f>
        <v>0</v>
      </c>
      <c r="L178" s="863">
        <f>'5.1 Inventory (GC)'!D26</f>
        <v>0</v>
      </c>
      <c r="M178" s="862"/>
      <c r="N178" s="862"/>
      <c r="O178" s="863">
        <f>'5.1 Inventory (GC)'!Q26</f>
        <v>0</v>
      </c>
      <c r="P178" s="862"/>
      <c r="Q178" s="862"/>
      <c r="R178" s="862"/>
      <c r="S178" s="862"/>
      <c r="T178" s="862"/>
      <c r="U178" s="862"/>
      <c r="V178" s="862"/>
      <c r="W178" s="863">
        <f>'5.1 Inventory (GC)'!F26</f>
        <v>0</v>
      </c>
      <c r="X178" s="863">
        <f>'5.1 Inventory (GC)'!G26</f>
        <v>0</v>
      </c>
      <c r="Y178" s="863">
        <f>'5.1 Inventory (GC)'!H26</f>
        <v>0</v>
      </c>
      <c r="Z178" s="863">
        <f>'5.1 Inventory (GC)'!I26</f>
        <v>0</v>
      </c>
      <c r="AA178" s="863">
        <f>'5.1 Inventory (GC)'!J26</f>
        <v>0</v>
      </c>
      <c r="AB178" s="863">
        <f>'5.1 Inventory (GC)'!K26</f>
        <v>0</v>
      </c>
      <c r="AC178" s="863">
        <f>'5.1 Inventory (GC)'!L26</f>
        <v>0</v>
      </c>
      <c r="AD178" s="863">
        <f>'5.1 Inventory (GC)'!M26</f>
        <v>0</v>
      </c>
      <c r="AE178" s="863">
        <f>'5.1 Inventory (GC)'!N26</f>
        <v>0</v>
      </c>
      <c r="AF178" s="863">
        <f>'5.1 Inventory (GC)'!O26</f>
        <v>0</v>
      </c>
      <c r="AG178" s="863">
        <f>'5.1 Inventory (GC)'!P26</f>
        <v>0</v>
      </c>
      <c r="AH178" s="863">
        <f>'5.1 Inventory (GC)'!Q26</f>
        <v>0</v>
      </c>
      <c r="AI178" s="862"/>
      <c r="AJ178" s="862"/>
      <c r="AK178" s="862"/>
      <c r="AL178" s="862"/>
      <c r="AM178" s="862"/>
      <c r="AN178" s="862"/>
      <c r="AO178" s="861" t="str">
        <f>'5.1 Inventory (GC)'!S26</f>
        <v/>
      </c>
      <c r="AP178" s="861">
        <v>144</v>
      </c>
      <c r="AQ178" s="861" t="str">
        <f>Settings!$A$1</f>
        <v>V2</v>
      </c>
    </row>
    <row r="179" spans="1:43" s="861" customFormat="1" ht="12.75" customHeight="1">
      <c r="A179" s="861">
        <f>'Input-FX Rates'!$C$4</f>
        <v>242</v>
      </c>
      <c r="B179" s="861" t="str">
        <f>'Input-FX Rates'!$B$4</f>
        <v>ICH Icheon (242)</v>
      </c>
      <c r="C179" s="861">
        <f>'Input-FX Rates'!$C$6</f>
        <v>780</v>
      </c>
      <c r="D179" s="861" t="str">
        <f>'Input-FX Rates'!$B$6</f>
        <v>780 BU Controls</v>
      </c>
      <c r="E179" s="861" t="str">
        <f>'Input-FX Rates'!$C$5</f>
        <v>7821 &amp; 7822</v>
      </c>
      <c r="F179" s="861" t="str">
        <f>'Input-FX Rates'!$B$5</f>
        <v>7821 PL Drivetrain Controls (&amp; Electrification)</v>
      </c>
      <c r="G179" s="861" t="s">
        <v>1485</v>
      </c>
      <c r="H179" s="861" t="s">
        <v>577</v>
      </c>
      <c r="I179" s="862"/>
      <c r="J179" s="862"/>
      <c r="K179" s="863">
        <f>'5.1 Inventory (GC)'!C27</f>
        <v>0</v>
      </c>
      <c r="L179" s="863">
        <f>'5.1 Inventory (GC)'!D27</f>
        <v>0</v>
      </c>
      <c r="M179" s="862"/>
      <c r="N179" s="862"/>
      <c r="O179" s="863">
        <f>'5.1 Inventory (GC)'!Q27</f>
        <v>0</v>
      </c>
      <c r="P179" s="862"/>
      <c r="Q179" s="862"/>
      <c r="R179" s="862"/>
      <c r="S179" s="862"/>
      <c r="T179" s="862"/>
      <c r="U179" s="862"/>
      <c r="V179" s="862"/>
      <c r="W179" s="863">
        <f>'5.1 Inventory (GC)'!F27</f>
        <v>0</v>
      </c>
      <c r="X179" s="863">
        <f>'5.1 Inventory (GC)'!G27</f>
        <v>0</v>
      </c>
      <c r="Y179" s="863">
        <f>'5.1 Inventory (GC)'!H27</f>
        <v>0</v>
      </c>
      <c r="Z179" s="863">
        <f>'5.1 Inventory (GC)'!I27</f>
        <v>0</v>
      </c>
      <c r="AA179" s="863">
        <f>'5.1 Inventory (GC)'!J27</f>
        <v>0</v>
      </c>
      <c r="AB179" s="863">
        <f>'5.1 Inventory (GC)'!K27</f>
        <v>0</v>
      </c>
      <c r="AC179" s="863">
        <f>'5.1 Inventory (GC)'!L27</f>
        <v>0</v>
      </c>
      <c r="AD179" s="863">
        <f>'5.1 Inventory (GC)'!M27</f>
        <v>0</v>
      </c>
      <c r="AE179" s="863">
        <f>'5.1 Inventory (GC)'!N27</f>
        <v>0</v>
      </c>
      <c r="AF179" s="863">
        <f>'5.1 Inventory (GC)'!O27</f>
        <v>0</v>
      </c>
      <c r="AG179" s="863">
        <f>'5.1 Inventory (GC)'!P27</f>
        <v>0</v>
      </c>
      <c r="AH179" s="863">
        <f>'5.1 Inventory (GC)'!Q27</f>
        <v>0</v>
      </c>
      <c r="AI179" s="862"/>
      <c r="AJ179" s="862"/>
      <c r="AK179" s="862"/>
      <c r="AL179" s="862"/>
      <c r="AM179" s="862"/>
      <c r="AN179" s="862"/>
      <c r="AO179" s="861" t="str">
        <f>'5.1 Inventory (GC)'!S27</f>
        <v/>
      </c>
      <c r="AP179" s="861">
        <v>145</v>
      </c>
      <c r="AQ179" s="861" t="str">
        <f>Settings!$A$1</f>
        <v>V2</v>
      </c>
    </row>
    <row r="180" spans="1:43" s="861" customFormat="1" ht="12.75" customHeight="1">
      <c r="A180" s="861">
        <f>'Input-FX Rates'!$C$4</f>
        <v>242</v>
      </c>
      <c r="B180" s="861" t="str">
        <f>'Input-FX Rates'!$B$4</f>
        <v>ICH Icheon (242)</v>
      </c>
      <c r="C180" s="861">
        <f>'Input-FX Rates'!$C$6</f>
        <v>780</v>
      </c>
      <c r="D180" s="861" t="str">
        <f>'Input-FX Rates'!$B$6</f>
        <v>780 BU Controls</v>
      </c>
      <c r="E180" s="861" t="str">
        <f>'Input-FX Rates'!$C$5</f>
        <v>7821 &amp; 7822</v>
      </c>
      <c r="F180" s="861" t="str">
        <f>'Input-FX Rates'!$B$5</f>
        <v>7821 PL Drivetrain Controls (&amp; Electrification)</v>
      </c>
      <c r="G180" s="861" t="s">
        <v>1485</v>
      </c>
      <c r="H180" s="861" t="s">
        <v>581</v>
      </c>
      <c r="I180" s="862"/>
      <c r="J180" s="862"/>
      <c r="K180" s="863">
        <f>'5.1 Inventory (GC)'!C28</f>
        <v>0</v>
      </c>
      <c r="L180" s="863">
        <f>'5.1 Inventory (GC)'!D28</f>
        <v>0</v>
      </c>
      <c r="M180" s="862"/>
      <c r="N180" s="862"/>
      <c r="O180" s="863">
        <f>'5.1 Inventory (GC)'!Q28</f>
        <v>0</v>
      </c>
      <c r="P180" s="862"/>
      <c r="Q180" s="862"/>
      <c r="R180" s="862"/>
      <c r="S180" s="862"/>
      <c r="T180" s="862"/>
      <c r="U180" s="862"/>
      <c r="V180" s="862"/>
      <c r="W180" s="863">
        <f>'5.1 Inventory (GC)'!F28</f>
        <v>0</v>
      </c>
      <c r="X180" s="863">
        <f>'5.1 Inventory (GC)'!G28</f>
        <v>0</v>
      </c>
      <c r="Y180" s="863">
        <f>'5.1 Inventory (GC)'!H28</f>
        <v>0</v>
      </c>
      <c r="Z180" s="863">
        <f>'5.1 Inventory (GC)'!I28</f>
        <v>0</v>
      </c>
      <c r="AA180" s="863">
        <f>'5.1 Inventory (GC)'!J28</f>
        <v>0</v>
      </c>
      <c r="AB180" s="863">
        <f>'5.1 Inventory (GC)'!K28</f>
        <v>0</v>
      </c>
      <c r="AC180" s="863">
        <f>'5.1 Inventory (GC)'!L28</f>
        <v>0</v>
      </c>
      <c r="AD180" s="863">
        <f>'5.1 Inventory (GC)'!M28</f>
        <v>0</v>
      </c>
      <c r="AE180" s="863">
        <f>'5.1 Inventory (GC)'!N28</f>
        <v>0</v>
      </c>
      <c r="AF180" s="863">
        <f>'5.1 Inventory (GC)'!O28</f>
        <v>0</v>
      </c>
      <c r="AG180" s="863">
        <f>'5.1 Inventory (GC)'!P28</f>
        <v>0</v>
      </c>
      <c r="AH180" s="863">
        <f>'5.1 Inventory (GC)'!Q28</f>
        <v>0</v>
      </c>
      <c r="AI180" s="862"/>
      <c r="AJ180" s="862"/>
      <c r="AK180" s="862"/>
      <c r="AL180" s="862"/>
      <c r="AM180" s="862"/>
      <c r="AN180" s="862"/>
      <c r="AO180" s="861" t="str">
        <f>'5.1 Inventory (GC)'!S28</f>
        <v/>
      </c>
      <c r="AP180" s="861">
        <v>146</v>
      </c>
      <c r="AQ180" s="861" t="str">
        <f>Settings!$A$1</f>
        <v>V2</v>
      </c>
    </row>
    <row r="181" spans="1:43" s="861" customFormat="1">
      <c r="A181" s="861">
        <f>'Input-FX Rates'!$C$4</f>
        <v>242</v>
      </c>
      <c r="B181" s="861" t="str">
        <f>'Input-FX Rates'!$B$4</f>
        <v>ICH Icheon (242)</v>
      </c>
      <c r="C181" s="861">
        <f>'Input-FX Rates'!$C$6</f>
        <v>780</v>
      </c>
      <c r="D181" s="861" t="str">
        <f>'Input-FX Rates'!$B$6</f>
        <v>780 BU Controls</v>
      </c>
      <c r="E181" s="861" t="str">
        <f>'Input-FX Rates'!$C$5</f>
        <v>7821 &amp; 7822</v>
      </c>
      <c r="F181" s="861" t="str">
        <f>'Input-FX Rates'!$B$5</f>
        <v>7821 PL Drivetrain Controls (&amp; Electrification)</v>
      </c>
      <c r="G181" s="861" t="s">
        <v>1485</v>
      </c>
      <c r="H181" s="861" t="s">
        <v>574</v>
      </c>
      <c r="I181" s="862"/>
      <c r="J181" s="862"/>
      <c r="K181" s="863">
        <f>'5.1 Inventory (GC)'!C29</f>
        <v>0</v>
      </c>
      <c r="L181" s="863">
        <f>'5.1 Inventory (GC)'!D29</f>
        <v>0</v>
      </c>
      <c r="M181" s="862"/>
      <c r="N181" s="862"/>
      <c r="O181" s="863">
        <f>'5.1 Inventory (GC)'!Q29</f>
        <v>0</v>
      </c>
      <c r="P181" s="862"/>
      <c r="Q181" s="862"/>
      <c r="R181" s="862"/>
      <c r="S181" s="862"/>
      <c r="T181" s="862"/>
      <c r="U181" s="862"/>
      <c r="V181" s="862"/>
      <c r="W181" s="863">
        <f>'5.1 Inventory (GC)'!F29</f>
        <v>0</v>
      </c>
      <c r="X181" s="863">
        <f>'5.1 Inventory (GC)'!G29</f>
        <v>0</v>
      </c>
      <c r="Y181" s="863">
        <f>'5.1 Inventory (GC)'!H29</f>
        <v>0</v>
      </c>
      <c r="Z181" s="863">
        <f>'5.1 Inventory (GC)'!I29</f>
        <v>0</v>
      </c>
      <c r="AA181" s="863">
        <f>'5.1 Inventory (GC)'!J29</f>
        <v>0</v>
      </c>
      <c r="AB181" s="863">
        <f>'5.1 Inventory (GC)'!K29</f>
        <v>0</v>
      </c>
      <c r="AC181" s="863">
        <f>'5.1 Inventory (GC)'!L29</f>
        <v>0</v>
      </c>
      <c r="AD181" s="863">
        <f>'5.1 Inventory (GC)'!M29</f>
        <v>0</v>
      </c>
      <c r="AE181" s="863">
        <f>'5.1 Inventory (GC)'!N29</f>
        <v>0</v>
      </c>
      <c r="AF181" s="863">
        <f>'5.1 Inventory (GC)'!O29</f>
        <v>0</v>
      </c>
      <c r="AG181" s="863">
        <f>'5.1 Inventory (GC)'!P29</f>
        <v>0</v>
      </c>
      <c r="AH181" s="863">
        <f>'5.1 Inventory (GC)'!Q29</f>
        <v>0</v>
      </c>
      <c r="AI181" s="862"/>
      <c r="AJ181" s="862"/>
      <c r="AK181" s="862"/>
      <c r="AL181" s="862"/>
      <c r="AM181" s="862"/>
      <c r="AN181" s="862"/>
      <c r="AO181" s="861" t="str">
        <f>'5.1 Inventory (GC)'!S29</f>
        <v/>
      </c>
      <c r="AP181" s="861">
        <v>148</v>
      </c>
      <c r="AQ181" s="861" t="str">
        <f>Settings!$A$1</f>
        <v>V2</v>
      </c>
    </row>
    <row r="182" spans="1:43" s="861" customFormat="1">
      <c r="A182" s="861">
        <f>'Input-FX Rates'!$C$4</f>
        <v>242</v>
      </c>
      <c r="B182" s="861" t="str">
        <f>'Input-FX Rates'!$B$4</f>
        <v>ICH Icheon (242)</v>
      </c>
      <c r="C182" s="861">
        <f>'Input-FX Rates'!$C$6</f>
        <v>780</v>
      </c>
      <c r="D182" s="861" t="str">
        <f>'Input-FX Rates'!$B$6</f>
        <v>780 BU Controls</v>
      </c>
      <c r="E182" s="861" t="str">
        <f>'Input-FX Rates'!$C$5</f>
        <v>7821 &amp; 7822</v>
      </c>
      <c r="F182" s="861" t="str">
        <f>'Input-FX Rates'!$B$5</f>
        <v>7821 PL Drivetrain Controls (&amp; Electrification)</v>
      </c>
      <c r="G182" s="861" t="s">
        <v>1485</v>
      </c>
      <c r="H182" s="861" t="s">
        <v>583</v>
      </c>
      <c r="I182" s="862"/>
      <c r="J182" s="862"/>
      <c r="K182" s="863">
        <f>'5.1 Inventory (GC)'!C30</f>
        <v>0</v>
      </c>
      <c r="L182" s="863">
        <f>'5.1 Inventory (GC)'!D30</f>
        <v>0</v>
      </c>
      <c r="M182" s="862"/>
      <c r="N182" s="862"/>
      <c r="O182" s="863">
        <f>'5.1 Inventory (GC)'!Q30</f>
        <v>0</v>
      </c>
      <c r="P182" s="862"/>
      <c r="Q182" s="862"/>
      <c r="R182" s="862"/>
      <c r="S182" s="862"/>
      <c r="T182" s="862"/>
      <c r="U182" s="862"/>
      <c r="V182" s="862"/>
      <c r="W182" s="863">
        <f>'5.1 Inventory (GC)'!F30</f>
        <v>0</v>
      </c>
      <c r="X182" s="863">
        <f>'5.1 Inventory (GC)'!G30</f>
        <v>0</v>
      </c>
      <c r="Y182" s="863">
        <f>'5.1 Inventory (GC)'!H30</f>
        <v>0</v>
      </c>
      <c r="Z182" s="863">
        <f>'5.1 Inventory (GC)'!I30</f>
        <v>0</v>
      </c>
      <c r="AA182" s="863">
        <f>'5.1 Inventory (GC)'!J30</f>
        <v>0</v>
      </c>
      <c r="AB182" s="863">
        <f>'5.1 Inventory (GC)'!K30</f>
        <v>0</v>
      </c>
      <c r="AC182" s="863">
        <f>'5.1 Inventory (GC)'!L30</f>
        <v>0</v>
      </c>
      <c r="AD182" s="863">
        <f>'5.1 Inventory (GC)'!M30</f>
        <v>0</v>
      </c>
      <c r="AE182" s="863">
        <f>'5.1 Inventory (GC)'!N30</f>
        <v>0</v>
      </c>
      <c r="AF182" s="863">
        <f>'5.1 Inventory (GC)'!O30</f>
        <v>0</v>
      </c>
      <c r="AG182" s="863">
        <f>'5.1 Inventory (GC)'!P30</f>
        <v>0</v>
      </c>
      <c r="AH182" s="863">
        <f>'5.1 Inventory (GC)'!Q30</f>
        <v>0</v>
      </c>
      <c r="AI182" s="862"/>
      <c r="AJ182" s="862"/>
      <c r="AK182" s="862"/>
      <c r="AL182" s="862"/>
      <c r="AM182" s="862"/>
      <c r="AN182" s="862"/>
      <c r="AO182" s="861" t="str">
        <f>'5.1 Inventory (GC)'!S30</f>
        <v/>
      </c>
      <c r="AP182" s="861">
        <v>149</v>
      </c>
      <c r="AQ182" s="861" t="str">
        <f>Settings!$A$1</f>
        <v>V2</v>
      </c>
    </row>
    <row r="183" spans="1:43" s="861" customFormat="1">
      <c r="A183" s="861">
        <f>'Input-FX Rates'!$C$4</f>
        <v>242</v>
      </c>
      <c r="B183" s="861" t="str">
        <f>'Input-FX Rates'!$B$4</f>
        <v>ICH Icheon (242)</v>
      </c>
      <c r="C183" s="861">
        <f>'Input-FX Rates'!$C$6</f>
        <v>780</v>
      </c>
      <c r="D183" s="861" t="str">
        <f>'Input-FX Rates'!$B$6</f>
        <v>780 BU Controls</v>
      </c>
      <c r="E183" s="861" t="str">
        <f>'Input-FX Rates'!$C$5</f>
        <v>7821 &amp; 7822</v>
      </c>
      <c r="F183" s="861" t="str">
        <f>'Input-FX Rates'!$B$5</f>
        <v>7821 PL Drivetrain Controls (&amp; Electrification)</v>
      </c>
      <c r="G183" s="861" t="s">
        <v>1485</v>
      </c>
      <c r="H183" s="861" t="s">
        <v>584</v>
      </c>
      <c r="I183" s="862"/>
      <c r="J183" s="862"/>
      <c r="K183" s="863">
        <f>'5.1 Inventory (GC)'!C31</f>
        <v>0</v>
      </c>
      <c r="L183" s="863">
        <f>'5.1 Inventory (GC)'!D31</f>
        <v>0</v>
      </c>
      <c r="M183" s="862"/>
      <c r="N183" s="862"/>
      <c r="O183" s="863">
        <f>'5.1 Inventory (GC)'!Q31</f>
        <v>0</v>
      </c>
      <c r="P183" s="862"/>
      <c r="Q183" s="862"/>
      <c r="R183" s="862"/>
      <c r="S183" s="862"/>
      <c r="T183" s="862"/>
      <c r="U183" s="862"/>
      <c r="V183" s="862"/>
      <c r="W183" s="863">
        <f>'5.1 Inventory (GC)'!F31</f>
        <v>0</v>
      </c>
      <c r="X183" s="863">
        <f>'5.1 Inventory (GC)'!G31</f>
        <v>0</v>
      </c>
      <c r="Y183" s="863">
        <f>'5.1 Inventory (GC)'!H31</f>
        <v>0</v>
      </c>
      <c r="Z183" s="863">
        <f>'5.1 Inventory (GC)'!I31</f>
        <v>0</v>
      </c>
      <c r="AA183" s="863">
        <f>'5.1 Inventory (GC)'!J31</f>
        <v>0</v>
      </c>
      <c r="AB183" s="863">
        <f>'5.1 Inventory (GC)'!K31</f>
        <v>0</v>
      </c>
      <c r="AC183" s="863">
        <f>'5.1 Inventory (GC)'!L31</f>
        <v>0</v>
      </c>
      <c r="AD183" s="863">
        <f>'5.1 Inventory (GC)'!M31</f>
        <v>0</v>
      </c>
      <c r="AE183" s="863">
        <f>'5.1 Inventory (GC)'!N31</f>
        <v>0</v>
      </c>
      <c r="AF183" s="863">
        <f>'5.1 Inventory (GC)'!O31</f>
        <v>0</v>
      </c>
      <c r="AG183" s="863">
        <f>'5.1 Inventory (GC)'!P31</f>
        <v>0</v>
      </c>
      <c r="AH183" s="863">
        <f>'5.1 Inventory (GC)'!Q31</f>
        <v>0</v>
      </c>
      <c r="AI183" s="862"/>
      <c r="AJ183" s="862"/>
      <c r="AK183" s="862"/>
      <c r="AL183" s="862"/>
      <c r="AM183" s="862"/>
      <c r="AN183" s="862"/>
      <c r="AO183" s="861" t="str">
        <f>'5.1 Inventory (GC)'!S31</f>
        <v/>
      </c>
      <c r="AP183" s="861">
        <v>150</v>
      </c>
      <c r="AQ183" s="861" t="str">
        <f>Settings!$A$1</f>
        <v>V2</v>
      </c>
    </row>
    <row r="184" spans="1:43" s="861" customFormat="1">
      <c r="A184" s="861">
        <f>'Input-FX Rates'!$C$4</f>
        <v>242</v>
      </c>
      <c r="B184" s="861" t="str">
        <f>'Input-FX Rates'!$B$4</f>
        <v>ICH Icheon (242)</v>
      </c>
      <c r="C184" s="861">
        <f>'Input-FX Rates'!$C$6</f>
        <v>780</v>
      </c>
      <c r="D184" s="861" t="str">
        <f>'Input-FX Rates'!$B$6</f>
        <v>780 BU Controls</v>
      </c>
      <c r="E184" s="861" t="str">
        <f>'Input-FX Rates'!$C$5</f>
        <v>7821 &amp; 7822</v>
      </c>
      <c r="F184" s="861" t="str">
        <f>'Input-FX Rates'!$B$5</f>
        <v>7821 PL Drivetrain Controls (&amp; Electrification)</v>
      </c>
      <c r="G184" s="861" t="s">
        <v>1485</v>
      </c>
      <c r="H184" s="861" t="s">
        <v>589</v>
      </c>
      <c r="I184" s="862"/>
      <c r="J184" s="862"/>
      <c r="K184" s="863">
        <f>'5.1 Inventory (GC)'!C32</f>
        <v>367.47063203003205</v>
      </c>
      <c r="L184" s="863">
        <f>'5.1 Inventory (GC)'!D32</f>
        <v>361.67132003940151</v>
      </c>
      <c r="M184" s="862"/>
      <c r="N184" s="862"/>
      <c r="O184" s="863">
        <f>'5.1 Inventory (GC)'!Q32</f>
        <v>284.71628257487851</v>
      </c>
      <c r="P184" s="862"/>
      <c r="Q184" s="862"/>
      <c r="R184" s="862"/>
      <c r="S184" s="862"/>
      <c r="T184" s="862"/>
      <c r="U184" s="862"/>
      <c r="V184" s="862"/>
      <c r="W184" s="863">
        <f>'5.1 Inventory (GC)'!F32</f>
        <v>304.55658730982054</v>
      </c>
      <c r="X184" s="863">
        <f>'5.1 Inventory (GC)'!G32</f>
        <v>428.13783269738747</v>
      </c>
      <c r="Y184" s="863">
        <f>'5.1 Inventory (GC)'!H32</f>
        <v>410.5884927490917</v>
      </c>
      <c r="Z184" s="863">
        <f>'5.1 Inventory (GC)'!I32</f>
        <v>320.25625746846009</v>
      </c>
      <c r="AA184" s="863">
        <f>'5.1 Inventory (GC)'!J32</f>
        <v>289.90295540429963</v>
      </c>
      <c r="AB184" s="863">
        <f>'5.1 Inventory (GC)'!K32</f>
        <v>362.37869425537457</v>
      </c>
      <c r="AC184" s="863">
        <f>'5.1 Inventory (GC)'!L32</f>
        <v>362.37869425537457</v>
      </c>
      <c r="AD184" s="863">
        <f>'5.1 Inventory (GC)'!M32</f>
        <v>332.48593564139173</v>
      </c>
      <c r="AE184" s="863">
        <f>'5.1 Inventory (GC)'!N32</f>
        <v>266.93606313001459</v>
      </c>
      <c r="AF184" s="863">
        <f>'5.1 Inventory (GC)'!O32</f>
        <v>275.15059981840398</v>
      </c>
      <c r="AG184" s="863">
        <f>'5.1 Inventory (GC)'!P32</f>
        <v>355.89535321859813</v>
      </c>
      <c r="AH184" s="863">
        <f>'5.1 Inventory (GC)'!Q32</f>
        <v>284.71628257487851</v>
      </c>
      <c r="AI184" s="862"/>
      <c r="AJ184" s="862"/>
      <c r="AK184" s="862"/>
      <c r="AL184" s="862"/>
      <c r="AM184" s="862"/>
      <c r="AN184" s="862"/>
      <c r="AO184" s="861" t="str">
        <f>'5.1 Inventory (GC)'!S32</f>
        <v/>
      </c>
      <c r="AP184" s="861">
        <v>151</v>
      </c>
      <c r="AQ184" s="861" t="str">
        <f>Settings!$A$1</f>
        <v>V2</v>
      </c>
    </row>
    <row r="185" spans="1:43" s="861" customFormat="1">
      <c r="A185" s="861">
        <f>'Input-FX Rates'!$C$4</f>
        <v>242</v>
      </c>
      <c r="B185" s="861" t="str">
        <f>'Input-FX Rates'!$B$4</f>
        <v>ICH Icheon (242)</v>
      </c>
      <c r="C185" s="861">
        <f>'Input-FX Rates'!$C$6</f>
        <v>780</v>
      </c>
      <c r="D185" s="861" t="str">
        <f>'Input-FX Rates'!$B$6</f>
        <v>780 BU Controls</v>
      </c>
      <c r="E185" s="861" t="str">
        <f>'Input-FX Rates'!$C$5</f>
        <v>7821 &amp; 7822</v>
      </c>
      <c r="F185" s="861" t="str">
        <f>'Input-FX Rates'!$B$5</f>
        <v>7821 PL Drivetrain Controls (&amp; Electrification)</v>
      </c>
      <c r="G185" s="861" t="s">
        <v>1485</v>
      </c>
      <c r="H185" s="861" t="s">
        <v>590</v>
      </c>
      <c r="I185" s="862"/>
      <c r="J185" s="862"/>
      <c r="K185" s="863">
        <f>'5.1 Inventory (GC)'!C33</f>
        <v>367.47063203003205</v>
      </c>
      <c r="L185" s="863">
        <f>'5.1 Inventory (GC)'!D33</f>
        <v>361.67132003940151</v>
      </c>
      <c r="M185" s="862"/>
      <c r="N185" s="862"/>
      <c r="O185" s="863">
        <f>'5.1 Inventory (GC)'!Q33</f>
        <v>284.71628257487851</v>
      </c>
      <c r="P185" s="862"/>
      <c r="Q185" s="862"/>
      <c r="R185" s="862"/>
      <c r="S185" s="862"/>
      <c r="T185" s="862"/>
      <c r="U185" s="862"/>
      <c r="V185" s="862"/>
      <c r="W185" s="863">
        <f>'5.1 Inventory (GC)'!F33</f>
        <v>304.55658730982054</v>
      </c>
      <c r="X185" s="863">
        <f>'5.1 Inventory (GC)'!G33</f>
        <v>428.13783269738747</v>
      </c>
      <c r="Y185" s="863">
        <f>'5.1 Inventory (GC)'!H33</f>
        <v>410.5884927490917</v>
      </c>
      <c r="Z185" s="863">
        <f>'5.1 Inventory (GC)'!I33</f>
        <v>320.25625746846009</v>
      </c>
      <c r="AA185" s="863">
        <f>'5.1 Inventory (GC)'!J33</f>
        <v>289.90295540429963</v>
      </c>
      <c r="AB185" s="863">
        <f>'5.1 Inventory (GC)'!K33</f>
        <v>362.37869425537457</v>
      </c>
      <c r="AC185" s="863">
        <f>'5.1 Inventory (GC)'!L33</f>
        <v>362.37869425537457</v>
      </c>
      <c r="AD185" s="863">
        <f>'5.1 Inventory (GC)'!M33</f>
        <v>332.48593564139173</v>
      </c>
      <c r="AE185" s="863">
        <f>'5.1 Inventory (GC)'!N33</f>
        <v>266.93606313001459</v>
      </c>
      <c r="AF185" s="863">
        <f>'5.1 Inventory (GC)'!O33</f>
        <v>275.15059981840398</v>
      </c>
      <c r="AG185" s="863">
        <f>'5.1 Inventory (GC)'!P33</f>
        <v>355.89535321859813</v>
      </c>
      <c r="AH185" s="863">
        <f>'5.1 Inventory (GC)'!Q33</f>
        <v>284.71628257487851</v>
      </c>
      <c r="AI185" s="862"/>
      <c r="AJ185" s="862"/>
      <c r="AK185" s="862"/>
      <c r="AL185" s="862"/>
      <c r="AM185" s="862"/>
      <c r="AN185" s="862"/>
      <c r="AO185" s="861" t="str">
        <f>'5.1 Inventory (GC)'!S33</f>
        <v>2.2 Days of ROC</v>
      </c>
      <c r="AP185" s="861">
        <v>152</v>
      </c>
      <c r="AQ185" s="861" t="str">
        <f>Settings!$A$1</f>
        <v>V2</v>
      </c>
    </row>
    <row r="186" spans="1:43" s="861" customFormat="1">
      <c r="A186" s="861">
        <f>'Input-FX Rates'!$C$4</f>
        <v>242</v>
      </c>
      <c r="B186" s="861" t="str">
        <f>'Input-FX Rates'!$B$4</f>
        <v>ICH Icheon (242)</v>
      </c>
      <c r="C186" s="861">
        <f>'Input-FX Rates'!$C$6</f>
        <v>780</v>
      </c>
      <c r="D186" s="861" t="str">
        <f>'Input-FX Rates'!$B$6</f>
        <v>780 BU Controls</v>
      </c>
      <c r="E186" s="861" t="str">
        <f>'Input-FX Rates'!$C$5</f>
        <v>7821 &amp; 7822</v>
      </c>
      <c r="F186" s="861" t="str">
        <f>'Input-FX Rates'!$B$5</f>
        <v>7821 PL Drivetrain Controls (&amp; Electrification)</v>
      </c>
      <c r="G186" s="861" t="s">
        <v>1485</v>
      </c>
      <c r="H186" s="861" t="s">
        <v>592</v>
      </c>
      <c r="I186" s="862"/>
      <c r="J186" s="862"/>
      <c r="K186" s="863">
        <f>'5.1 Inventory (GC)'!C34</f>
        <v>0</v>
      </c>
      <c r="L186" s="863">
        <f>'5.1 Inventory (GC)'!D34</f>
        <v>0</v>
      </c>
      <c r="M186" s="862"/>
      <c r="N186" s="862"/>
      <c r="O186" s="863">
        <f>'5.1 Inventory (GC)'!Q34</f>
        <v>0</v>
      </c>
      <c r="P186" s="862"/>
      <c r="Q186" s="862"/>
      <c r="R186" s="862"/>
      <c r="S186" s="862"/>
      <c r="T186" s="862"/>
      <c r="U186" s="862"/>
      <c r="V186" s="862"/>
      <c r="W186" s="863">
        <f>'5.1 Inventory (GC)'!F34</f>
        <v>0</v>
      </c>
      <c r="X186" s="863">
        <f>'5.1 Inventory (GC)'!G34</f>
        <v>0</v>
      </c>
      <c r="Y186" s="863">
        <f>'5.1 Inventory (GC)'!H34</f>
        <v>0</v>
      </c>
      <c r="Z186" s="863">
        <f>'5.1 Inventory (GC)'!I34</f>
        <v>0</v>
      </c>
      <c r="AA186" s="863">
        <f>'5.1 Inventory (GC)'!J34</f>
        <v>0</v>
      </c>
      <c r="AB186" s="863">
        <f>'5.1 Inventory (GC)'!K34</f>
        <v>0</v>
      </c>
      <c r="AC186" s="863">
        <f>'5.1 Inventory (GC)'!L34</f>
        <v>0</v>
      </c>
      <c r="AD186" s="863">
        <f>'5.1 Inventory (GC)'!M34</f>
        <v>0</v>
      </c>
      <c r="AE186" s="863">
        <f>'5.1 Inventory (GC)'!N34</f>
        <v>0</v>
      </c>
      <c r="AF186" s="863">
        <f>'5.1 Inventory (GC)'!O34</f>
        <v>0</v>
      </c>
      <c r="AG186" s="863">
        <f>'5.1 Inventory (GC)'!P34</f>
        <v>0</v>
      </c>
      <c r="AH186" s="863">
        <f>'5.1 Inventory (GC)'!Q34</f>
        <v>0</v>
      </c>
      <c r="AI186" s="862"/>
      <c r="AJ186" s="862"/>
      <c r="AK186" s="862"/>
      <c r="AL186" s="862"/>
      <c r="AM186" s="862"/>
      <c r="AN186" s="862"/>
      <c r="AO186" s="861" t="str">
        <f>'5.1 Inventory (GC)'!S34</f>
        <v/>
      </c>
      <c r="AP186" s="861">
        <v>153</v>
      </c>
      <c r="AQ186" s="861" t="str">
        <f>Settings!$A$1</f>
        <v>V2</v>
      </c>
    </row>
    <row r="187" spans="1:43" s="861" customFormat="1">
      <c r="A187" s="861">
        <f>'Input-FX Rates'!$C$4</f>
        <v>242</v>
      </c>
      <c r="B187" s="861" t="str">
        <f>'Input-FX Rates'!$B$4</f>
        <v>ICH Icheon (242)</v>
      </c>
      <c r="C187" s="861">
        <f>'Input-FX Rates'!$C$6</f>
        <v>780</v>
      </c>
      <c r="D187" s="861" t="str">
        <f>'Input-FX Rates'!$B$6</f>
        <v>780 BU Controls</v>
      </c>
      <c r="E187" s="861" t="str">
        <f>'Input-FX Rates'!$C$5</f>
        <v>7821 &amp; 7822</v>
      </c>
      <c r="F187" s="861" t="str">
        <f>'Input-FX Rates'!$B$5</f>
        <v>7821 PL Drivetrain Controls (&amp; Electrification)</v>
      </c>
      <c r="G187" s="861" t="s">
        <v>1485</v>
      </c>
      <c r="H187" s="861" t="s">
        <v>574</v>
      </c>
      <c r="I187" s="862"/>
      <c r="J187" s="862"/>
      <c r="K187" s="863">
        <f>'5.1 Inventory (GC)'!C35</f>
        <v>0</v>
      </c>
      <c r="L187" s="863">
        <f>'5.1 Inventory (GC)'!D35</f>
        <v>0</v>
      </c>
      <c r="M187" s="862"/>
      <c r="N187" s="862"/>
      <c r="O187" s="863">
        <f>'5.1 Inventory (GC)'!Q35</f>
        <v>0</v>
      </c>
      <c r="P187" s="862"/>
      <c r="Q187" s="862"/>
      <c r="R187" s="862"/>
      <c r="S187" s="862"/>
      <c r="T187" s="862"/>
      <c r="U187" s="862"/>
      <c r="V187" s="862"/>
      <c r="W187" s="863">
        <f>'5.1 Inventory (GC)'!F35</f>
        <v>0</v>
      </c>
      <c r="X187" s="863">
        <f>'5.1 Inventory (GC)'!G35</f>
        <v>0</v>
      </c>
      <c r="Y187" s="863">
        <f>'5.1 Inventory (GC)'!H35</f>
        <v>0</v>
      </c>
      <c r="Z187" s="863">
        <f>'5.1 Inventory (GC)'!I35</f>
        <v>0</v>
      </c>
      <c r="AA187" s="863">
        <f>'5.1 Inventory (GC)'!J35</f>
        <v>0</v>
      </c>
      <c r="AB187" s="863">
        <f>'5.1 Inventory (GC)'!K35</f>
        <v>0</v>
      </c>
      <c r="AC187" s="863">
        <f>'5.1 Inventory (GC)'!L35</f>
        <v>0</v>
      </c>
      <c r="AD187" s="863">
        <f>'5.1 Inventory (GC)'!M35</f>
        <v>0</v>
      </c>
      <c r="AE187" s="863">
        <f>'5.1 Inventory (GC)'!N35</f>
        <v>0</v>
      </c>
      <c r="AF187" s="863">
        <f>'5.1 Inventory (GC)'!O35</f>
        <v>0</v>
      </c>
      <c r="AG187" s="863">
        <f>'5.1 Inventory (GC)'!P35</f>
        <v>0</v>
      </c>
      <c r="AH187" s="863">
        <f>'5.1 Inventory (GC)'!Q35</f>
        <v>0</v>
      </c>
      <c r="AI187" s="862"/>
      <c r="AJ187" s="862"/>
      <c r="AK187" s="862"/>
      <c r="AL187" s="862"/>
      <c r="AM187" s="862"/>
      <c r="AN187" s="862"/>
      <c r="AO187" s="861" t="str">
        <f>'5.1 Inventory (GC)'!S35</f>
        <v/>
      </c>
      <c r="AP187" s="861">
        <v>154</v>
      </c>
      <c r="AQ187" s="861" t="str">
        <f>Settings!$A$1</f>
        <v>V2</v>
      </c>
    </row>
    <row r="188" spans="1:43" s="861" customFormat="1">
      <c r="A188" s="861">
        <f>'Input-FX Rates'!$C$4</f>
        <v>242</v>
      </c>
      <c r="B188" s="861" t="str">
        <f>'Input-FX Rates'!$B$4</f>
        <v>ICH Icheon (242)</v>
      </c>
      <c r="C188" s="861">
        <f>'Input-FX Rates'!$C$6</f>
        <v>780</v>
      </c>
      <c r="D188" s="861" t="str">
        <f>'Input-FX Rates'!$B$6</f>
        <v>780 BU Controls</v>
      </c>
      <c r="E188" s="861" t="str">
        <f>'Input-FX Rates'!$C$5</f>
        <v>7821 &amp; 7822</v>
      </c>
      <c r="F188" s="861" t="str">
        <f>'Input-FX Rates'!$B$5</f>
        <v>7821 PL Drivetrain Controls (&amp; Electrification)</v>
      </c>
      <c r="G188" s="861" t="s">
        <v>1485</v>
      </c>
      <c r="H188" s="861" t="s">
        <v>575</v>
      </c>
      <c r="I188" s="862"/>
      <c r="J188" s="862"/>
      <c r="K188" s="863">
        <f>'5.1 Inventory (GC)'!C36</f>
        <v>0</v>
      </c>
      <c r="L188" s="863">
        <f>'5.1 Inventory (GC)'!D36</f>
        <v>0</v>
      </c>
      <c r="M188" s="862"/>
      <c r="N188" s="862"/>
      <c r="O188" s="863">
        <f>'5.1 Inventory (GC)'!Q36</f>
        <v>0</v>
      </c>
      <c r="P188" s="862"/>
      <c r="Q188" s="862"/>
      <c r="R188" s="862"/>
      <c r="S188" s="862"/>
      <c r="T188" s="862"/>
      <c r="U188" s="862"/>
      <c r="V188" s="862"/>
      <c r="W188" s="863">
        <f>'5.1 Inventory (GC)'!F36</f>
        <v>0</v>
      </c>
      <c r="X188" s="863">
        <f>'5.1 Inventory (GC)'!G36</f>
        <v>0</v>
      </c>
      <c r="Y188" s="863">
        <f>'5.1 Inventory (GC)'!H36</f>
        <v>0</v>
      </c>
      <c r="Z188" s="863">
        <f>'5.1 Inventory (GC)'!I36</f>
        <v>0</v>
      </c>
      <c r="AA188" s="863">
        <f>'5.1 Inventory (GC)'!J36</f>
        <v>0</v>
      </c>
      <c r="AB188" s="863">
        <f>'5.1 Inventory (GC)'!K36</f>
        <v>0</v>
      </c>
      <c r="AC188" s="863">
        <f>'5.1 Inventory (GC)'!L36</f>
        <v>0</v>
      </c>
      <c r="AD188" s="863">
        <f>'5.1 Inventory (GC)'!M36</f>
        <v>0</v>
      </c>
      <c r="AE188" s="863">
        <f>'5.1 Inventory (GC)'!N36</f>
        <v>0</v>
      </c>
      <c r="AF188" s="863">
        <f>'5.1 Inventory (GC)'!O36</f>
        <v>0</v>
      </c>
      <c r="AG188" s="863">
        <f>'5.1 Inventory (GC)'!P36</f>
        <v>0</v>
      </c>
      <c r="AH188" s="863">
        <f>'5.1 Inventory (GC)'!Q36</f>
        <v>0</v>
      </c>
      <c r="AI188" s="862"/>
      <c r="AJ188" s="862"/>
      <c r="AK188" s="862"/>
      <c r="AL188" s="862"/>
      <c r="AM188" s="862"/>
      <c r="AN188" s="862"/>
      <c r="AO188" s="861" t="str">
        <f>'5.1 Inventory (GC)'!S36</f>
        <v/>
      </c>
      <c r="AP188" s="861">
        <v>155</v>
      </c>
      <c r="AQ188" s="861" t="str">
        <f>Settings!$A$1</f>
        <v>V2</v>
      </c>
    </row>
    <row r="189" spans="1:43" s="861" customFormat="1">
      <c r="A189" s="861">
        <f>'Input-FX Rates'!$C$4</f>
        <v>242</v>
      </c>
      <c r="B189" s="861" t="str">
        <f>'Input-FX Rates'!$B$4</f>
        <v>ICH Icheon (242)</v>
      </c>
      <c r="C189" s="861">
        <f>'Input-FX Rates'!$C$6</f>
        <v>780</v>
      </c>
      <c r="D189" s="861" t="str">
        <f>'Input-FX Rates'!$B$6</f>
        <v>780 BU Controls</v>
      </c>
      <c r="E189" s="861" t="str">
        <f>'Input-FX Rates'!$C$5</f>
        <v>7821 &amp; 7822</v>
      </c>
      <c r="F189" s="861" t="str">
        <f>'Input-FX Rates'!$B$5</f>
        <v>7821 PL Drivetrain Controls (&amp; Electrification)</v>
      </c>
      <c r="G189" s="861" t="s">
        <v>1485</v>
      </c>
      <c r="H189" s="861" t="s">
        <v>577</v>
      </c>
      <c r="I189" s="862"/>
      <c r="J189" s="862"/>
      <c r="K189" s="863">
        <f>'5.1 Inventory (GC)'!C37</f>
        <v>0</v>
      </c>
      <c r="L189" s="863">
        <f>'5.1 Inventory (GC)'!D37</f>
        <v>0</v>
      </c>
      <c r="M189" s="862"/>
      <c r="N189" s="862"/>
      <c r="O189" s="863">
        <f>'5.1 Inventory (GC)'!Q37</f>
        <v>0</v>
      </c>
      <c r="P189" s="862"/>
      <c r="Q189" s="862"/>
      <c r="R189" s="862"/>
      <c r="S189" s="862"/>
      <c r="T189" s="862"/>
      <c r="U189" s="862"/>
      <c r="V189" s="862"/>
      <c r="W189" s="863">
        <f>'5.1 Inventory (GC)'!F37</f>
        <v>0</v>
      </c>
      <c r="X189" s="863">
        <f>'5.1 Inventory (GC)'!G37</f>
        <v>0</v>
      </c>
      <c r="Y189" s="863">
        <f>'5.1 Inventory (GC)'!H37</f>
        <v>0</v>
      </c>
      <c r="Z189" s="863">
        <f>'5.1 Inventory (GC)'!I37</f>
        <v>0</v>
      </c>
      <c r="AA189" s="863">
        <f>'5.1 Inventory (GC)'!J37</f>
        <v>0</v>
      </c>
      <c r="AB189" s="863">
        <f>'5.1 Inventory (GC)'!K37</f>
        <v>0</v>
      </c>
      <c r="AC189" s="863">
        <f>'5.1 Inventory (GC)'!L37</f>
        <v>0</v>
      </c>
      <c r="AD189" s="863">
        <f>'5.1 Inventory (GC)'!M37</f>
        <v>0</v>
      </c>
      <c r="AE189" s="863">
        <f>'5.1 Inventory (GC)'!N37</f>
        <v>0</v>
      </c>
      <c r="AF189" s="863">
        <f>'5.1 Inventory (GC)'!O37</f>
        <v>0</v>
      </c>
      <c r="AG189" s="863">
        <f>'5.1 Inventory (GC)'!P37</f>
        <v>0</v>
      </c>
      <c r="AH189" s="863">
        <f>'5.1 Inventory (GC)'!Q37</f>
        <v>0</v>
      </c>
      <c r="AI189" s="862"/>
      <c r="AJ189" s="862"/>
      <c r="AK189" s="862"/>
      <c r="AL189" s="862"/>
      <c r="AM189" s="862"/>
      <c r="AN189" s="862"/>
      <c r="AO189" s="861" t="str">
        <f>'5.1 Inventory (GC)'!S37</f>
        <v/>
      </c>
      <c r="AP189" s="861">
        <v>157</v>
      </c>
      <c r="AQ189" s="861" t="str">
        <f>Settings!$A$1</f>
        <v>V2</v>
      </c>
    </row>
    <row r="190" spans="1:43" s="861" customFormat="1">
      <c r="A190" s="861">
        <f>'Input-FX Rates'!$C$4</f>
        <v>242</v>
      </c>
      <c r="B190" s="861" t="str">
        <f>'Input-FX Rates'!$B$4</f>
        <v>ICH Icheon (242)</v>
      </c>
      <c r="C190" s="861">
        <f>'Input-FX Rates'!$C$6</f>
        <v>780</v>
      </c>
      <c r="D190" s="861" t="str">
        <f>'Input-FX Rates'!$B$6</f>
        <v>780 BU Controls</v>
      </c>
      <c r="E190" s="861" t="str">
        <f>'Input-FX Rates'!$C$5</f>
        <v>7821 &amp; 7822</v>
      </c>
      <c r="F190" s="861" t="str">
        <f>'Input-FX Rates'!$B$5</f>
        <v>7821 PL Drivetrain Controls (&amp; Electrification)</v>
      </c>
      <c r="G190" s="861" t="s">
        <v>1485</v>
      </c>
      <c r="H190" s="861" t="s">
        <v>581</v>
      </c>
      <c r="I190" s="862"/>
      <c r="J190" s="862"/>
      <c r="K190" s="863">
        <f>'5.1 Inventory (GC)'!C38</f>
        <v>0</v>
      </c>
      <c r="L190" s="863">
        <f>'5.1 Inventory (GC)'!D38</f>
        <v>0</v>
      </c>
      <c r="M190" s="862"/>
      <c r="N190" s="862"/>
      <c r="O190" s="863">
        <f>'5.1 Inventory (GC)'!Q38</f>
        <v>0</v>
      </c>
      <c r="P190" s="862"/>
      <c r="Q190" s="862"/>
      <c r="R190" s="862"/>
      <c r="S190" s="862"/>
      <c r="T190" s="862"/>
      <c r="U190" s="862"/>
      <c r="V190" s="862"/>
      <c r="W190" s="863">
        <f>'5.1 Inventory (GC)'!F38</f>
        <v>0</v>
      </c>
      <c r="X190" s="863">
        <f>'5.1 Inventory (GC)'!G38</f>
        <v>0</v>
      </c>
      <c r="Y190" s="863">
        <f>'5.1 Inventory (GC)'!H38</f>
        <v>0</v>
      </c>
      <c r="Z190" s="863">
        <f>'5.1 Inventory (GC)'!I38</f>
        <v>0</v>
      </c>
      <c r="AA190" s="863">
        <f>'5.1 Inventory (GC)'!J38</f>
        <v>0</v>
      </c>
      <c r="AB190" s="863">
        <f>'5.1 Inventory (GC)'!K38</f>
        <v>0</v>
      </c>
      <c r="AC190" s="863">
        <f>'5.1 Inventory (GC)'!L38</f>
        <v>0</v>
      </c>
      <c r="AD190" s="863">
        <f>'5.1 Inventory (GC)'!M38</f>
        <v>0</v>
      </c>
      <c r="AE190" s="863">
        <f>'5.1 Inventory (GC)'!N38</f>
        <v>0</v>
      </c>
      <c r="AF190" s="863">
        <f>'5.1 Inventory (GC)'!O38</f>
        <v>0</v>
      </c>
      <c r="AG190" s="863">
        <f>'5.1 Inventory (GC)'!P38</f>
        <v>0</v>
      </c>
      <c r="AH190" s="863">
        <f>'5.1 Inventory (GC)'!Q38</f>
        <v>0</v>
      </c>
      <c r="AI190" s="862"/>
      <c r="AJ190" s="862"/>
      <c r="AK190" s="862"/>
      <c r="AL190" s="862"/>
      <c r="AM190" s="862"/>
      <c r="AN190" s="862"/>
      <c r="AO190" s="861" t="str">
        <f>'5.1 Inventory (GC)'!S38</f>
        <v/>
      </c>
      <c r="AP190" s="861">
        <v>158</v>
      </c>
      <c r="AQ190" s="861" t="str">
        <f>Settings!$A$1</f>
        <v>V2</v>
      </c>
    </row>
    <row r="191" spans="1:43" s="861" customFormat="1">
      <c r="A191" s="861">
        <f>'Input-FX Rates'!$C$4</f>
        <v>242</v>
      </c>
      <c r="B191" s="861" t="str">
        <f>'Input-FX Rates'!$B$4</f>
        <v>ICH Icheon (242)</v>
      </c>
      <c r="C191" s="861">
        <f>'Input-FX Rates'!$C$6</f>
        <v>780</v>
      </c>
      <c r="D191" s="861" t="str">
        <f>'Input-FX Rates'!$B$6</f>
        <v>780 BU Controls</v>
      </c>
      <c r="E191" s="861" t="str">
        <f>'Input-FX Rates'!$C$5</f>
        <v>7821 &amp; 7822</v>
      </c>
      <c r="F191" s="861" t="str">
        <f>'Input-FX Rates'!$B$5</f>
        <v>7821 PL Drivetrain Controls (&amp; Electrification)</v>
      </c>
      <c r="G191" s="861" t="s">
        <v>1485</v>
      </c>
      <c r="H191" s="861" t="s">
        <v>574</v>
      </c>
      <c r="I191" s="862"/>
      <c r="J191" s="862"/>
      <c r="K191" s="863">
        <f>'5.1 Inventory (GC)'!C39</f>
        <v>0</v>
      </c>
      <c r="L191" s="863">
        <f>'5.1 Inventory (GC)'!D39</f>
        <v>0</v>
      </c>
      <c r="M191" s="862"/>
      <c r="N191" s="862"/>
      <c r="O191" s="863">
        <f>'5.1 Inventory (GC)'!Q39</f>
        <v>0</v>
      </c>
      <c r="P191" s="862"/>
      <c r="Q191" s="862"/>
      <c r="R191" s="862"/>
      <c r="S191" s="862"/>
      <c r="T191" s="862"/>
      <c r="U191" s="862"/>
      <c r="V191" s="862"/>
      <c r="W191" s="863">
        <f>'5.1 Inventory (GC)'!F39</f>
        <v>0</v>
      </c>
      <c r="X191" s="863">
        <f>'5.1 Inventory (GC)'!G39</f>
        <v>0</v>
      </c>
      <c r="Y191" s="863">
        <f>'5.1 Inventory (GC)'!H39</f>
        <v>0</v>
      </c>
      <c r="Z191" s="863">
        <f>'5.1 Inventory (GC)'!I39</f>
        <v>0</v>
      </c>
      <c r="AA191" s="863">
        <f>'5.1 Inventory (GC)'!J39</f>
        <v>0</v>
      </c>
      <c r="AB191" s="863">
        <f>'5.1 Inventory (GC)'!K39</f>
        <v>0</v>
      </c>
      <c r="AC191" s="863">
        <f>'5.1 Inventory (GC)'!L39</f>
        <v>0</v>
      </c>
      <c r="AD191" s="863">
        <f>'5.1 Inventory (GC)'!M39</f>
        <v>0</v>
      </c>
      <c r="AE191" s="863">
        <f>'5.1 Inventory (GC)'!N39</f>
        <v>0</v>
      </c>
      <c r="AF191" s="863">
        <f>'5.1 Inventory (GC)'!O39</f>
        <v>0</v>
      </c>
      <c r="AG191" s="863">
        <f>'5.1 Inventory (GC)'!P39</f>
        <v>0</v>
      </c>
      <c r="AH191" s="863">
        <f>'5.1 Inventory (GC)'!Q39</f>
        <v>0</v>
      </c>
      <c r="AI191" s="862"/>
      <c r="AJ191" s="862"/>
      <c r="AK191" s="862"/>
      <c r="AL191" s="862"/>
      <c r="AM191" s="862"/>
      <c r="AN191" s="862"/>
      <c r="AO191" s="861" t="str">
        <f>'5.1 Inventory (GC)'!S39</f>
        <v/>
      </c>
      <c r="AP191" s="861">
        <v>159</v>
      </c>
      <c r="AQ191" s="861" t="str">
        <f>Settings!$A$1</f>
        <v>V2</v>
      </c>
    </row>
    <row r="192" spans="1:43" s="861" customFormat="1">
      <c r="A192" s="861">
        <f>'Input-FX Rates'!$C$4</f>
        <v>242</v>
      </c>
      <c r="B192" s="861" t="str">
        <f>'Input-FX Rates'!$B$4</f>
        <v>ICH Icheon (242)</v>
      </c>
      <c r="C192" s="861">
        <f>'Input-FX Rates'!$C$6</f>
        <v>780</v>
      </c>
      <c r="D192" s="861" t="str">
        <f>'Input-FX Rates'!$B$6</f>
        <v>780 BU Controls</v>
      </c>
      <c r="E192" s="861" t="str">
        <f>'Input-FX Rates'!$C$5</f>
        <v>7821 &amp; 7822</v>
      </c>
      <c r="F192" s="861" t="str">
        <f>'Input-FX Rates'!$B$5</f>
        <v>7821 PL Drivetrain Controls (&amp; Electrification)</v>
      </c>
      <c r="G192" s="861" t="s">
        <v>1485</v>
      </c>
      <c r="H192" s="861" t="s">
        <v>593</v>
      </c>
      <c r="I192" s="862"/>
      <c r="J192" s="862"/>
      <c r="K192" s="863">
        <f>'5.1 Inventory (GC)'!C40</f>
        <v>0</v>
      </c>
      <c r="L192" s="863">
        <f>'5.1 Inventory (GC)'!D40</f>
        <v>0</v>
      </c>
      <c r="M192" s="862"/>
      <c r="N192" s="862"/>
      <c r="O192" s="863">
        <f>'5.1 Inventory (GC)'!Q40</f>
        <v>0</v>
      </c>
      <c r="P192" s="862"/>
      <c r="Q192" s="862"/>
      <c r="R192" s="862"/>
      <c r="S192" s="862"/>
      <c r="T192" s="862"/>
      <c r="U192" s="862"/>
      <c r="V192" s="862"/>
      <c r="W192" s="863">
        <f>'5.1 Inventory (GC)'!F40</f>
        <v>0</v>
      </c>
      <c r="X192" s="863">
        <f>'5.1 Inventory (GC)'!G40</f>
        <v>0</v>
      </c>
      <c r="Y192" s="863">
        <f>'5.1 Inventory (GC)'!H40</f>
        <v>0</v>
      </c>
      <c r="Z192" s="863">
        <f>'5.1 Inventory (GC)'!I40</f>
        <v>0</v>
      </c>
      <c r="AA192" s="863">
        <f>'5.1 Inventory (GC)'!J40</f>
        <v>0</v>
      </c>
      <c r="AB192" s="863">
        <f>'5.1 Inventory (GC)'!K40</f>
        <v>0</v>
      </c>
      <c r="AC192" s="863">
        <f>'5.1 Inventory (GC)'!L40</f>
        <v>0</v>
      </c>
      <c r="AD192" s="863">
        <f>'5.1 Inventory (GC)'!M40</f>
        <v>0</v>
      </c>
      <c r="AE192" s="863">
        <f>'5.1 Inventory (GC)'!N40</f>
        <v>0</v>
      </c>
      <c r="AF192" s="863">
        <f>'5.1 Inventory (GC)'!O40</f>
        <v>0</v>
      </c>
      <c r="AG192" s="863">
        <f>'5.1 Inventory (GC)'!P40</f>
        <v>0</v>
      </c>
      <c r="AH192" s="863">
        <f>'5.1 Inventory (GC)'!Q40</f>
        <v>0</v>
      </c>
      <c r="AI192" s="862"/>
      <c r="AJ192" s="862"/>
      <c r="AK192" s="862"/>
      <c r="AL192" s="862"/>
      <c r="AM192" s="862"/>
      <c r="AN192" s="862"/>
      <c r="AO192" s="861" t="str">
        <f>'5.1 Inventory (GC)'!S40</f>
        <v/>
      </c>
      <c r="AP192" s="861">
        <v>160</v>
      </c>
      <c r="AQ192" s="861" t="str">
        <f>Settings!$A$1</f>
        <v>V2</v>
      </c>
    </row>
    <row r="193" spans="1:43" s="861" customFormat="1">
      <c r="A193" s="861">
        <f>'Input-FX Rates'!$C$4</f>
        <v>242</v>
      </c>
      <c r="B193" s="861" t="str">
        <f>'Input-FX Rates'!$B$4</f>
        <v>ICH Icheon (242)</v>
      </c>
      <c r="C193" s="861">
        <f>'Input-FX Rates'!$C$6</f>
        <v>780</v>
      </c>
      <c r="D193" s="861" t="str">
        <f>'Input-FX Rates'!$B$6</f>
        <v>780 BU Controls</v>
      </c>
      <c r="E193" s="861" t="str">
        <f>'Input-FX Rates'!$C$5</f>
        <v>7821 &amp; 7822</v>
      </c>
      <c r="F193" s="861" t="str">
        <f>'Input-FX Rates'!$B$5</f>
        <v>7821 PL Drivetrain Controls (&amp; Electrification)</v>
      </c>
      <c r="G193" s="861" t="s">
        <v>1485</v>
      </c>
      <c r="H193" s="861" t="s">
        <v>575</v>
      </c>
      <c r="I193" s="862"/>
      <c r="J193" s="862"/>
      <c r="K193" s="863">
        <f>'5.1 Inventory (GC)'!C41</f>
        <v>0</v>
      </c>
      <c r="L193" s="863">
        <f>'5.1 Inventory (GC)'!D41</f>
        <v>0</v>
      </c>
      <c r="M193" s="862"/>
      <c r="N193" s="862"/>
      <c r="O193" s="863">
        <f>'5.1 Inventory (GC)'!Q41</f>
        <v>0</v>
      </c>
      <c r="P193" s="862"/>
      <c r="Q193" s="862"/>
      <c r="R193" s="862"/>
      <c r="S193" s="862"/>
      <c r="T193" s="862"/>
      <c r="U193" s="862"/>
      <c r="V193" s="862"/>
      <c r="W193" s="863">
        <f>'5.1 Inventory (GC)'!F41</f>
        <v>0</v>
      </c>
      <c r="X193" s="863">
        <f>'5.1 Inventory (GC)'!G41</f>
        <v>0</v>
      </c>
      <c r="Y193" s="863">
        <f>'5.1 Inventory (GC)'!H41</f>
        <v>0</v>
      </c>
      <c r="Z193" s="863">
        <f>'5.1 Inventory (GC)'!I41</f>
        <v>0</v>
      </c>
      <c r="AA193" s="863">
        <f>'5.1 Inventory (GC)'!J41</f>
        <v>0</v>
      </c>
      <c r="AB193" s="863">
        <f>'5.1 Inventory (GC)'!K41</f>
        <v>0</v>
      </c>
      <c r="AC193" s="863">
        <f>'5.1 Inventory (GC)'!L41</f>
        <v>0</v>
      </c>
      <c r="AD193" s="863">
        <f>'5.1 Inventory (GC)'!M41</f>
        <v>0</v>
      </c>
      <c r="AE193" s="863">
        <f>'5.1 Inventory (GC)'!N41</f>
        <v>0</v>
      </c>
      <c r="AF193" s="863">
        <f>'5.1 Inventory (GC)'!O41</f>
        <v>0</v>
      </c>
      <c r="AG193" s="863">
        <f>'5.1 Inventory (GC)'!P41</f>
        <v>0</v>
      </c>
      <c r="AH193" s="863">
        <f>'5.1 Inventory (GC)'!Q41</f>
        <v>0</v>
      </c>
      <c r="AI193" s="862"/>
      <c r="AJ193" s="862"/>
      <c r="AK193" s="862"/>
      <c r="AL193" s="862"/>
      <c r="AM193" s="862"/>
      <c r="AN193" s="862"/>
      <c r="AO193" s="861" t="str">
        <f>'5.1 Inventory (GC)'!S41</f>
        <v/>
      </c>
      <c r="AP193" s="861">
        <v>161</v>
      </c>
      <c r="AQ193" s="861" t="str">
        <f>Settings!$A$1</f>
        <v>V2</v>
      </c>
    </row>
    <row r="194" spans="1:43" s="861" customFormat="1">
      <c r="A194" s="861">
        <f>'Input-FX Rates'!$C$4</f>
        <v>242</v>
      </c>
      <c r="B194" s="861" t="str">
        <f>'Input-FX Rates'!$B$4</f>
        <v>ICH Icheon (242)</v>
      </c>
      <c r="C194" s="861">
        <f>'Input-FX Rates'!$C$6</f>
        <v>780</v>
      </c>
      <c r="D194" s="861" t="str">
        <f>'Input-FX Rates'!$B$6</f>
        <v>780 BU Controls</v>
      </c>
      <c r="E194" s="861" t="str">
        <f>'Input-FX Rates'!$C$5</f>
        <v>7821 &amp; 7822</v>
      </c>
      <c r="F194" s="861" t="str">
        <f>'Input-FX Rates'!$B$5</f>
        <v>7821 PL Drivetrain Controls (&amp; Electrification)</v>
      </c>
      <c r="G194" s="861" t="s">
        <v>1485</v>
      </c>
      <c r="H194" s="861" t="s">
        <v>583</v>
      </c>
      <c r="I194" s="862"/>
      <c r="J194" s="862"/>
      <c r="K194" s="863">
        <f>'5.1 Inventory (GC)'!C42</f>
        <v>0</v>
      </c>
      <c r="L194" s="863">
        <f>'5.1 Inventory (GC)'!D42</f>
        <v>0</v>
      </c>
      <c r="M194" s="862"/>
      <c r="N194" s="862"/>
      <c r="O194" s="863">
        <f>'5.1 Inventory (GC)'!Q42</f>
        <v>0</v>
      </c>
      <c r="P194" s="862"/>
      <c r="Q194" s="862"/>
      <c r="R194" s="862"/>
      <c r="S194" s="862"/>
      <c r="T194" s="862"/>
      <c r="U194" s="862"/>
      <c r="V194" s="862"/>
      <c r="W194" s="863">
        <f>'5.1 Inventory (GC)'!F42</f>
        <v>0</v>
      </c>
      <c r="X194" s="863">
        <f>'5.1 Inventory (GC)'!G42</f>
        <v>0</v>
      </c>
      <c r="Y194" s="863">
        <f>'5.1 Inventory (GC)'!H42</f>
        <v>0</v>
      </c>
      <c r="Z194" s="863">
        <f>'5.1 Inventory (GC)'!I42</f>
        <v>0</v>
      </c>
      <c r="AA194" s="863">
        <f>'5.1 Inventory (GC)'!J42</f>
        <v>0</v>
      </c>
      <c r="AB194" s="863">
        <f>'5.1 Inventory (GC)'!K42</f>
        <v>0</v>
      </c>
      <c r="AC194" s="863">
        <f>'5.1 Inventory (GC)'!L42</f>
        <v>0</v>
      </c>
      <c r="AD194" s="863">
        <f>'5.1 Inventory (GC)'!M42</f>
        <v>0</v>
      </c>
      <c r="AE194" s="863">
        <f>'5.1 Inventory (GC)'!N42</f>
        <v>0</v>
      </c>
      <c r="AF194" s="863">
        <f>'5.1 Inventory (GC)'!O42</f>
        <v>0</v>
      </c>
      <c r="AG194" s="863">
        <f>'5.1 Inventory (GC)'!P42</f>
        <v>0</v>
      </c>
      <c r="AH194" s="863">
        <f>'5.1 Inventory (GC)'!Q42</f>
        <v>0</v>
      </c>
      <c r="AI194" s="862"/>
      <c r="AJ194" s="862"/>
      <c r="AK194" s="862"/>
      <c r="AL194" s="862"/>
      <c r="AM194" s="862"/>
      <c r="AN194" s="862"/>
      <c r="AO194" s="861" t="str">
        <f>'5.1 Inventory (GC)'!S42</f>
        <v/>
      </c>
      <c r="AP194" s="861">
        <v>162</v>
      </c>
      <c r="AQ194" s="861" t="str">
        <f>Settings!$A$1</f>
        <v>V2</v>
      </c>
    </row>
    <row r="195" spans="1:43" s="861" customFormat="1">
      <c r="A195" s="861">
        <f>'Input-FX Rates'!$C$4</f>
        <v>242</v>
      </c>
      <c r="B195" s="861" t="str">
        <f>'Input-FX Rates'!$B$4</f>
        <v>ICH Icheon (242)</v>
      </c>
      <c r="C195" s="861">
        <f>'Input-FX Rates'!$C$6</f>
        <v>780</v>
      </c>
      <c r="D195" s="861" t="str">
        <f>'Input-FX Rates'!$B$6</f>
        <v>780 BU Controls</v>
      </c>
      <c r="E195" s="861" t="str">
        <f>'Input-FX Rates'!$C$5</f>
        <v>7821 &amp; 7822</v>
      </c>
      <c r="F195" s="861" t="str">
        <f>'Input-FX Rates'!$B$5</f>
        <v>7821 PL Drivetrain Controls (&amp; Electrification)</v>
      </c>
      <c r="G195" s="861" t="s">
        <v>1485</v>
      </c>
      <c r="H195" s="861" t="s">
        <v>584</v>
      </c>
      <c r="I195" s="862"/>
      <c r="J195" s="862"/>
      <c r="K195" s="863">
        <f>'5.1 Inventory (GC)'!C43</f>
        <v>0</v>
      </c>
      <c r="L195" s="863">
        <f>'5.1 Inventory (GC)'!D43</f>
        <v>0</v>
      </c>
      <c r="M195" s="862"/>
      <c r="N195" s="862"/>
      <c r="O195" s="863">
        <f>'5.1 Inventory (GC)'!Q43</f>
        <v>0</v>
      </c>
      <c r="P195" s="862"/>
      <c r="Q195" s="862"/>
      <c r="R195" s="862"/>
      <c r="S195" s="862"/>
      <c r="T195" s="862"/>
      <c r="U195" s="862"/>
      <c r="V195" s="862"/>
      <c r="W195" s="863">
        <f>'5.1 Inventory (GC)'!F43</f>
        <v>0</v>
      </c>
      <c r="X195" s="863">
        <f>'5.1 Inventory (GC)'!G43</f>
        <v>0</v>
      </c>
      <c r="Y195" s="863">
        <f>'5.1 Inventory (GC)'!H43</f>
        <v>0</v>
      </c>
      <c r="Z195" s="863">
        <f>'5.1 Inventory (GC)'!I43</f>
        <v>0</v>
      </c>
      <c r="AA195" s="863">
        <f>'5.1 Inventory (GC)'!J43</f>
        <v>0</v>
      </c>
      <c r="AB195" s="863">
        <f>'5.1 Inventory (GC)'!K43</f>
        <v>0</v>
      </c>
      <c r="AC195" s="863">
        <f>'5.1 Inventory (GC)'!L43</f>
        <v>0</v>
      </c>
      <c r="AD195" s="863">
        <f>'5.1 Inventory (GC)'!M43</f>
        <v>0</v>
      </c>
      <c r="AE195" s="863">
        <f>'5.1 Inventory (GC)'!N43</f>
        <v>0</v>
      </c>
      <c r="AF195" s="863">
        <f>'5.1 Inventory (GC)'!O43</f>
        <v>0</v>
      </c>
      <c r="AG195" s="863">
        <f>'5.1 Inventory (GC)'!P43</f>
        <v>0</v>
      </c>
      <c r="AH195" s="863">
        <f>'5.1 Inventory (GC)'!Q43</f>
        <v>0</v>
      </c>
      <c r="AI195" s="862"/>
      <c r="AJ195" s="862"/>
      <c r="AK195" s="862"/>
      <c r="AL195" s="862"/>
      <c r="AM195" s="862"/>
      <c r="AN195" s="862"/>
      <c r="AO195" s="861" t="str">
        <f>'5.1 Inventory (GC)'!S43</f>
        <v/>
      </c>
      <c r="AP195" s="861">
        <v>163</v>
      </c>
      <c r="AQ195" s="861" t="str">
        <f>Settings!$A$1</f>
        <v>V2</v>
      </c>
    </row>
    <row r="196" spans="1:43" s="861" customFormat="1">
      <c r="A196" s="861">
        <f>'Input-FX Rates'!$C$4</f>
        <v>242</v>
      </c>
      <c r="B196" s="861" t="str">
        <f>'Input-FX Rates'!$B$4</f>
        <v>ICH Icheon (242)</v>
      </c>
      <c r="C196" s="861">
        <f>'Input-FX Rates'!$C$6</f>
        <v>780</v>
      </c>
      <c r="D196" s="861" t="str">
        <f>'Input-FX Rates'!$B$6</f>
        <v>780 BU Controls</v>
      </c>
      <c r="E196" s="861" t="str">
        <f>'Input-FX Rates'!$C$5</f>
        <v>7821 &amp; 7822</v>
      </c>
      <c r="F196" s="861" t="str">
        <f>'Input-FX Rates'!$B$5</f>
        <v>7821 PL Drivetrain Controls (&amp; Electrification)</v>
      </c>
      <c r="G196" s="861" t="s">
        <v>1485</v>
      </c>
      <c r="H196" s="861" t="s">
        <v>595</v>
      </c>
      <c r="I196" s="862"/>
      <c r="J196" s="862"/>
      <c r="K196" s="863">
        <f>'5.1 Inventory (GC)'!C45</f>
        <v>0</v>
      </c>
      <c r="L196" s="863">
        <f>'5.1 Inventory (GC)'!D45</f>
        <v>0</v>
      </c>
      <c r="M196" s="862"/>
      <c r="N196" s="862"/>
      <c r="O196" s="863">
        <f>'5.1 Inventory (GC)'!Q45</f>
        <v>0</v>
      </c>
      <c r="P196" s="862"/>
      <c r="Q196" s="862"/>
      <c r="R196" s="862"/>
      <c r="S196" s="862"/>
      <c r="T196" s="862"/>
      <c r="U196" s="862"/>
      <c r="V196" s="862"/>
      <c r="W196" s="863">
        <f>'5.1 Inventory (GC)'!F45</f>
        <v>0</v>
      </c>
      <c r="X196" s="863">
        <f>'5.1 Inventory (GC)'!G45</f>
        <v>0</v>
      </c>
      <c r="Y196" s="863">
        <f>'5.1 Inventory (GC)'!H45</f>
        <v>0</v>
      </c>
      <c r="Z196" s="863">
        <f>'5.1 Inventory (GC)'!I45</f>
        <v>0</v>
      </c>
      <c r="AA196" s="863">
        <f>'5.1 Inventory (GC)'!J45</f>
        <v>0</v>
      </c>
      <c r="AB196" s="863">
        <f>'5.1 Inventory (GC)'!K45</f>
        <v>0</v>
      </c>
      <c r="AC196" s="863">
        <f>'5.1 Inventory (GC)'!L45</f>
        <v>0</v>
      </c>
      <c r="AD196" s="863">
        <f>'5.1 Inventory (GC)'!M45</f>
        <v>0</v>
      </c>
      <c r="AE196" s="863">
        <f>'5.1 Inventory (GC)'!N45</f>
        <v>0</v>
      </c>
      <c r="AF196" s="863">
        <f>'5.1 Inventory (GC)'!O45</f>
        <v>0</v>
      </c>
      <c r="AG196" s="863">
        <f>'5.1 Inventory (GC)'!P45</f>
        <v>0</v>
      </c>
      <c r="AH196" s="863">
        <f>'5.1 Inventory (GC)'!Q45</f>
        <v>0</v>
      </c>
      <c r="AI196" s="862"/>
      <c r="AJ196" s="862"/>
      <c r="AK196" s="862"/>
      <c r="AL196" s="862"/>
      <c r="AM196" s="862"/>
      <c r="AN196" s="862"/>
      <c r="AO196" s="861" t="str">
        <f>'5.1 Inventory (GC)'!S44</f>
        <v/>
      </c>
      <c r="AP196" s="861">
        <v>164</v>
      </c>
      <c r="AQ196" s="861" t="str">
        <f>Settings!$A$1</f>
        <v>V2</v>
      </c>
    </row>
    <row r="197" spans="1:43" s="861" customFormat="1">
      <c r="A197" s="861">
        <f>'Input-FX Rates'!$C$4</f>
        <v>242</v>
      </c>
      <c r="B197" s="861" t="str">
        <f>'Input-FX Rates'!$B$4</f>
        <v>ICH Icheon (242)</v>
      </c>
      <c r="C197" s="861">
        <f>'Input-FX Rates'!$C$6</f>
        <v>780</v>
      </c>
      <c r="D197" s="861" t="str">
        <f>'Input-FX Rates'!$B$6</f>
        <v>780 BU Controls</v>
      </c>
      <c r="E197" s="861" t="str">
        <f>'Input-FX Rates'!$C$5</f>
        <v>7821 &amp; 7822</v>
      </c>
      <c r="F197" s="861" t="str">
        <f>'Input-FX Rates'!$B$5</f>
        <v>7821 PL Drivetrain Controls (&amp; Electrification)</v>
      </c>
      <c r="G197" s="861" t="s">
        <v>1485</v>
      </c>
      <c r="H197" s="861" t="s">
        <v>596</v>
      </c>
      <c r="I197" s="862"/>
      <c r="J197" s="862"/>
      <c r="K197" s="863">
        <f>'5.1 Inventory (GC)'!C46</f>
        <v>4013.6314819604745</v>
      </c>
      <c r="L197" s="863">
        <f>'5.1 Inventory (GC)'!D46</f>
        <v>3297.8368168400339</v>
      </c>
      <c r="M197" s="862"/>
      <c r="N197" s="862"/>
      <c r="O197" s="863">
        <f>'5.1 Inventory (GC)'!Q46</f>
        <v>3043.0620882758622</v>
      </c>
      <c r="P197" s="862"/>
      <c r="Q197" s="862"/>
      <c r="R197" s="862"/>
      <c r="S197" s="862"/>
      <c r="T197" s="862"/>
      <c r="U197" s="862"/>
      <c r="V197" s="862"/>
      <c r="W197" s="863">
        <f>'5.1 Inventory (GC)'!F46</f>
        <v>3075.9810241379314</v>
      </c>
      <c r="X197" s="863">
        <f>'5.1 Inventory (GC)'!G46</f>
        <v>3082.8564296551731</v>
      </c>
      <c r="Y197" s="863">
        <f>'5.1 Inventory (GC)'!H46</f>
        <v>3130.3250875862072</v>
      </c>
      <c r="Z197" s="863">
        <f>'5.1 Inventory (GC)'!I46</f>
        <v>2975.4006420689652</v>
      </c>
      <c r="AA197" s="863">
        <f>'5.1 Inventory (GC)'!J46</f>
        <v>2797.1340055172413</v>
      </c>
      <c r="AB197" s="863">
        <f>'5.1 Inventory (GC)'!K46</f>
        <v>3364.0442620689655</v>
      </c>
      <c r="AC197" s="863">
        <f>'5.1 Inventory (GC)'!L46</f>
        <v>3087.8981296551724</v>
      </c>
      <c r="AD197" s="863">
        <f>'5.1 Inventory (GC)'!M46</f>
        <v>2710.4353413793101</v>
      </c>
      <c r="AE197" s="863">
        <f>'5.1 Inventory (GC)'!N46</f>
        <v>3042.032704137931</v>
      </c>
      <c r="AF197" s="863">
        <f>'5.1 Inventory (GC)'!O46</f>
        <v>2769.0888641379311</v>
      </c>
      <c r="AG197" s="863">
        <f>'5.1 Inventory (GC)'!P46</f>
        <v>2632.5174220689655</v>
      </c>
      <c r="AH197" s="863">
        <f>'5.1 Inventory (GC)'!Q46</f>
        <v>3043.0620882758622</v>
      </c>
      <c r="AI197" s="862"/>
      <c r="AJ197" s="862"/>
      <c r="AK197" s="862"/>
      <c r="AL197" s="862"/>
      <c r="AM197" s="862"/>
      <c r="AN197" s="862"/>
      <c r="AO197" s="861" t="str">
        <f>'5.1 Inventory (GC)'!S46</f>
        <v/>
      </c>
      <c r="AP197" s="861">
        <v>165</v>
      </c>
      <c r="AQ197" s="861" t="str">
        <f>Settings!$A$1</f>
        <v>V2</v>
      </c>
    </row>
    <row r="198" spans="1:43" s="864" customFormat="1">
      <c r="A198" s="864">
        <f>'Input-FX Rates'!$C$4</f>
        <v>242</v>
      </c>
      <c r="B198" s="864" t="str">
        <f>'Input-FX Rates'!$B$4</f>
        <v>ICH Icheon (242)</v>
      </c>
      <c r="C198" s="864">
        <f>'Input-FX Rates'!$C$6</f>
        <v>780</v>
      </c>
      <c r="D198" s="864" t="str">
        <f>'Input-FX Rates'!$B$6</f>
        <v>780 BU Controls</v>
      </c>
      <c r="E198" s="864" t="str">
        <f>'Input-FX Rates'!$C$5</f>
        <v>7821 &amp; 7822</v>
      </c>
      <c r="F198" s="864" t="str">
        <f>'Input-FX Rates'!$B$5</f>
        <v>7821 PL Drivetrain Controls (&amp; Electrification)</v>
      </c>
      <c r="G198" s="864" t="s">
        <v>1485</v>
      </c>
      <c r="H198" s="864" t="s">
        <v>597</v>
      </c>
      <c r="I198" s="865"/>
      <c r="J198" s="865"/>
      <c r="K198" s="866">
        <f>'5.1 Inventory (GC)'!C47</f>
        <v>0</v>
      </c>
      <c r="L198" s="866">
        <f>'5.1 Inventory (GC)'!D47</f>
        <v>29.953339994315026</v>
      </c>
      <c r="M198" s="865"/>
      <c r="N198" s="865"/>
      <c r="O198" s="866">
        <f>'5.1 Inventory (GC)'!Q47</f>
        <v>28.876881260129842</v>
      </c>
      <c r="P198" s="865"/>
      <c r="Q198" s="865"/>
      <c r="R198" s="865"/>
      <c r="S198" s="865"/>
      <c r="T198" s="865"/>
      <c r="U198" s="865"/>
      <c r="V198" s="865"/>
      <c r="W198" s="866">
        <f>'5.1 Inventory (GC)'!F47</f>
        <v>28.567842877045145</v>
      </c>
      <c r="X198" s="866">
        <f>'5.1 Inventory (GC)'!G47</f>
        <v>28.504130696794668</v>
      </c>
      <c r="Y198" s="866">
        <f>'5.1 Inventory (GC)'!H47</f>
        <v>28.071890340981984</v>
      </c>
      <c r="Z198" s="866">
        <f>'5.1 Inventory (GC)'!I47</f>
        <v>29.533549649717401</v>
      </c>
      <c r="AA198" s="866">
        <f>'5.1 Inventory (GC)'!J47</f>
        <v>31.415778585157664</v>
      </c>
      <c r="AB198" s="866">
        <f>'5.1 Inventory (GC)'!K47</f>
        <v>26.121577406445951</v>
      </c>
      <c r="AC198" s="866">
        <f>'5.1 Inventory (GC)'!L47</f>
        <v>28.457591183604816</v>
      </c>
      <c r="AD198" s="866">
        <f>'5.1 Inventory (GC)'!M47</f>
        <v>32.420674733980803</v>
      </c>
      <c r="AE198" s="866">
        <f>'5.1 Inventory (GC)'!N47</f>
        <v>28.88665281961428</v>
      </c>
      <c r="AF198" s="866">
        <f>'5.1 Inventory (GC)'!O47</f>
        <v>31.733955427862977</v>
      </c>
      <c r="AG198" s="866">
        <f>'5.1 Inventory (GC)'!P47</f>
        <v>33.380270099516451</v>
      </c>
      <c r="AH198" s="866">
        <f>'5.1 Inventory (GC)'!Q47</f>
        <v>28.876881260129842</v>
      </c>
      <c r="AI198" s="865"/>
      <c r="AJ198" s="865"/>
      <c r="AK198" s="865"/>
      <c r="AL198" s="865"/>
      <c r="AM198" s="865"/>
      <c r="AN198" s="865"/>
      <c r="AO198" s="864" t="str">
        <f>'5.1 Inventory (GC)'!S47</f>
        <v/>
      </c>
      <c r="AP198" s="864">
        <v>166</v>
      </c>
      <c r="AQ198" s="864" t="str">
        <f>Settings!$A$1</f>
        <v>V2</v>
      </c>
    </row>
    <row r="199" spans="1:43">
      <c r="A199" s="451">
        <f>'Input-FX Rates'!$C$4</f>
        <v>242</v>
      </c>
      <c r="B199" s="451" t="str">
        <f>'Input-FX Rates'!$B$4</f>
        <v>ICH Icheon (242)</v>
      </c>
      <c r="C199" s="451">
        <f>'Input-FX Rates'!$C$6</f>
        <v>780</v>
      </c>
      <c r="D199" s="451" t="str">
        <f>'Input-FX Rates'!$B$6</f>
        <v>780 BU Controls</v>
      </c>
      <c r="E199" s="451" t="str">
        <f>'Input-FX Rates'!$C$5</f>
        <v>7821 &amp; 7822</v>
      </c>
      <c r="F199" s="451" t="str">
        <f>'Input-FX Rates'!$B$5</f>
        <v>7821 PL Drivetrain Controls (&amp; Electrification)</v>
      </c>
      <c r="G199" s="451" t="s">
        <v>1486</v>
      </c>
      <c r="H199" s="451" t="s">
        <v>1487</v>
      </c>
      <c r="I199" s="535"/>
      <c r="J199" s="535"/>
      <c r="K199" s="536">
        <f>'6. HC (GC)'!C6</f>
        <v>55718.001789595619</v>
      </c>
      <c r="L199" s="536">
        <f>'6. HC (GC)'!D6</f>
        <v>100126.74994033898</v>
      </c>
      <c r="M199" s="535"/>
      <c r="N199" s="535"/>
      <c r="O199" s="536">
        <f>'6. HC (GC)'!Q6</f>
        <v>7178.4070662068962</v>
      </c>
      <c r="P199" s="535"/>
      <c r="Q199" s="535"/>
      <c r="R199" s="535"/>
      <c r="S199" s="535"/>
      <c r="T199" s="535"/>
      <c r="U199" s="535"/>
      <c r="V199" s="535"/>
      <c r="W199" s="536">
        <f>'6. HC (GC)'!F6</f>
        <v>7674.4146827586201</v>
      </c>
      <c r="X199" s="536">
        <f>'6. HC (GC)'!G6</f>
        <v>7196.1305448275853</v>
      </c>
      <c r="Y199" s="536">
        <f>'6. HC (GC)'!H6</f>
        <v>8272.2698551724134</v>
      </c>
      <c r="Z199" s="536">
        <f>'6. HC (GC)'!I6</f>
        <v>8066.9064365517243</v>
      </c>
      <c r="AA199" s="536">
        <f>'6. HC (GC)'!J6</f>
        <v>7308.073884827586</v>
      </c>
      <c r="AB199" s="536">
        <f>'6. HC (GC)'!K6</f>
        <v>7308.073884827586</v>
      </c>
      <c r="AC199" s="536">
        <f>'6. HC (GC)'!L6</f>
        <v>7308.073884827586</v>
      </c>
      <c r="AD199" s="536">
        <f>'6. HC (GC)'!M6</f>
        <v>6710.218713103448</v>
      </c>
      <c r="AE199" s="536">
        <f>'6. HC (GC)'!N6</f>
        <v>6733.9015779310348</v>
      </c>
      <c r="AF199" s="536">
        <f>'6. HC (GC)'!O6</f>
        <v>6939.2649951724143</v>
      </c>
      <c r="AG199" s="536">
        <f>'6. HC (GC)'!P6</f>
        <v>7178.4070641379312</v>
      </c>
      <c r="AH199" s="536">
        <f>'6. HC (GC)'!Q6</f>
        <v>7178.4070662068962</v>
      </c>
      <c r="AI199" s="535"/>
      <c r="AJ199" s="535"/>
      <c r="AK199" s="535"/>
      <c r="AL199" s="535"/>
      <c r="AM199" s="535"/>
      <c r="AN199" s="535"/>
      <c r="AO199" s="451" t="str">
        <f>'6. HC (GC)'!U6</f>
        <v/>
      </c>
      <c r="AP199" s="451">
        <v>168</v>
      </c>
      <c r="AQ199" s="451" t="str">
        <f>Settings!$A$1</f>
        <v>V2</v>
      </c>
    </row>
    <row r="200" spans="1:43">
      <c r="A200" s="451">
        <f>'Input-FX Rates'!$C$4</f>
        <v>242</v>
      </c>
      <c r="B200" s="451" t="str">
        <f>'Input-FX Rates'!$B$4</f>
        <v>ICH Icheon (242)</v>
      </c>
      <c r="C200" s="451">
        <f>'Input-FX Rates'!$C$6</f>
        <v>780</v>
      </c>
      <c r="D200" s="451" t="str">
        <f>'Input-FX Rates'!$B$6</f>
        <v>780 BU Controls</v>
      </c>
      <c r="E200" s="451" t="str">
        <f>'Input-FX Rates'!$C$5</f>
        <v>7821 &amp; 7822</v>
      </c>
      <c r="F200" s="451" t="str">
        <f>'Input-FX Rates'!$B$5</f>
        <v>7821 PL Drivetrain Controls (&amp; Electrification)</v>
      </c>
      <c r="G200" s="451" t="s">
        <v>1486</v>
      </c>
      <c r="H200" s="451" t="s">
        <v>1488</v>
      </c>
      <c r="I200" s="535"/>
      <c r="J200" s="535"/>
      <c r="K200" s="536">
        <f>'6. HC (GC)'!C7</f>
        <v>36</v>
      </c>
      <c r="L200" s="536">
        <f>'6. HC (GC)'!D7</f>
        <v>40</v>
      </c>
      <c r="M200" s="535"/>
      <c r="N200" s="535"/>
      <c r="O200" s="536">
        <f>'6. HC (GC)'!Q7</f>
        <v>36</v>
      </c>
      <c r="P200" s="535"/>
      <c r="Q200" s="535"/>
      <c r="R200" s="535"/>
      <c r="S200" s="535"/>
      <c r="T200" s="535"/>
      <c r="U200" s="535"/>
      <c r="V200" s="535"/>
      <c r="W200" s="535"/>
      <c r="X200" s="535"/>
      <c r="Y200" s="535"/>
      <c r="Z200" s="535"/>
      <c r="AA200" s="535"/>
      <c r="AB200" s="535"/>
      <c r="AC200" s="535"/>
      <c r="AD200" s="535"/>
      <c r="AE200" s="535"/>
      <c r="AF200" s="535"/>
      <c r="AG200" s="535"/>
      <c r="AH200" s="535"/>
      <c r="AI200" s="535"/>
      <c r="AJ200" s="535"/>
      <c r="AK200" s="535"/>
      <c r="AL200" s="535"/>
      <c r="AM200" s="535"/>
      <c r="AN200" s="535"/>
      <c r="AO200" s="451" t="str">
        <f>'6. HC (GC)'!U7</f>
        <v>HC -1 due to cc31004 transfers to ENC.</v>
      </c>
      <c r="AP200" s="451">
        <v>170</v>
      </c>
      <c r="AQ200" s="451" t="str">
        <f>Settings!$A$1</f>
        <v>V2</v>
      </c>
    </row>
    <row r="201" spans="1:43">
      <c r="A201" s="451">
        <f>'Input-FX Rates'!$C$4</f>
        <v>242</v>
      </c>
      <c r="B201" s="451" t="str">
        <f>'Input-FX Rates'!$B$4</f>
        <v>ICH Icheon (242)</v>
      </c>
      <c r="C201" s="451">
        <f>'Input-FX Rates'!$C$6</f>
        <v>780</v>
      </c>
      <c r="D201" s="451" t="str">
        <f>'Input-FX Rates'!$B$6</f>
        <v>780 BU Controls</v>
      </c>
      <c r="E201" s="451" t="str">
        <f>'Input-FX Rates'!$C$5</f>
        <v>7821 &amp; 7822</v>
      </c>
      <c r="F201" s="451" t="str">
        <f>'Input-FX Rates'!$B$5</f>
        <v>7821 PL Drivetrain Controls (&amp; Electrification)</v>
      </c>
      <c r="G201" s="451" t="s">
        <v>1486</v>
      </c>
      <c r="H201" s="451" t="s">
        <v>1489</v>
      </c>
      <c r="I201" s="535"/>
      <c r="J201" s="535"/>
      <c r="K201" s="536">
        <f>'6. HC (GC)'!C8</f>
        <v>9</v>
      </c>
      <c r="L201" s="536">
        <f>'6. HC (GC)'!D8</f>
        <v>9</v>
      </c>
      <c r="M201" s="535"/>
      <c r="N201" s="535"/>
      <c r="O201" s="536">
        <f>'6. HC (GC)'!Q8</f>
        <v>10</v>
      </c>
      <c r="P201" s="535"/>
      <c r="Q201" s="535"/>
      <c r="R201" s="535"/>
      <c r="S201" s="535"/>
      <c r="T201" s="535"/>
      <c r="U201" s="535"/>
      <c r="V201" s="535"/>
      <c r="W201" s="535"/>
      <c r="X201" s="535"/>
      <c r="Y201" s="535"/>
      <c r="Z201" s="535"/>
      <c r="AA201" s="535"/>
      <c r="AB201" s="535"/>
      <c r="AC201" s="535"/>
      <c r="AD201" s="535"/>
      <c r="AE201" s="535"/>
      <c r="AF201" s="535"/>
      <c r="AG201" s="535"/>
      <c r="AH201" s="535"/>
      <c r="AI201" s="535"/>
      <c r="AJ201" s="535"/>
      <c r="AK201" s="535"/>
      <c r="AL201" s="535"/>
      <c r="AM201" s="535"/>
      <c r="AN201" s="535"/>
      <c r="AO201" s="451" t="str">
        <f>'6. HC (GC)'!U8</f>
        <v>SMD Technician +1</v>
      </c>
      <c r="AP201" s="451">
        <v>171</v>
      </c>
      <c r="AQ201" s="451" t="str">
        <f>Settings!$A$1</f>
        <v>V2</v>
      </c>
    </row>
    <row r="202" spans="1:43">
      <c r="A202" s="451">
        <f>'Input-FX Rates'!$C$4</f>
        <v>242</v>
      </c>
      <c r="B202" s="451" t="str">
        <f>'Input-FX Rates'!$B$4</f>
        <v>ICH Icheon (242)</v>
      </c>
      <c r="C202" s="451">
        <f>'Input-FX Rates'!$C$6</f>
        <v>780</v>
      </c>
      <c r="D202" s="451" t="str">
        <f>'Input-FX Rates'!$B$6</f>
        <v>780 BU Controls</v>
      </c>
      <c r="E202" s="451" t="str">
        <f>'Input-FX Rates'!$C$5</f>
        <v>7821 &amp; 7822</v>
      </c>
      <c r="F202" s="451" t="str">
        <f>'Input-FX Rates'!$B$5</f>
        <v>7821 PL Drivetrain Controls (&amp; Electrification)</v>
      </c>
      <c r="G202" s="451" t="s">
        <v>1486</v>
      </c>
      <c r="H202" s="451" t="s">
        <v>1490</v>
      </c>
      <c r="I202" s="535"/>
      <c r="J202" s="535"/>
      <c r="K202" s="536">
        <f>'6. HC (GC)'!C9</f>
        <v>3</v>
      </c>
      <c r="L202" s="536">
        <f>'6. HC (GC)'!D9</f>
        <v>3</v>
      </c>
      <c r="M202" s="535"/>
      <c r="N202" s="535"/>
      <c r="O202" s="536">
        <f>'6. HC (GC)'!Q9</f>
        <v>2</v>
      </c>
      <c r="P202" s="535"/>
      <c r="Q202" s="535"/>
      <c r="R202" s="535"/>
      <c r="S202" s="535"/>
      <c r="T202" s="535"/>
      <c r="U202" s="535"/>
      <c r="V202" s="535"/>
      <c r="W202" s="535"/>
      <c r="X202" s="535"/>
      <c r="Y202" s="535"/>
      <c r="Z202" s="535"/>
      <c r="AA202" s="535"/>
      <c r="AB202" s="535"/>
      <c r="AC202" s="535"/>
      <c r="AD202" s="535"/>
      <c r="AE202" s="535"/>
      <c r="AF202" s="535"/>
      <c r="AG202" s="535"/>
      <c r="AH202" s="535"/>
      <c r="AI202" s="535"/>
      <c r="AJ202" s="535"/>
      <c r="AK202" s="535"/>
      <c r="AL202" s="535"/>
      <c r="AM202" s="535"/>
      <c r="AN202" s="535"/>
      <c r="AO202" s="451" t="str">
        <f>'6. HC (GC)'!U9</f>
        <v/>
      </c>
      <c r="AP202" s="451">
        <v>172</v>
      </c>
      <c r="AQ202" s="451" t="str">
        <f>Settings!$A$1</f>
        <v>V2</v>
      </c>
    </row>
    <row r="203" spans="1:43">
      <c r="A203" s="451">
        <f>'Input-FX Rates'!$C$4</f>
        <v>242</v>
      </c>
      <c r="B203" s="451" t="str">
        <f>'Input-FX Rates'!$B$4</f>
        <v>ICH Icheon (242)</v>
      </c>
      <c r="C203" s="451">
        <f>'Input-FX Rates'!$C$6</f>
        <v>780</v>
      </c>
      <c r="D203" s="451" t="str">
        <f>'Input-FX Rates'!$B$6</f>
        <v>780 BU Controls</v>
      </c>
      <c r="E203" s="451" t="str">
        <f>'Input-FX Rates'!$C$5</f>
        <v>7821 &amp; 7822</v>
      </c>
      <c r="F203" s="451" t="str">
        <f>'Input-FX Rates'!$B$5</f>
        <v>7821 PL Drivetrain Controls (&amp; Electrification)</v>
      </c>
      <c r="G203" s="451" t="s">
        <v>1486</v>
      </c>
      <c r="H203" s="451" t="s">
        <v>1491</v>
      </c>
      <c r="I203" s="535"/>
      <c r="J203" s="535"/>
      <c r="K203" s="536">
        <f>'6. HC (GC)'!C10</f>
        <v>2</v>
      </c>
      <c r="L203" s="536">
        <f>'6. HC (GC)'!D10</f>
        <v>1</v>
      </c>
      <c r="M203" s="535"/>
      <c r="N203" s="535"/>
      <c r="O203" s="536">
        <f>'6. HC (GC)'!Q10</f>
        <v>2</v>
      </c>
      <c r="P203" s="535"/>
      <c r="Q203" s="535"/>
      <c r="R203" s="535"/>
      <c r="S203" s="535"/>
      <c r="T203" s="535"/>
      <c r="U203" s="535"/>
      <c r="V203" s="535"/>
      <c r="W203" s="535"/>
      <c r="X203" s="535"/>
      <c r="Y203" s="535"/>
      <c r="Z203" s="535"/>
      <c r="AA203" s="535"/>
      <c r="AB203" s="535"/>
      <c r="AC203" s="535"/>
      <c r="AD203" s="535"/>
      <c r="AE203" s="535"/>
      <c r="AF203" s="535"/>
      <c r="AG203" s="535"/>
      <c r="AH203" s="535"/>
      <c r="AI203" s="535"/>
      <c r="AJ203" s="535"/>
      <c r="AK203" s="535"/>
      <c r="AL203" s="535"/>
      <c r="AM203" s="535"/>
      <c r="AN203" s="535"/>
      <c r="AO203" s="451" t="str">
        <f>'6. HC (GC)'!U10</f>
        <v/>
      </c>
      <c r="AP203" s="451">
        <v>173</v>
      </c>
      <c r="AQ203" s="451" t="str">
        <f>Settings!$A$1</f>
        <v>V2</v>
      </c>
    </row>
    <row r="204" spans="1:43">
      <c r="A204" s="451">
        <f>'Input-FX Rates'!$C$4</f>
        <v>242</v>
      </c>
      <c r="B204" s="451" t="str">
        <f>'Input-FX Rates'!$B$4</f>
        <v>ICH Icheon (242)</v>
      </c>
      <c r="C204" s="451">
        <f>'Input-FX Rates'!$C$6</f>
        <v>780</v>
      </c>
      <c r="D204" s="451" t="str">
        <f>'Input-FX Rates'!$B$6</f>
        <v>780 BU Controls</v>
      </c>
      <c r="E204" s="451" t="str">
        <f>'Input-FX Rates'!$C$5</f>
        <v>7821 &amp; 7822</v>
      </c>
      <c r="F204" s="451" t="str">
        <f>'Input-FX Rates'!$B$5</f>
        <v>7821 PL Drivetrain Controls (&amp; Electrification)</v>
      </c>
      <c r="G204" s="451" t="s">
        <v>1486</v>
      </c>
      <c r="H204" s="451" t="s">
        <v>1492</v>
      </c>
      <c r="I204" s="535"/>
      <c r="J204" s="535"/>
      <c r="K204" s="536">
        <f>'6. HC (GC)'!C11</f>
        <v>50</v>
      </c>
      <c r="L204" s="536">
        <f>'6. HC (GC)'!D11</f>
        <v>53</v>
      </c>
      <c r="M204" s="535"/>
      <c r="N204" s="535"/>
      <c r="O204" s="536">
        <f>'6. HC (GC)'!Q11</f>
        <v>50</v>
      </c>
      <c r="P204" s="535"/>
      <c r="Q204" s="535"/>
      <c r="R204" s="535"/>
      <c r="S204" s="535"/>
      <c r="T204" s="535"/>
      <c r="U204" s="535"/>
      <c r="V204" s="535"/>
      <c r="W204" s="535"/>
      <c r="X204" s="535"/>
      <c r="Y204" s="535"/>
      <c r="Z204" s="535"/>
      <c r="AA204" s="535"/>
      <c r="AB204" s="535"/>
      <c r="AC204" s="535"/>
      <c r="AD204" s="535"/>
      <c r="AE204" s="535"/>
      <c r="AF204" s="535"/>
      <c r="AG204" s="535"/>
      <c r="AH204" s="535"/>
      <c r="AI204" s="535"/>
      <c r="AJ204" s="535"/>
      <c r="AK204" s="535"/>
      <c r="AL204" s="535"/>
      <c r="AM204" s="535"/>
      <c r="AN204" s="535"/>
      <c r="AO204" s="451" t="str">
        <f>'6. HC (GC)'!U11</f>
        <v/>
      </c>
      <c r="AP204" s="451">
        <v>174</v>
      </c>
      <c r="AQ204" s="451" t="str">
        <f>Settings!$A$1</f>
        <v>V2</v>
      </c>
    </row>
    <row r="205" spans="1:43">
      <c r="A205" s="451">
        <f>'Input-FX Rates'!$C$4</f>
        <v>242</v>
      </c>
      <c r="B205" s="451" t="str">
        <f>'Input-FX Rates'!$B$4</f>
        <v>ICH Icheon (242)</v>
      </c>
      <c r="C205" s="451">
        <f>'Input-FX Rates'!$C$6</f>
        <v>780</v>
      </c>
      <c r="D205" s="451" t="str">
        <f>'Input-FX Rates'!$B$6</f>
        <v>780 BU Controls</v>
      </c>
      <c r="E205" s="451" t="str">
        <f>'Input-FX Rates'!$C$5</f>
        <v>7821 &amp; 7822</v>
      </c>
      <c r="F205" s="451" t="str">
        <f>'Input-FX Rates'!$B$5</f>
        <v>7821 PL Drivetrain Controls (&amp; Electrification)</v>
      </c>
      <c r="G205" s="451" t="s">
        <v>1486</v>
      </c>
      <c r="H205" s="451" t="s">
        <v>1493</v>
      </c>
      <c r="I205" s="535"/>
      <c r="J205" s="535"/>
      <c r="K205" s="536">
        <f>'6. HC (GC)'!C12</f>
        <v>2</v>
      </c>
      <c r="L205" s="536">
        <f>'6. HC (GC)'!D12</f>
        <v>2</v>
      </c>
      <c r="M205" s="535"/>
      <c r="N205" s="535"/>
      <c r="O205" s="536">
        <f>'6. HC (GC)'!Q12</f>
        <v>2</v>
      </c>
      <c r="P205" s="535"/>
      <c r="Q205" s="535"/>
      <c r="R205" s="535"/>
      <c r="S205" s="535"/>
      <c r="T205" s="535"/>
      <c r="U205" s="535"/>
      <c r="V205" s="535"/>
      <c r="W205" s="536">
        <f>'6. HC (GC)'!F12</f>
        <v>2</v>
      </c>
      <c r="X205" s="536">
        <f>'6. HC (GC)'!G12</f>
        <v>2</v>
      </c>
      <c r="Y205" s="536">
        <f>'6. HC (GC)'!H12</f>
        <v>2</v>
      </c>
      <c r="Z205" s="536">
        <f>'6. HC (GC)'!I12</f>
        <v>2</v>
      </c>
      <c r="AA205" s="536">
        <f>'6. HC (GC)'!J12</f>
        <v>2</v>
      </c>
      <c r="AB205" s="536">
        <f>'6. HC (GC)'!K12</f>
        <v>2</v>
      </c>
      <c r="AC205" s="536">
        <f>'6. HC (GC)'!L12</f>
        <v>2</v>
      </c>
      <c r="AD205" s="536">
        <f>'6. HC (GC)'!M12</f>
        <v>2</v>
      </c>
      <c r="AE205" s="536">
        <f>'6. HC (GC)'!N12</f>
        <v>2</v>
      </c>
      <c r="AF205" s="536">
        <f>'6. HC (GC)'!O12</f>
        <v>2</v>
      </c>
      <c r="AG205" s="536">
        <f>'6. HC (GC)'!P12</f>
        <v>2</v>
      </c>
      <c r="AH205" s="536">
        <f>'6. HC (GC)'!Q12</f>
        <v>2</v>
      </c>
      <c r="AI205" s="535"/>
      <c r="AJ205" s="535"/>
      <c r="AK205" s="535"/>
      <c r="AL205" s="535"/>
      <c r="AM205" s="535"/>
      <c r="AN205" s="535"/>
      <c r="AO205" s="451" t="str">
        <f>'6. HC (GC)'!U12</f>
        <v/>
      </c>
      <c r="AP205" s="451">
        <v>175</v>
      </c>
      <c r="AQ205" s="451" t="str">
        <f>Settings!$A$1</f>
        <v>V2</v>
      </c>
    </row>
    <row r="206" spans="1:43">
      <c r="A206" s="451">
        <f>'Input-FX Rates'!$C$4</f>
        <v>242</v>
      </c>
      <c r="B206" s="451" t="str">
        <f>'Input-FX Rates'!$B$4</f>
        <v>ICH Icheon (242)</v>
      </c>
      <c r="C206" s="451">
        <f>'Input-FX Rates'!$C$6</f>
        <v>780</v>
      </c>
      <c r="D206" s="451" t="str">
        <f>'Input-FX Rates'!$B$6</f>
        <v>780 BU Controls</v>
      </c>
      <c r="E206" s="451" t="str">
        <f>'Input-FX Rates'!$C$5</f>
        <v>7821 &amp; 7822</v>
      </c>
      <c r="F206" s="451" t="str">
        <f>'Input-FX Rates'!$B$5</f>
        <v>7821 PL Drivetrain Controls (&amp; Electrification)</v>
      </c>
      <c r="G206" s="451" t="s">
        <v>1486</v>
      </c>
      <c r="H206" s="451" t="s">
        <v>1494</v>
      </c>
      <c r="I206" s="535"/>
      <c r="J206" s="535"/>
      <c r="K206" s="536">
        <f>'6. HC (GC)'!C13</f>
        <v>0</v>
      </c>
      <c r="L206" s="536">
        <f>'6. HC (GC)'!D13</f>
        <v>0</v>
      </c>
      <c r="M206" s="535"/>
      <c r="N206" s="535"/>
      <c r="O206" s="536">
        <f>'6. HC (GC)'!Q13</f>
        <v>0</v>
      </c>
      <c r="P206" s="535"/>
      <c r="Q206" s="535"/>
      <c r="R206" s="535"/>
      <c r="S206" s="535"/>
      <c r="T206" s="535"/>
      <c r="U206" s="535"/>
      <c r="V206" s="535"/>
      <c r="W206" s="536">
        <f>'6. HC (GC)'!F13</f>
        <v>0</v>
      </c>
      <c r="X206" s="536">
        <f>'6. HC (GC)'!G13</f>
        <v>0</v>
      </c>
      <c r="Y206" s="536">
        <f>'6. HC (GC)'!H13</f>
        <v>0</v>
      </c>
      <c r="Z206" s="536">
        <f>'6. HC (GC)'!I13</f>
        <v>0</v>
      </c>
      <c r="AA206" s="536">
        <f>'6. HC (GC)'!J13</f>
        <v>0</v>
      </c>
      <c r="AB206" s="536">
        <f>'6. HC (GC)'!K13</f>
        <v>0</v>
      </c>
      <c r="AC206" s="536">
        <f>'6. HC (GC)'!L13</f>
        <v>0</v>
      </c>
      <c r="AD206" s="536">
        <f>'6. HC (GC)'!M13</f>
        <v>0</v>
      </c>
      <c r="AE206" s="536">
        <f>'6. HC (GC)'!N13</f>
        <v>0</v>
      </c>
      <c r="AF206" s="536">
        <f>'6. HC (GC)'!O13</f>
        <v>0</v>
      </c>
      <c r="AG206" s="536">
        <f>'6. HC (GC)'!P13</f>
        <v>0</v>
      </c>
      <c r="AH206" s="536">
        <f>'6. HC (GC)'!Q13</f>
        <v>0</v>
      </c>
      <c r="AI206" s="535"/>
      <c r="AJ206" s="535"/>
      <c r="AK206" s="535"/>
      <c r="AL206" s="535"/>
      <c r="AM206" s="535"/>
      <c r="AN206" s="535"/>
      <c r="AO206" s="451" t="str">
        <f>'6. HC (GC)'!U13</f>
        <v/>
      </c>
      <c r="AP206" s="451">
        <v>176</v>
      </c>
      <c r="AQ206" s="451" t="str">
        <f>Settings!$A$1</f>
        <v>V2</v>
      </c>
    </row>
    <row r="207" spans="1:43">
      <c r="A207" s="451">
        <f>'Input-FX Rates'!$C$4</f>
        <v>242</v>
      </c>
      <c r="B207" s="451" t="str">
        <f>'Input-FX Rates'!$B$4</f>
        <v>ICH Icheon (242)</v>
      </c>
      <c r="C207" s="451">
        <f>'Input-FX Rates'!$C$6</f>
        <v>780</v>
      </c>
      <c r="D207" s="451" t="str">
        <f>'Input-FX Rates'!$B$6</f>
        <v>780 BU Controls</v>
      </c>
      <c r="E207" s="451" t="str">
        <f>'Input-FX Rates'!$C$5</f>
        <v>7821 &amp; 7822</v>
      </c>
      <c r="F207" s="451" t="str">
        <f>'Input-FX Rates'!$B$5</f>
        <v>7821 PL Drivetrain Controls (&amp; Electrification)</v>
      </c>
      <c r="G207" s="451" t="s">
        <v>1486</v>
      </c>
      <c r="H207" s="451" t="s">
        <v>1495</v>
      </c>
      <c r="I207" s="535"/>
      <c r="J207" s="535"/>
      <c r="K207" s="536">
        <f>'6. HC (GC)'!C14</f>
        <v>0</v>
      </c>
      <c r="L207" s="536">
        <f>'6. HC (GC)'!D14</f>
        <v>0</v>
      </c>
      <c r="M207" s="535"/>
      <c r="N207" s="535"/>
      <c r="O207" s="536">
        <f>'6. HC (GC)'!Q14</f>
        <v>0</v>
      </c>
      <c r="P207" s="535"/>
      <c r="Q207" s="535"/>
      <c r="R207" s="535"/>
      <c r="S207" s="535"/>
      <c r="T207" s="535"/>
      <c r="U207" s="535"/>
      <c r="V207" s="535"/>
      <c r="W207" s="536">
        <f>'6. HC (GC)'!F14</f>
        <v>0</v>
      </c>
      <c r="X207" s="536">
        <f>'6. HC (GC)'!G14</f>
        <v>0</v>
      </c>
      <c r="Y207" s="536">
        <f>'6. HC (GC)'!H14</f>
        <v>0</v>
      </c>
      <c r="Z207" s="536">
        <f>'6. HC (GC)'!I14</f>
        <v>0</v>
      </c>
      <c r="AA207" s="536">
        <f>'6. HC (GC)'!J14</f>
        <v>0</v>
      </c>
      <c r="AB207" s="536">
        <f>'6. HC (GC)'!K14</f>
        <v>0</v>
      </c>
      <c r="AC207" s="536">
        <f>'6. HC (GC)'!L14</f>
        <v>0</v>
      </c>
      <c r="AD207" s="536">
        <f>'6. HC (GC)'!M14</f>
        <v>0</v>
      </c>
      <c r="AE207" s="536">
        <f>'6. HC (GC)'!N14</f>
        <v>0</v>
      </c>
      <c r="AF207" s="536">
        <f>'6. HC (GC)'!O14</f>
        <v>0</v>
      </c>
      <c r="AG207" s="536">
        <f>'6. HC (GC)'!P14</f>
        <v>0</v>
      </c>
      <c r="AH207" s="536">
        <f>'6. HC (GC)'!Q14</f>
        <v>0</v>
      </c>
      <c r="AI207" s="535"/>
      <c r="AJ207" s="535"/>
      <c r="AK207" s="535"/>
      <c r="AL207" s="535"/>
      <c r="AM207" s="535"/>
      <c r="AN207" s="535"/>
      <c r="AO207" s="451" t="str">
        <f>'6. HC (GC)'!U14</f>
        <v/>
      </c>
      <c r="AP207" s="451">
        <v>177</v>
      </c>
      <c r="AQ207" s="451" t="str">
        <f>Settings!$A$1</f>
        <v>V2</v>
      </c>
    </row>
    <row r="208" spans="1:43">
      <c r="A208" s="451">
        <f>'Input-FX Rates'!$C$4</f>
        <v>242</v>
      </c>
      <c r="B208" s="451" t="str">
        <f>'Input-FX Rates'!$B$4</f>
        <v>ICH Icheon (242)</v>
      </c>
      <c r="C208" s="451">
        <f>'Input-FX Rates'!$C$6</f>
        <v>780</v>
      </c>
      <c r="D208" s="451" t="str">
        <f>'Input-FX Rates'!$B$6</f>
        <v>780 BU Controls</v>
      </c>
      <c r="E208" s="451" t="str">
        <f>'Input-FX Rates'!$C$5</f>
        <v>7821 &amp; 7822</v>
      </c>
      <c r="F208" s="451" t="str">
        <f>'Input-FX Rates'!$B$5</f>
        <v>7821 PL Drivetrain Controls (&amp; Electrification)</v>
      </c>
      <c r="G208" s="451" t="s">
        <v>1486</v>
      </c>
      <c r="H208" s="451" t="s">
        <v>1496</v>
      </c>
      <c r="I208" s="535"/>
      <c r="J208" s="535"/>
      <c r="K208" s="536">
        <f>'6. HC (GC)'!C15</f>
        <v>0</v>
      </c>
      <c r="L208" s="536">
        <f>'6. HC (GC)'!D15</f>
        <v>0</v>
      </c>
      <c r="M208" s="535"/>
      <c r="N208" s="535"/>
      <c r="O208" s="536">
        <f>'6. HC (GC)'!Q15</f>
        <v>0</v>
      </c>
      <c r="P208" s="535"/>
      <c r="Q208" s="535"/>
      <c r="R208" s="535"/>
      <c r="S208" s="535"/>
      <c r="T208" s="535"/>
      <c r="U208" s="535"/>
      <c r="V208" s="535"/>
      <c r="W208" s="536">
        <f>'6. HC (GC)'!F15</f>
        <v>0</v>
      </c>
      <c r="X208" s="536">
        <f>'6. HC (GC)'!G15</f>
        <v>0</v>
      </c>
      <c r="Y208" s="536">
        <f>'6. HC (GC)'!H15</f>
        <v>0</v>
      </c>
      <c r="Z208" s="536">
        <f>'6. HC (GC)'!I15</f>
        <v>0</v>
      </c>
      <c r="AA208" s="536">
        <f>'6. HC (GC)'!J15</f>
        <v>0</v>
      </c>
      <c r="AB208" s="536">
        <f>'6. HC (GC)'!K15</f>
        <v>0</v>
      </c>
      <c r="AC208" s="536">
        <f>'6. HC (GC)'!L15</f>
        <v>0</v>
      </c>
      <c r="AD208" s="536">
        <f>'6. HC (GC)'!M15</f>
        <v>0</v>
      </c>
      <c r="AE208" s="536">
        <f>'6. HC (GC)'!N15</f>
        <v>0</v>
      </c>
      <c r="AF208" s="536">
        <f>'6. HC (GC)'!O15</f>
        <v>0</v>
      </c>
      <c r="AG208" s="536">
        <f>'6. HC (GC)'!P15</f>
        <v>0</v>
      </c>
      <c r="AH208" s="536">
        <f>'6. HC (GC)'!Q15</f>
        <v>0</v>
      </c>
      <c r="AI208" s="535"/>
      <c r="AJ208" s="535"/>
      <c r="AK208" s="535"/>
      <c r="AL208" s="535"/>
      <c r="AM208" s="535"/>
      <c r="AN208" s="535"/>
      <c r="AO208" s="451" t="str">
        <f>'6. HC (GC)'!U15</f>
        <v/>
      </c>
      <c r="AP208" s="451">
        <v>178</v>
      </c>
      <c r="AQ208" s="451" t="str">
        <f>Settings!$A$1</f>
        <v>V2</v>
      </c>
    </row>
    <row r="209" spans="1:43">
      <c r="A209" s="451">
        <f>'Input-FX Rates'!$C$4</f>
        <v>242</v>
      </c>
      <c r="B209" s="451" t="str">
        <f>'Input-FX Rates'!$B$4</f>
        <v>ICH Icheon (242)</v>
      </c>
      <c r="C209" s="451">
        <f>'Input-FX Rates'!$C$6</f>
        <v>780</v>
      </c>
      <c r="D209" s="451" t="str">
        <f>'Input-FX Rates'!$B$6</f>
        <v>780 BU Controls</v>
      </c>
      <c r="E209" s="451" t="str">
        <f>'Input-FX Rates'!$C$5</f>
        <v>7821 &amp; 7822</v>
      </c>
      <c r="F209" s="451" t="str">
        <f>'Input-FX Rates'!$B$5</f>
        <v>7821 PL Drivetrain Controls (&amp; Electrification)</v>
      </c>
      <c r="G209" s="451" t="s">
        <v>1486</v>
      </c>
      <c r="H209" s="451" t="s">
        <v>1497</v>
      </c>
      <c r="I209" s="535"/>
      <c r="J209" s="535"/>
      <c r="K209" s="536">
        <f>'6. HC (GC)'!C16</f>
        <v>0</v>
      </c>
      <c r="L209" s="536">
        <f>'6. HC (GC)'!D16</f>
        <v>0</v>
      </c>
      <c r="M209" s="535"/>
      <c r="N209" s="535"/>
      <c r="O209" s="536">
        <f>'6. HC (GC)'!Q16</f>
        <v>0</v>
      </c>
      <c r="P209" s="535"/>
      <c r="Q209" s="535"/>
      <c r="R209" s="535"/>
      <c r="S209" s="535"/>
      <c r="T209" s="535"/>
      <c r="U209" s="535"/>
      <c r="V209" s="535"/>
      <c r="W209" s="536">
        <f>'6. HC (GC)'!F16</f>
        <v>0</v>
      </c>
      <c r="X209" s="536">
        <f>'6. HC (GC)'!G16</f>
        <v>0</v>
      </c>
      <c r="Y209" s="536">
        <f>'6. HC (GC)'!H16</f>
        <v>0</v>
      </c>
      <c r="Z209" s="536">
        <f>'6. HC (GC)'!I16</f>
        <v>0</v>
      </c>
      <c r="AA209" s="536">
        <f>'6. HC (GC)'!J16</f>
        <v>0</v>
      </c>
      <c r="AB209" s="536">
        <f>'6. HC (GC)'!K16</f>
        <v>0</v>
      </c>
      <c r="AC209" s="536">
        <f>'6. HC (GC)'!L16</f>
        <v>0</v>
      </c>
      <c r="AD209" s="536">
        <f>'6. HC (GC)'!M16</f>
        <v>0</v>
      </c>
      <c r="AE209" s="536">
        <f>'6. HC (GC)'!N16</f>
        <v>0</v>
      </c>
      <c r="AF209" s="536">
        <f>'6. HC (GC)'!O16</f>
        <v>0</v>
      </c>
      <c r="AG209" s="536">
        <f>'6. HC (GC)'!P16</f>
        <v>0</v>
      </c>
      <c r="AH209" s="536">
        <f>'6. HC (GC)'!Q16</f>
        <v>0</v>
      </c>
      <c r="AI209" s="535"/>
      <c r="AJ209" s="535"/>
      <c r="AK209" s="535"/>
      <c r="AL209" s="535"/>
      <c r="AM209" s="535"/>
      <c r="AN209" s="535"/>
      <c r="AO209" s="451" t="str">
        <f>'6. HC (GC)'!U16</f>
        <v/>
      </c>
      <c r="AP209" s="451">
        <v>179</v>
      </c>
      <c r="AQ209" s="451" t="str">
        <f>Settings!$A$1</f>
        <v>V2</v>
      </c>
    </row>
    <row r="210" spans="1:43">
      <c r="A210" s="451">
        <f>'Input-FX Rates'!$C$4</f>
        <v>242</v>
      </c>
      <c r="B210" s="451" t="str">
        <f>'Input-FX Rates'!$B$4</f>
        <v>ICH Icheon (242)</v>
      </c>
      <c r="C210" s="451">
        <f>'Input-FX Rates'!$C$6</f>
        <v>780</v>
      </c>
      <c r="D210" s="451" t="str">
        <f>'Input-FX Rates'!$B$6</f>
        <v>780 BU Controls</v>
      </c>
      <c r="E210" s="451" t="str">
        <f>'Input-FX Rates'!$C$5</f>
        <v>7821 &amp; 7822</v>
      </c>
      <c r="F210" s="451" t="str">
        <f>'Input-FX Rates'!$B$5</f>
        <v>7821 PL Drivetrain Controls (&amp; Electrification)</v>
      </c>
      <c r="G210" s="451" t="s">
        <v>1486</v>
      </c>
      <c r="H210" s="451" t="s">
        <v>1498</v>
      </c>
      <c r="I210" s="535"/>
      <c r="J210" s="535"/>
      <c r="K210" s="536">
        <f>'6. HC (GC)'!C17</f>
        <v>0</v>
      </c>
      <c r="L210" s="536">
        <f>'6. HC (GC)'!D17</f>
        <v>0</v>
      </c>
      <c r="M210" s="535"/>
      <c r="N210" s="535"/>
      <c r="O210" s="536">
        <f>'6. HC (GC)'!Q17</f>
        <v>0</v>
      </c>
      <c r="P210" s="535"/>
      <c r="Q210" s="535"/>
      <c r="R210" s="535"/>
      <c r="S210" s="535"/>
      <c r="T210" s="535"/>
      <c r="U210" s="535"/>
      <c r="V210" s="535"/>
      <c r="W210" s="536">
        <f>'6. HC (GC)'!F17</f>
        <v>0</v>
      </c>
      <c r="X210" s="536">
        <f>'6. HC (GC)'!G17</f>
        <v>0</v>
      </c>
      <c r="Y210" s="536">
        <f>'6. HC (GC)'!H17</f>
        <v>0</v>
      </c>
      <c r="Z210" s="536">
        <f>'6. HC (GC)'!I17</f>
        <v>0</v>
      </c>
      <c r="AA210" s="536">
        <f>'6. HC (GC)'!J17</f>
        <v>0</v>
      </c>
      <c r="AB210" s="536">
        <f>'6. HC (GC)'!K17</f>
        <v>0</v>
      </c>
      <c r="AC210" s="536">
        <f>'6. HC (GC)'!L17</f>
        <v>0</v>
      </c>
      <c r="AD210" s="536">
        <f>'6. HC (GC)'!M17</f>
        <v>0</v>
      </c>
      <c r="AE210" s="536">
        <f>'6. HC (GC)'!N17</f>
        <v>0</v>
      </c>
      <c r="AF210" s="536">
        <f>'6. HC (GC)'!O17</f>
        <v>0</v>
      </c>
      <c r="AG210" s="536">
        <f>'6. HC (GC)'!P17</f>
        <v>0</v>
      </c>
      <c r="AH210" s="536">
        <f>'6. HC (GC)'!Q17</f>
        <v>0</v>
      </c>
      <c r="AI210" s="535"/>
      <c r="AJ210" s="535"/>
      <c r="AK210" s="535"/>
      <c r="AL210" s="535"/>
      <c r="AM210" s="535"/>
      <c r="AN210" s="535"/>
      <c r="AO210" s="451" t="str">
        <f>'6. HC (GC)'!U17</f>
        <v/>
      </c>
      <c r="AP210" s="451">
        <v>180</v>
      </c>
      <c r="AQ210" s="451" t="str">
        <f>Settings!$A$1</f>
        <v>V2</v>
      </c>
    </row>
    <row r="211" spans="1:43">
      <c r="A211" s="451">
        <f>'Input-FX Rates'!$C$4</f>
        <v>242</v>
      </c>
      <c r="B211" s="451" t="str">
        <f>'Input-FX Rates'!$B$4</f>
        <v>ICH Icheon (242)</v>
      </c>
      <c r="C211" s="451">
        <f>'Input-FX Rates'!$C$6</f>
        <v>780</v>
      </c>
      <c r="D211" s="451" t="str">
        <f>'Input-FX Rates'!$B$6</f>
        <v>780 BU Controls</v>
      </c>
      <c r="E211" s="451" t="str">
        <f>'Input-FX Rates'!$C$5</f>
        <v>7821 &amp; 7822</v>
      </c>
      <c r="F211" s="451" t="str">
        <f>'Input-FX Rates'!$B$5</f>
        <v>7821 PL Drivetrain Controls (&amp; Electrification)</v>
      </c>
      <c r="G211" s="451" t="s">
        <v>1486</v>
      </c>
      <c r="H211" s="451" t="s">
        <v>1499</v>
      </c>
      <c r="I211" s="535"/>
      <c r="J211" s="535"/>
      <c r="K211" s="536">
        <f>'6. HC (GC)'!C18</f>
        <v>2</v>
      </c>
      <c r="L211" s="536">
        <f>'6. HC (GC)'!D18</f>
        <v>2</v>
      </c>
      <c r="M211" s="535"/>
      <c r="N211" s="535"/>
      <c r="O211" s="536">
        <f>'6. HC (GC)'!Q18</f>
        <v>2</v>
      </c>
      <c r="P211" s="535"/>
      <c r="Q211" s="535"/>
      <c r="R211" s="535"/>
      <c r="S211" s="535"/>
      <c r="T211" s="535"/>
      <c r="U211" s="535"/>
      <c r="V211" s="535"/>
      <c r="W211" s="536">
        <f>'6. HC (GC)'!F18</f>
        <v>2</v>
      </c>
      <c r="X211" s="536">
        <f>'6. HC (GC)'!G18</f>
        <v>2</v>
      </c>
      <c r="Y211" s="536">
        <f>'6. HC (GC)'!H18</f>
        <v>2</v>
      </c>
      <c r="Z211" s="536">
        <f>'6. HC (GC)'!I18</f>
        <v>2</v>
      </c>
      <c r="AA211" s="536">
        <f>'6. HC (GC)'!J18</f>
        <v>2</v>
      </c>
      <c r="AB211" s="536">
        <f>'6. HC (GC)'!K18</f>
        <v>2</v>
      </c>
      <c r="AC211" s="536">
        <f>'6. HC (GC)'!L18</f>
        <v>2</v>
      </c>
      <c r="AD211" s="536">
        <f>'6. HC (GC)'!M18</f>
        <v>2</v>
      </c>
      <c r="AE211" s="536">
        <f>'6. HC (GC)'!N18</f>
        <v>2</v>
      </c>
      <c r="AF211" s="536">
        <f>'6. HC (GC)'!O18</f>
        <v>2</v>
      </c>
      <c r="AG211" s="536">
        <f>'6. HC (GC)'!P18</f>
        <v>2</v>
      </c>
      <c r="AH211" s="536">
        <f>'6. HC (GC)'!Q18</f>
        <v>2</v>
      </c>
      <c r="AI211" s="535"/>
      <c r="AJ211" s="535"/>
      <c r="AK211" s="535"/>
      <c r="AL211" s="535"/>
      <c r="AM211" s="535"/>
      <c r="AN211" s="535"/>
      <c r="AO211" s="451" t="str">
        <f>'6. HC (GC)'!U18</f>
        <v/>
      </c>
      <c r="AP211" s="451">
        <v>181</v>
      </c>
      <c r="AQ211" s="451" t="str">
        <f>Settings!$A$1</f>
        <v>V2</v>
      </c>
    </row>
    <row r="212" spans="1:43">
      <c r="A212" s="451">
        <f>'Input-FX Rates'!$C$4</f>
        <v>242</v>
      </c>
      <c r="B212" s="451" t="str">
        <f>'Input-FX Rates'!$B$4</f>
        <v>ICH Icheon (242)</v>
      </c>
      <c r="C212" s="451">
        <f>'Input-FX Rates'!$C$6</f>
        <v>780</v>
      </c>
      <c r="D212" s="451" t="str">
        <f>'Input-FX Rates'!$B$6</f>
        <v>780 BU Controls</v>
      </c>
      <c r="E212" s="451" t="str">
        <f>'Input-FX Rates'!$C$5</f>
        <v>7821 &amp; 7822</v>
      </c>
      <c r="F212" s="451" t="str">
        <f>'Input-FX Rates'!$B$5</f>
        <v>7821 PL Drivetrain Controls (&amp; Electrification)</v>
      </c>
      <c r="G212" s="451" t="s">
        <v>1486</v>
      </c>
      <c r="H212" s="451" t="s">
        <v>1500</v>
      </c>
      <c r="I212" s="535"/>
      <c r="J212" s="535"/>
      <c r="K212" s="536">
        <f>'6. HC (GC)'!C19</f>
        <v>52</v>
      </c>
      <c r="L212" s="536">
        <f>'6. HC (GC)'!D19</f>
        <v>55</v>
      </c>
      <c r="M212" s="535"/>
      <c r="N212" s="535"/>
      <c r="O212" s="536">
        <f>'6. HC (GC)'!Q19</f>
        <v>52</v>
      </c>
      <c r="P212" s="535"/>
      <c r="Q212" s="535"/>
      <c r="R212" s="535"/>
      <c r="S212" s="535"/>
      <c r="T212" s="535"/>
      <c r="U212" s="535"/>
      <c r="V212" s="535"/>
      <c r="W212" s="535"/>
      <c r="X212" s="535"/>
      <c r="Y212" s="535"/>
      <c r="Z212" s="535"/>
      <c r="AA212" s="535"/>
      <c r="AB212" s="535"/>
      <c r="AC212" s="535"/>
      <c r="AD212" s="535"/>
      <c r="AE212" s="535"/>
      <c r="AF212" s="535"/>
      <c r="AG212" s="535"/>
      <c r="AH212" s="535"/>
      <c r="AI212" s="535"/>
      <c r="AJ212" s="535"/>
      <c r="AK212" s="535"/>
      <c r="AL212" s="535"/>
      <c r="AM212" s="535"/>
      <c r="AN212" s="535"/>
      <c r="AO212" s="451" t="str">
        <f>'6. HC (GC)'!U19</f>
        <v/>
      </c>
      <c r="AP212" s="451">
        <v>182</v>
      </c>
      <c r="AQ212" s="451" t="str">
        <f>Settings!$A$1</f>
        <v>V2</v>
      </c>
    </row>
    <row r="213" spans="1:43" s="861" customFormat="1">
      <c r="A213" s="861">
        <f>'Input-FX Rates'!$C$4</f>
        <v>242</v>
      </c>
      <c r="B213" s="861" t="str">
        <f>'Input-FX Rates'!$B$4</f>
        <v>ICH Icheon (242)</v>
      </c>
      <c r="C213" s="861">
        <f>'Input-FX Rates'!$C$6</f>
        <v>780</v>
      </c>
      <c r="D213" s="861" t="str">
        <f>'Input-FX Rates'!$B$6</f>
        <v>780 BU Controls</v>
      </c>
      <c r="E213" s="861" t="str">
        <f>'Input-FX Rates'!$C$5</f>
        <v>7821 &amp; 7822</v>
      </c>
      <c r="F213" s="861" t="str">
        <f>'Input-FX Rates'!$B$5</f>
        <v>7821 PL Drivetrain Controls (&amp; Electrification)</v>
      </c>
      <c r="G213" s="861" t="s">
        <v>1486</v>
      </c>
      <c r="H213" s="861" t="s">
        <v>1501</v>
      </c>
      <c r="I213" s="862"/>
      <c r="J213" s="862"/>
      <c r="K213" s="863">
        <f>'6. HC (GC)'!C21</f>
        <v>0</v>
      </c>
      <c r="L213" s="863">
        <f>'6. HC (GC)'!D21</f>
        <v>0</v>
      </c>
      <c r="M213" s="862"/>
      <c r="N213" s="862"/>
      <c r="O213" s="863">
        <f>'6. HC (GC)'!Q21</f>
        <v>0</v>
      </c>
      <c r="P213" s="862"/>
      <c r="Q213" s="862"/>
      <c r="R213" s="862"/>
      <c r="S213" s="862"/>
      <c r="T213" s="862"/>
      <c r="U213" s="862"/>
      <c r="V213" s="862"/>
      <c r="W213" s="863">
        <f>'6. HC (GC)'!F21</f>
        <v>0</v>
      </c>
      <c r="X213" s="863">
        <f>'6. HC (GC)'!G21</f>
        <v>0</v>
      </c>
      <c r="Y213" s="863">
        <f>'6. HC (GC)'!H21</f>
        <v>0</v>
      </c>
      <c r="Z213" s="863">
        <f>'6. HC (GC)'!I21</f>
        <v>0</v>
      </c>
      <c r="AA213" s="863">
        <f>'6. HC (GC)'!J21</f>
        <v>0</v>
      </c>
      <c r="AB213" s="863">
        <f>'6. HC (GC)'!K21</f>
        <v>0</v>
      </c>
      <c r="AC213" s="863">
        <f>'6. HC (GC)'!L21</f>
        <v>0</v>
      </c>
      <c r="AD213" s="863">
        <f>'6. HC (GC)'!M21</f>
        <v>0</v>
      </c>
      <c r="AE213" s="863">
        <f>'6. HC (GC)'!N21</f>
        <v>0</v>
      </c>
      <c r="AF213" s="863">
        <f>'6. HC (GC)'!O21</f>
        <v>0</v>
      </c>
      <c r="AG213" s="863">
        <f>'6. HC (GC)'!P21</f>
        <v>0</v>
      </c>
      <c r="AH213" s="863">
        <f>'6. HC (GC)'!Q21</f>
        <v>0</v>
      </c>
      <c r="AI213" s="862"/>
      <c r="AJ213" s="862"/>
      <c r="AK213" s="862"/>
      <c r="AL213" s="862"/>
      <c r="AM213" s="862"/>
      <c r="AN213" s="862"/>
      <c r="AO213" s="861" t="str">
        <f>'6. HC (GC)'!U21</f>
        <v/>
      </c>
      <c r="AP213" s="861">
        <v>183</v>
      </c>
      <c r="AQ213" s="861" t="str">
        <f>Settings!$A$1</f>
        <v>V2</v>
      </c>
    </row>
    <row r="214" spans="1:43" s="861" customFormat="1">
      <c r="A214" s="861">
        <f>'Input-FX Rates'!$C$4</f>
        <v>242</v>
      </c>
      <c r="B214" s="861" t="str">
        <f>'Input-FX Rates'!$B$4</f>
        <v>ICH Icheon (242)</v>
      </c>
      <c r="C214" s="861">
        <f>'Input-FX Rates'!$C$6</f>
        <v>780</v>
      </c>
      <c r="D214" s="861" t="str">
        <f>'Input-FX Rates'!$B$6</f>
        <v>780 BU Controls</v>
      </c>
      <c r="E214" s="861" t="str">
        <f>'Input-FX Rates'!$C$5</f>
        <v>7821 &amp; 7822</v>
      </c>
      <c r="F214" s="861" t="str">
        <f>'Input-FX Rates'!$B$5</f>
        <v>7821 PL Drivetrain Controls (&amp; Electrification)</v>
      </c>
      <c r="G214" s="861" t="s">
        <v>1486</v>
      </c>
      <c r="H214" s="861" t="s">
        <v>1502</v>
      </c>
      <c r="I214" s="862"/>
      <c r="J214" s="862"/>
      <c r="K214" s="863">
        <f>'6. HC (GC)'!C22</f>
        <v>21</v>
      </c>
      <c r="L214" s="863">
        <f>'6. HC (GC)'!D22</f>
        <v>22</v>
      </c>
      <c r="M214" s="862"/>
      <c r="N214" s="862"/>
      <c r="O214" s="863">
        <f>'6. HC (GC)'!Q22</f>
        <v>21</v>
      </c>
      <c r="P214" s="862"/>
      <c r="Q214" s="862"/>
      <c r="R214" s="862"/>
      <c r="S214" s="862"/>
      <c r="T214" s="862"/>
      <c r="U214" s="862"/>
      <c r="V214" s="862"/>
      <c r="W214" s="863">
        <f>'6. HC (GC)'!F22</f>
        <v>0</v>
      </c>
      <c r="X214" s="863">
        <f>'6. HC (GC)'!G22</f>
        <v>0</v>
      </c>
      <c r="Y214" s="863">
        <f>'6. HC (GC)'!H22</f>
        <v>0</v>
      </c>
      <c r="Z214" s="863">
        <f>'6. HC (GC)'!I22</f>
        <v>0</v>
      </c>
      <c r="AA214" s="863">
        <f>'6. HC (GC)'!J22</f>
        <v>0</v>
      </c>
      <c r="AB214" s="863">
        <f>'6. HC (GC)'!K22</f>
        <v>0</v>
      </c>
      <c r="AC214" s="863">
        <f>'6. HC (GC)'!L22</f>
        <v>0</v>
      </c>
      <c r="AD214" s="863">
        <f>'6. HC (GC)'!M22</f>
        <v>0</v>
      </c>
      <c r="AE214" s="863">
        <f>'6. HC (GC)'!N22</f>
        <v>0</v>
      </c>
      <c r="AF214" s="863">
        <f>'6. HC (GC)'!O22</f>
        <v>0</v>
      </c>
      <c r="AG214" s="863">
        <f>'6. HC (GC)'!P22</f>
        <v>0</v>
      </c>
      <c r="AH214" s="863">
        <f>'6. HC (GC)'!Q22</f>
        <v>21</v>
      </c>
      <c r="AI214" s="862"/>
      <c r="AJ214" s="862"/>
      <c r="AK214" s="862"/>
      <c r="AL214" s="862"/>
      <c r="AM214" s="862"/>
      <c r="AN214" s="862"/>
      <c r="AO214" s="861" t="str">
        <f>'6. HC (GC)'!U22</f>
        <v/>
      </c>
      <c r="AP214" s="861">
        <v>1183</v>
      </c>
      <c r="AQ214" s="861" t="str">
        <f>Settings!$A$1</f>
        <v>V2</v>
      </c>
    </row>
    <row r="215" spans="1:43">
      <c r="A215" s="451">
        <f>'Input-FX Rates'!$C$4</f>
        <v>242</v>
      </c>
      <c r="B215" s="451" t="str">
        <f>'Input-FX Rates'!$B$4</f>
        <v>ICH Icheon (242)</v>
      </c>
      <c r="C215" s="451">
        <f>'Input-FX Rates'!$C$6</f>
        <v>780</v>
      </c>
      <c r="D215" s="451" t="str">
        <f>'Input-FX Rates'!$B$6</f>
        <v>780 BU Controls</v>
      </c>
      <c r="E215" s="451" t="str">
        <f>'Input-FX Rates'!$C$5</f>
        <v>7821 &amp; 7822</v>
      </c>
      <c r="F215" s="451" t="str">
        <f>'Input-FX Rates'!$B$5</f>
        <v>7821 PL Drivetrain Controls (&amp; Electrification)</v>
      </c>
      <c r="G215" s="451" t="s">
        <v>1486</v>
      </c>
      <c r="H215" s="451" t="s">
        <v>1503</v>
      </c>
      <c r="I215" s="535"/>
      <c r="J215" s="535"/>
      <c r="K215" s="536">
        <f>'6. HC (GC)'!C24</f>
        <v>50</v>
      </c>
      <c r="L215" s="536">
        <f>'6. HC (GC)'!D24</f>
        <v>53</v>
      </c>
      <c r="M215" s="535"/>
      <c r="N215" s="535"/>
      <c r="O215" s="536">
        <f>'6. HC (GC)'!Q24</f>
        <v>50</v>
      </c>
      <c r="P215" s="535"/>
      <c r="Q215" s="535"/>
      <c r="R215" s="535"/>
      <c r="S215" s="535"/>
      <c r="T215" s="535"/>
      <c r="U215" s="535"/>
      <c r="V215" s="535"/>
      <c r="W215" s="535"/>
      <c r="X215" s="535"/>
      <c r="Y215" s="535"/>
      <c r="Z215" s="535"/>
      <c r="AA215" s="535"/>
      <c r="AB215" s="535"/>
      <c r="AC215" s="535"/>
      <c r="AD215" s="535"/>
      <c r="AE215" s="535"/>
      <c r="AF215" s="535"/>
      <c r="AG215" s="535"/>
      <c r="AH215" s="535"/>
      <c r="AI215" s="535"/>
      <c r="AJ215" s="535"/>
      <c r="AK215" s="535"/>
      <c r="AL215" s="535"/>
      <c r="AM215" s="535"/>
      <c r="AN215" s="535"/>
      <c r="AO215" s="451" t="str">
        <f>'6. HC (GC)'!U24</f>
        <v/>
      </c>
      <c r="AP215" s="451">
        <v>184</v>
      </c>
      <c r="AQ215" s="451" t="str">
        <f>Settings!$A$1</f>
        <v>V2</v>
      </c>
    </row>
    <row r="216" spans="1:43">
      <c r="A216" s="451">
        <f>'Input-FX Rates'!$C$4</f>
        <v>242</v>
      </c>
      <c r="B216" s="451" t="str">
        <f>'Input-FX Rates'!$B$4</f>
        <v>ICH Icheon (242)</v>
      </c>
      <c r="C216" s="451">
        <f>'Input-FX Rates'!$C$6</f>
        <v>780</v>
      </c>
      <c r="D216" s="451" t="str">
        <f>'Input-FX Rates'!$B$6</f>
        <v>780 BU Controls</v>
      </c>
      <c r="E216" s="451" t="str">
        <f>'Input-FX Rates'!$C$5</f>
        <v>7821 &amp; 7822</v>
      </c>
      <c r="F216" s="451" t="str">
        <f>'Input-FX Rates'!$B$5</f>
        <v>7821 PL Drivetrain Controls (&amp; Electrification)</v>
      </c>
      <c r="G216" s="451" t="s">
        <v>1486</v>
      </c>
      <c r="H216" s="451" t="s">
        <v>1504</v>
      </c>
      <c r="I216" s="535"/>
      <c r="J216" s="535"/>
      <c r="K216" s="536">
        <f>'6. HC (GC)'!C25</f>
        <v>23</v>
      </c>
      <c r="L216" s="536">
        <f>'6. HC (GC)'!D25</f>
        <v>24</v>
      </c>
      <c r="M216" s="535"/>
      <c r="N216" s="535"/>
      <c r="O216" s="536">
        <f>'6. HC (GC)'!Q25</f>
        <v>23</v>
      </c>
      <c r="P216" s="535"/>
      <c r="Q216" s="535"/>
      <c r="R216" s="535"/>
      <c r="S216" s="535"/>
      <c r="T216" s="535"/>
      <c r="U216" s="535"/>
      <c r="V216" s="535"/>
      <c r="W216" s="535"/>
      <c r="X216" s="535"/>
      <c r="Y216" s="535"/>
      <c r="Z216" s="535"/>
      <c r="AA216" s="535"/>
      <c r="AB216" s="535"/>
      <c r="AC216" s="535"/>
      <c r="AD216" s="535"/>
      <c r="AE216" s="535"/>
      <c r="AF216" s="535"/>
      <c r="AG216" s="535"/>
      <c r="AH216" s="535"/>
      <c r="AI216" s="535"/>
      <c r="AJ216" s="535"/>
      <c r="AK216" s="535"/>
      <c r="AL216" s="535"/>
      <c r="AM216" s="535"/>
      <c r="AN216" s="535"/>
      <c r="AO216" s="451" t="str">
        <f>'6. HC (GC)'!U25</f>
        <v/>
      </c>
      <c r="AP216" s="451">
        <v>185</v>
      </c>
      <c r="AQ216" s="451" t="str">
        <f>Settings!$A$1</f>
        <v>V2</v>
      </c>
    </row>
    <row r="217" spans="1:43">
      <c r="A217" s="451">
        <f>'Input-FX Rates'!$C$4</f>
        <v>242</v>
      </c>
      <c r="B217" s="451" t="str">
        <f>'Input-FX Rates'!$B$4</f>
        <v>ICH Icheon (242)</v>
      </c>
      <c r="C217" s="451">
        <f>'Input-FX Rates'!$C$6</f>
        <v>780</v>
      </c>
      <c r="D217" s="451" t="str">
        <f>'Input-FX Rates'!$B$6</f>
        <v>780 BU Controls</v>
      </c>
      <c r="E217" s="451" t="str">
        <f>'Input-FX Rates'!$C$5</f>
        <v>7821 &amp; 7822</v>
      </c>
      <c r="F217" s="451" t="str">
        <f>'Input-FX Rates'!$B$5</f>
        <v>7821 PL Drivetrain Controls (&amp; Electrification)</v>
      </c>
      <c r="G217" s="451" t="s">
        <v>1486</v>
      </c>
      <c r="H217" s="451" t="s">
        <v>1505</v>
      </c>
      <c r="I217" s="535"/>
      <c r="J217" s="535"/>
      <c r="K217" s="535"/>
      <c r="L217" s="536">
        <f>'6. HC (GC)'!E6</f>
        <v>100126.74994033898</v>
      </c>
      <c r="M217" s="535"/>
      <c r="N217" s="535"/>
      <c r="O217" s="536">
        <f>'6. HC (GC)'!R6</f>
        <v>87874.142590344825</v>
      </c>
      <c r="P217" s="535"/>
      <c r="Q217" s="535"/>
      <c r="R217" s="535"/>
      <c r="S217" s="535"/>
      <c r="T217" s="535"/>
      <c r="U217" s="535"/>
      <c r="V217" s="535"/>
      <c r="W217" s="535"/>
      <c r="X217" s="535"/>
      <c r="Y217" s="535"/>
      <c r="Z217" s="535"/>
      <c r="AA217" s="535"/>
      <c r="AB217" s="535"/>
      <c r="AC217" s="535"/>
      <c r="AD217" s="535"/>
      <c r="AE217" s="535"/>
      <c r="AF217" s="535"/>
      <c r="AG217" s="535"/>
      <c r="AH217" s="535"/>
      <c r="AI217" s="535"/>
      <c r="AJ217" s="535"/>
      <c r="AK217" s="535"/>
      <c r="AL217" s="535"/>
      <c r="AM217" s="535"/>
      <c r="AN217" s="535"/>
      <c r="AO217" s="451" t="str">
        <f>'6. HC (GC)'!U6</f>
        <v/>
      </c>
      <c r="AP217" s="451">
        <v>186</v>
      </c>
      <c r="AQ217" s="451" t="str">
        <f>Settings!$A$1</f>
        <v>V2</v>
      </c>
    </row>
    <row r="218" spans="1:43">
      <c r="A218" s="451">
        <f>'Input-FX Rates'!$C$4</f>
        <v>242</v>
      </c>
      <c r="B218" s="451" t="str">
        <f>'Input-FX Rates'!$B$4</f>
        <v>ICH Icheon (242)</v>
      </c>
      <c r="C218" s="451">
        <f>'Input-FX Rates'!$C$6</f>
        <v>780</v>
      </c>
      <c r="D218" s="451" t="str">
        <f>'Input-FX Rates'!$B$6</f>
        <v>780 BU Controls</v>
      </c>
      <c r="E218" s="451" t="str">
        <f>'Input-FX Rates'!$C$5</f>
        <v>7821 &amp; 7822</v>
      </c>
      <c r="F218" s="451" t="str">
        <f>'Input-FX Rates'!$B$5</f>
        <v>7821 PL Drivetrain Controls (&amp; Electrification)</v>
      </c>
      <c r="G218" s="451" t="s">
        <v>1486</v>
      </c>
      <c r="H218" s="451" t="s">
        <v>1506</v>
      </c>
      <c r="I218" s="535"/>
      <c r="J218" s="535"/>
      <c r="K218" s="535"/>
      <c r="L218" s="536">
        <f>'6. HC (GC)'!E7</f>
        <v>37</v>
      </c>
      <c r="M218" s="535"/>
      <c r="N218" s="535"/>
      <c r="O218" s="536">
        <f>'6. HC (GC)'!R7</f>
        <v>36</v>
      </c>
      <c r="P218" s="535"/>
      <c r="Q218" s="535"/>
      <c r="R218" s="535"/>
      <c r="S218" s="535"/>
      <c r="T218" s="535"/>
      <c r="U218" s="535"/>
      <c r="V218" s="535"/>
      <c r="W218" s="535"/>
      <c r="X218" s="535"/>
      <c r="Y218" s="535"/>
      <c r="Z218" s="535"/>
      <c r="AA218" s="535"/>
      <c r="AB218" s="535"/>
      <c r="AC218" s="535"/>
      <c r="AD218" s="535"/>
      <c r="AE218" s="535"/>
      <c r="AF218" s="535"/>
      <c r="AG218" s="535"/>
      <c r="AH218" s="535"/>
      <c r="AI218" s="535"/>
      <c r="AJ218" s="535"/>
      <c r="AK218" s="535"/>
      <c r="AL218" s="535"/>
      <c r="AM218" s="535"/>
      <c r="AN218" s="535"/>
      <c r="AO218" s="451" t="str">
        <f>'6. HC (GC)'!U7</f>
        <v>HC -1 due to cc31004 transfers to ENC.</v>
      </c>
      <c r="AP218" s="451">
        <v>188</v>
      </c>
      <c r="AQ218" s="451" t="str">
        <f>Settings!$A$1</f>
        <v>V2</v>
      </c>
    </row>
    <row r="219" spans="1:43">
      <c r="A219" s="451">
        <f>'Input-FX Rates'!$C$4</f>
        <v>242</v>
      </c>
      <c r="B219" s="451" t="str">
        <f>'Input-FX Rates'!$B$4</f>
        <v>ICH Icheon (242)</v>
      </c>
      <c r="C219" s="451">
        <f>'Input-FX Rates'!$C$6</f>
        <v>780</v>
      </c>
      <c r="D219" s="451" t="str">
        <f>'Input-FX Rates'!$B$6</f>
        <v>780 BU Controls</v>
      </c>
      <c r="E219" s="451" t="str">
        <f>'Input-FX Rates'!$C$5</f>
        <v>7821 &amp; 7822</v>
      </c>
      <c r="F219" s="451" t="str">
        <f>'Input-FX Rates'!$B$5</f>
        <v>7821 PL Drivetrain Controls (&amp; Electrification)</v>
      </c>
      <c r="G219" s="451" t="s">
        <v>1486</v>
      </c>
      <c r="H219" s="451" t="s">
        <v>1507</v>
      </c>
      <c r="I219" s="535"/>
      <c r="J219" s="535"/>
      <c r="K219" s="535"/>
      <c r="L219" s="536">
        <f>'6. HC (GC)'!E8</f>
        <v>9</v>
      </c>
      <c r="M219" s="535"/>
      <c r="N219" s="535"/>
      <c r="O219" s="536">
        <f>'6. HC (GC)'!R8</f>
        <v>10</v>
      </c>
      <c r="P219" s="535"/>
      <c r="Q219" s="535"/>
      <c r="R219" s="535"/>
      <c r="S219" s="535"/>
      <c r="T219" s="535"/>
      <c r="U219" s="535"/>
      <c r="V219" s="535"/>
      <c r="W219" s="535"/>
      <c r="X219" s="535"/>
      <c r="Y219" s="535"/>
      <c r="Z219" s="535"/>
      <c r="AA219" s="535"/>
      <c r="AB219" s="535"/>
      <c r="AC219" s="535"/>
      <c r="AD219" s="535"/>
      <c r="AE219" s="535"/>
      <c r="AF219" s="535"/>
      <c r="AG219" s="535"/>
      <c r="AH219" s="535"/>
      <c r="AI219" s="535"/>
      <c r="AJ219" s="535"/>
      <c r="AK219" s="535"/>
      <c r="AL219" s="535"/>
      <c r="AM219" s="535"/>
      <c r="AN219" s="535"/>
      <c r="AO219" s="451" t="str">
        <f>'6. HC (GC)'!U8</f>
        <v>SMD Technician +1</v>
      </c>
      <c r="AP219" s="451">
        <v>189</v>
      </c>
      <c r="AQ219" s="451" t="str">
        <f>Settings!$A$1</f>
        <v>V2</v>
      </c>
    </row>
    <row r="220" spans="1:43">
      <c r="A220" s="451">
        <f>'Input-FX Rates'!$C$4</f>
        <v>242</v>
      </c>
      <c r="B220" s="451" t="str">
        <f>'Input-FX Rates'!$B$4</f>
        <v>ICH Icheon (242)</v>
      </c>
      <c r="C220" s="451">
        <f>'Input-FX Rates'!$C$6</f>
        <v>780</v>
      </c>
      <c r="D220" s="451" t="str">
        <f>'Input-FX Rates'!$B$6</f>
        <v>780 BU Controls</v>
      </c>
      <c r="E220" s="451" t="str">
        <f>'Input-FX Rates'!$C$5</f>
        <v>7821 &amp; 7822</v>
      </c>
      <c r="F220" s="451" t="str">
        <f>'Input-FX Rates'!$B$5</f>
        <v>7821 PL Drivetrain Controls (&amp; Electrification)</v>
      </c>
      <c r="G220" s="451" t="s">
        <v>1486</v>
      </c>
      <c r="H220" s="451" t="s">
        <v>1508</v>
      </c>
      <c r="I220" s="535"/>
      <c r="J220" s="535"/>
      <c r="K220" s="535"/>
      <c r="L220" s="536">
        <f>'6. HC (GC)'!E9</f>
        <v>3</v>
      </c>
      <c r="M220" s="535"/>
      <c r="N220" s="535"/>
      <c r="O220" s="536">
        <f>'6. HC (GC)'!R9</f>
        <v>2</v>
      </c>
      <c r="P220" s="535"/>
      <c r="Q220" s="535"/>
      <c r="R220" s="535"/>
      <c r="S220" s="535"/>
      <c r="T220" s="535"/>
      <c r="U220" s="535"/>
      <c r="V220" s="535"/>
      <c r="W220" s="535"/>
      <c r="X220" s="535"/>
      <c r="Y220" s="535"/>
      <c r="Z220" s="535"/>
      <c r="AA220" s="535"/>
      <c r="AB220" s="535"/>
      <c r="AC220" s="535"/>
      <c r="AD220" s="535"/>
      <c r="AE220" s="535"/>
      <c r="AF220" s="535"/>
      <c r="AG220" s="535"/>
      <c r="AH220" s="535"/>
      <c r="AI220" s="535"/>
      <c r="AJ220" s="535"/>
      <c r="AK220" s="535"/>
      <c r="AL220" s="535"/>
      <c r="AM220" s="535"/>
      <c r="AN220" s="535"/>
      <c r="AO220" s="451" t="str">
        <f>'6. HC (GC)'!U9</f>
        <v/>
      </c>
      <c r="AP220" s="451">
        <v>190</v>
      </c>
      <c r="AQ220" s="451" t="str">
        <f>Settings!$A$1</f>
        <v>V2</v>
      </c>
    </row>
    <row r="221" spans="1:43">
      <c r="A221" s="451">
        <f>'Input-FX Rates'!$C$4</f>
        <v>242</v>
      </c>
      <c r="B221" s="451" t="str">
        <f>'Input-FX Rates'!$B$4</f>
        <v>ICH Icheon (242)</v>
      </c>
      <c r="C221" s="451">
        <f>'Input-FX Rates'!$C$6</f>
        <v>780</v>
      </c>
      <c r="D221" s="451" t="str">
        <f>'Input-FX Rates'!$B$6</f>
        <v>780 BU Controls</v>
      </c>
      <c r="E221" s="451" t="str">
        <f>'Input-FX Rates'!$C$5</f>
        <v>7821 &amp; 7822</v>
      </c>
      <c r="F221" s="451" t="str">
        <f>'Input-FX Rates'!$B$5</f>
        <v>7821 PL Drivetrain Controls (&amp; Electrification)</v>
      </c>
      <c r="G221" s="451" t="s">
        <v>1486</v>
      </c>
      <c r="H221" s="451" t="s">
        <v>1509</v>
      </c>
      <c r="I221" s="535"/>
      <c r="J221" s="535"/>
      <c r="K221" s="535"/>
      <c r="L221" s="536">
        <f>'6. HC (GC)'!E10</f>
        <v>1.6</v>
      </c>
      <c r="M221" s="535"/>
      <c r="N221" s="535"/>
      <c r="O221" s="536">
        <f>'6. HC (GC)'!R10</f>
        <v>2</v>
      </c>
      <c r="P221" s="535"/>
      <c r="Q221" s="535"/>
      <c r="R221" s="535"/>
      <c r="S221" s="535"/>
      <c r="T221" s="535"/>
      <c r="U221" s="535"/>
      <c r="V221" s="535"/>
      <c r="W221" s="535"/>
      <c r="X221" s="535"/>
      <c r="Y221" s="535"/>
      <c r="Z221" s="535"/>
      <c r="AA221" s="535"/>
      <c r="AB221" s="535"/>
      <c r="AC221" s="535"/>
      <c r="AD221" s="535"/>
      <c r="AE221" s="535"/>
      <c r="AF221" s="535"/>
      <c r="AG221" s="535"/>
      <c r="AH221" s="535"/>
      <c r="AI221" s="535"/>
      <c r="AJ221" s="535"/>
      <c r="AK221" s="535"/>
      <c r="AL221" s="535"/>
      <c r="AM221" s="535"/>
      <c r="AN221" s="535"/>
      <c r="AO221" s="451" t="str">
        <f>'6. HC (GC)'!U10</f>
        <v/>
      </c>
      <c r="AP221" s="451">
        <v>191</v>
      </c>
      <c r="AQ221" s="451" t="str">
        <f>Settings!$A$1</f>
        <v>V2</v>
      </c>
    </row>
    <row r="222" spans="1:43">
      <c r="A222" s="451">
        <f>'Input-FX Rates'!$C$4</f>
        <v>242</v>
      </c>
      <c r="B222" s="451" t="str">
        <f>'Input-FX Rates'!$B$4</f>
        <v>ICH Icheon (242)</v>
      </c>
      <c r="C222" s="451">
        <f>'Input-FX Rates'!$C$6</f>
        <v>780</v>
      </c>
      <c r="D222" s="451" t="str">
        <f>'Input-FX Rates'!$B$6</f>
        <v>780 BU Controls</v>
      </c>
      <c r="E222" s="451" t="str">
        <f>'Input-FX Rates'!$C$5</f>
        <v>7821 &amp; 7822</v>
      </c>
      <c r="F222" s="451" t="str">
        <f>'Input-FX Rates'!$B$5</f>
        <v>7821 PL Drivetrain Controls (&amp; Electrification)</v>
      </c>
      <c r="G222" s="451" t="s">
        <v>1486</v>
      </c>
      <c r="H222" s="451" t="s">
        <v>1510</v>
      </c>
      <c r="I222" s="535"/>
      <c r="J222" s="535"/>
      <c r="K222" s="535"/>
      <c r="L222" s="536">
        <f>'6. HC (GC)'!E11</f>
        <v>50.6</v>
      </c>
      <c r="M222" s="535"/>
      <c r="N222" s="535"/>
      <c r="O222" s="536">
        <f>'6. HC (GC)'!R11</f>
        <v>50</v>
      </c>
      <c r="P222" s="535"/>
      <c r="Q222" s="535"/>
      <c r="R222" s="535"/>
      <c r="S222" s="535"/>
      <c r="T222" s="535"/>
      <c r="U222" s="535"/>
      <c r="V222" s="535"/>
      <c r="W222" s="535"/>
      <c r="X222" s="535"/>
      <c r="Y222" s="535"/>
      <c r="Z222" s="535"/>
      <c r="AA222" s="535"/>
      <c r="AB222" s="535"/>
      <c r="AC222" s="535"/>
      <c r="AD222" s="535"/>
      <c r="AE222" s="535"/>
      <c r="AF222" s="535"/>
      <c r="AG222" s="535"/>
      <c r="AH222" s="535"/>
      <c r="AI222" s="535"/>
      <c r="AJ222" s="535"/>
      <c r="AK222" s="535"/>
      <c r="AL222" s="535"/>
      <c r="AM222" s="535"/>
      <c r="AN222" s="535"/>
      <c r="AO222" s="451" t="str">
        <f>'6. HC (GC)'!U11</f>
        <v/>
      </c>
      <c r="AP222" s="451">
        <v>192</v>
      </c>
      <c r="AQ222" s="451" t="str">
        <f>Settings!$A$1</f>
        <v>V2</v>
      </c>
    </row>
    <row r="223" spans="1:43">
      <c r="A223" s="451">
        <f>'Input-FX Rates'!$C$4</f>
        <v>242</v>
      </c>
      <c r="B223" s="451" t="str">
        <f>'Input-FX Rates'!$B$4</f>
        <v>ICH Icheon (242)</v>
      </c>
      <c r="C223" s="451">
        <f>'Input-FX Rates'!$C$6</f>
        <v>780</v>
      </c>
      <c r="D223" s="451" t="str">
        <f>'Input-FX Rates'!$B$6</f>
        <v>780 BU Controls</v>
      </c>
      <c r="E223" s="451" t="str">
        <f>'Input-FX Rates'!$C$5</f>
        <v>7821 &amp; 7822</v>
      </c>
      <c r="F223" s="451" t="str">
        <f>'Input-FX Rates'!$B$5</f>
        <v>7821 PL Drivetrain Controls (&amp; Electrification)</v>
      </c>
      <c r="G223" s="451" t="s">
        <v>1486</v>
      </c>
      <c r="H223" s="451" t="s">
        <v>1511</v>
      </c>
      <c r="I223" s="535"/>
      <c r="J223" s="535"/>
      <c r="K223" s="535"/>
      <c r="L223" s="536">
        <f>'6. HC (GC)'!E12</f>
        <v>2</v>
      </c>
      <c r="M223" s="535"/>
      <c r="N223" s="535"/>
      <c r="O223" s="536">
        <f>'6. HC (GC)'!R12</f>
        <v>2</v>
      </c>
      <c r="P223" s="535"/>
      <c r="Q223" s="535"/>
      <c r="R223" s="535"/>
      <c r="S223" s="535"/>
      <c r="T223" s="535"/>
      <c r="U223" s="535"/>
      <c r="V223" s="535"/>
      <c r="W223" s="535"/>
      <c r="X223" s="535"/>
      <c r="Y223" s="535"/>
      <c r="Z223" s="535"/>
      <c r="AA223" s="535"/>
      <c r="AB223" s="535"/>
      <c r="AC223" s="535"/>
      <c r="AD223" s="535"/>
      <c r="AE223" s="535"/>
      <c r="AF223" s="535"/>
      <c r="AG223" s="535"/>
      <c r="AH223" s="535"/>
      <c r="AI223" s="535"/>
      <c r="AJ223" s="535"/>
      <c r="AK223" s="535"/>
      <c r="AL223" s="535"/>
      <c r="AM223" s="535"/>
      <c r="AN223" s="535"/>
      <c r="AO223" s="451" t="str">
        <f>'6. HC (GC)'!U12</f>
        <v/>
      </c>
      <c r="AP223" s="451">
        <v>193</v>
      </c>
      <c r="AQ223" s="451" t="str">
        <f>Settings!$A$1</f>
        <v>V2</v>
      </c>
    </row>
    <row r="224" spans="1:43">
      <c r="A224" s="451">
        <f>'Input-FX Rates'!$C$4</f>
        <v>242</v>
      </c>
      <c r="B224" s="451" t="str">
        <f>'Input-FX Rates'!$B$4</f>
        <v>ICH Icheon (242)</v>
      </c>
      <c r="C224" s="451">
        <f>'Input-FX Rates'!$C$6</f>
        <v>780</v>
      </c>
      <c r="D224" s="451" t="str">
        <f>'Input-FX Rates'!$B$6</f>
        <v>780 BU Controls</v>
      </c>
      <c r="E224" s="451" t="str">
        <f>'Input-FX Rates'!$C$5</f>
        <v>7821 &amp; 7822</v>
      </c>
      <c r="F224" s="451" t="str">
        <f>'Input-FX Rates'!$B$5</f>
        <v>7821 PL Drivetrain Controls (&amp; Electrification)</v>
      </c>
      <c r="G224" s="451" t="s">
        <v>1486</v>
      </c>
      <c r="H224" s="451" t="s">
        <v>1512</v>
      </c>
      <c r="I224" s="535"/>
      <c r="J224" s="535"/>
      <c r="K224" s="535"/>
      <c r="L224" s="536">
        <f>'6. HC (GC)'!E13</f>
        <v>0</v>
      </c>
      <c r="M224" s="535"/>
      <c r="N224" s="535"/>
      <c r="O224" s="536">
        <f>'6. HC (GC)'!R13</f>
        <v>0</v>
      </c>
      <c r="P224" s="535"/>
      <c r="Q224" s="535"/>
      <c r="R224" s="535"/>
      <c r="S224" s="535"/>
      <c r="T224" s="535"/>
      <c r="U224" s="535"/>
      <c r="V224" s="535"/>
      <c r="W224" s="535"/>
      <c r="X224" s="535"/>
      <c r="Y224" s="535"/>
      <c r="Z224" s="535"/>
      <c r="AA224" s="535"/>
      <c r="AB224" s="535"/>
      <c r="AC224" s="535"/>
      <c r="AD224" s="535"/>
      <c r="AE224" s="535"/>
      <c r="AF224" s="535"/>
      <c r="AG224" s="535"/>
      <c r="AH224" s="535"/>
      <c r="AI224" s="535"/>
      <c r="AJ224" s="535"/>
      <c r="AK224" s="535"/>
      <c r="AL224" s="535"/>
      <c r="AM224" s="535"/>
      <c r="AN224" s="535"/>
      <c r="AO224" s="451" t="str">
        <f>'6. HC (GC)'!U13</f>
        <v/>
      </c>
      <c r="AP224" s="451">
        <v>194</v>
      </c>
      <c r="AQ224" s="451" t="str">
        <f>Settings!$A$1</f>
        <v>V2</v>
      </c>
    </row>
    <row r="225" spans="1:43">
      <c r="A225" s="451">
        <f>'Input-FX Rates'!$C$4</f>
        <v>242</v>
      </c>
      <c r="B225" s="451" t="str">
        <f>'Input-FX Rates'!$B$4</f>
        <v>ICH Icheon (242)</v>
      </c>
      <c r="C225" s="451">
        <f>'Input-FX Rates'!$C$6</f>
        <v>780</v>
      </c>
      <c r="D225" s="451" t="str">
        <f>'Input-FX Rates'!$B$6</f>
        <v>780 BU Controls</v>
      </c>
      <c r="E225" s="451" t="str">
        <f>'Input-FX Rates'!$C$5</f>
        <v>7821 &amp; 7822</v>
      </c>
      <c r="F225" s="451" t="str">
        <f>'Input-FX Rates'!$B$5</f>
        <v>7821 PL Drivetrain Controls (&amp; Electrification)</v>
      </c>
      <c r="G225" s="451" t="s">
        <v>1486</v>
      </c>
      <c r="H225" s="451" t="s">
        <v>1513</v>
      </c>
      <c r="I225" s="535"/>
      <c r="J225" s="535"/>
      <c r="K225" s="535"/>
      <c r="L225" s="536">
        <f>'6. HC (GC)'!E14</f>
        <v>0</v>
      </c>
      <c r="M225" s="535"/>
      <c r="N225" s="535"/>
      <c r="O225" s="536">
        <f>'6. HC (GC)'!R14</f>
        <v>0</v>
      </c>
      <c r="P225" s="535"/>
      <c r="Q225" s="535"/>
      <c r="R225" s="535"/>
      <c r="S225" s="535"/>
      <c r="T225" s="535"/>
      <c r="U225" s="535"/>
      <c r="V225" s="535"/>
      <c r="W225" s="535"/>
      <c r="X225" s="535"/>
      <c r="Y225" s="535"/>
      <c r="Z225" s="535"/>
      <c r="AA225" s="535"/>
      <c r="AB225" s="535"/>
      <c r="AC225" s="535"/>
      <c r="AD225" s="535"/>
      <c r="AE225" s="535"/>
      <c r="AF225" s="535"/>
      <c r="AG225" s="535"/>
      <c r="AH225" s="535"/>
      <c r="AI225" s="535"/>
      <c r="AJ225" s="535"/>
      <c r="AK225" s="535"/>
      <c r="AL225" s="535"/>
      <c r="AM225" s="535"/>
      <c r="AN225" s="535"/>
      <c r="AO225" s="451" t="str">
        <f>'6. HC (GC)'!U14</f>
        <v/>
      </c>
      <c r="AP225" s="451">
        <v>195</v>
      </c>
      <c r="AQ225" s="451" t="str">
        <f>Settings!$A$1</f>
        <v>V2</v>
      </c>
    </row>
    <row r="226" spans="1:43">
      <c r="A226" s="451">
        <f>'Input-FX Rates'!$C$4</f>
        <v>242</v>
      </c>
      <c r="B226" s="451" t="str">
        <f>'Input-FX Rates'!$B$4</f>
        <v>ICH Icheon (242)</v>
      </c>
      <c r="C226" s="451">
        <f>'Input-FX Rates'!$C$6</f>
        <v>780</v>
      </c>
      <c r="D226" s="451" t="str">
        <f>'Input-FX Rates'!$B$6</f>
        <v>780 BU Controls</v>
      </c>
      <c r="E226" s="451" t="str">
        <f>'Input-FX Rates'!$C$5</f>
        <v>7821 &amp; 7822</v>
      </c>
      <c r="F226" s="451" t="str">
        <f>'Input-FX Rates'!$B$5</f>
        <v>7821 PL Drivetrain Controls (&amp; Electrification)</v>
      </c>
      <c r="G226" s="451" t="s">
        <v>1486</v>
      </c>
      <c r="H226" s="451" t="s">
        <v>1514</v>
      </c>
      <c r="I226" s="535"/>
      <c r="J226" s="535"/>
      <c r="K226" s="535"/>
      <c r="L226" s="536">
        <f>'6. HC (GC)'!E15</f>
        <v>0</v>
      </c>
      <c r="M226" s="535"/>
      <c r="N226" s="535"/>
      <c r="O226" s="536">
        <f>'6. HC (GC)'!R15</f>
        <v>0</v>
      </c>
      <c r="P226" s="535"/>
      <c r="Q226" s="535"/>
      <c r="R226" s="535"/>
      <c r="S226" s="535"/>
      <c r="T226" s="535"/>
      <c r="U226" s="535"/>
      <c r="V226" s="535"/>
      <c r="W226" s="535"/>
      <c r="X226" s="535"/>
      <c r="Y226" s="535"/>
      <c r="Z226" s="535"/>
      <c r="AA226" s="535"/>
      <c r="AB226" s="535"/>
      <c r="AC226" s="535"/>
      <c r="AD226" s="535"/>
      <c r="AE226" s="535"/>
      <c r="AF226" s="535"/>
      <c r="AG226" s="535"/>
      <c r="AH226" s="535"/>
      <c r="AI226" s="535"/>
      <c r="AJ226" s="535"/>
      <c r="AK226" s="535"/>
      <c r="AL226" s="535"/>
      <c r="AM226" s="535"/>
      <c r="AN226" s="535"/>
      <c r="AO226" s="451" t="str">
        <f>'6. HC (GC)'!U15</f>
        <v/>
      </c>
      <c r="AP226" s="451">
        <v>196</v>
      </c>
      <c r="AQ226" s="451" t="str">
        <f>Settings!$A$1</f>
        <v>V2</v>
      </c>
    </row>
    <row r="227" spans="1:43">
      <c r="A227" s="451">
        <f>'Input-FX Rates'!$C$4</f>
        <v>242</v>
      </c>
      <c r="B227" s="451" t="str">
        <f>'Input-FX Rates'!$B$4</f>
        <v>ICH Icheon (242)</v>
      </c>
      <c r="C227" s="451">
        <f>'Input-FX Rates'!$C$6</f>
        <v>780</v>
      </c>
      <c r="D227" s="451" t="str">
        <f>'Input-FX Rates'!$B$6</f>
        <v>780 BU Controls</v>
      </c>
      <c r="E227" s="451" t="str">
        <f>'Input-FX Rates'!$C$5</f>
        <v>7821 &amp; 7822</v>
      </c>
      <c r="F227" s="451" t="str">
        <f>'Input-FX Rates'!$B$5</f>
        <v>7821 PL Drivetrain Controls (&amp; Electrification)</v>
      </c>
      <c r="G227" s="451" t="s">
        <v>1486</v>
      </c>
      <c r="H227" s="451" t="s">
        <v>1515</v>
      </c>
      <c r="I227" s="535"/>
      <c r="J227" s="535"/>
      <c r="K227" s="535"/>
      <c r="L227" s="536">
        <f>'6. HC (GC)'!E16</f>
        <v>0</v>
      </c>
      <c r="M227" s="535"/>
      <c r="N227" s="535"/>
      <c r="O227" s="536">
        <f>'6. HC (GC)'!R16</f>
        <v>0</v>
      </c>
      <c r="P227" s="535"/>
      <c r="Q227" s="535"/>
      <c r="R227" s="535"/>
      <c r="S227" s="535"/>
      <c r="T227" s="535"/>
      <c r="U227" s="535"/>
      <c r="V227" s="535"/>
      <c r="W227" s="535"/>
      <c r="X227" s="535"/>
      <c r="Y227" s="535"/>
      <c r="Z227" s="535"/>
      <c r="AA227" s="535"/>
      <c r="AB227" s="535"/>
      <c r="AC227" s="535"/>
      <c r="AD227" s="535"/>
      <c r="AE227" s="535"/>
      <c r="AF227" s="535"/>
      <c r="AG227" s="535"/>
      <c r="AH227" s="535"/>
      <c r="AI227" s="535"/>
      <c r="AJ227" s="535"/>
      <c r="AK227" s="535"/>
      <c r="AL227" s="535"/>
      <c r="AM227" s="535"/>
      <c r="AN227" s="535"/>
      <c r="AO227" s="451" t="str">
        <f>'6. HC (GC)'!U16</f>
        <v/>
      </c>
      <c r="AP227" s="451">
        <v>197</v>
      </c>
      <c r="AQ227" s="451" t="str">
        <f>Settings!$A$1</f>
        <v>V2</v>
      </c>
    </row>
    <row r="228" spans="1:43">
      <c r="A228" s="451">
        <f>'Input-FX Rates'!$C$4</f>
        <v>242</v>
      </c>
      <c r="B228" s="451" t="str">
        <f>'Input-FX Rates'!$B$4</f>
        <v>ICH Icheon (242)</v>
      </c>
      <c r="C228" s="451">
        <f>'Input-FX Rates'!$C$6</f>
        <v>780</v>
      </c>
      <c r="D228" s="451" t="str">
        <f>'Input-FX Rates'!$B$6</f>
        <v>780 BU Controls</v>
      </c>
      <c r="E228" s="451" t="str">
        <f>'Input-FX Rates'!$C$5</f>
        <v>7821 &amp; 7822</v>
      </c>
      <c r="F228" s="451" t="str">
        <f>'Input-FX Rates'!$B$5</f>
        <v>7821 PL Drivetrain Controls (&amp; Electrification)</v>
      </c>
      <c r="G228" s="451" t="s">
        <v>1486</v>
      </c>
      <c r="H228" s="451" t="s">
        <v>1516</v>
      </c>
      <c r="I228" s="535"/>
      <c r="J228" s="535"/>
      <c r="K228" s="535"/>
      <c r="L228" s="536">
        <f>'6. HC (GC)'!E17</f>
        <v>0</v>
      </c>
      <c r="M228" s="535"/>
      <c r="N228" s="535"/>
      <c r="O228" s="536">
        <f>'6. HC (GC)'!R17</f>
        <v>0</v>
      </c>
      <c r="P228" s="535"/>
      <c r="Q228" s="535"/>
      <c r="R228" s="535"/>
      <c r="S228" s="535"/>
      <c r="T228" s="535"/>
      <c r="U228" s="535"/>
      <c r="V228" s="535"/>
      <c r="W228" s="535"/>
      <c r="X228" s="535"/>
      <c r="Y228" s="535"/>
      <c r="Z228" s="535"/>
      <c r="AA228" s="535"/>
      <c r="AB228" s="535"/>
      <c r="AC228" s="535"/>
      <c r="AD228" s="535"/>
      <c r="AE228" s="535"/>
      <c r="AF228" s="535"/>
      <c r="AG228" s="535"/>
      <c r="AH228" s="535"/>
      <c r="AI228" s="535"/>
      <c r="AJ228" s="535"/>
      <c r="AK228" s="535"/>
      <c r="AL228" s="535"/>
      <c r="AM228" s="535"/>
      <c r="AN228" s="535"/>
      <c r="AO228" s="451" t="str">
        <f>'6. HC (GC)'!U17</f>
        <v/>
      </c>
      <c r="AP228" s="451">
        <v>198</v>
      </c>
      <c r="AQ228" s="451" t="str">
        <f>Settings!$A$1</f>
        <v>V2</v>
      </c>
    </row>
    <row r="229" spans="1:43">
      <c r="A229" s="451">
        <f>'Input-FX Rates'!$C$4</f>
        <v>242</v>
      </c>
      <c r="B229" s="451" t="str">
        <f>'Input-FX Rates'!$B$4</f>
        <v>ICH Icheon (242)</v>
      </c>
      <c r="C229" s="451">
        <f>'Input-FX Rates'!$C$6</f>
        <v>780</v>
      </c>
      <c r="D229" s="451" t="str">
        <f>'Input-FX Rates'!$B$6</f>
        <v>780 BU Controls</v>
      </c>
      <c r="E229" s="451" t="str">
        <f>'Input-FX Rates'!$C$5</f>
        <v>7821 &amp; 7822</v>
      </c>
      <c r="F229" s="451" t="str">
        <f>'Input-FX Rates'!$B$5</f>
        <v>7821 PL Drivetrain Controls (&amp; Electrification)</v>
      </c>
      <c r="G229" s="451" t="s">
        <v>1486</v>
      </c>
      <c r="H229" s="451" t="s">
        <v>1517</v>
      </c>
      <c r="I229" s="535"/>
      <c r="J229" s="535"/>
      <c r="K229" s="535"/>
      <c r="L229" s="536">
        <f>'6. HC (GC)'!E18</f>
        <v>2</v>
      </c>
      <c r="M229" s="535"/>
      <c r="N229" s="535"/>
      <c r="O229" s="536">
        <f>'6. HC (GC)'!R18</f>
        <v>2</v>
      </c>
      <c r="P229" s="535"/>
      <c r="Q229" s="535"/>
      <c r="R229" s="535"/>
      <c r="S229" s="535"/>
      <c r="T229" s="535"/>
      <c r="U229" s="535"/>
      <c r="V229" s="535"/>
      <c r="W229" s="535"/>
      <c r="X229" s="535"/>
      <c r="Y229" s="535"/>
      <c r="Z229" s="535"/>
      <c r="AA229" s="535"/>
      <c r="AB229" s="535"/>
      <c r="AC229" s="535"/>
      <c r="AD229" s="535"/>
      <c r="AE229" s="535"/>
      <c r="AF229" s="535"/>
      <c r="AG229" s="535"/>
      <c r="AH229" s="535"/>
      <c r="AI229" s="535"/>
      <c r="AJ229" s="535"/>
      <c r="AK229" s="535"/>
      <c r="AL229" s="535"/>
      <c r="AM229" s="535"/>
      <c r="AN229" s="535"/>
      <c r="AO229" s="451" t="str">
        <f>'6. HC (GC)'!U18</f>
        <v/>
      </c>
      <c r="AP229" s="451">
        <v>199</v>
      </c>
      <c r="AQ229" s="451" t="str">
        <f>Settings!$A$1</f>
        <v>V2</v>
      </c>
    </row>
    <row r="230" spans="1:43">
      <c r="A230" s="451">
        <f>'Input-FX Rates'!$C$4</f>
        <v>242</v>
      </c>
      <c r="B230" s="451" t="str">
        <f>'Input-FX Rates'!$B$4</f>
        <v>ICH Icheon (242)</v>
      </c>
      <c r="C230" s="451">
        <f>'Input-FX Rates'!$C$6</f>
        <v>780</v>
      </c>
      <c r="D230" s="451" t="str">
        <f>'Input-FX Rates'!$B$6</f>
        <v>780 BU Controls</v>
      </c>
      <c r="E230" s="451" t="str">
        <f>'Input-FX Rates'!$C$5</f>
        <v>7821 &amp; 7822</v>
      </c>
      <c r="F230" s="451" t="str">
        <f>'Input-FX Rates'!$B$5</f>
        <v>7821 PL Drivetrain Controls (&amp; Electrification)</v>
      </c>
      <c r="G230" s="451" t="s">
        <v>1486</v>
      </c>
      <c r="H230" s="451" t="s">
        <v>1518</v>
      </c>
      <c r="I230" s="535"/>
      <c r="J230" s="535"/>
      <c r="K230" s="535"/>
      <c r="L230" s="536">
        <f>'6. HC (GC)'!E19</f>
        <v>52.6</v>
      </c>
      <c r="M230" s="535"/>
      <c r="N230" s="535"/>
      <c r="O230" s="536">
        <f>'6. HC (GC)'!R19</f>
        <v>52</v>
      </c>
      <c r="P230" s="535"/>
      <c r="Q230" s="535"/>
      <c r="R230" s="535"/>
      <c r="S230" s="535"/>
      <c r="T230" s="535"/>
      <c r="U230" s="535"/>
      <c r="V230" s="535"/>
      <c r="W230" s="535"/>
      <c r="X230" s="535"/>
      <c r="Y230" s="535"/>
      <c r="Z230" s="535"/>
      <c r="AA230" s="535"/>
      <c r="AB230" s="535"/>
      <c r="AC230" s="535"/>
      <c r="AD230" s="535"/>
      <c r="AE230" s="535"/>
      <c r="AF230" s="535"/>
      <c r="AG230" s="535"/>
      <c r="AH230" s="535"/>
      <c r="AI230" s="535"/>
      <c r="AJ230" s="535"/>
      <c r="AK230" s="535"/>
      <c r="AL230" s="535"/>
      <c r="AM230" s="535"/>
      <c r="AN230" s="535"/>
      <c r="AO230" s="451" t="str">
        <f>'6. HC (GC)'!U19</f>
        <v/>
      </c>
      <c r="AP230" s="451">
        <v>200</v>
      </c>
      <c r="AQ230" s="451" t="str">
        <f>Settings!$A$1</f>
        <v>V2</v>
      </c>
    </row>
    <row r="231" spans="1:43" s="861" customFormat="1">
      <c r="A231" s="861">
        <f>'Input-FX Rates'!$C$4</f>
        <v>242</v>
      </c>
      <c r="B231" s="861" t="str">
        <f>'Input-FX Rates'!$B$4</f>
        <v>ICH Icheon (242)</v>
      </c>
      <c r="C231" s="861">
        <f>'Input-FX Rates'!$C$6</f>
        <v>780</v>
      </c>
      <c r="D231" s="861" t="str">
        <f>'Input-FX Rates'!$B$6</f>
        <v>780 BU Controls</v>
      </c>
      <c r="E231" s="861" t="str">
        <f>'Input-FX Rates'!$C$5</f>
        <v>7821 &amp; 7822</v>
      </c>
      <c r="F231" s="861" t="str">
        <f>'Input-FX Rates'!$B$5</f>
        <v>7821 PL Drivetrain Controls (&amp; Electrification)</v>
      </c>
      <c r="G231" s="861" t="s">
        <v>1486</v>
      </c>
      <c r="H231" s="861" t="s">
        <v>1519</v>
      </c>
      <c r="I231" s="862"/>
      <c r="J231" s="862"/>
      <c r="K231" s="862"/>
      <c r="L231" s="863">
        <f>'6. HC (GC)'!E21</f>
        <v>0</v>
      </c>
      <c r="M231" s="862"/>
      <c r="N231" s="862"/>
      <c r="O231" s="863">
        <f>'6. HC (GC)'!R21</f>
        <v>0</v>
      </c>
      <c r="P231" s="862"/>
      <c r="Q231" s="862"/>
      <c r="R231" s="862"/>
      <c r="S231" s="862"/>
      <c r="T231" s="862"/>
      <c r="U231" s="862"/>
      <c r="V231" s="862"/>
      <c r="W231" s="863">
        <f>'6. HC (GC)'!F21</f>
        <v>0</v>
      </c>
      <c r="X231" s="863">
        <f>'6. HC (GC)'!G21</f>
        <v>0</v>
      </c>
      <c r="Y231" s="863">
        <f>'6. HC (GC)'!H21</f>
        <v>0</v>
      </c>
      <c r="Z231" s="863">
        <f>'6. HC (GC)'!I21</f>
        <v>0</v>
      </c>
      <c r="AA231" s="863">
        <f>'6. HC (GC)'!J21</f>
        <v>0</v>
      </c>
      <c r="AB231" s="863">
        <f>'6. HC (GC)'!K21</f>
        <v>0</v>
      </c>
      <c r="AC231" s="863">
        <f>'6. HC (GC)'!L21</f>
        <v>0</v>
      </c>
      <c r="AD231" s="863">
        <f>'6. HC (GC)'!M21</f>
        <v>0</v>
      </c>
      <c r="AE231" s="863">
        <f>'6. HC (GC)'!N21</f>
        <v>0</v>
      </c>
      <c r="AF231" s="863">
        <f>'6. HC (GC)'!O21</f>
        <v>0</v>
      </c>
      <c r="AG231" s="863">
        <f>'6. HC (GC)'!P21</f>
        <v>0</v>
      </c>
      <c r="AH231" s="863">
        <f>'6. HC (GC)'!Q21</f>
        <v>0</v>
      </c>
      <c r="AI231" s="862"/>
      <c r="AJ231" s="862"/>
      <c r="AK231" s="862"/>
      <c r="AL231" s="862"/>
      <c r="AM231" s="862"/>
      <c r="AN231" s="862"/>
      <c r="AO231" s="861" t="str">
        <f>'6. HC (GC)'!U21</f>
        <v/>
      </c>
      <c r="AP231" s="861">
        <v>201</v>
      </c>
      <c r="AQ231" s="861" t="str">
        <f>Settings!$A$1</f>
        <v>V2</v>
      </c>
    </row>
    <row r="232" spans="1:43" s="861" customFormat="1">
      <c r="A232" s="861">
        <f>'Input-FX Rates'!$C$4</f>
        <v>242</v>
      </c>
      <c r="B232" s="861" t="str">
        <f>'Input-FX Rates'!$B$4</f>
        <v>ICH Icheon (242)</v>
      </c>
      <c r="C232" s="861">
        <f>'Input-FX Rates'!$C$6</f>
        <v>780</v>
      </c>
      <c r="D232" s="861" t="str">
        <f>'Input-FX Rates'!$B$6</f>
        <v>780 BU Controls</v>
      </c>
      <c r="E232" s="861" t="str">
        <f>'Input-FX Rates'!$C$5</f>
        <v>7821 &amp; 7822</v>
      </c>
      <c r="F232" s="861" t="str">
        <f>'Input-FX Rates'!$B$5</f>
        <v>7821 PL Drivetrain Controls (&amp; Electrification)</v>
      </c>
      <c r="G232" s="861" t="s">
        <v>1486</v>
      </c>
      <c r="H232" s="861" t="s">
        <v>1520</v>
      </c>
      <c r="I232" s="862"/>
      <c r="J232" s="862"/>
      <c r="K232" s="862"/>
      <c r="L232" s="863">
        <f>'6. HC (GC)'!E22</f>
        <v>22</v>
      </c>
      <c r="M232" s="862"/>
      <c r="N232" s="862"/>
      <c r="O232" s="863">
        <f>'6. HC (GC)'!R22</f>
        <v>21</v>
      </c>
      <c r="P232" s="862"/>
      <c r="Q232" s="862"/>
      <c r="R232" s="862"/>
      <c r="S232" s="862"/>
      <c r="T232" s="862"/>
      <c r="U232" s="862"/>
      <c r="V232" s="862"/>
      <c r="W232" s="863">
        <f>'6. HC (GC)'!F22</f>
        <v>0</v>
      </c>
      <c r="X232" s="863">
        <f>'6. HC (GC)'!G22</f>
        <v>0</v>
      </c>
      <c r="Y232" s="863">
        <f>'6. HC (GC)'!H22</f>
        <v>0</v>
      </c>
      <c r="Z232" s="863">
        <f>'6. HC (GC)'!I22</f>
        <v>0</v>
      </c>
      <c r="AA232" s="863">
        <f>'6. HC (GC)'!J22</f>
        <v>0</v>
      </c>
      <c r="AB232" s="863">
        <f>'6. HC (GC)'!K22</f>
        <v>0</v>
      </c>
      <c r="AC232" s="863">
        <f>'6. HC (GC)'!L22</f>
        <v>0</v>
      </c>
      <c r="AD232" s="863">
        <f>'6. HC (GC)'!M22</f>
        <v>0</v>
      </c>
      <c r="AE232" s="863">
        <f>'6. HC (GC)'!N22</f>
        <v>0</v>
      </c>
      <c r="AF232" s="863">
        <f>'6. HC (GC)'!O22</f>
        <v>0</v>
      </c>
      <c r="AG232" s="863">
        <f>'6. HC (GC)'!P22</f>
        <v>0</v>
      </c>
      <c r="AH232" s="863">
        <f>'6. HC (GC)'!Q22</f>
        <v>21</v>
      </c>
      <c r="AI232" s="862"/>
      <c r="AJ232" s="862"/>
      <c r="AK232" s="862"/>
      <c r="AL232" s="862"/>
      <c r="AM232" s="862"/>
      <c r="AN232" s="862"/>
      <c r="AO232" s="861" t="str">
        <f>'6. HC (GC)'!U22</f>
        <v/>
      </c>
      <c r="AP232" s="861">
        <v>1201</v>
      </c>
      <c r="AQ232" s="861" t="str">
        <f>Settings!$A$1</f>
        <v>V2</v>
      </c>
    </row>
    <row r="233" spans="1:43">
      <c r="A233" s="451">
        <f>'Input-FX Rates'!$C$4</f>
        <v>242</v>
      </c>
      <c r="B233" s="451" t="str">
        <f>'Input-FX Rates'!$B$4</f>
        <v>ICH Icheon (242)</v>
      </c>
      <c r="C233" s="451">
        <f>'Input-FX Rates'!$C$6</f>
        <v>780</v>
      </c>
      <c r="D233" s="451" t="str">
        <f>'Input-FX Rates'!$B$6</f>
        <v>780 BU Controls</v>
      </c>
      <c r="E233" s="451" t="str">
        <f>'Input-FX Rates'!$C$5</f>
        <v>7821 &amp; 7822</v>
      </c>
      <c r="F233" s="451" t="str">
        <f>'Input-FX Rates'!$B$5</f>
        <v>7821 PL Drivetrain Controls (&amp; Electrification)</v>
      </c>
      <c r="G233" s="451" t="s">
        <v>1486</v>
      </c>
      <c r="H233" s="451" t="s">
        <v>1521</v>
      </c>
      <c r="I233" s="535"/>
      <c r="J233" s="535"/>
      <c r="K233" s="535"/>
      <c r="L233" s="536">
        <f>'6. HC (GC)'!E24</f>
        <v>52.5</v>
      </c>
      <c r="M233" s="535"/>
      <c r="N233" s="535"/>
      <c r="O233" s="536">
        <f>'6. HC (GC)'!R24</f>
        <v>52</v>
      </c>
      <c r="P233" s="535"/>
      <c r="Q233" s="535"/>
      <c r="R233" s="535"/>
      <c r="S233" s="535"/>
      <c r="T233" s="535"/>
      <c r="U233" s="535"/>
      <c r="V233" s="535"/>
      <c r="W233" s="535"/>
      <c r="X233" s="535"/>
      <c r="Y233" s="535"/>
      <c r="Z233" s="535"/>
      <c r="AA233" s="535"/>
      <c r="AB233" s="535"/>
      <c r="AC233" s="535"/>
      <c r="AD233" s="535"/>
      <c r="AE233" s="535"/>
      <c r="AF233" s="535"/>
      <c r="AG233" s="535"/>
      <c r="AH233" s="535"/>
      <c r="AI233" s="535"/>
      <c r="AJ233" s="535"/>
      <c r="AK233" s="535"/>
      <c r="AL233" s="535"/>
      <c r="AM233" s="535"/>
      <c r="AN233" s="535"/>
      <c r="AO233" s="451" t="str">
        <f>'6. HC (GC)'!U24</f>
        <v/>
      </c>
      <c r="AP233" s="451">
        <v>202</v>
      </c>
      <c r="AQ233" s="451" t="str">
        <f>Settings!$A$1</f>
        <v>V2</v>
      </c>
    </row>
    <row r="234" spans="1:43">
      <c r="A234" s="451">
        <f>'Input-FX Rates'!$C$4</f>
        <v>242</v>
      </c>
      <c r="B234" s="451" t="str">
        <f>'Input-FX Rates'!$B$4</f>
        <v>ICH Icheon (242)</v>
      </c>
      <c r="C234" s="451">
        <f>'Input-FX Rates'!$C$6</f>
        <v>780</v>
      </c>
      <c r="D234" s="451" t="str">
        <f>'Input-FX Rates'!$B$6</f>
        <v>780 BU Controls</v>
      </c>
      <c r="E234" s="451" t="str">
        <f>'Input-FX Rates'!$C$5</f>
        <v>7821 &amp; 7822</v>
      </c>
      <c r="F234" s="451" t="str">
        <f>'Input-FX Rates'!$B$5</f>
        <v>7821 PL Drivetrain Controls (&amp; Electrification)</v>
      </c>
      <c r="G234" s="451" t="s">
        <v>1486</v>
      </c>
      <c r="H234" s="451" t="s">
        <v>1522</v>
      </c>
      <c r="I234" s="535"/>
      <c r="J234" s="535"/>
      <c r="K234" s="535"/>
      <c r="L234" s="536">
        <f>'6. HC (GC)'!E25</f>
        <v>22</v>
      </c>
      <c r="M234" s="535"/>
      <c r="N234" s="535"/>
      <c r="O234" s="536">
        <f>'6. HC (GC)'!R25</f>
        <v>21</v>
      </c>
      <c r="P234" s="535"/>
      <c r="Q234" s="535"/>
      <c r="R234" s="535"/>
      <c r="S234" s="535"/>
      <c r="T234" s="535"/>
      <c r="U234" s="535"/>
      <c r="V234" s="535"/>
      <c r="W234" s="535"/>
      <c r="X234" s="535"/>
      <c r="Y234" s="535"/>
      <c r="Z234" s="535"/>
      <c r="AA234" s="535"/>
      <c r="AB234" s="535"/>
      <c r="AC234" s="535"/>
      <c r="AD234" s="535"/>
      <c r="AE234" s="535"/>
      <c r="AF234" s="535"/>
      <c r="AG234" s="535"/>
      <c r="AH234" s="535"/>
      <c r="AI234" s="535"/>
      <c r="AJ234" s="535"/>
      <c r="AK234" s="535"/>
      <c r="AL234" s="535"/>
      <c r="AM234" s="535"/>
      <c r="AN234" s="535"/>
      <c r="AO234" s="451" t="str">
        <f>'6. HC (GC)'!U25</f>
        <v/>
      </c>
      <c r="AP234" s="451">
        <v>203</v>
      </c>
      <c r="AQ234" s="451" t="str">
        <f>Settings!$A$1</f>
        <v>V2</v>
      </c>
    </row>
    <row r="235" spans="1:43">
      <c r="A235" s="451">
        <f>'Input-FX Rates'!$C$4</f>
        <v>242</v>
      </c>
      <c r="B235" s="451" t="str">
        <f>'Input-FX Rates'!$B$4</f>
        <v>ICH Icheon (242)</v>
      </c>
      <c r="C235" s="451">
        <f>'Input-FX Rates'!$C$6</f>
        <v>780</v>
      </c>
      <c r="D235" s="451" t="str">
        <f>'Input-FX Rates'!$B$6</f>
        <v>780 BU Controls</v>
      </c>
      <c r="E235" s="451" t="str">
        <f>'Input-FX Rates'!$C$5</f>
        <v>7821 &amp; 7822</v>
      </c>
      <c r="F235" s="451" t="str">
        <f>'Input-FX Rates'!$B$5</f>
        <v>7821 PL Drivetrain Controls (&amp; Electrification)</v>
      </c>
      <c r="G235" s="451" t="s">
        <v>1486</v>
      </c>
      <c r="H235" s="451" t="s">
        <v>647</v>
      </c>
      <c r="I235" s="535"/>
      <c r="J235" s="535"/>
      <c r="K235" s="535"/>
      <c r="L235" s="536">
        <f>'6. HC (GC)'!E29</f>
        <v>47.549512953855718</v>
      </c>
      <c r="M235" s="535"/>
      <c r="N235" s="535"/>
      <c r="O235" s="536">
        <f>'6. HC (GC)'!R29</f>
        <v>47.813206896551719</v>
      </c>
      <c r="P235" s="535"/>
      <c r="Q235" s="535"/>
      <c r="R235" s="535"/>
      <c r="S235" s="535"/>
      <c r="T235" s="535"/>
      <c r="U235" s="535"/>
      <c r="V235" s="535"/>
      <c r="W235" s="535"/>
      <c r="X235" s="535"/>
      <c r="Y235" s="535"/>
      <c r="Z235" s="535"/>
      <c r="AA235" s="535"/>
      <c r="AB235" s="535"/>
      <c r="AC235" s="535"/>
      <c r="AD235" s="535"/>
      <c r="AE235" s="535"/>
      <c r="AF235" s="535"/>
      <c r="AG235" s="535"/>
      <c r="AH235" s="535"/>
      <c r="AI235" s="535"/>
      <c r="AJ235" s="535"/>
      <c r="AK235" s="535"/>
      <c r="AL235" s="535"/>
      <c r="AM235" s="535"/>
      <c r="AN235" s="535"/>
      <c r="AO235" s="451" t="str">
        <f>'6. HC (GC)'!U29</f>
        <v>Plant total figure, E01-297(around 4.6K EUR) posted under fix cost area not variable(employee benefit program, present for employee, medical exam, sick and health care, shuttle bus)</v>
      </c>
      <c r="AP235" s="451">
        <v>204</v>
      </c>
      <c r="AQ235" s="451" t="str">
        <f>Settings!$A$1</f>
        <v>V2</v>
      </c>
    </row>
    <row r="236" spans="1:43">
      <c r="A236" s="451">
        <f>'Input-FX Rates'!$C$4</f>
        <v>242</v>
      </c>
      <c r="B236" s="451" t="str">
        <f>'Input-FX Rates'!$B$4</f>
        <v>ICH Icheon (242)</v>
      </c>
      <c r="C236" s="451">
        <f>'Input-FX Rates'!$C$6</f>
        <v>780</v>
      </c>
      <c r="D236" s="451" t="str">
        <f>'Input-FX Rates'!$B$6</f>
        <v>780 BU Controls</v>
      </c>
      <c r="E236" s="451" t="str">
        <f>'Input-FX Rates'!$C$5</f>
        <v>7821 &amp; 7822</v>
      </c>
      <c r="F236" s="451" t="str">
        <f>'Input-FX Rates'!$B$5</f>
        <v>7821 PL Drivetrain Controls (&amp; Electrification)</v>
      </c>
      <c r="G236" s="451" t="s">
        <v>1486</v>
      </c>
      <c r="H236" s="451" t="s">
        <v>650</v>
      </c>
      <c r="I236" s="535"/>
      <c r="J236" s="535"/>
      <c r="K236" s="535"/>
      <c r="L236" s="536">
        <f>'6. HC (GC)'!E30</f>
        <v>64.420636456393837</v>
      </c>
      <c r="M236" s="535"/>
      <c r="N236" s="535"/>
      <c r="O236" s="536">
        <f>'6. HC (GC)'!R30</f>
        <v>64.792453793103448</v>
      </c>
      <c r="P236" s="535"/>
      <c r="Q236" s="535"/>
      <c r="R236" s="535"/>
      <c r="S236" s="535"/>
      <c r="T236" s="535"/>
      <c r="U236" s="535"/>
      <c r="V236" s="535"/>
      <c r="W236" s="535"/>
      <c r="X236" s="535"/>
      <c r="Y236" s="535"/>
      <c r="Z236" s="535"/>
      <c r="AA236" s="535"/>
      <c r="AB236" s="535"/>
      <c r="AC236" s="535"/>
      <c r="AD236" s="535"/>
      <c r="AE236" s="535"/>
      <c r="AF236" s="535"/>
      <c r="AG236" s="535"/>
      <c r="AH236" s="535"/>
      <c r="AI236" s="535"/>
      <c r="AJ236" s="535"/>
      <c r="AK236" s="535"/>
      <c r="AL236" s="535"/>
      <c r="AM236" s="535"/>
      <c r="AN236" s="535"/>
      <c r="AO236" s="451" t="str">
        <f>'6. HC (GC)'!U30</f>
        <v>Plant total figure, E01-297(around 4.6K EUR) posted under fix cost area not variable(employee benefit program, present for employee, medical exam, sick and health care, shuttle bus)</v>
      </c>
      <c r="AP236" s="451">
        <v>205</v>
      </c>
      <c r="AQ236" s="451" t="str">
        <f>Settings!$A$1</f>
        <v>V2</v>
      </c>
    </row>
    <row r="237" spans="1:43">
      <c r="A237" s="451">
        <f>'Input-FX Rates'!$C$4</f>
        <v>242</v>
      </c>
      <c r="B237" s="451" t="str">
        <f>'Input-FX Rates'!$B$4</f>
        <v>ICH Icheon (242)</v>
      </c>
      <c r="C237" s="451">
        <f>'Input-FX Rates'!$C$6</f>
        <v>780</v>
      </c>
      <c r="D237" s="451" t="str">
        <f>'Input-FX Rates'!$B$6</f>
        <v>780 BU Controls</v>
      </c>
      <c r="E237" s="451" t="str">
        <f>'Input-FX Rates'!$C$5</f>
        <v>7821 &amp; 7822</v>
      </c>
      <c r="F237" s="451" t="str">
        <f>'Input-FX Rates'!$B$5</f>
        <v>7821 PL Drivetrain Controls (&amp; Electrification)</v>
      </c>
      <c r="G237" s="451" t="s">
        <v>1486</v>
      </c>
      <c r="H237" s="451" t="s">
        <v>1523</v>
      </c>
      <c r="I237" s="535"/>
      <c r="J237" s="535"/>
      <c r="K237" s="535"/>
      <c r="L237" s="536">
        <f>'6. HC (GC)'!E31</f>
        <v>94.19406831530722</v>
      </c>
      <c r="M237" s="535"/>
      <c r="N237" s="535"/>
      <c r="O237" s="536">
        <f>'6. HC (GC)'!R31</f>
        <v>95.113240689655171</v>
      </c>
      <c r="P237" s="535"/>
      <c r="Q237" s="535"/>
      <c r="R237" s="535"/>
      <c r="S237" s="535"/>
      <c r="T237" s="535"/>
      <c r="U237" s="535"/>
      <c r="V237" s="535"/>
      <c r="W237" s="535"/>
      <c r="X237" s="535"/>
      <c r="Y237" s="535"/>
      <c r="Z237" s="535"/>
      <c r="AA237" s="535"/>
      <c r="AB237" s="535"/>
      <c r="AC237" s="535"/>
      <c r="AD237" s="535"/>
      <c r="AE237" s="535"/>
      <c r="AF237" s="535"/>
      <c r="AG237" s="535"/>
      <c r="AH237" s="535"/>
      <c r="AI237" s="535"/>
      <c r="AJ237" s="535"/>
      <c r="AK237" s="535"/>
      <c r="AL237" s="535"/>
      <c r="AM237" s="535"/>
      <c r="AN237" s="535"/>
      <c r="AO237" s="451" t="str">
        <f>'6. HC (GC)'!U31</f>
        <v>Plant total figure</v>
      </c>
      <c r="AP237" s="451">
        <v>206</v>
      </c>
      <c r="AQ237" s="451" t="str">
        <f>Settings!$A$1</f>
        <v>V2</v>
      </c>
    </row>
    <row r="238" spans="1:43">
      <c r="A238" s="451">
        <f>'Input-FX Rates'!$C$4</f>
        <v>242</v>
      </c>
      <c r="B238" s="451" t="str">
        <f>'Input-FX Rates'!$B$4</f>
        <v>ICH Icheon (242)</v>
      </c>
      <c r="C238" s="451">
        <f>'Input-FX Rates'!$C$6</f>
        <v>780</v>
      </c>
      <c r="D238" s="451" t="str">
        <f>'Input-FX Rates'!$B$6</f>
        <v>780 BU Controls</v>
      </c>
      <c r="E238" s="451" t="str">
        <f>'Input-FX Rates'!$C$5</f>
        <v>7821 &amp; 7822</v>
      </c>
      <c r="F238" s="451" t="str">
        <f>'Input-FX Rates'!$B$5</f>
        <v>7821 PL Drivetrain Controls (&amp; Electrification)</v>
      </c>
      <c r="G238" s="451" t="s">
        <v>1486</v>
      </c>
      <c r="H238" s="451" t="s">
        <v>655</v>
      </c>
      <c r="I238" s="535"/>
      <c r="J238" s="535"/>
      <c r="K238" s="535"/>
      <c r="L238" s="535"/>
      <c r="M238" s="535"/>
      <c r="N238" s="535"/>
      <c r="O238" s="536">
        <f>'6. HC (GC)'!R32</f>
        <v>97223</v>
      </c>
      <c r="P238" s="535"/>
      <c r="Q238" s="535"/>
      <c r="R238" s="535"/>
      <c r="S238" s="535"/>
      <c r="T238" s="535"/>
      <c r="U238" s="535"/>
      <c r="V238" s="535"/>
      <c r="W238" s="535"/>
      <c r="X238" s="535"/>
      <c r="Y238" s="535"/>
      <c r="Z238" s="535"/>
      <c r="AA238" s="535"/>
      <c r="AB238" s="535"/>
      <c r="AC238" s="535"/>
      <c r="AD238" s="535"/>
      <c r="AE238" s="535"/>
      <c r="AF238" s="535"/>
      <c r="AG238" s="535"/>
      <c r="AH238" s="535"/>
      <c r="AI238" s="535"/>
      <c r="AJ238" s="535"/>
      <c r="AK238" s="535"/>
      <c r="AL238" s="535"/>
      <c r="AM238" s="535"/>
      <c r="AN238" s="535"/>
      <c r="AO238" s="451" t="str">
        <f>'6. HC (GC)'!U32</f>
        <v>Include overtime</v>
      </c>
      <c r="AP238" s="451">
        <v>1206</v>
      </c>
      <c r="AQ238" s="451" t="str">
        <f>Settings!$A$1</f>
        <v>V2</v>
      </c>
    </row>
    <row r="239" spans="1:43">
      <c r="A239" s="451">
        <f>'Input-FX Rates'!$C$4</f>
        <v>242</v>
      </c>
      <c r="B239" s="451" t="str">
        <f>'Input-FX Rates'!$B$4</f>
        <v>ICH Icheon (242)</v>
      </c>
      <c r="C239" s="451">
        <f>'Input-FX Rates'!$C$6</f>
        <v>780</v>
      </c>
      <c r="D239" s="451" t="str">
        <f>'Input-FX Rates'!$B$6</f>
        <v>780 BU Controls</v>
      </c>
      <c r="E239" s="451" t="str">
        <f>'Input-FX Rates'!$C$5</f>
        <v>7821 &amp; 7822</v>
      </c>
      <c r="F239" s="451" t="str">
        <f>'Input-FX Rates'!$B$5</f>
        <v>7821 PL Drivetrain Controls (&amp; Electrification)</v>
      </c>
      <c r="G239" s="451" t="s">
        <v>1486</v>
      </c>
      <c r="H239" s="451" t="s">
        <v>658</v>
      </c>
      <c r="I239" s="535"/>
      <c r="J239" s="535"/>
      <c r="K239" s="535"/>
      <c r="L239" s="535"/>
      <c r="M239" s="535"/>
      <c r="N239" s="535"/>
      <c r="O239" s="536">
        <f>'6. HC (GC)'!R33</f>
        <v>8620656</v>
      </c>
      <c r="P239" s="535"/>
      <c r="Q239" s="535"/>
      <c r="R239" s="535"/>
      <c r="S239" s="535"/>
      <c r="T239" s="535"/>
      <c r="U239" s="535"/>
      <c r="V239" s="535"/>
      <c r="W239" s="535"/>
      <c r="X239" s="535"/>
      <c r="Y239" s="535"/>
      <c r="Z239" s="535"/>
      <c r="AA239" s="535"/>
      <c r="AB239" s="535"/>
      <c r="AC239" s="535"/>
      <c r="AD239" s="535"/>
      <c r="AE239" s="535"/>
      <c r="AF239" s="535"/>
      <c r="AG239" s="535"/>
      <c r="AH239" s="535"/>
      <c r="AI239" s="535"/>
      <c r="AJ239" s="535"/>
      <c r="AK239" s="535"/>
      <c r="AL239" s="535"/>
      <c r="AM239" s="535"/>
      <c r="AN239" s="535"/>
      <c r="AO239" s="451" t="str">
        <f>'6. HC (GC)'!U33</f>
        <v/>
      </c>
      <c r="AP239" s="451">
        <v>1207</v>
      </c>
      <c r="AQ239" s="451" t="str">
        <f>Settings!$A$1</f>
        <v>V2</v>
      </c>
    </row>
    <row r="240" spans="1:43" s="861" customFormat="1">
      <c r="A240" s="861">
        <f>'Input-FX Rates'!$C$4</f>
        <v>242</v>
      </c>
      <c r="B240" s="861" t="str">
        <f>'Input-FX Rates'!$B$4</f>
        <v>ICH Icheon (242)</v>
      </c>
      <c r="C240" s="861">
        <f>'Input-FX Rates'!$C$6</f>
        <v>780</v>
      </c>
      <c r="D240" s="861" t="str">
        <f>'Input-FX Rates'!$B$6</f>
        <v>780 BU Controls</v>
      </c>
      <c r="E240" s="861" t="str">
        <f>'Input-FX Rates'!$C$5</f>
        <v>7821 &amp; 7822</v>
      </c>
      <c r="F240" s="861" t="str">
        <f>'Input-FX Rates'!$B$5</f>
        <v>7821 PL Drivetrain Controls (&amp; Electrification)</v>
      </c>
      <c r="G240" s="861" t="s">
        <v>1486</v>
      </c>
      <c r="H240" s="861" t="s">
        <v>664</v>
      </c>
      <c r="I240" s="862"/>
      <c r="J240" s="862"/>
      <c r="K240" s="862"/>
      <c r="L240" s="862"/>
      <c r="M240" s="862"/>
      <c r="N240" s="862"/>
      <c r="O240" s="863">
        <f>'6. HC (GC)'!Q36</f>
        <v>3.7499999999999999E-2</v>
      </c>
      <c r="P240" s="862"/>
      <c r="Q240" s="862"/>
      <c r="R240" s="862"/>
      <c r="S240" s="862"/>
      <c r="T240" s="862"/>
      <c r="U240" s="862"/>
      <c r="V240" s="862"/>
      <c r="W240" s="862"/>
      <c r="X240" s="862"/>
      <c r="Y240" s="862"/>
      <c r="Z240" s="862"/>
      <c r="AA240" s="862"/>
      <c r="AB240" s="862"/>
      <c r="AC240" s="862"/>
      <c r="AD240" s="862"/>
      <c r="AE240" s="862"/>
      <c r="AF240" s="862"/>
      <c r="AG240" s="862"/>
      <c r="AH240" s="863">
        <f>'6. HC (GC)'!R36</f>
        <v>3.7499999999999999E-2</v>
      </c>
      <c r="AI240" s="862"/>
      <c r="AJ240" s="862"/>
      <c r="AK240" s="862"/>
      <c r="AL240" s="862"/>
      <c r="AM240" s="862"/>
      <c r="AN240" s="862"/>
      <c r="AO240" s="861" t="str">
        <f>'6. HC (GC)'!U36</f>
        <v/>
      </c>
      <c r="AP240" s="861">
        <v>207</v>
      </c>
      <c r="AQ240" s="861" t="str">
        <f>Settings!$A$1</f>
        <v>V2</v>
      </c>
    </row>
    <row r="241" spans="1:43" s="861" customFormat="1">
      <c r="A241" s="861">
        <f>'Input-FX Rates'!$C$4</f>
        <v>242</v>
      </c>
      <c r="B241" s="861" t="str">
        <f>'Input-FX Rates'!$B$4</f>
        <v>ICH Icheon (242)</v>
      </c>
      <c r="C241" s="861">
        <f>'Input-FX Rates'!$C$6</f>
        <v>780</v>
      </c>
      <c r="D241" s="861" t="str">
        <f>'Input-FX Rates'!$B$6</f>
        <v>780 BU Controls</v>
      </c>
      <c r="E241" s="861" t="str">
        <f>'Input-FX Rates'!$C$5</f>
        <v>7821 &amp; 7822</v>
      </c>
      <c r="F241" s="861" t="str">
        <f>'Input-FX Rates'!$B$5</f>
        <v>7821 PL Drivetrain Controls (&amp; Electrification)</v>
      </c>
      <c r="G241" s="861" t="s">
        <v>1486</v>
      </c>
      <c r="H241" s="861" t="s">
        <v>667</v>
      </c>
      <c r="I241" s="862"/>
      <c r="J241" s="862"/>
      <c r="K241" s="862"/>
      <c r="L241" s="862"/>
      <c r="M241" s="862"/>
      <c r="N241" s="862"/>
      <c r="O241" s="863">
        <f>'6. HC (GC)'!Q37</f>
        <v>4.1300000000000003E-2</v>
      </c>
      <c r="P241" s="862"/>
      <c r="Q241" s="862"/>
      <c r="R241" s="862"/>
      <c r="S241" s="862"/>
      <c r="T241" s="862"/>
      <c r="U241" s="862"/>
      <c r="V241" s="862"/>
      <c r="W241" s="862"/>
      <c r="X241" s="862"/>
      <c r="Y241" s="862"/>
      <c r="Z241" s="862"/>
      <c r="AA241" s="862"/>
      <c r="AB241" s="862"/>
      <c r="AC241" s="862"/>
      <c r="AD241" s="862"/>
      <c r="AE241" s="862"/>
      <c r="AF241" s="862"/>
      <c r="AG241" s="862"/>
      <c r="AH241" s="863">
        <f>'6. HC (GC)'!R37</f>
        <v>4.1300000000000003E-2</v>
      </c>
      <c r="AI241" s="862"/>
      <c r="AJ241" s="862"/>
      <c r="AK241" s="862"/>
      <c r="AL241" s="862"/>
      <c r="AM241" s="862"/>
      <c r="AN241" s="862"/>
      <c r="AO241" s="861" t="str">
        <f>'6. HC (GC)'!U37</f>
        <v/>
      </c>
      <c r="AP241" s="861">
        <v>208</v>
      </c>
      <c r="AQ241" s="861" t="str">
        <f>Settings!$A$1</f>
        <v>V2</v>
      </c>
    </row>
    <row r="242" spans="1:43" s="861" customFormat="1">
      <c r="A242" s="861">
        <f>'Input-FX Rates'!$C$4</f>
        <v>242</v>
      </c>
      <c r="B242" s="861" t="str">
        <f>'Input-FX Rates'!$B$4</f>
        <v>ICH Icheon (242)</v>
      </c>
      <c r="C242" s="861">
        <f>'Input-FX Rates'!$C$6</f>
        <v>780</v>
      </c>
      <c r="D242" s="861" t="str">
        <f>'Input-FX Rates'!$B$6</f>
        <v>780 BU Controls</v>
      </c>
      <c r="E242" s="861" t="str">
        <f>'Input-FX Rates'!$C$5</f>
        <v>7821 &amp; 7822</v>
      </c>
      <c r="F242" s="861" t="str">
        <f>'Input-FX Rates'!$B$5</f>
        <v>7821 PL Drivetrain Controls (&amp; Electrification)</v>
      </c>
      <c r="G242" s="861" t="s">
        <v>1486</v>
      </c>
      <c r="H242" s="861" t="s">
        <v>668</v>
      </c>
      <c r="I242" s="862"/>
      <c r="J242" s="862"/>
      <c r="K242" s="862"/>
      <c r="L242" s="862"/>
      <c r="M242" s="862"/>
      <c r="N242" s="862"/>
      <c r="O242" s="863">
        <f>'6. HC (GC)'!Q38</f>
        <v>76.562279451599608</v>
      </c>
      <c r="P242" s="862"/>
      <c r="Q242" s="862"/>
      <c r="R242" s="862"/>
      <c r="S242" s="862"/>
      <c r="T242" s="862"/>
      <c r="U242" s="862"/>
      <c r="V242" s="862"/>
      <c r="W242" s="862"/>
      <c r="X242" s="862"/>
      <c r="Y242" s="862"/>
      <c r="Z242" s="862"/>
      <c r="AA242" s="862"/>
      <c r="AB242" s="862"/>
      <c r="AC242" s="862"/>
      <c r="AD242" s="862"/>
      <c r="AE242" s="862"/>
      <c r="AF242" s="862"/>
      <c r="AG242" s="862"/>
      <c r="AH242" s="863">
        <f>'6. HC (GC)'!R38</f>
        <v>76.562279451599608</v>
      </c>
      <c r="AI242" s="862"/>
      <c r="AJ242" s="862"/>
      <c r="AK242" s="862"/>
      <c r="AL242" s="862"/>
      <c r="AM242" s="862"/>
      <c r="AN242" s="862"/>
      <c r="AO242" s="861" t="str">
        <f>'6. HC (GC)'!U38</f>
        <v/>
      </c>
      <c r="AP242" s="861">
        <v>1208</v>
      </c>
      <c r="AQ242" s="861" t="str">
        <f>Settings!$A$1</f>
        <v>V2</v>
      </c>
    </row>
    <row r="243" spans="1:43" s="864" customFormat="1">
      <c r="A243" s="864">
        <f>'Input-FX Rates'!$C$4</f>
        <v>242</v>
      </c>
      <c r="B243" s="864" t="str">
        <f>'Input-FX Rates'!$B$4</f>
        <v>ICH Icheon (242)</v>
      </c>
      <c r="C243" s="864">
        <f>'Input-FX Rates'!$C$6</f>
        <v>780</v>
      </c>
      <c r="D243" s="864" t="str">
        <f>'Input-FX Rates'!$B$6</f>
        <v>780 BU Controls</v>
      </c>
      <c r="E243" s="864" t="str">
        <f>'Input-FX Rates'!$C$5</f>
        <v>7821 &amp; 7822</v>
      </c>
      <c r="F243" s="864" t="str">
        <f>'Input-FX Rates'!$B$5</f>
        <v>7821 PL Drivetrain Controls (&amp; Electrification)</v>
      </c>
      <c r="G243" s="864" t="s">
        <v>1486</v>
      </c>
      <c r="H243" s="864" t="s">
        <v>670</v>
      </c>
      <c r="I243" s="865"/>
      <c r="J243" s="865"/>
      <c r="K243" s="865"/>
      <c r="L243" s="865"/>
      <c r="M243" s="865"/>
      <c r="N243" s="865"/>
      <c r="O243" s="866">
        <f>'6. HC (GC)'!Q39</f>
        <v>16.903650367677066</v>
      </c>
      <c r="P243" s="865"/>
      <c r="Q243" s="865"/>
      <c r="R243" s="865"/>
      <c r="S243" s="865"/>
      <c r="T243" s="865"/>
      <c r="U243" s="865"/>
      <c r="V243" s="865"/>
      <c r="W243" s="865"/>
      <c r="X243" s="865"/>
      <c r="Y243" s="865"/>
      <c r="Z243" s="865"/>
      <c r="AA243" s="865"/>
      <c r="AB243" s="865"/>
      <c r="AC243" s="865"/>
      <c r="AD243" s="865"/>
      <c r="AE243" s="865"/>
      <c r="AF243" s="865"/>
      <c r="AG243" s="865"/>
      <c r="AH243" s="866">
        <f>'6. HC (GC)'!R39</f>
        <v>16.903650367677066</v>
      </c>
      <c r="AI243" s="865"/>
      <c r="AJ243" s="865"/>
      <c r="AK243" s="865"/>
      <c r="AL243" s="865"/>
      <c r="AM243" s="865"/>
      <c r="AN243" s="865"/>
      <c r="AO243" s="864" t="str">
        <f>'6. HC (GC)'!U39</f>
        <v/>
      </c>
      <c r="AP243" s="864">
        <v>209</v>
      </c>
      <c r="AQ243" s="864" t="str">
        <f>Settings!$A$1</f>
        <v>V2</v>
      </c>
    </row>
    <row r="244" spans="1:43">
      <c r="A244" s="451">
        <f>'Input-FX Rates'!$C$4</f>
        <v>242</v>
      </c>
      <c r="B244" s="451" t="str">
        <f>'Input-FX Rates'!$B$4</f>
        <v>ICH Icheon (242)</v>
      </c>
      <c r="C244" s="451">
        <f>'Input-FX Rates'!$C$6</f>
        <v>780</v>
      </c>
      <c r="D244" s="451" t="str">
        <f>'Input-FX Rates'!$B$6</f>
        <v>780 BU Controls</v>
      </c>
      <c r="E244" s="451" t="str">
        <f>'Input-FX Rates'!$C$5</f>
        <v>7821 &amp; 7822</v>
      </c>
      <c r="F244" s="451" t="str">
        <f>'Input-FX Rates'!$B$5</f>
        <v>7821 PL Drivetrain Controls (&amp; Electrification)</v>
      </c>
      <c r="G244" s="451" t="s">
        <v>1524</v>
      </c>
      <c r="H244" s="451" t="s">
        <v>674</v>
      </c>
      <c r="I244" s="536">
        <f>'7. BS-Key Figures (GC)'!C8</f>
        <v>92567.501417387495</v>
      </c>
      <c r="J244" s="536">
        <f>'7. BS-Key Figures (GC)'!D8</f>
        <v>92006.318936042138</v>
      </c>
      <c r="K244" s="535"/>
      <c r="L244" s="536">
        <f>'7. BS-Key Figures (GC)'!E8</f>
        <v>100126.74994033898</v>
      </c>
      <c r="M244" s="535"/>
      <c r="N244" s="535"/>
      <c r="O244" s="536">
        <f>'7. BS-Key Figures (GC)'!S8</f>
        <v>87874.142590344825</v>
      </c>
      <c r="P244" s="536">
        <f>'7. BS-Key Figures (GC)'!R8</f>
        <v>0</v>
      </c>
      <c r="Q244" s="535"/>
      <c r="R244" s="535"/>
      <c r="S244" s="535"/>
      <c r="T244" s="535"/>
      <c r="U244" s="535"/>
      <c r="V244" s="535"/>
      <c r="W244" s="536">
        <f>'7. BS-Key Figures (GC)'!F8</f>
        <v>7674.4146827586201</v>
      </c>
      <c r="X244" s="536">
        <f>'7. BS-Key Figures (GC)'!G8</f>
        <v>7196.1305448275853</v>
      </c>
      <c r="Y244" s="536">
        <f>'7. BS-Key Figures (GC)'!H8</f>
        <v>8272.2698551724134</v>
      </c>
      <c r="Z244" s="536">
        <f>'7. BS-Key Figures (GC)'!I8</f>
        <v>8066.9064365517243</v>
      </c>
      <c r="AA244" s="536">
        <f>'7. BS-Key Figures (GC)'!J8</f>
        <v>7308.073884827586</v>
      </c>
      <c r="AB244" s="536">
        <f>'7. BS-Key Figures (GC)'!K8</f>
        <v>7308.073884827586</v>
      </c>
      <c r="AC244" s="536">
        <f>'7. BS-Key Figures (GC)'!L8</f>
        <v>7308.073884827586</v>
      </c>
      <c r="AD244" s="536">
        <f>'7. BS-Key Figures (GC)'!M8</f>
        <v>6710.218713103448</v>
      </c>
      <c r="AE244" s="536">
        <f>'7. BS-Key Figures (GC)'!N8</f>
        <v>6733.9015779310348</v>
      </c>
      <c r="AF244" s="536">
        <f>'7. BS-Key Figures (GC)'!O8</f>
        <v>6939.2649951724143</v>
      </c>
      <c r="AG244" s="536">
        <f>'7. BS-Key Figures (GC)'!P8</f>
        <v>7178.4070641379312</v>
      </c>
      <c r="AH244" s="536">
        <f>'7. BS-Key Figures (GC)'!Q8</f>
        <v>7178.4070662068962</v>
      </c>
      <c r="AI244" s="535"/>
      <c r="AJ244" s="535"/>
      <c r="AK244" s="535"/>
      <c r="AL244" s="535"/>
      <c r="AM244" s="535"/>
      <c r="AN244" s="535"/>
      <c r="AO244" s="451" t="str">
        <f>'7. BS-Key Figures (GC)'!U8</f>
        <v/>
      </c>
      <c r="AP244" s="451">
        <v>210</v>
      </c>
      <c r="AQ244" s="451" t="str">
        <f>Settings!$A$1</f>
        <v>V2</v>
      </c>
    </row>
    <row r="245" spans="1:43">
      <c r="A245" s="451">
        <f>'Input-FX Rates'!$C$4</f>
        <v>242</v>
      </c>
      <c r="B245" s="451" t="str">
        <f>'Input-FX Rates'!$B$4</f>
        <v>ICH Icheon (242)</v>
      </c>
      <c r="C245" s="451">
        <f>'Input-FX Rates'!$C$6</f>
        <v>780</v>
      </c>
      <c r="D245" s="451" t="str">
        <f>'Input-FX Rates'!$B$6</f>
        <v>780 BU Controls</v>
      </c>
      <c r="E245" s="451" t="str">
        <f>'Input-FX Rates'!$C$5</f>
        <v>7821 &amp; 7822</v>
      </c>
      <c r="F245" s="451" t="str">
        <f>'Input-FX Rates'!$B$5</f>
        <v>7821 PL Drivetrain Controls (&amp; Electrification)</v>
      </c>
      <c r="G245" s="451" t="s">
        <v>1524</v>
      </c>
      <c r="H245" s="451" t="s">
        <v>676</v>
      </c>
      <c r="I245" s="536">
        <f>'7. BS-Key Figures (GC)'!C9</f>
        <v>93582.280145464567</v>
      </c>
      <c r="J245" s="536">
        <f>'7. BS-Key Figures (GC)'!D9</f>
        <v>92006.318936042138</v>
      </c>
      <c r="K245" s="535"/>
      <c r="L245" s="536">
        <f>'7. BS-Key Figures (GC)'!E9</f>
        <v>100099.97034082138</v>
      </c>
      <c r="M245" s="535"/>
      <c r="N245" s="535"/>
      <c r="O245" s="536">
        <f>'7. BS-Key Figures (GC)'!S9</f>
        <v>87874.142590344825</v>
      </c>
      <c r="P245" s="535"/>
      <c r="Q245" s="535"/>
      <c r="R245" s="535"/>
      <c r="S245" s="535"/>
      <c r="T245" s="535"/>
      <c r="U245" s="535"/>
      <c r="V245" s="535"/>
      <c r="W245" s="536">
        <f>'7. BS-Key Figures (GC)'!F9</f>
        <v>7674.4146827586201</v>
      </c>
      <c r="X245" s="536">
        <f>'7. BS-Key Figures (GC)'!G9</f>
        <v>7196.1305448275853</v>
      </c>
      <c r="Y245" s="536">
        <f>'7. BS-Key Figures (GC)'!H9</f>
        <v>8272.2698551724134</v>
      </c>
      <c r="Z245" s="536">
        <f>'7. BS-Key Figures (GC)'!I9</f>
        <v>8066.9064365517243</v>
      </c>
      <c r="AA245" s="536">
        <f>'7. BS-Key Figures (GC)'!J9</f>
        <v>7308.073884827586</v>
      </c>
      <c r="AB245" s="536">
        <f>'7. BS-Key Figures (GC)'!K9</f>
        <v>7308.073884827586</v>
      </c>
      <c r="AC245" s="536">
        <f>'7. BS-Key Figures (GC)'!L9</f>
        <v>7308.073884827586</v>
      </c>
      <c r="AD245" s="536">
        <f>'7. BS-Key Figures (GC)'!M9</f>
        <v>6710.218713103448</v>
      </c>
      <c r="AE245" s="536">
        <f>'7. BS-Key Figures (GC)'!N9</f>
        <v>6733.9015779310348</v>
      </c>
      <c r="AF245" s="536">
        <f>'7. BS-Key Figures (GC)'!O9</f>
        <v>6939.2649951724143</v>
      </c>
      <c r="AG245" s="536">
        <f>'7. BS-Key Figures (GC)'!P9</f>
        <v>7178.4070641379312</v>
      </c>
      <c r="AH245" s="536">
        <f>'7. BS-Key Figures (GC)'!Q9</f>
        <v>7178.4070662068962</v>
      </c>
      <c r="AI245" s="535"/>
      <c r="AJ245" s="535"/>
      <c r="AK245" s="535"/>
      <c r="AL245" s="535"/>
      <c r="AM245" s="535"/>
      <c r="AN245" s="535"/>
      <c r="AO245" s="451" t="str">
        <f>'7. BS-Key Figures (GC)'!U9</f>
        <v/>
      </c>
      <c r="AP245" s="451">
        <v>211</v>
      </c>
      <c r="AQ245" s="451" t="str">
        <f>Settings!$A$1</f>
        <v>V2</v>
      </c>
    </row>
    <row r="246" spans="1:43">
      <c r="A246" s="451">
        <f>'Input-FX Rates'!$C$4</f>
        <v>242</v>
      </c>
      <c r="B246" s="451" t="str">
        <f>'Input-FX Rates'!$B$4</f>
        <v>ICH Icheon (242)</v>
      </c>
      <c r="C246" s="451">
        <f>'Input-FX Rates'!$C$6</f>
        <v>780</v>
      </c>
      <c r="D246" s="451" t="str">
        <f>'Input-FX Rates'!$B$6</f>
        <v>780 BU Controls</v>
      </c>
      <c r="E246" s="451" t="str">
        <f>'Input-FX Rates'!$C$5</f>
        <v>7821 &amp; 7822</v>
      </c>
      <c r="F246" s="451" t="str">
        <f>'Input-FX Rates'!$B$5</f>
        <v>7821 PL Drivetrain Controls (&amp; Electrification)</v>
      </c>
      <c r="G246" s="451" t="s">
        <v>1524</v>
      </c>
      <c r="H246" s="451" t="s">
        <v>678</v>
      </c>
      <c r="I246" s="536">
        <f>'7. BS-Key Figures (GC)'!C10</f>
        <v>3558.2741663692068</v>
      </c>
      <c r="J246" s="536">
        <f>'7. BS-Key Figures (GC)'!D10</f>
        <v>2884.3073303235515</v>
      </c>
      <c r="K246" s="535"/>
      <c r="L246" s="536">
        <f>'7. BS-Key Figures (GC)'!E10</f>
        <v>3297.8368168400339</v>
      </c>
      <c r="M246" s="535"/>
      <c r="N246" s="535"/>
      <c r="O246" s="536">
        <f>'7. BS-Key Figures (GC)'!S10</f>
        <v>3043.0620882758622</v>
      </c>
      <c r="P246" s="535"/>
      <c r="Q246" s="535"/>
      <c r="R246" s="535"/>
      <c r="S246" s="535"/>
      <c r="T246" s="535"/>
      <c r="U246" s="535"/>
      <c r="V246" s="535"/>
      <c r="W246" s="536">
        <f>'7. BS-Key Figures (GC)'!F10</f>
        <v>3075.9810241379314</v>
      </c>
      <c r="X246" s="536">
        <f>'7. BS-Key Figures (GC)'!G10</f>
        <v>3082.8564296551731</v>
      </c>
      <c r="Y246" s="536">
        <f>'7. BS-Key Figures (GC)'!H10</f>
        <v>3130.3250875862072</v>
      </c>
      <c r="Z246" s="536">
        <f>'7. BS-Key Figures (GC)'!I10</f>
        <v>2975.4006420689652</v>
      </c>
      <c r="AA246" s="536">
        <f>'7. BS-Key Figures (GC)'!J10</f>
        <v>2797.1340055172413</v>
      </c>
      <c r="AB246" s="536">
        <f>'7. BS-Key Figures (GC)'!K10</f>
        <v>3364.0442620689655</v>
      </c>
      <c r="AC246" s="536">
        <f>'7. BS-Key Figures (GC)'!L10</f>
        <v>3087.8981296551724</v>
      </c>
      <c r="AD246" s="536">
        <f>'7. BS-Key Figures (GC)'!M10</f>
        <v>2710.4353413793101</v>
      </c>
      <c r="AE246" s="536">
        <f>'7. BS-Key Figures (GC)'!N10</f>
        <v>3042.032704137931</v>
      </c>
      <c r="AF246" s="536">
        <f>'7. BS-Key Figures (GC)'!O10</f>
        <v>2769.0888641379311</v>
      </c>
      <c r="AG246" s="536">
        <f>'7. BS-Key Figures (GC)'!P10</f>
        <v>2632.5174220689655</v>
      </c>
      <c r="AH246" s="536">
        <f>'7. BS-Key Figures (GC)'!Q10</f>
        <v>3043.0620882758622</v>
      </c>
      <c r="AI246" s="535"/>
      <c r="AJ246" s="535"/>
      <c r="AK246" s="535"/>
      <c r="AL246" s="535"/>
      <c r="AM246" s="535"/>
      <c r="AN246" s="535"/>
      <c r="AO246" s="451" t="str">
        <f>'7. BS-Key Figures (GC)'!U10</f>
        <v/>
      </c>
      <c r="AP246" s="451">
        <v>212</v>
      </c>
      <c r="AQ246" s="451" t="str">
        <f>Settings!$A$1</f>
        <v>V2</v>
      </c>
    </row>
    <row r="247" spans="1:43">
      <c r="A247" s="451">
        <f>'Input-FX Rates'!$C$4</f>
        <v>242</v>
      </c>
      <c r="B247" s="451" t="str">
        <f>'Input-FX Rates'!$B$4</f>
        <v>ICH Icheon (242)</v>
      </c>
      <c r="C247" s="451">
        <f>'Input-FX Rates'!$C$6</f>
        <v>780</v>
      </c>
      <c r="D247" s="451" t="str">
        <f>'Input-FX Rates'!$B$6</f>
        <v>780 BU Controls</v>
      </c>
      <c r="E247" s="451" t="str">
        <f>'Input-FX Rates'!$C$5</f>
        <v>7821 &amp; 7822</v>
      </c>
      <c r="F247" s="451" t="str">
        <f>'Input-FX Rates'!$B$5</f>
        <v>7821 PL Drivetrain Controls (&amp; Electrification)</v>
      </c>
      <c r="G247" s="451" t="s">
        <v>1524</v>
      </c>
      <c r="H247" s="451" t="s">
        <v>680</v>
      </c>
      <c r="I247" s="536">
        <f>'7. BS-Key Figures (GC)'!C11</f>
        <v>2737.7260388779819</v>
      </c>
      <c r="J247" s="536">
        <f>'7. BS-Key Figures (GC)'!D11</f>
        <v>2254.9120060195637</v>
      </c>
      <c r="K247" s="535"/>
      <c r="L247" s="536">
        <f>'7. BS-Key Figures (GC)'!E11</f>
        <v>2684.6172420579142</v>
      </c>
      <c r="M247" s="535"/>
      <c r="N247" s="535"/>
      <c r="O247" s="536">
        <f>'7. BS-Key Figures (GC)'!S11</f>
        <v>2571.8566406896553</v>
      </c>
      <c r="P247" s="535"/>
      <c r="Q247" s="535"/>
      <c r="R247" s="535"/>
      <c r="S247" s="535"/>
      <c r="T247" s="535"/>
      <c r="U247" s="535"/>
      <c r="V247" s="535"/>
      <c r="W247" s="536">
        <f>'7. BS-Key Figures (GC)'!F11</f>
        <v>2571.9398717241379</v>
      </c>
      <c r="X247" s="536">
        <f>'7. BS-Key Figures (GC)'!G11</f>
        <v>2374.2883165517242</v>
      </c>
      <c r="Y247" s="536">
        <f>'7. BS-Key Figures (GC)'!H11</f>
        <v>2450.8011324137933</v>
      </c>
      <c r="Z247" s="536">
        <f>'7. BS-Key Figures (GC)'!I11</f>
        <v>2445.3765358620694</v>
      </c>
      <c r="AA247" s="536">
        <f>'7. BS-Key Figures (GC)'!J11</f>
        <v>2317.344614482759</v>
      </c>
      <c r="AB247" s="536">
        <f>'7. BS-Key Figures (GC)'!K11</f>
        <v>2764.3075227586214</v>
      </c>
      <c r="AC247" s="536">
        <f>'7. BS-Key Figures (GC)'!L11</f>
        <v>2488.1613903448283</v>
      </c>
      <c r="AD247" s="536">
        <f>'7. BS-Key Figures (GC)'!M11</f>
        <v>2160.171117931035</v>
      </c>
      <c r="AE247" s="536">
        <f>'7. BS-Key Figures (GC)'!N11</f>
        <v>2600.2535193103454</v>
      </c>
      <c r="AF247" s="536">
        <f>'7. BS-Key Figures (GC)'!O11</f>
        <v>2313.7146213793108</v>
      </c>
      <c r="AG247" s="536">
        <f>'7. BS-Key Figures (GC)'!P11</f>
        <v>2043.5106124137933</v>
      </c>
      <c r="AH247" s="536">
        <f>'7. BS-Key Figures (GC)'!Q11</f>
        <v>2571.8566406896553</v>
      </c>
      <c r="AI247" s="535"/>
      <c r="AJ247" s="535"/>
      <c r="AK247" s="535"/>
      <c r="AL247" s="535"/>
      <c r="AM247" s="535"/>
      <c r="AN247" s="535"/>
      <c r="AO247" s="451" t="str">
        <f>'7. BS-Key Figures (GC)'!U11</f>
        <v/>
      </c>
      <c r="AP247" s="451">
        <v>213</v>
      </c>
      <c r="AQ247" s="451" t="str">
        <f>Settings!$A$1</f>
        <v>V2</v>
      </c>
    </row>
    <row r="248" spans="1:43">
      <c r="A248" s="451">
        <f>'Input-FX Rates'!$C$4</f>
        <v>242</v>
      </c>
      <c r="B248" s="451" t="str">
        <f>'Input-FX Rates'!$B$4</f>
        <v>ICH Icheon (242)</v>
      </c>
      <c r="C248" s="451">
        <f>'Input-FX Rates'!$C$6</f>
        <v>780</v>
      </c>
      <c r="D248" s="451" t="str">
        <f>'Input-FX Rates'!$B$6</f>
        <v>780 BU Controls</v>
      </c>
      <c r="E248" s="451" t="str">
        <f>'Input-FX Rates'!$C$5</f>
        <v>7821 &amp; 7822</v>
      </c>
      <c r="F248" s="451" t="str">
        <f>'Input-FX Rates'!$B$5</f>
        <v>7821 PL Drivetrain Controls (&amp; Electrification)</v>
      </c>
      <c r="G248" s="451" t="s">
        <v>1524</v>
      </c>
      <c r="H248" s="451" t="s">
        <v>682</v>
      </c>
      <c r="I248" s="536">
        <f>'7. BS-Key Figures (GC)'!C12</f>
        <v>279.90989425307873</v>
      </c>
      <c r="J248" s="536">
        <f>'7. BS-Key Figures (GC)'!D12</f>
        <v>265.16197667419112</v>
      </c>
      <c r="K248" s="535"/>
      <c r="L248" s="536">
        <f>'7. BS-Key Figures (GC)'!E12</f>
        <v>251.54825484959238</v>
      </c>
      <c r="M248" s="535"/>
      <c r="N248" s="535"/>
      <c r="O248" s="536">
        <f>'7. BS-Key Figures (GC)'!S12</f>
        <v>186.48916482758619</v>
      </c>
      <c r="P248" s="535"/>
      <c r="Q248" s="535"/>
      <c r="R248" s="535"/>
      <c r="S248" s="535"/>
      <c r="T248" s="535"/>
      <c r="U248" s="535"/>
      <c r="V248" s="535"/>
      <c r="W248" s="536">
        <f>'7. BS-Key Figures (GC)'!F12</f>
        <v>199.48456482758621</v>
      </c>
      <c r="X248" s="536">
        <f>'7. BS-Key Figures (GC)'!G12</f>
        <v>280.43028068965515</v>
      </c>
      <c r="Y248" s="536">
        <f>'7. BS-Key Figures (GC)'!H12</f>
        <v>268.9354627586207</v>
      </c>
      <c r="Z248" s="536">
        <f>'7. BS-Key Figures (GC)'!I12</f>
        <v>209.76784896551729</v>
      </c>
      <c r="AA248" s="536">
        <f>'7. BS-Key Figures (GC)'!J12</f>
        <v>189.88643586206899</v>
      </c>
      <c r="AB248" s="536">
        <f>'7. BS-Key Figures (GC)'!K12</f>
        <v>237.35804482758624</v>
      </c>
      <c r="AC248" s="536">
        <f>'7. BS-Key Figures (GC)'!L12</f>
        <v>237.35804482758624</v>
      </c>
      <c r="AD248" s="536">
        <f>'7. BS-Key Figures (GC)'!M12</f>
        <v>217.77828758620694</v>
      </c>
      <c r="AE248" s="536">
        <f>'7. BS-Key Figures (GC)'!N12</f>
        <v>174.84312137931036</v>
      </c>
      <c r="AF248" s="536">
        <f>'7. BS-Key Figures (GC)'!O12</f>
        <v>180.22364275862071</v>
      </c>
      <c r="AG248" s="536">
        <f>'7. BS-Key Figures (GC)'!P12</f>
        <v>233.11145655172416</v>
      </c>
      <c r="AH248" s="536">
        <f>'7. BS-Key Figures (GC)'!Q12</f>
        <v>186.48916482758619</v>
      </c>
      <c r="AI248" s="535"/>
      <c r="AJ248" s="535"/>
      <c r="AK248" s="535"/>
      <c r="AL248" s="535"/>
      <c r="AM248" s="535"/>
      <c r="AN248" s="535"/>
      <c r="AO248" s="451" t="str">
        <f>'7. BS-Key Figures (GC)'!U12</f>
        <v/>
      </c>
      <c r="AP248" s="451">
        <v>214</v>
      </c>
      <c r="AQ248" s="451" t="str">
        <f>Settings!$A$1</f>
        <v>V2</v>
      </c>
    </row>
    <row r="249" spans="1:43">
      <c r="A249" s="451">
        <f>'Input-FX Rates'!$C$4</f>
        <v>242</v>
      </c>
      <c r="B249" s="451" t="str">
        <f>'Input-FX Rates'!$B$4</f>
        <v>ICH Icheon (242)</v>
      </c>
      <c r="C249" s="451">
        <f>'Input-FX Rates'!$C$6</f>
        <v>780</v>
      </c>
      <c r="D249" s="451" t="str">
        <f>'Input-FX Rates'!$B$6</f>
        <v>780 BU Controls</v>
      </c>
      <c r="E249" s="451" t="str">
        <f>'Input-FX Rates'!$C$5</f>
        <v>7821 &amp; 7822</v>
      </c>
      <c r="F249" s="451" t="str">
        <f>'Input-FX Rates'!$B$5</f>
        <v>7821 PL Drivetrain Controls (&amp; Electrification)</v>
      </c>
      <c r="G249" s="451" t="s">
        <v>1524</v>
      </c>
      <c r="H249" s="451" t="s">
        <v>684</v>
      </c>
      <c r="I249" s="536">
        <f>'7. BS-Key Figures (GC)'!C13</f>
        <v>540.6382332381462</v>
      </c>
      <c r="J249" s="536">
        <f>'7. BS-Key Figures (GC)'!D13</f>
        <v>364.23334762979687</v>
      </c>
      <c r="K249" s="535"/>
      <c r="L249" s="536">
        <f>'7. BS-Key Figures (GC)'!E13</f>
        <v>361.67131993252747</v>
      </c>
      <c r="M249" s="535"/>
      <c r="N249" s="535"/>
      <c r="O249" s="536">
        <f>'7. BS-Key Figures (GC)'!S13</f>
        <v>284.71628275862071</v>
      </c>
      <c r="P249" s="535"/>
      <c r="Q249" s="535"/>
      <c r="R249" s="535"/>
      <c r="S249" s="535"/>
      <c r="T249" s="535"/>
      <c r="U249" s="535"/>
      <c r="V249" s="535"/>
      <c r="W249" s="536">
        <f>'7. BS-Key Figures (GC)'!F13</f>
        <v>304.55658758620689</v>
      </c>
      <c r="X249" s="536">
        <f>'7. BS-Key Figures (GC)'!G13</f>
        <v>428.13783241379315</v>
      </c>
      <c r="Y249" s="536">
        <f>'7. BS-Key Figures (GC)'!H13</f>
        <v>410.58849241379318</v>
      </c>
      <c r="Z249" s="536">
        <f>'7. BS-Key Figures (GC)'!I13</f>
        <v>320.25625724137939</v>
      </c>
      <c r="AA249" s="536">
        <f>'7. BS-Key Figures (GC)'!J13</f>
        <v>289.9029551724139</v>
      </c>
      <c r="AB249" s="536">
        <f>'7. BS-Key Figures (GC)'!K13</f>
        <v>362.37869448275876</v>
      </c>
      <c r="AC249" s="536">
        <f>'7. BS-Key Figures (GC)'!L13</f>
        <v>362.37869448275876</v>
      </c>
      <c r="AD249" s="536">
        <f>'7. BS-Key Figures (GC)'!M13</f>
        <v>332.48593586206908</v>
      </c>
      <c r="AE249" s="536">
        <f>'7. BS-Key Figures (GC)'!N13</f>
        <v>266.936063448276</v>
      </c>
      <c r="AF249" s="536">
        <f>'7. BS-Key Figures (GC)'!O13</f>
        <v>275.15060000000011</v>
      </c>
      <c r="AG249" s="536">
        <f>'7. BS-Key Figures (GC)'!P13</f>
        <v>355.89535310344837</v>
      </c>
      <c r="AH249" s="536">
        <f>'7. BS-Key Figures (GC)'!Q13</f>
        <v>284.71628275862082</v>
      </c>
      <c r="AI249" s="535"/>
      <c r="AJ249" s="535"/>
      <c r="AK249" s="535"/>
      <c r="AL249" s="535"/>
      <c r="AM249" s="535"/>
      <c r="AN249" s="535"/>
      <c r="AO249" s="451" t="str">
        <f>'7. BS-Key Figures (GC)'!U13</f>
        <v/>
      </c>
      <c r="AP249" s="451">
        <v>215</v>
      </c>
      <c r="AQ249" s="451" t="str">
        <f>Settings!$A$1</f>
        <v>V2</v>
      </c>
    </row>
    <row r="250" spans="1:43">
      <c r="A250" s="451">
        <f>'Input-FX Rates'!$C$4</f>
        <v>242</v>
      </c>
      <c r="B250" s="451" t="str">
        <f>'Input-FX Rates'!$B$4</f>
        <v>ICH Icheon (242)</v>
      </c>
      <c r="C250" s="451">
        <f>'Input-FX Rates'!$C$6</f>
        <v>780</v>
      </c>
      <c r="D250" s="451" t="str">
        <f>'Input-FX Rates'!$B$6</f>
        <v>780 BU Controls</v>
      </c>
      <c r="E250" s="451" t="str">
        <f>'Input-FX Rates'!$C$5</f>
        <v>7821 &amp; 7822</v>
      </c>
      <c r="F250" s="451" t="str">
        <f>'Input-FX Rates'!$B$5</f>
        <v>7821 PL Drivetrain Controls (&amp; Electrification)</v>
      </c>
      <c r="G250" s="451" t="s">
        <v>1524</v>
      </c>
      <c r="H250" s="451" t="s">
        <v>685</v>
      </c>
      <c r="I250" s="536">
        <f>'7. BS-Key Figures (GC)'!C14</f>
        <v>26.014718678027432</v>
      </c>
      <c r="J250" s="536">
        <f>'7. BS-Key Figures (GC)'!D14</f>
        <v>31.898930453337368</v>
      </c>
      <c r="K250" s="535"/>
      <c r="L250" s="536">
        <f>'7. BS-Key Figures (GC)'!E14</f>
        <v>30.361341540325149</v>
      </c>
      <c r="M250" s="535"/>
      <c r="N250" s="535"/>
      <c r="O250" s="536">
        <f>'7. BS-Key Figures (GC)'!S14</f>
        <v>28.876881260129842</v>
      </c>
      <c r="P250" s="535"/>
      <c r="Q250" s="535"/>
      <c r="R250" s="535"/>
      <c r="S250" s="535"/>
      <c r="T250" s="535"/>
      <c r="U250" s="535"/>
      <c r="V250" s="535"/>
      <c r="W250" s="536">
        <f>'7. BS-Key Figures (GC)'!F14</f>
        <v>0</v>
      </c>
      <c r="X250" s="536">
        <f>'7. BS-Key Figures (GC)'!G14</f>
        <v>0</v>
      </c>
      <c r="Y250" s="536">
        <f>'7. BS-Key Figures (GC)'!H14</f>
        <v>0</v>
      </c>
      <c r="Z250" s="536">
        <f>'7. BS-Key Figures (GC)'!I14</f>
        <v>0</v>
      </c>
      <c r="AA250" s="536">
        <f>'7. BS-Key Figures (GC)'!J14</f>
        <v>0</v>
      </c>
      <c r="AB250" s="536">
        <f>'7. BS-Key Figures (GC)'!K14</f>
        <v>0</v>
      </c>
      <c r="AC250" s="536">
        <f>'7. BS-Key Figures (GC)'!L14</f>
        <v>0</v>
      </c>
      <c r="AD250" s="536">
        <f>'7. BS-Key Figures (GC)'!M14</f>
        <v>0</v>
      </c>
      <c r="AE250" s="536">
        <f>'7. BS-Key Figures (GC)'!N14</f>
        <v>0</v>
      </c>
      <c r="AF250" s="536">
        <f>'7. BS-Key Figures (GC)'!O14</f>
        <v>0</v>
      </c>
      <c r="AG250" s="536">
        <f>'7. BS-Key Figures (GC)'!P14</f>
        <v>0</v>
      </c>
      <c r="AH250" s="536">
        <f>'7. BS-Key Figures (GC)'!Q14</f>
        <v>28.876881260129842</v>
      </c>
      <c r="AI250" s="535"/>
      <c r="AJ250" s="535"/>
      <c r="AK250" s="535"/>
      <c r="AL250" s="535"/>
      <c r="AM250" s="535"/>
      <c r="AN250" s="535"/>
      <c r="AO250" s="451" t="str">
        <f>'7. BS-Key Figures (GC)'!U14</f>
        <v/>
      </c>
      <c r="AP250" s="451">
        <v>216</v>
      </c>
      <c r="AQ250" s="451" t="str">
        <f>Settings!$A$1</f>
        <v>V2</v>
      </c>
    </row>
    <row r="251" spans="1:43">
      <c r="A251" s="451">
        <f>'Input-FX Rates'!$C$4</f>
        <v>242</v>
      </c>
      <c r="B251" s="451" t="str">
        <f>'Input-FX Rates'!$B$4</f>
        <v>ICH Icheon (242)</v>
      </c>
      <c r="C251" s="451">
        <f>'Input-FX Rates'!$C$6</f>
        <v>780</v>
      </c>
      <c r="D251" s="451" t="str">
        <f>'Input-FX Rates'!$B$6</f>
        <v>780 BU Controls</v>
      </c>
      <c r="E251" s="451" t="str">
        <f>'Input-FX Rates'!$C$5</f>
        <v>7821 &amp; 7822</v>
      </c>
      <c r="F251" s="451" t="str">
        <f>'Input-FX Rates'!$B$5</f>
        <v>7821 PL Drivetrain Controls (&amp; Electrification)</v>
      </c>
      <c r="G251" s="451" t="s">
        <v>1524</v>
      </c>
      <c r="H251" s="451" t="s">
        <v>686</v>
      </c>
      <c r="I251" s="536">
        <f>'7. BS-Key Figures (GC)'!C15</f>
        <v>29.7</v>
      </c>
      <c r="J251" s="536">
        <f>'7. BS-Key Figures (GC)'!D15</f>
        <v>31.4</v>
      </c>
      <c r="K251" s="535"/>
      <c r="L251" s="536">
        <f>'7. BS-Key Figures (GC)'!E15</f>
        <v>23</v>
      </c>
      <c r="M251" s="535"/>
      <c r="N251" s="535"/>
      <c r="O251" s="536">
        <f>'7. BS-Key Figures (GC)'!S15</f>
        <v>29.528613745715671</v>
      </c>
      <c r="P251" s="536">
        <f>'7. BS-Key Figures (GC)'!R15</f>
        <v>0</v>
      </c>
      <c r="Q251" s="535"/>
      <c r="R251" s="535"/>
      <c r="S251" s="535"/>
      <c r="T251" s="535"/>
      <c r="U251" s="535"/>
      <c r="V251" s="535"/>
      <c r="W251" s="536">
        <f>'7. BS-Key Figures (GC)'!F15</f>
        <v>0</v>
      </c>
      <c r="X251" s="536">
        <f>'7. BS-Key Figures (GC)'!G15</f>
        <v>0</v>
      </c>
      <c r="Y251" s="536">
        <f>'7. BS-Key Figures (GC)'!H15</f>
        <v>0</v>
      </c>
      <c r="Z251" s="536">
        <f>'7. BS-Key Figures (GC)'!I15</f>
        <v>0</v>
      </c>
      <c r="AA251" s="536">
        <f>'7. BS-Key Figures (GC)'!J15</f>
        <v>0</v>
      </c>
      <c r="AB251" s="536">
        <f>'7. BS-Key Figures (GC)'!K15</f>
        <v>0</v>
      </c>
      <c r="AC251" s="536">
        <f>'7. BS-Key Figures (GC)'!L15</f>
        <v>0</v>
      </c>
      <c r="AD251" s="536">
        <f>'7. BS-Key Figures (GC)'!M15</f>
        <v>0</v>
      </c>
      <c r="AE251" s="536">
        <f>'7. BS-Key Figures (GC)'!N15</f>
        <v>0</v>
      </c>
      <c r="AF251" s="536">
        <f>'7. BS-Key Figures (GC)'!O15</f>
        <v>0</v>
      </c>
      <c r="AG251" s="536">
        <f>'7. BS-Key Figures (GC)'!P15</f>
        <v>0</v>
      </c>
      <c r="AH251" s="536">
        <f>'7. BS-Key Figures (GC)'!Q15</f>
        <v>0</v>
      </c>
      <c r="AI251" s="535"/>
      <c r="AJ251" s="535"/>
      <c r="AK251" s="535"/>
      <c r="AL251" s="535"/>
      <c r="AM251" s="535"/>
      <c r="AN251" s="535"/>
      <c r="AO251" s="451" t="str">
        <f>'7. BS-Key Figures (GC)'!U15</f>
        <v/>
      </c>
      <c r="AP251" s="451">
        <v>217</v>
      </c>
      <c r="AQ251" s="451" t="str">
        <f>Settings!$A$1</f>
        <v>V2</v>
      </c>
    </row>
    <row r="252" spans="1:43">
      <c r="A252" s="451">
        <f>'Input-FX Rates'!$C$4</f>
        <v>242</v>
      </c>
      <c r="B252" s="451" t="str">
        <f>'Input-FX Rates'!$B$4</f>
        <v>ICH Icheon (242)</v>
      </c>
      <c r="C252" s="451">
        <f>'Input-FX Rates'!$C$6</f>
        <v>780</v>
      </c>
      <c r="D252" s="451" t="str">
        <f>'Input-FX Rates'!$B$6</f>
        <v>780 BU Controls</v>
      </c>
      <c r="E252" s="451" t="str">
        <f>'Input-FX Rates'!$C$5</f>
        <v>7821 &amp; 7822</v>
      </c>
      <c r="F252" s="451" t="str">
        <f>'Input-FX Rates'!$B$5</f>
        <v>7821 PL Drivetrain Controls (&amp; Electrification)</v>
      </c>
      <c r="G252" s="451" t="s">
        <v>1524</v>
      </c>
      <c r="H252" s="451" t="s">
        <v>688</v>
      </c>
      <c r="I252" s="536">
        <f>'7. BS-Key Figures (GC)'!C16</f>
        <v>16214.507307097387</v>
      </c>
      <c r="J252" s="536">
        <f>'7. BS-Key Figures (GC)'!D16</f>
        <v>14674.001</v>
      </c>
      <c r="K252" s="535"/>
      <c r="L252" s="536">
        <f>'7. BS-Key Figures (GC)'!E16</f>
        <v>18008.209182597693</v>
      </c>
      <c r="M252" s="535"/>
      <c r="N252" s="535"/>
      <c r="O252" s="536">
        <f>'7. BS-Key Figures (GC)'!S16</f>
        <v>15377.565838620689</v>
      </c>
      <c r="P252" s="535"/>
      <c r="Q252" s="535"/>
      <c r="R252" s="535"/>
      <c r="S252" s="535"/>
      <c r="T252" s="535"/>
      <c r="U252" s="535"/>
      <c r="V252" s="535"/>
      <c r="W252" s="536">
        <f>'7. BS-Key Figures (GC)'!F16</f>
        <v>21168.641986206894</v>
      </c>
      <c r="X252" s="536">
        <f>'7. BS-Key Figures (GC)'!G16</f>
        <v>23120.412908965518</v>
      </c>
      <c r="Y252" s="536">
        <f>'7. BS-Key Figures (GC)'!H16</f>
        <v>20940.651834482756</v>
      </c>
      <c r="Z252" s="536">
        <f>'7. BS-Key Figures (GC)'!I16</f>
        <v>19106.648727586205</v>
      </c>
      <c r="AA252" s="536">
        <f>'7. BS-Key Figures (GC)'!J16</f>
        <v>18303.322588965515</v>
      </c>
      <c r="AB252" s="536">
        <f>'7. BS-Key Figures (GC)'!K16</f>
        <v>15970.939634482758</v>
      </c>
      <c r="AC252" s="536">
        <f>'7. BS-Key Figures (GC)'!L16</f>
        <v>15699.338500689653</v>
      </c>
      <c r="AD252" s="536">
        <f>'7. BS-Key Figures (GC)'!M16</f>
        <v>14944.786960689655</v>
      </c>
      <c r="AE252" s="536">
        <f>'7. BS-Key Figures (GC)'!N16</f>
        <v>14557.94328551724</v>
      </c>
      <c r="AF252" s="536">
        <f>'7. BS-Key Figures (GC)'!O16</f>
        <v>14629.500451034482</v>
      </c>
      <c r="AG252" s="536">
        <f>'7. BS-Key Figures (GC)'!P16</f>
        <v>15156.041035862068</v>
      </c>
      <c r="AH252" s="536">
        <f>'7. BS-Key Figures (GC)'!Q16</f>
        <v>15377.565838620691</v>
      </c>
      <c r="AI252" s="535"/>
      <c r="AJ252" s="535"/>
      <c r="AK252" s="535"/>
      <c r="AL252" s="535"/>
      <c r="AM252" s="535"/>
      <c r="AN252" s="535"/>
      <c r="AO252" s="451" t="str">
        <f>'7. BS-Key Figures (GC)'!U16</f>
        <v/>
      </c>
      <c r="AP252" s="451">
        <v>218</v>
      </c>
      <c r="AQ252" s="451" t="str">
        <f>Settings!$A$1</f>
        <v>V2</v>
      </c>
    </row>
    <row r="253" spans="1:43">
      <c r="A253" s="451">
        <f>'Input-FX Rates'!$C$4</f>
        <v>242</v>
      </c>
      <c r="B253" s="451" t="str">
        <f>'Input-FX Rates'!$B$4</f>
        <v>ICH Icheon (242)</v>
      </c>
      <c r="C253" s="451">
        <f>'Input-FX Rates'!$C$6</f>
        <v>780</v>
      </c>
      <c r="D253" s="451" t="str">
        <f>'Input-FX Rates'!$B$6</f>
        <v>780 BU Controls</v>
      </c>
      <c r="E253" s="451" t="str">
        <f>'Input-FX Rates'!$C$5</f>
        <v>7821 &amp; 7822</v>
      </c>
      <c r="F253" s="451" t="str">
        <f>'Input-FX Rates'!$B$5</f>
        <v>7821 PL Drivetrain Controls (&amp; Electrification)</v>
      </c>
      <c r="G253" s="451" t="s">
        <v>1524</v>
      </c>
      <c r="H253" s="451" t="s">
        <v>692</v>
      </c>
      <c r="I253" s="536">
        <f>'7. BS-Key Figures (GC)'!C18</f>
        <v>11070.548616812423</v>
      </c>
      <c r="J253" s="536">
        <f>'7. BS-Key Figures (GC)'!D18</f>
        <v>8347.1323393528983</v>
      </c>
      <c r="K253" s="535"/>
      <c r="L253" s="536">
        <f>'7. BS-Key Figures (GC)'!E18</f>
        <v>11009.107091650267</v>
      </c>
      <c r="M253" s="535"/>
      <c r="N253" s="535"/>
      <c r="O253" s="536">
        <f>'7. BS-Key Figures (GC)'!S18</f>
        <v>9874.959334482759</v>
      </c>
      <c r="P253" s="535"/>
      <c r="Q253" s="535"/>
      <c r="R253" s="535"/>
      <c r="S253" s="535"/>
      <c r="T253" s="535"/>
      <c r="U253" s="535"/>
      <c r="V253" s="535"/>
      <c r="W253" s="536">
        <f>'7. BS-Key Figures (GC)'!F18</f>
        <v>13534.620636551725</v>
      </c>
      <c r="X253" s="536">
        <f>'7. BS-Key Figures (GC)'!G18</f>
        <v>10267.308449655173</v>
      </c>
      <c r="Y253" s="536">
        <f>'7. BS-Key Figures (GC)'!H18</f>
        <v>9843.1414324137932</v>
      </c>
      <c r="Z253" s="536">
        <f>'7. BS-Key Figures (GC)'!I18</f>
        <v>10010.864748965518</v>
      </c>
      <c r="AA253" s="536">
        <f>'7. BS-Key Figures (GC)'!J18</f>
        <v>10101.352976551723</v>
      </c>
      <c r="AB253" s="536">
        <f>'7. BS-Key Figures (GC)'!K18</f>
        <v>10372.525744827586</v>
      </c>
      <c r="AC253" s="536">
        <f>'7. BS-Key Figures (GC)'!L18</f>
        <v>10397.515425517242</v>
      </c>
      <c r="AD253" s="536">
        <f>'7. BS-Key Figures (GC)'!M18</f>
        <v>11300.108261379311</v>
      </c>
      <c r="AE253" s="536">
        <f>'7. BS-Key Figures (GC)'!N18</f>
        <v>10989.455780689656</v>
      </c>
      <c r="AF253" s="536">
        <f>'7. BS-Key Figures (GC)'!O18</f>
        <v>11061.892008965518</v>
      </c>
      <c r="AG253" s="536">
        <f>'7. BS-Key Figures (GC)'!P18</f>
        <v>10793.101745517242</v>
      </c>
      <c r="AH253" s="536">
        <f>'7. BS-Key Figures (GC)'!Q18</f>
        <v>9874.9593344827608</v>
      </c>
      <c r="AI253" s="535"/>
      <c r="AJ253" s="535"/>
      <c r="AK253" s="535"/>
      <c r="AL253" s="535"/>
      <c r="AM253" s="535"/>
      <c r="AN253" s="535"/>
      <c r="AO253" s="451" t="str">
        <f>'7. BS-Key Figures (GC)'!U18</f>
        <v/>
      </c>
      <c r="AP253" s="451">
        <v>219</v>
      </c>
      <c r="AQ253" s="451" t="str">
        <f>Settings!$A$1</f>
        <v>V2</v>
      </c>
    </row>
    <row r="254" spans="1:43">
      <c r="A254" s="451">
        <f>'Input-FX Rates'!$C$4</f>
        <v>242</v>
      </c>
      <c r="B254" s="451" t="str">
        <f>'Input-FX Rates'!$B$4</f>
        <v>ICH Icheon (242)</v>
      </c>
      <c r="C254" s="451">
        <f>'Input-FX Rates'!$C$6</f>
        <v>780</v>
      </c>
      <c r="D254" s="451" t="str">
        <f>'Input-FX Rates'!$B$6</f>
        <v>780 BU Controls</v>
      </c>
      <c r="E254" s="451" t="str">
        <f>'Input-FX Rates'!$C$5</f>
        <v>7821 &amp; 7822</v>
      </c>
      <c r="F254" s="451" t="str">
        <f>'Input-FX Rates'!$B$5</f>
        <v>7821 PL Drivetrain Controls (&amp; Electrification)</v>
      </c>
      <c r="G254" s="451" t="s">
        <v>1524</v>
      </c>
      <c r="H254" s="451" t="s">
        <v>677</v>
      </c>
      <c r="I254" s="536">
        <f>'7. BS-Key Figures (GC)'!C20</f>
        <v>8702.2328566541728</v>
      </c>
      <c r="J254" s="536">
        <f>'7. BS-Key Figures (GC)'!D20</f>
        <v>9211.1759909706525</v>
      </c>
      <c r="K254" s="535"/>
      <c r="L254" s="536">
        <f>'7. BS-Key Figures (GC)'!E20</f>
        <v>10296.93890778746</v>
      </c>
      <c r="M254" s="535"/>
      <c r="N254" s="535"/>
      <c r="O254" s="536">
        <f>'7. BS-Key Figures (GC)'!S20</f>
        <v>8545.6685924137928</v>
      </c>
      <c r="P254" s="535"/>
      <c r="Q254" s="535"/>
      <c r="R254" s="535"/>
      <c r="S254" s="535"/>
      <c r="T254" s="535"/>
      <c r="U254" s="535"/>
      <c r="V254" s="535"/>
      <c r="W254" s="536">
        <f>'7. BS-Key Figures (GC)'!F20</f>
        <v>10710.002373793104</v>
      </c>
      <c r="X254" s="536">
        <f>'7. BS-Key Figures (GC)'!G20</f>
        <v>15935.960888965517</v>
      </c>
      <c r="Y254" s="536">
        <f>'7. BS-Key Figures (GC)'!H20</f>
        <v>14227.835489655174</v>
      </c>
      <c r="Z254" s="536">
        <f>'7. BS-Key Figures (GC)'!I20</f>
        <v>12071.184620689652</v>
      </c>
      <c r="AA254" s="536">
        <f>'7. BS-Key Figures (GC)'!J20</f>
        <v>10999.103617931032</v>
      </c>
      <c r="AB254" s="536">
        <f>'7. BS-Key Figures (GC)'!K20</f>
        <v>8962.4581517241368</v>
      </c>
      <c r="AC254" s="536">
        <f>'7. BS-Key Figures (GC)'!L20</f>
        <v>8389.7212048275833</v>
      </c>
      <c r="AD254" s="536">
        <f>'7. BS-Key Figures (GC)'!M20</f>
        <v>6355.1140406896548</v>
      </c>
      <c r="AE254" s="536">
        <f>'7. BS-Key Figures (GC)'!N20</f>
        <v>6610.5202089655158</v>
      </c>
      <c r="AF254" s="536">
        <f>'7. BS-Key Figures (GC)'!O20</f>
        <v>6336.6973062068955</v>
      </c>
      <c r="AG254" s="536">
        <f>'7. BS-Key Figures (GC)'!P20</f>
        <v>6995.4567124137911</v>
      </c>
      <c r="AH254" s="536">
        <f>'7. BS-Key Figures (GC)'!Q20</f>
        <v>8545.6685924137928</v>
      </c>
      <c r="AI254" s="535"/>
      <c r="AJ254" s="535"/>
      <c r="AK254" s="535"/>
      <c r="AL254" s="535"/>
      <c r="AM254" s="535"/>
      <c r="AN254" s="535"/>
      <c r="AO254" s="451" t="str">
        <f>'7. BS-Key Figures (GC)'!U20</f>
        <v/>
      </c>
      <c r="AP254" s="451">
        <v>220</v>
      </c>
      <c r="AQ254" s="451" t="str">
        <f>Settings!$A$1</f>
        <v>V2</v>
      </c>
    </row>
    <row r="255" spans="1:43" s="864" customFormat="1">
      <c r="A255" s="864">
        <f>'Input-FX Rates'!$C$4</f>
        <v>242</v>
      </c>
      <c r="B255" s="864" t="str">
        <f>'Input-FX Rates'!$B$4</f>
        <v>ICH Icheon (242)</v>
      </c>
      <c r="C255" s="864">
        <f>'Input-FX Rates'!$C$6</f>
        <v>780</v>
      </c>
      <c r="D255" s="864" t="str">
        <f>'Input-FX Rates'!$B$6</f>
        <v>780 BU Controls</v>
      </c>
      <c r="E255" s="864" t="str">
        <f>'Input-FX Rates'!$C$5</f>
        <v>7821 &amp; 7822</v>
      </c>
      <c r="F255" s="864" t="str">
        <f>'Input-FX Rates'!$B$5</f>
        <v>7821 PL Drivetrain Controls (&amp; Electrification)</v>
      </c>
      <c r="G255" s="864" t="s">
        <v>1524</v>
      </c>
      <c r="H255" s="864" t="s">
        <v>695</v>
      </c>
      <c r="I255" s="866">
        <f>'7. BS-Key Figures (GC)'!C22</f>
        <v>914.70982435005055</v>
      </c>
      <c r="J255" s="866">
        <f>'7. BS-Key Figures (GC)'!D22</f>
        <v>4915.8344454477055</v>
      </c>
      <c r="K255" s="865"/>
      <c r="L255" s="866">
        <f>'7. BS-Key Figures (GC)'!E22</f>
        <v>2176.1541291818949</v>
      </c>
      <c r="M255" s="865"/>
      <c r="N255" s="865"/>
      <c r="O255" s="866">
        <f>'7. BS-Key Figures (GC)'!S22</f>
        <v>2299.479392413793</v>
      </c>
      <c r="P255" s="865"/>
      <c r="Q255" s="865"/>
      <c r="R255" s="865"/>
      <c r="S255" s="865"/>
      <c r="T255" s="865"/>
      <c r="U255" s="865"/>
      <c r="V255" s="865"/>
      <c r="W255" s="866">
        <f>'7. BS-Key Figures (GC)'!F22</f>
        <v>185.57036689655172</v>
      </c>
      <c r="X255" s="866">
        <f>'7. BS-Key Figures (GC)'!G22</f>
        <v>238.43216482758623</v>
      </c>
      <c r="Y255" s="866">
        <f>'7. BS-Key Figures (GC)'!H22</f>
        <v>254.89986275862069</v>
      </c>
      <c r="Z255" s="866">
        <f>'7. BS-Key Figures (GC)'!I22</f>
        <v>81.520962068965517</v>
      </c>
      <c r="AA255" s="866">
        <f>'7. BS-Key Figures (GC)'!J22</f>
        <v>145.54760689655171</v>
      </c>
      <c r="AB255" s="866">
        <f>'7. BS-Key Figures (GC)'!K22</f>
        <v>95.460300000000004</v>
      </c>
      <c r="AC255" s="866">
        <f>'7. BS-Key Figures (GC)'!L22</f>
        <v>134.87080620689656</v>
      </c>
      <c r="AD255" s="866">
        <f>'7. BS-Key Figures (GC)'!M22</f>
        <v>834.46211448275869</v>
      </c>
      <c r="AE255" s="866">
        <f>'7. BS-Key Figures (GC)'!N22</f>
        <v>4.7579668965517241</v>
      </c>
      <c r="AF255" s="866">
        <f>'7. BS-Key Figures (GC)'!O22</f>
        <v>186.38687310344829</v>
      </c>
      <c r="AG255" s="866">
        <f>'7. BS-Key Figures (GC)'!P22</f>
        <v>1.8290089655172415</v>
      </c>
      <c r="AH255" s="866">
        <f>'7. BS-Key Figures (GC)'!Q22</f>
        <v>135.74135931034482</v>
      </c>
      <c r="AI255" s="865"/>
      <c r="AJ255" s="865"/>
      <c r="AK255" s="865"/>
      <c r="AL255" s="865"/>
      <c r="AM255" s="865"/>
      <c r="AN255" s="865"/>
      <c r="AO255" s="864" t="str">
        <f>'7. BS-Key Figures (GC)'!U22</f>
        <v/>
      </c>
      <c r="AP255" s="864">
        <v>1221</v>
      </c>
      <c r="AQ255" s="864" t="str">
        <f>Settings!$A$1</f>
        <v>V2</v>
      </c>
    </row>
    <row r="256" spans="1:43">
      <c r="A256" s="451">
        <f>'Input-FX Rates'!$C$4</f>
        <v>242</v>
      </c>
      <c r="B256" s="451" t="str">
        <f>'Input-FX Rates'!$B$4</f>
        <v>ICH Icheon (242)</v>
      </c>
      <c r="C256" s="451">
        <f>'Input-FX Rates'!$C$6</f>
        <v>780</v>
      </c>
      <c r="D256" s="451" t="str">
        <f>'Input-FX Rates'!$B$6</f>
        <v>780 BU Controls</v>
      </c>
      <c r="E256" s="451" t="str">
        <f>'Input-FX Rates'!$C$5</f>
        <v>7821 &amp; 7822</v>
      </c>
      <c r="F256" s="451" t="str">
        <f>'Input-FX Rates'!$B$5</f>
        <v>7821 PL Drivetrain Controls (&amp; Electrification)</v>
      </c>
      <c r="G256" s="451" t="s">
        <v>1525</v>
      </c>
      <c r="H256" s="451" t="s">
        <v>1526</v>
      </c>
      <c r="I256" s="535"/>
      <c r="J256" s="536">
        <f>'8. Volumes'!A7</f>
        <v>0.44274639911720298</v>
      </c>
      <c r="K256" s="535"/>
      <c r="L256" s="536">
        <f>'8. Volumes'!B7</f>
        <v>524</v>
      </c>
      <c r="M256" s="535"/>
      <c r="N256" s="535"/>
      <c r="O256" s="536">
        <f>'8. Volumes'!D7</f>
        <v>485</v>
      </c>
      <c r="P256" s="535"/>
      <c r="Q256" s="535"/>
      <c r="R256" s="535"/>
      <c r="S256" s="535"/>
      <c r="T256" s="535"/>
      <c r="U256" s="535"/>
      <c r="V256" s="535"/>
      <c r="W256" s="535"/>
      <c r="X256" s="535"/>
      <c r="Y256" s="535"/>
      <c r="Z256" s="535"/>
      <c r="AA256" s="535"/>
      <c r="AB256" s="535"/>
      <c r="AC256" s="535"/>
      <c r="AD256" s="535"/>
      <c r="AE256" s="535"/>
      <c r="AF256" s="535"/>
      <c r="AG256" s="535"/>
      <c r="AH256" s="535"/>
      <c r="AI256" s="535"/>
      <c r="AJ256" s="535"/>
      <c r="AK256" s="535"/>
      <c r="AL256" s="535"/>
      <c r="AM256" s="535"/>
      <c r="AN256" s="451" t="str">
        <f>'8. Volumes'!C7</f>
        <v>GAD701 GEN2 GA</v>
      </c>
      <c r="AO256" s="535"/>
      <c r="AP256" s="451">
        <v>222</v>
      </c>
      <c r="AQ256" s="451" t="str">
        <f>Settings!$A$1</f>
        <v>V2</v>
      </c>
    </row>
    <row r="257" spans="1:43">
      <c r="A257" s="451">
        <f>'Input-FX Rates'!$C$4</f>
        <v>242</v>
      </c>
      <c r="B257" s="451" t="str">
        <f>'Input-FX Rates'!$B$4</f>
        <v>ICH Icheon (242)</v>
      </c>
      <c r="C257" s="451">
        <f>'Input-FX Rates'!$C$6</f>
        <v>780</v>
      </c>
      <c r="D257" s="451" t="str">
        <f>'Input-FX Rates'!$B$6</f>
        <v>780 BU Controls</v>
      </c>
      <c r="E257" s="451" t="str">
        <f>'Input-FX Rates'!$C$5</f>
        <v>7821 &amp; 7822</v>
      </c>
      <c r="F257" s="451" t="str">
        <f>'Input-FX Rates'!$B$5</f>
        <v>7821 PL Drivetrain Controls (&amp; Electrification)</v>
      </c>
      <c r="G257" s="451" t="s">
        <v>1525</v>
      </c>
      <c r="H257" s="451" t="s">
        <v>1527</v>
      </c>
      <c r="I257" s="535"/>
      <c r="J257" s="536">
        <f>'8. Volumes'!A8</f>
        <v>0.37759140775405914</v>
      </c>
      <c r="K257" s="535"/>
      <c r="L257" s="536">
        <f>'8. Volumes'!B8</f>
        <v>524</v>
      </c>
      <c r="M257" s="535"/>
      <c r="N257" s="535"/>
      <c r="O257" s="536">
        <f>'8. Volumes'!D8</f>
        <v>485</v>
      </c>
      <c r="P257" s="535"/>
      <c r="Q257" s="535"/>
      <c r="R257" s="535"/>
      <c r="S257" s="535"/>
      <c r="T257" s="535"/>
      <c r="U257" s="535"/>
      <c r="V257" s="535"/>
      <c r="W257" s="535"/>
      <c r="X257" s="535"/>
      <c r="Y257" s="535"/>
      <c r="Z257" s="535"/>
      <c r="AA257" s="535"/>
      <c r="AB257" s="535"/>
      <c r="AC257" s="535"/>
      <c r="AD257" s="535"/>
      <c r="AE257" s="535"/>
      <c r="AF257" s="535"/>
      <c r="AG257" s="535"/>
      <c r="AH257" s="535"/>
      <c r="AI257" s="535"/>
      <c r="AJ257" s="535"/>
      <c r="AK257" s="535"/>
      <c r="AL257" s="535"/>
      <c r="AM257" s="535"/>
      <c r="AN257" s="451" t="str">
        <f>'8. Volumes'!C8</f>
        <v>TAD701 GEN2 TCU</v>
      </c>
      <c r="AO257" s="535"/>
      <c r="AP257" s="451">
        <v>223</v>
      </c>
      <c r="AQ257" s="451" t="str">
        <f>Settings!$A$1</f>
        <v>V2</v>
      </c>
    </row>
    <row r="258" spans="1:43">
      <c r="A258" s="451">
        <f>'Input-FX Rates'!$C$4</f>
        <v>242</v>
      </c>
      <c r="B258" s="451" t="str">
        <f>'Input-FX Rates'!$B$4</f>
        <v>ICH Icheon (242)</v>
      </c>
      <c r="C258" s="451">
        <f>'Input-FX Rates'!$C$6</f>
        <v>780</v>
      </c>
      <c r="D258" s="451" t="str">
        <f>'Input-FX Rates'!$B$6</f>
        <v>780 BU Controls</v>
      </c>
      <c r="E258" s="451" t="str">
        <f>'Input-FX Rates'!$C$5</f>
        <v>7821 &amp; 7822</v>
      </c>
      <c r="F258" s="451" t="str">
        <f>'Input-FX Rates'!$B$5</f>
        <v>7821 PL Drivetrain Controls (&amp; Electrification)</v>
      </c>
      <c r="G258" s="451" t="s">
        <v>1525</v>
      </c>
      <c r="H258" s="451" t="s">
        <v>1528</v>
      </c>
      <c r="I258" s="535"/>
      <c r="J258" s="536">
        <f>'8. Volumes'!A9</f>
        <v>0.35406314155235252</v>
      </c>
      <c r="K258" s="535"/>
      <c r="L258" s="536">
        <f>'8. Volumes'!B9</f>
        <v>237</v>
      </c>
      <c r="M258" s="535"/>
      <c r="N258" s="535"/>
      <c r="O258" s="536">
        <f>'8. Volumes'!D9</f>
        <v>253</v>
      </c>
      <c r="P258" s="535"/>
      <c r="Q258" s="535"/>
      <c r="R258" s="535"/>
      <c r="S258" s="535"/>
      <c r="T258" s="535"/>
      <c r="U258" s="535"/>
      <c r="V258" s="535"/>
      <c r="W258" s="535"/>
      <c r="X258" s="535"/>
      <c r="Y258" s="535"/>
      <c r="Z258" s="535"/>
      <c r="AA258" s="535"/>
      <c r="AB258" s="535"/>
      <c r="AC258" s="535"/>
      <c r="AD258" s="535"/>
      <c r="AE258" s="535"/>
      <c r="AF258" s="535"/>
      <c r="AG258" s="535"/>
      <c r="AH258" s="535"/>
      <c r="AI258" s="535"/>
      <c r="AJ258" s="535"/>
      <c r="AK258" s="535"/>
      <c r="AL258" s="535"/>
      <c r="AM258" s="535"/>
      <c r="AN258" s="451" t="str">
        <f>'8. Volumes'!C9</f>
        <v>TAD801 WET TCU</v>
      </c>
      <c r="AO258" s="535"/>
      <c r="AP258" s="451">
        <v>224</v>
      </c>
      <c r="AQ258" s="451" t="str">
        <f>Settings!$A$1</f>
        <v>V2</v>
      </c>
    </row>
    <row r="259" spans="1:43">
      <c r="A259" s="451">
        <f>'Input-FX Rates'!$C$4</f>
        <v>242</v>
      </c>
      <c r="B259" s="451" t="str">
        <f>'Input-FX Rates'!$B$4</f>
        <v>ICH Icheon (242)</v>
      </c>
      <c r="C259" s="451">
        <f>'Input-FX Rates'!$C$6</f>
        <v>780</v>
      </c>
      <c r="D259" s="451" t="str">
        <f>'Input-FX Rates'!$B$6</f>
        <v>780 BU Controls</v>
      </c>
      <c r="E259" s="451" t="str">
        <f>'Input-FX Rates'!$C$5</f>
        <v>7821 &amp; 7822</v>
      </c>
      <c r="F259" s="451" t="str">
        <f>'Input-FX Rates'!$B$5</f>
        <v>7821 PL Drivetrain Controls (&amp; Electrification)</v>
      </c>
      <c r="G259" s="451" t="s">
        <v>1525</v>
      </c>
      <c r="H259" s="451" t="s">
        <v>1529</v>
      </c>
      <c r="I259" s="535"/>
      <c r="J259" s="536">
        <f>'8. Volumes'!A10</f>
        <v>0.36581202430389548</v>
      </c>
      <c r="K259" s="535"/>
      <c r="L259" s="536">
        <f>'8. Volumes'!B10</f>
        <v>127.749</v>
      </c>
      <c r="M259" s="535"/>
      <c r="N259" s="535"/>
      <c r="O259" s="536">
        <f>'8. Volumes'!D10</f>
        <v>154.4</v>
      </c>
      <c r="P259" s="535"/>
      <c r="Q259" s="535"/>
      <c r="R259" s="535"/>
      <c r="S259" s="535"/>
      <c r="T259" s="535"/>
      <c r="U259" s="535"/>
      <c r="V259" s="535"/>
      <c r="W259" s="535"/>
      <c r="X259" s="535"/>
      <c r="Y259" s="535"/>
      <c r="Z259" s="535"/>
      <c r="AA259" s="535"/>
      <c r="AB259" s="535"/>
      <c r="AC259" s="535"/>
      <c r="AD259" s="535"/>
      <c r="AE259" s="535"/>
      <c r="AF259" s="535"/>
      <c r="AG259" s="535"/>
      <c r="AH259" s="535"/>
      <c r="AI259" s="535"/>
      <c r="AJ259" s="535"/>
      <c r="AK259" s="535"/>
      <c r="AL259" s="535"/>
      <c r="AM259" s="535"/>
      <c r="AN259" s="451" t="str">
        <f>'8. Volumes'!C10</f>
        <v>TCU SIM2K-305</v>
      </c>
      <c r="AO259" s="535"/>
      <c r="AP259" s="451">
        <v>225</v>
      </c>
      <c r="AQ259" s="451" t="str">
        <f>Settings!$A$1</f>
        <v>V2</v>
      </c>
    </row>
    <row r="260" spans="1:43">
      <c r="A260" s="451">
        <f>'Input-FX Rates'!$C$4</f>
        <v>242</v>
      </c>
      <c r="B260" s="451" t="str">
        <f>'Input-FX Rates'!$B$4</f>
        <v>ICH Icheon (242)</v>
      </c>
      <c r="C260" s="451">
        <f>'Input-FX Rates'!$C$6</f>
        <v>780</v>
      </c>
      <c r="D260" s="451" t="str">
        <f>'Input-FX Rates'!$B$6</f>
        <v>780 BU Controls</v>
      </c>
      <c r="E260" s="451" t="str">
        <f>'Input-FX Rates'!$C$5</f>
        <v>7821 &amp; 7822</v>
      </c>
      <c r="F260" s="451" t="str">
        <f>'Input-FX Rates'!$B$5</f>
        <v>7821 PL Drivetrain Controls (&amp; Electrification)</v>
      </c>
      <c r="G260" s="451" t="s">
        <v>1525</v>
      </c>
      <c r="H260" s="451" t="s">
        <v>1530</v>
      </c>
      <c r="I260" s="535"/>
      <c r="J260" s="536">
        <f>'8. Volumes'!A11</f>
        <v>0.34849963468921441</v>
      </c>
      <c r="K260" s="535"/>
      <c r="L260" s="536">
        <f>'8. Volumes'!B11</f>
        <v>85.024000000000001</v>
      </c>
      <c r="M260" s="535"/>
      <c r="N260" s="535"/>
      <c r="O260" s="536">
        <f>'8. Volumes'!D11</f>
        <v>128.4</v>
      </c>
      <c r="P260" s="535"/>
      <c r="Q260" s="535"/>
      <c r="R260" s="535"/>
      <c r="S260" s="535"/>
      <c r="T260" s="535"/>
      <c r="U260" s="535"/>
      <c r="V260" s="535"/>
      <c r="W260" s="535"/>
      <c r="X260" s="535"/>
      <c r="Y260" s="535"/>
      <c r="Z260" s="535"/>
      <c r="AA260" s="535"/>
      <c r="AB260" s="535"/>
      <c r="AC260" s="535"/>
      <c r="AD260" s="535"/>
      <c r="AE260" s="535"/>
      <c r="AF260" s="535"/>
      <c r="AG260" s="535"/>
      <c r="AH260" s="535"/>
      <c r="AI260" s="535"/>
      <c r="AJ260" s="535"/>
      <c r="AK260" s="535"/>
      <c r="AL260" s="535"/>
      <c r="AM260" s="535"/>
      <c r="AN260" s="451" t="str">
        <f>'8. Volumes'!C11</f>
        <v>TCU SIM2K-310</v>
      </c>
      <c r="AO260" s="535"/>
      <c r="AP260" s="451">
        <v>226</v>
      </c>
      <c r="AQ260" s="451" t="str">
        <f>Settings!$A$1</f>
        <v>V2</v>
      </c>
    </row>
    <row r="261" spans="1:43">
      <c r="A261" s="451">
        <f>'Input-FX Rates'!$C$4</f>
        <v>242</v>
      </c>
      <c r="B261" s="451" t="str">
        <f>'Input-FX Rates'!$B$4</f>
        <v>ICH Icheon (242)</v>
      </c>
      <c r="C261" s="451">
        <f>'Input-FX Rates'!$C$6</f>
        <v>780</v>
      </c>
      <c r="D261" s="451" t="str">
        <f>'Input-FX Rates'!$B$6</f>
        <v>780 BU Controls</v>
      </c>
      <c r="E261" s="451" t="str">
        <f>'Input-FX Rates'!$C$5</f>
        <v>7821 &amp; 7822</v>
      </c>
      <c r="F261" s="451" t="str">
        <f>'Input-FX Rates'!$B$5</f>
        <v>7821 PL Drivetrain Controls (&amp; Electrification)</v>
      </c>
      <c r="G261" s="451" t="s">
        <v>1525</v>
      </c>
      <c r="H261" s="451" t="s">
        <v>1531</v>
      </c>
      <c r="I261" s="535"/>
      <c r="J261" s="536">
        <f>'8. Volumes'!A12</f>
        <v>0.53574780286326518</v>
      </c>
      <c r="K261" s="535"/>
      <c r="L261" s="536">
        <f>'8. Volumes'!B12</f>
        <v>5.32</v>
      </c>
      <c r="M261" s="535"/>
      <c r="N261" s="535"/>
      <c r="O261" s="536">
        <f>'8. Volumes'!D12</f>
        <v>0</v>
      </c>
      <c r="P261" s="535"/>
      <c r="Q261" s="535"/>
      <c r="R261" s="535"/>
      <c r="S261" s="535"/>
      <c r="T261" s="535"/>
      <c r="U261" s="535"/>
      <c r="V261" s="535"/>
      <c r="W261" s="535"/>
      <c r="X261" s="535"/>
      <c r="Y261" s="535"/>
      <c r="Z261" s="535"/>
      <c r="AA261" s="535"/>
      <c r="AB261" s="535"/>
      <c r="AC261" s="535"/>
      <c r="AD261" s="535"/>
      <c r="AE261" s="535"/>
      <c r="AF261" s="535"/>
      <c r="AG261" s="535"/>
      <c r="AH261" s="535"/>
      <c r="AI261" s="535"/>
      <c r="AJ261" s="535"/>
      <c r="AK261" s="535"/>
      <c r="AL261" s="535"/>
      <c r="AM261" s="535"/>
      <c r="AN261" s="451" t="str">
        <f>'8. Volumes'!C12</f>
        <v>TCU SIM2K-91</v>
      </c>
      <c r="AO261" s="535"/>
      <c r="AP261" s="451">
        <v>227</v>
      </c>
      <c r="AQ261" s="451" t="str">
        <f>Settings!$A$1</f>
        <v>V2</v>
      </c>
    </row>
    <row r="262" spans="1:43">
      <c r="A262" s="451">
        <f>'Input-FX Rates'!$C$4</f>
        <v>242</v>
      </c>
      <c r="B262" s="451" t="str">
        <f>'Input-FX Rates'!$B$4</f>
        <v>ICH Icheon (242)</v>
      </c>
      <c r="C262" s="451">
        <f>'Input-FX Rates'!$C$6</f>
        <v>780</v>
      </c>
      <c r="D262" s="451" t="str">
        <f>'Input-FX Rates'!$B$6</f>
        <v>780 BU Controls</v>
      </c>
      <c r="E262" s="451" t="str">
        <f>'Input-FX Rates'!$C$5</f>
        <v>7821 &amp; 7822</v>
      </c>
      <c r="F262" s="451" t="str">
        <f>'Input-FX Rates'!$B$5</f>
        <v>7821 PL Drivetrain Controls (&amp; Electrification)</v>
      </c>
      <c r="G262" s="451" t="s">
        <v>1525</v>
      </c>
      <c r="H262" s="451" t="s">
        <v>1532</v>
      </c>
      <c r="I262" s="535"/>
      <c r="J262" s="536">
        <f>'8. Volumes'!A13</f>
        <v>0.44220753590563888</v>
      </c>
      <c r="K262" s="535"/>
      <c r="L262" s="536">
        <f>'8. Volumes'!B13</f>
        <v>4.5540000000000003</v>
      </c>
      <c r="M262" s="535"/>
      <c r="N262" s="535"/>
      <c r="O262" s="536">
        <f>'8. Volumes'!D13</f>
        <v>0</v>
      </c>
      <c r="P262" s="535"/>
      <c r="Q262" s="535"/>
      <c r="R262" s="535"/>
      <c r="S262" s="535"/>
      <c r="T262" s="535"/>
      <c r="U262" s="535"/>
      <c r="V262" s="535"/>
      <c r="W262" s="535"/>
      <c r="X262" s="535"/>
      <c r="Y262" s="535"/>
      <c r="Z262" s="535"/>
      <c r="AA262" s="535"/>
      <c r="AB262" s="535"/>
      <c r="AC262" s="535"/>
      <c r="AD262" s="535"/>
      <c r="AE262" s="535"/>
      <c r="AF262" s="535"/>
      <c r="AG262" s="535"/>
      <c r="AH262" s="535"/>
      <c r="AI262" s="535"/>
      <c r="AJ262" s="535"/>
      <c r="AK262" s="535"/>
      <c r="AL262" s="535"/>
      <c r="AM262" s="535"/>
      <c r="AN262" s="451" t="str">
        <f>'8. Volumes'!C13</f>
        <v>TCU SIM2K-303</v>
      </c>
      <c r="AO262" s="535"/>
      <c r="AP262" s="451">
        <v>228</v>
      </c>
      <c r="AQ262" s="451" t="str">
        <f>Settings!$A$1</f>
        <v>V2</v>
      </c>
    </row>
    <row r="263" spans="1:43">
      <c r="A263" s="451">
        <f>'Input-FX Rates'!$C$4</f>
        <v>242</v>
      </c>
      <c r="B263" s="451" t="str">
        <f>'Input-FX Rates'!$B$4</f>
        <v>ICH Icheon (242)</v>
      </c>
      <c r="C263" s="451">
        <f>'Input-FX Rates'!$C$6</f>
        <v>780</v>
      </c>
      <c r="D263" s="451" t="str">
        <f>'Input-FX Rates'!$B$6</f>
        <v>780 BU Controls</v>
      </c>
      <c r="E263" s="451" t="str">
        <f>'Input-FX Rates'!$C$5</f>
        <v>7821 &amp; 7822</v>
      </c>
      <c r="F263" s="451" t="str">
        <f>'Input-FX Rates'!$B$5</f>
        <v>7821 PL Drivetrain Controls (&amp; Electrification)</v>
      </c>
      <c r="G263" s="451" t="s">
        <v>1525</v>
      </c>
      <c r="H263" s="451" t="s">
        <v>1533</v>
      </c>
      <c r="I263" s="535"/>
      <c r="J263" s="536">
        <f>'8. Volumes'!A14</f>
        <v>0.34239319568887161</v>
      </c>
      <c r="K263" s="535"/>
      <c r="L263" s="536">
        <f>'8. Volumes'!B14</f>
        <v>2.5000000000000001E-2</v>
      </c>
      <c r="M263" s="535"/>
      <c r="N263" s="535"/>
      <c r="O263" s="536">
        <f>'8. Volumes'!D14</f>
        <v>0</v>
      </c>
      <c r="P263" s="535"/>
      <c r="Q263" s="535"/>
      <c r="R263" s="535"/>
      <c r="S263" s="535"/>
      <c r="T263" s="535"/>
      <c r="U263" s="535"/>
      <c r="V263" s="535"/>
      <c r="W263" s="535"/>
      <c r="X263" s="535"/>
      <c r="Y263" s="535"/>
      <c r="Z263" s="535"/>
      <c r="AA263" s="535"/>
      <c r="AB263" s="535"/>
      <c r="AC263" s="535"/>
      <c r="AD263" s="535"/>
      <c r="AE263" s="535"/>
      <c r="AF263" s="535"/>
      <c r="AG263" s="535"/>
      <c r="AH263" s="535"/>
      <c r="AI263" s="535"/>
      <c r="AJ263" s="535"/>
      <c r="AK263" s="535"/>
      <c r="AL263" s="535"/>
      <c r="AM263" s="535"/>
      <c r="AN263" s="451" t="str">
        <f>'8. Volumes'!C14</f>
        <v>TCU SIM2K-301</v>
      </c>
      <c r="AO263" s="535"/>
      <c r="AP263" s="451">
        <v>229</v>
      </c>
      <c r="AQ263" s="451" t="str">
        <f>Settings!$A$1</f>
        <v>V2</v>
      </c>
    </row>
    <row r="264" spans="1:43">
      <c r="A264" s="451">
        <f>'Input-FX Rates'!$C$4</f>
        <v>242</v>
      </c>
      <c r="B264" s="451" t="str">
        <f>'Input-FX Rates'!$B$4</f>
        <v>ICH Icheon (242)</v>
      </c>
      <c r="C264" s="451">
        <f>'Input-FX Rates'!$C$6</f>
        <v>780</v>
      </c>
      <c r="D264" s="451" t="str">
        <f>'Input-FX Rates'!$B$6</f>
        <v>780 BU Controls</v>
      </c>
      <c r="E264" s="451" t="str">
        <f>'Input-FX Rates'!$C$5</f>
        <v>7821 &amp; 7822</v>
      </c>
      <c r="F264" s="451" t="str">
        <f>'Input-FX Rates'!$B$5</f>
        <v>7821 PL Drivetrain Controls (&amp; Electrification)</v>
      </c>
      <c r="G264" s="451" t="s">
        <v>1525</v>
      </c>
      <c r="H264" s="451" t="s">
        <v>1534</v>
      </c>
      <c r="I264" s="535"/>
      <c r="J264" s="536">
        <f>'8. Volumes'!A15</f>
        <v>0</v>
      </c>
      <c r="K264" s="535"/>
      <c r="L264" s="536">
        <f>'8. Volumes'!B15</f>
        <v>0</v>
      </c>
      <c r="M264" s="535"/>
      <c r="N264" s="535"/>
      <c r="O264" s="536">
        <f>'8. Volumes'!D15</f>
        <v>0</v>
      </c>
      <c r="P264" s="535"/>
      <c r="Q264" s="535"/>
      <c r="R264" s="535"/>
      <c r="S264" s="535"/>
      <c r="T264" s="535"/>
      <c r="U264" s="535"/>
      <c r="V264" s="535"/>
      <c r="W264" s="535"/>
      <c r="X264" s="535"/>
      <c r="Y264" s="535"/>
      <c r="Z264" s="535"/>
      <c r="AA264" s="535"/>
      <c r="AB264" s="535"/>
      <c r="AC264" s="535"/>
      <c r="AD264" s="535"/>
      <c r="AE264" s="535"/>
      <c r="AF264" s="535"/>
      <c r="AG264" s="535"/>
      <c r="AH264" s="535"/>
      <c r="AI264" s="535"/>
      <c r="AJ264" s="535"/>
      <c r="AK264" s="535"/>
      <c r="AL264" s="535"/>
      <c r="AM264" s="535"/>
      <c r="AN264" s="451">
        <f>'8. Volumes'!C15</f>
        <v>0</v>
      </c>
      <c r="AO264" s="535"/>
      <c r="AP264" s="451">
        <v>230</v>
      </c>
      <c r="AQ264" s="451" t="str">
        <f>Settings!$A$1</f>
        <v>V2</v>
      </c>
    </row>
    <row r="265" spans="1:43">
      <c r="A265" s="451">
        <f>'Input-FX Rates'!$C$4</f>
        <v>242</v>
      </c>
      <c r="B265" s="451" t="str">
        <f>'Input-FX Rates'!$B$4</f>
        <v>ICH Icheon (242)</v>
      </c>
      <c r="C265" s="451">
        <f>'Input-FX Rates'!$C$6</f>
        <v>780</v>
      </c>
      <c r="D265" s="451" t="str">
        <f>'Input-FX Rates'!$B$6</f>
        <v>780 BU Controls</v>
      </c>
      <c r="E265" s="451" t="str">
        <f>'Input-FX Rates'!$C$5</f>
        <v>7821 &amp; 7822</v>
      </c>
      <c r="F265" s="451" t="str">
        <f>'Input-FX Rates'!$B$5</f>
        <v>7821 PL Drivetrain Controls (&amp; Electrification)</v>
      </c>
      <c r="G265" s="451" t="s">
        <v>1525</v>
      </c>
      <c r="H265" s="451" t="s">
        <v>1535</v>
      </c>
      <c r="I265" s="535"/>
      <c r="J265" s="536">
        <f>'8. Volumes'!A16</f>
        <v>0</v>
      </c>
      <c r="K265" s="535"/>
      <c r="L265" s="536">
        <f>'8. Volumes'!B16</f>
        <v>0</v>
      </c>
      <c r="M265" s="535"/>
      <c r="N265" s="535"/>
      <c r="O265" s="536">
        <f>'8. Volumes'!D16</f>
        <v>0</v>
      </c>
      <c r="P265" s="535"/>
      <c r="Q265" s="535"/>
      <c r="R265" s="535"/>
      <c r="S265" s="535"/>
      <c r="T265" s="535"/>
      <c r="U265" s="535"/>
      <c r="V265" s="535"/>
      <c r="W265" s="535"/>
      <c r="X265" s="535"/>
      <c r="Y265" s="535"/>
      <c r="Z265" s="535"/>
      <c r="AA265" s="535"/>
      <c r="AB265" s="535"/>
      <c r="AC265" s="535"/>
      <c r="AD265" s="535"/>
      <c r="AE265" s="535"/>
      <c r="AF265" s="535"/>
      <c r="AG265" s="535"/>
      <c r="AH265" s="535"/>
      <c r="AI265" s="535"/>
      <c r="AJ265" s="535"/>
      <c r="AK265" s="535"/>
      <c r="AL265" s="535"/>
      <c r="AM265" s="535"/>
      <c r="AN265" s="451">
        <f>'8. Volumes'!C16</f>
        <v>0</v>
      </c>
      <c r="AO265" s="535"/>
      <c r="AP265" s="451">
        <v>231</v>
      </c>
      <c r="AQ265" s="451" t="str">
        <f>Settings!$A$1</f>
        <v>V2</v>
      </c>
    </row>
    <row r="266" spans="1:43">
      <c r="A266" s="451">
        <f>'Input-FX Rates'!$C$4</f>
        <v>242</v>
      </c>
      <c r="B266" s="451" t="str">
        <f>'Input-FX Rates'!$B$4</f>
        <v>ICH Icheon (242)</v>
      </c>
      <c r="C266" s="451">
        <f>'Input-FX Rates'!$C$6</f>
        <v>780</v>
      </c>
      <c r="D266" s="451" t="str">
        <f>'Input-FX Rates'!$B$6</f>
        <v>780 BU Controls</v>
      </c>
      <c r="E266" s="451" t="str">
        <f>'Input-FX Rates'!$C$5</f>
        <v>7821 &amp; 7822</v>
      </c>
      <c r="F266" s="451" t="str">
        <f>'Input-FX Rates'!$B$5</f>
        <v>7821 PL Drivetrain Controls (&amp; Electrification)</v>
      </c>
      <c r="G266" s="451" t="s">
        <v>1525</v>
      </c>
      <c r="H266" s="451" t="s">
        <v>1536</v>
      </c>
      <c r="I266" s="535"/>
      <c r="J266" s="536">
        <f>'8. Volumes'!A17</f>
        <v>0</v>
      </c>
      <c r="K266" s="535"/>
      <c r="L266" s="536">
        <f>'8. Volumes'!B17</f>
        <v>0</v>
      </c>
      <c r="M266" s="535"/>
      <c r="N266" s="535"/>
      <c r="O266" s="536">
        <f>'8. Volumes'!D17</f>
        <v>0</v>
      </c>
      <c r="P266" s="535"/>
      <c r="Q266" s="535"/>
      <c r="R266" s="535"/>
      <c r="S266" s="535"/>
      <c r="T266" s="535"/>
      <c r="U266" s="535"/>
      <c r="V266" s="535"/>
      <c r="W266" s="535"/>
      <c r="X266" s="535"/>
      <c r="Y266" s="535"/>
      <c r="Z266" s="535"/>
      <c r="AA266" s="535"/>
      <c r="AB266" s="535"/>
      <c r="AC266" s="535"/>
      <c r="AD266" s="535"/>
      <c r="AE266" s="535"/>
      <c r="AF266" s="535"/>
      <c r="AG266" s="535"/>
      <c r="AH266" s="535"/>
      <c r="AI266" s="535"/>
      <c r="AJ266" s="535"/>
      <c r="AK266" s="535"/>
      <c r="AL266" s="535"/>
      <c r="AM266" s="535"/>
      <c r="AN266" s="451">
        <f>'8. Volumes'!C17</f>
        <v>0</v>
      </c>
      <c r="AO266" s="535"/>
      <c r="AP266" s="451">
        <v>232</v>
      </c>
      <c r="AQ266" s="451" t="str">
        <f>Settings!$A$1</f>
        <v>V2</v>
      </c>
    </row>
    <row r="267" spans="1:43" s="537" customFormat="1">
      <c r="A267" s="537">
        <f>'Input-FX Rates'!$C$4</f>
        <v>242</v>
      </c>
      <c r="B267" s="537" t="str">
        <f>'Input-FX Rates'!$B$4</f>
        <v>ICH Icheon (242)</v>
      </c>
      <c r="C267" s="537">
        <f>'Input-FX Rates'!$C$6</f>
        <v>780</v>
      </c>
      <c r="D267" s="537" t="str">
        <f>'Input-FX Rates'!$B$6</f>
        <v>780 BU Controls</v>
      </c>
      <c r="E267" s="537" t="str">
        <f>'Input-FX Rates'!$C$5</f>
        <v>7821 &amp; 7822</v>
      </c>
      <c r="F267" s="537" t="str">
        <f>'Input-FX Rates'!$B$5</f>
        <v>7821 PL Drivetrain Controls (&amp; Electrification)</v>
      </c>
      <c r="G267" s="537" t="s">
        <v>1525</v>
      </c>
      <c r="H267" s="537" t="s">
        <v>711</v>
      </c>
      <c r="I267" s="538"/>
      <c r="J267" s="539">
        <f>'8. Volumes'!A18</f>
        <v>0</v>
      </c>
      <c r="K267" s="538"/>
      <c r="L267" s="539">
        <f>'8. Volumes'!B18</f>
        <v>1507.6720000000003</v>
      </c>
      <c r="M267" s="538"/>
      <c r="N267" s="538"/>
      <c r="O267" s="539">
        <f>'8. Volumes'!D18</f>
        <v>1505.8000000000002</v>
      </c>
      <c r="P267" s="538"/>
      <c r="Q267" s="538"/>
      <c r="R267" s="538"/>
      <c r="S267" s="538"/>
      <c r="T267" s="538"/>
      <c r="U267" s="538"/>
      <c r="V267" s="538"/>
      <c r="W267" s="538"/>
      <c r="X267" s="538"/>
      <c r="Y267" s="538"/>
      <c r="Z267" s="538"/>
      <c r="AA267" s="538"/>
      <c r="AB267" s="538"/>
      <c r="AC267" s="538"/>
      <c r="AD267" s="538"/>
      <c r="AE267" s="538"/>
      <c r="AF267" s="538"/>
      <c r="AG267" s="538"/>
      <c r="AH267" s="538"/>
      <c r="AI267" s="538"/>
      <c r="AJ267" s="538"/>
      <c r="AK267" s="538"/>
      <c r="AL267" s="538"/>
      <c r="AM267" s="538"/>
      <c r="AN267" s="538"/>
      <c r="AO267" s="538"/>
      <c r="AP267" s="537">
        <v>233</v>
      </c>
      <c r="AQ267" s="537" t="str">
        <f>Settings!$A$1</f>
        <v>V2</v>
      </c>
    </row>
    <row r="268" spans="1:43">
      <c r="A268" s="451">
        <f>'Input-FX Rates'!$C$4</f>
        <v>242</v>
      </c>
      <c r="B268" s="451" t="str">
        <f>'Input-FX Rates'!$B$4</f>
        <v>ICH Icheon (242)</v>
      </c>
      <c r="C268" s="451">
        <f>'Input-FX Rates'!$C$6</f>
        <v>780</v>
      </c>
      <c r="D268" s="451" t="str">
        <f>'Input-FX Rates'!$B$6</f>
        <v>780 BU Controls</v>
      </c>
      <c r="E268" s="451" t="str">
        <f>'Input-FX Rates'!$C$5</f>
        <v>7821 &amp; 7822</v>
      </c>
      <c r="F268" s="451" t="str">
        <f>'Input-FX Rates'!$B$5</f>
        <v>7821 PL Drivetrain Controls (&amp; Electrification)</v>
      </c>
      <c r="G268" s="451" t="s">
        <v>713</v>
      </c>
      <c r="H268" s="451" t="s">
        <v>1123</v>
      </c>
      <c r="I268" s="535"/>
      <c r="J268" s="536">
        <f>'10. Purchasing (GC)'!C8</f>
        <v>-55334.996559599997</v>
      </c>
      <c r="K268" s="535"/>
      <c r="L268" s="535"/>
      <c r="M268" s="535"/>
      <c r="N268" s="535"/>
      <c r="O268" s="536">
        <f>'10. Purchasing (GC)'!D8</f>
        <v>-54807.617285199995</v>
      </c>
      <c r="P268" s="535"/>
      <c r="Q268" s="535"/>
      <c r="R268" s="535"/>
      <c r="S268" s="535"/>
      <c r="T268" s="535"/>
      <c r="U268" s="535"/>
      <c r="V268" s="535"/>
      <c r="W268" s="535"/>
      <c r="X268" s="535"/>
      <c r="Y268" s="535"/>
      <c r="Z268" s="535"/>
      <c r="AA268" s="535"/>
      <c r="AB268" s="535"/>
      <c r="AC268" s="535"/>
      <c r="AD268" s="535"/>
      <c r="AE268" s="535"/>
      <c r="AF268" s="535"/>
      <c r="AG268" s="535"/>
      <c r="AH268" s="535"/>
      <c r="AI268" s="535"/>
      <c r="AJ268" s="535"/>
      <c r="AK268" s="535"/>
      <c r="AL268" s="535"/>
      <c r="AM268" s="535"/>
      <c r="AN268" s="535"/>
      <c r="AO268" s="451" t="str">
        <f>'10. Purchasing (GC)'!G8</f>
        <v/>
      </c>
      <c r="AP268" s="451">
        <v>278</v>
      </c>
      <c r="AQ268" s="451" t="str">
        <f>Settings!$A$1</f>
        <v>V2</v>
      </c>
    </row>
    <row r="269" spans="1:43">
      <c r="A269" s="451">
        <f>'Input-FX Rates'!$C$4</f>
        <v>242</v>
      </c>
      <c r="B269" s="451" t="str">
        <f>'Input-FX Rates'!$B$4</f>
        <v>ICH Icheon (242)</v>
      </c>
      <c r="C269" s="451">
        <f>'Input-FX Rates'!$C$6</f>
        <v>780</v>
      </c>
      <c r="D269" s="451" t="str">
        <f>'Input-FX Rates'!$B$6</f>
        <v>780 BU Controls</v>
      </c>
      <c r="E269" s="451" t="str">
        <f>'Input-FX Rates'!$C$5</f>
        <v>7821 &amp; 7822</v>
      </c>
      <c r="F269" s="451" t="str">
        <f>'Input-FX Rates'!$B$5</f>
        <v>7821 PL Drivetrain Controls (&amp; Electrification)</v>
      </c>
      <c r="G269" s="451" t="s">
        <v>713</v>
      </c>
      <c r="H269" s="451" t="s">
        <v>1537</v>
      </c>
      <c r="I269" s="535"/>
      <c r="J269" s="536">
        <f>'10. Purchasing (GC)'!C9</f>
        <v>10837.31724</v>
      </c>
      <c r="K269" s="535"/>
      <c r="L269" s="535"/>
      <c r="M269" s="535"/>
      <c r="N269" s="535"/>
      <c r="O269" s="536">
        <f>'10. Purchasing (GC)'!D9</f>
        <v>10837.31724</v>
      </c>
      <c r="P269" s="535"/>
      <c r="Q269" s="535"/>
      <c r="R269" s="535"/>
      <c r="S269" s="535"/>
      <c r="T269" s="535"/>
      <c r="U269" s="535"/>
      <c r="V269" s="535"/>
      <c r="W269" s="535"/>
      <c r="X269" s="535"/>
      <c r="Y269" s="535"/>
      <c r="Z269" s="535"/>
      <c r="AA269" s="535"/>
      <c r="AB269" s="535"/>
      <c r="AC269" s="535"/>
      <c r="AD269" s="535"/>
      <c r="AE269" s="535"/>
      <c r="AF269" s="535"/>
      <c r="AG269" s="535"/>
      <c r="AH269" s="535"/>
      <c r="AI269" s="535"/>
      <c r="AJ269" s="535"/>
      <c r="AK269" s="535"/>
      <c r="AL269" s="535"/>
      <c r="AM269" s="535"/>
      <c r="AN269" s="536" t="str">
        <f>'10. Purchasing (GC)'!A9</f>
        <v>BOM price update_A2C76249204 (Customer directed part)</v>
      </c>
      <c r="AO269" s="451" t="str">
        <f>'10. Purchasing (GC)'!G9</f>
        <v/>
      </c>
      <c r="AP269" s="451">
        <v>279</v>
      </c>
      <c r="AQ269" s="451" t="str">
        <f>Settings!$A$1</f>
        <v>V2</v>
      </c>
    </row>
    <row r="270" spans="1:43">
      <c r="A270" s="451">
        <f>'Input-FX Rates'!$C$4</f>
        <v>242</v>
      </c>
      <c r="B270" s="451" t="str">
        <f>'Input-FX Rates'!$B$4</f>
        <v>ICH Icheon (242)</v>
      </c>
      <c r="C270" s="451">
        <f>'Input-FX Rates'!$C$6</f>
        <v>780</v>
      </c>
      <c r="D270" s="451" t="str">
        <f>'Input-FX Rates'!$B$6</f>
        <v>780 BU Controls</v>
      </c>
      <c r="E270" s="451" t="str">
        <f>'Input-FX Rates'!$C$5</f>
        <v>7821 &amp; 7822</v>
      </c>
      <c r="F270" s="451" t="str">
        <f>'Input-FX Rates'!$B$5</f>
        <v>7821 PL Drivetrain Controls (&amp; Electrification)</v>
      </c>
      <c r="G270" s="451" t="s">
        <v>713</v>
      </c>
      <c r="H270" s="451" t="s">
        <v>1538</v>
      </c>
      <c r="I270" s="535"/>
      <c r="J270" s="536">
        <f>'10. Purchasing (GC)'!C10</f>
        <v>0</v>
      </c>
      <c r="K270" s="535"/>
      <c r="L270" s="535"/>
      <c r="M270" s="535"/>
      <c r="N270" s="535"/>
      <c r="O270" s="536">
        <f>'10. Purchasing (GC)'!D10</f>
        <v>0</v>
      </c>
      <c r="P270" s="535"/>
      <c r="Q270" s="535"/>
      <c r="R270" s="535"/>
      <c r="S270" s="535"/>
      <c r="T270" s="535"/>
      <c r="U270" s="535"/>
      <c r="V270" s="535"/>
      <c r="W270" s="535"/>
      <c r="X270" s="535"/>
      <c r="Y270" s="535"/>
      <c r="Z270" s="535"/>
      <c r="AA270" s="535"/>
      <c r="AB270" s="535"/>
      <c r="AC270" s="535"/>
      <c r="AD270" s="535"/>
      <c r="AE270" s="535"/>
      <c r="AF270" s="535"/>
      <c r="AG270" s="535"/>
      <c r="AH270" s="535"/>
      <c r="AI270" s="535"/>
      <c r="AJ270" s="535"/>
      <c r="AK270" s="535"/>
      <c r="AL270" s="535"/>
      <c r="AM270" s="535"/>
      <c r="AN270" s="536" t="str">
        <f>'10. Purchasing (GC)'!A10</f>
        <v>Specifiy deviation to Modias 2</v>
      </c>
      <c r="AO270" s="451" t="str">
        <f>'10. Purchasing (GC)'!G10</f>
        <v/>
      </c>
      <c r="AP270" s="451">
        <v>280</v>
      </c>
      <c r="AQ270" s="451" t="str">
        <f>Settings!$A$1</f>
        <v>V2</v>
      </c>
    </row>
    <row r="271" spans="1:43">
      <c r="A271" s="451">
        <f>'Input-FX Rates'!$C$4</f>
        <v>242</v>
      </c>
      <c r="B271" s="451" t="str">
        <f>'Input-FX Rates'!$B$4</f>
        <v>ICH Icheon (242)</v>
      </c>
      <c r="C271" s="451">
        <f>'Input-FX Rates'!$C$6</f>
        <v>780</v>
      </c>
      <c r="D271" s="451" t="str">
        <f>'Input-FX Rates'!$B$6</f>
        <v>780 BU Controls</v>
      </c>
      <c r="E271" s="451" t="str">
        <f>'Input-FX Rates'!$C$5</f>
        <v>7821 &amp; 7822</v>
      </c>
      <c r="F271" s="451" t="str">
        <f>'Input-FX Rates'!$B$5</f>
        <v>7821 PL Drivetrain Controls (&amp; Electrification)</v>
      </c>
      <c r="G271" s="451" t="s">
        <v>713</v>
      </c>
      <c r="H271" s="451" t="s">
        <v>1539</v>
      </c>
      <c r="I271" s="535"/>
      <c r="J271" s="536">
        <f>'10. Purchasing (GC)'!C11</f>
        <v>0</v>
      </c>
      <c r="K271" s="535"/>
      <c r="L271" s="535"/>
      <c r="M271" s="535"/>
      <c r="N271" s="535"/>
      <c r="O271" s="536">
        <f>'10. Purchasing (GC)'!D11</f>
        <v>0</v>
      </c>
      <c r="P271" s="535"/>
      <c r="Q271" s="535"/>
      <c r="R271" s="535"/>
      <c r="S271" s="535"/>
      <c r="T271" s="535"/>
      <c r="U271" s="535"/>
      <c r="V271" s="535"/>
      <c r="W271" s="535"/>
      <c r="X271" s="535"/>
      <c r="Y271" s="535"/>
      <c r="Z271" s="535"/>
      <c r="AA271" s="535"/>
      <c r="AB271" s="535"/>
      <c r="AC271" s="535"/>
      <c r="AD271" s="535"/>
      <c r="AE271" s="535"/>
      <c r="AF271" s="535"/>
      <c r="AG271" s="535"/>
      <c r="AH271" s="535"/>
      <c r="AI271" s="535"/>
      <c r="AJ271" s="535"/>
      <c r="AK271" s="535"/>
      <c r="AL271" s="535"/>
      <c r="AM271" s="535"/>
      <c r="AN271" s="536" t="str">
        <f>'10. Purchasing (GC)'!A11</f>
        <v>Specifiy deviation to Modias 3</v>
      </c>
      <c r="AO271" s="451" t="str">
        <f>'10. Purchasing (GC)'!G11</f>
        <v/>
      </c>
      <c r="AP271" s="451">
        <v>281</v>
      </c>
      <c r="AQ271" s="451" t="str">
        <f>Settings!$A$1</f>
        <v>V2</v>
      </c>
    </row>
    <row r="272" spans="1:43">
      <c r="A272" s="451">
        <f>'Input-FX Rates'!$C$4</f>
        <v>242</v>
      </c>
      <c r="B272" s="451" t="str">
        <f>'Input-FX Rates'!$B$4</f>
        <v>ICH Icheon (242)</v>
      </c>
      <c r="C272" s="451">
        <f>'Input-FX Rates'!$C$6</f>
        <v>780</v>
      </c>
      <c r="D272" s="451" t="str">
        <f>'Input-FX Rates'!$B$6</f>
        <v>780 BU Controls</v>
      </c>
      <c r="E272" s="451" t="str">
        <f>'Input-FX Rates'!$C$5</f>
        <v>7821 &amp; 7822</v>
      </c>
      <c r="F272" s="451" t="str">
        <f>'Input-FX Rates'!$B$5</f>
        <v>7821 PL Drivetrain Controls (&amp; Electrification)</v>
      </c>
      <c r="G272" s="451" t="s">
        <v>713</v>
      </c>
      <c r="H272" s="451" t="s">
        <v>1540</v>
      </c>
      <c r="I272" s="535"/>
      <c r="J272" s="536">
        <f>'10. Purchasing (GC)'!C12</f>
        <v>0</v>
      </c>
      <c r="K272" s="535"/>
      <c r="L272" s="535"/>
      <c r="M272" s="535"/>
      <c r="N272" s="535"/>
      <c r="O272" s="536">
        <f>'10. Purchasing (GC)'!D12</f>
        <v>0</v>
      </c>
      <c r="P272" s="535"/>
      <c r="Q272" s="535"/>
      <c r="R272" s="535"/>
      <c r="S272" s="535"/>
      <c r="T272" s="535"/>
      <c r="U272" s="535"/>
      <c r="V272" s="535"/>
      <c r="W272" s="535"/>
      <c r="X272" s="535"/>
      <c r="Y272" s="535"/>
      <c r="Z272" s="535"/>
      <c r="AA272" s="535"/>
      <c r="AB272" s="535"/>
      <c r="AC272" s="535"/>
      <c r="AD272" s="535"/>
      <c r="AE272" s="535"/>
      <c r="AF272" s="535"/>
      <c r="AG272" s="535"/>
      <c r="AH272" s="535"/>
      <c r="AI272" s="535"/>
      <c r="AJ272" s="535"/>
      <c r="AK272" s="535"/>
      <c r="AL272" s="535"/>
      <c r="AM272" s="535"/>
      <c r="AN272" s="536" t="str">
        <f>'10. Purchasing (GC)'!A12</f>
        <v>Specifiy deviation to Modias 4</v>
      </c>
      <c r="AO272" s="451" t="str">
        <f>'10. Purchasing (GC)'!G12</f>
        <v/>
      </c>
      <c r="AP272" s="451">
        <v>282</v>
      </c>
      <c r="AQ272" s="451" t="str">
        <f>Settings!$A$1</f>
        <v>V2</v>
      </c>
    </row>
    <row r="273" spans="1:43">
      <c r="A273" s="451">
        <f>'Input-FX Rates'!$C$4</f>
        <v>242</v>
      </c>
      <c r="B273" s="451" t="str">
        <f>'Input-FX Rates'!$B$4</f>
        <v>ICH Icheon (242)</v>
      </c>
      <c r="C273" s="451">
        <f>'Input-FX Rates'!$C$6</f>
        <v>780</v>
      </c>
      <c r="D273" s="451" t="str">
        <f>'Input-FX Rates'!$B$6</f>
        <v>780 BU Controls</v>
      </c>
      <c r="E273" s="451" t="str">
        <f>'Input-FX Rates'!$C$5</f>
        <v>7821 &amp; 7822</v>
      </c>
      <c r="F273" s="451" t="str">
        <f>'Input-FX Rates'!$B$5</f>
        <v>7821 PL Drivetrain Controls (&amp; Electrification)</v>
      </c>
      <c r="G273" s="451" t="s">
        <v>713</v>
      </c>
      <c r="H273" s="451" t="s">
        <v>1541</v>
      </c>
      <c r="I273" s="535"/>
      <c r="J273" s="536">
        <f>'10. Purchasing (GC)'!C13</f>
        <v>0</v>
      </c>
      <c r="K273" s="535"/>
      <c r="L273" s="535"/>
      <c r="M273" s="535"/>
      <c r="N273" s="535"/>
      <c r="O273" s="536">
        <f>'10. Purchasing (GC)'!D13</f>
        <v>0</v>
      </c>
      <c r="P273" s="535"/>
      <c r="Q273" s="535"/>
      <c r="R273" s="535"/>
      <c r="S273" s="535"/>
      <c r="T273" s="535"/>
      <c r="U273" s="535"/>
      <c r="V273" s="535"/>
      <c r="W273" s="535"/>
      <c r="X273" s="535"/>
      <c r="Y273" s="535"/>
      <c r="Z273" s="535"/>
      <c r="AA273" s="535"/>
      <c r="AB273" s="535"/>
      <c r="AC273" s="535"/>
      <c r="AD273" s="535"/>
      <c r="AE273" s="535"/>
      <c r="AF273" s="535"/>
      <c r="AG273" s="535"/>
      <c r="AH273" s="535"/>
      <c r="AI273" s="535"/>
      <c r="AJ273" s="535"/>
      <c r="AK273" s="535"/>
      <c r="AL273" s="535"/>
      <c r="AM273" s="535"/>
      <c r="AN273" s="536" t="str">
        <f>'10. Purchasing (GC)'!A13</f>
        <v>Specifiy deviation to Modias 5</v>
      </c>
      <c r="AO273" s="451" t="str">
        <f>'10. Purchasing (GC)'!G13</f>
        <v/>
      </c>
      <c r="AP273" s="451">
        <v>283</v>
      </c>
      <c r="AQ273" s="451" t="str">
        <f>Settings!$A$1</f>
        <v>V2</v>
      </c>
    </row>
    <row r="274" spans="1:43" s="537" customFormat="1">
      <c r="A274" s="537">
        <f>'Input-FX Rates'!$C$4</f>
        <v>242</v>
      </c>
      <c r="B274" s="537" t="str">
        <f>'Input-FX Rates'!$B$4</f>
        <v>ICH Icheon (242)</v>
      </c>
      <c r="C274" s="537">
        <f>'Input-FX Rates'!$C$6</f>
        <v>780</v>
      </c>
      <c r="D274" s="537" t="str">
        <f>'Input-FX Rates'!$B$6</f>
        <v>780 BU Controls</v>
      </c>
      <c r="E274" s="537" t="str">
        <f>'Input-FX Rates'!$C$5</f>
        <v>7821 &amp; 7822</v>
      </c>
      <c r="F274" s="537" t="str">
        <f>'Input-FX Rates'!$B$5</f>
        <v>7821 PL Drivetrain Controls (&amp; Electrification)</v>
      </c>
      <c r="G274" s="537" t="s">
        <v>713</v>
      </c>
      <c r="H274" s="537" t="s">
        <v>730</v>
      </c>
      <c r="I274" s="538"/>
      <c r="J274" s="539">
        <f>'10. Purchasing (GC)'!C14</f>
        <v>-44497.6793196</v>
      </c>
      <c r="K274" s="538"/>
      <c r="L274" s="538"/>
      <c r="M274" s="538"/>
      <c r="N274" s="538"/>
      <c r="O274" s="539">
        <f>'10. Purchasing (GC)'!D14</f>
        <v>-43970.300045199998</v>
      </c>
      <c r="P274" s="538"/>
      <c r="Q274" s="538"/>
      <c r="R274" s="538"/>
      <c r="S274" s="538"/>
      <c r="T274" s="538"/>
      <c r="U274" s="538"/>
      <c r="V274" s="538"/>
      <c r="W274" s="538"/>
      <c r="X274" s="538"/>
      <c r="Y274" s="538"/>
      <c r="Z274" s="538"/>
      <c r="AA274" s="538"/>
      <c r="AB274" s="538"/>
      <c r="AC274" s="538"/>
      <c r="AD274" s="538"/>
      <c r="AE274" s="538"/>
      <c r="AF274" s="538"/>
      <c r="AG274" s="538"/>
      <c r="AH274" s="538"/>
      <c r="AI274" s="538"/>
      <c r="AJ274" s="538"/>
      <c r="AK274" s="538"/>
      <c r="AL274" s="538"/>
      <c r="AM274" s="538"/>
      <c r="AN274" s="538"/>
      <c r="AO274" s="537" t="str">
        <f>'10. Purchasing (GC)'!G14</f>
        <v/>
      </c>
      <c r="AP274" s="537">
        <v>284</v>
      </c>
      <c r="AQ274" s="537" t="str">
        <f>Settings!$A$1</f>
        <v>V2</v>
      </c>
    </row>
    <row r="275" spans="1:43">
      <c r="A275" s="451">
        <f>'Input-FX Rates'!$C$4</f>
        <v>242</v>
      </c>
      <c r="B275" s="451" t="str">
        <f>'Input-FX Rates'!$B$4</f>
        <v>ICH Icheon (242)</v>
      </c>
      <c r="C275" s="451">
        <f>'Input-FX Rates'!$C$6</f>
        <v>780</v>
      </c>
      <c r="D275" s="451" t="str">
        <f>'Input-FX Rates'!$B$6</f>
        <v>780 BU Controls</v>
      </c>
      <c r="E275" s="451" t="str">
        <f>'Input-FX Rates'!$C$5</f>
        <v>7821 &amp; 7822</v>
      </c>
      <c r="F275" s="451" t="str">
        <f>'Input-FX Rates'!$B$5</f>
        <v>7821 PL Drivetrain Controls (&amp; Electrification)</v>
      </c>
      <c r="G275" s="451" t="s">
        <v>1542</v>
      </c>
      <c r="H275" s="451" t="s">
        <v>735</v>
      </c>
      <c r="I275" s="535"/>
      <c r="J275" s="535"/>
      <c r="K275" s="535"/>
      <c r="L275" s="535"/>
      <c r="M275" s="535"/>
      <c r="N275" s="535"/>
      <c r="O275" s="535"/>
      <c r="P275" s="535"/>
      <c r="Q275" s="535"/>
      <c r="R275" s="535"/>
      <c r="S275" s="535"/>
      <c r="T275" s="535"/>
      <c r="U275" s="535"/>
      <c r="V275" s="535"/>
      <c r="W275" s="535"/>
      <c r="X275" s="535"/>
      <c r="Y275" s="535"/>
      <c r="Z275" s="535"/>
      <c r="AA275" s="535"/>
      <c r="AB275" s="535"/>
      <c r="AC275" s="535"/>
      <c r="AD275" s="535"/>
      <c r="AE275" s="535"/>
      <c r="AF275" s="535"/>
      <c r="AG275" s="535"/>
      <c r="AH275" s="535"/>
      <c r="AI275" s="536">
        <f>'11. R&amp;O (GC)'!B6</f>
        <v>0</v>
      </c>
      <c r="AJ275" s="536">
        <f>'11. R&amp;O (GC)'!C6</f>
        <v>0</v>
      </c>
      <c r="AK275" s="536">
        <f>'11. R&amp;O (GC)'!D6</f>
        <v>0</v>
      </c>
      <c r="AL275" s="536"/>
      <c r="AM275" s="536"/>
      <c r="AN275" s="451" t="str">
        <f>'11. R&amp;O (GC)'!A6</f>
        <v>Risk 1</v>
      </c>
      <c r="AO275" s="535"/>
      <c r="AP275" s="451">
        <v>285</v>
      </c>
      <c r="AQ275" s="451" t="str">
        <f>Settings!$A$1</f>
        <v>V2</v>
      </c>
    </row>
    <row r="276" spans="1:43">
      <c r="A276" s="451">
        <f>'Input-FX Rates'!$C$4</f>
        <v>242</v>
      </c>
      <c r="B276" s="451" t="str">
        <f>'Input-FX Rates'!$B$4</f>
        <v>ICH Icheon (242)</v>
      </c>
      <c r="C276" s="451">
        <f>'Input-FX Rates'!$C$6</f>
        <v>780</v>
      </c>
      <c r="D276" s="451" t="str">
        <f>'Input-FX Rates'!$B$6</f>
        <v>780 BU Controls</v>
      </c>
      <c r="E276" s="451" t="str">
        <f>'Input-FX Rates'!$C$5</f>
        <v>7821 &amp; 7822</v>
      </c>
      <c r="F276" s="451" t="str">
        <f>'Input-FX Rates'!$B$5</f>
        <v>7821 PL Drivetrain Controls (&amp; Electrification)</v>
      </c>
      <c r="G276" s="451" t="s">
        <v>1542</v>
      </c>
      <c r="H276" s="451" t="s">
        <v>737</v>
      </c>
      <c r="I276" s="535"/>
      <c r="J276" s="535"/>
      <c r="K276" s="535"/>
      <c r="L276" s="535"/>
      <c r="M276" s="535"/>
      <c r="N276" s="535"/>
      <c r="O276" s="535"/>
      <c r="P276" s="535"/>
      <c r="Q276" s="535"/>
      <c r="R276" s="535"/>
      <c r="S276" s="535"/>
      <c r="T276" s="535"/>
      <c r="U276" s="535"/>
      <c r="V276" s="535"/>
      <c r="W276" s="535"/>
      <c r="X276" s="535"/>
      <c r="Y276" s="535"/>
      <c r="Z276" s="535"/>
      <c r="AA276" s="535"/>
      <c r="AB276" s="535"/>
      <c r="AC276" s="535"/>
      <c r="AD276" s="535"/>
      <c r="AE276" s="535"/>
      <c r="AF276" s="535"/>
      <c r="AG276" s="535"/>
      <c r="AH276" s="535"/>
      <c r="AI276" s="536">
        <f>'11. R&amp;O (GC)'!B7</f>
        <v>0</v>
      </c>
      <c r="AJ276" s="536">
        <f>'11. R&amp;O (GC)'!C7</f>
        <v>0</v>
      </c>
      <c r="AK276" s="536">
        <f>'11. R&amp;O (GC)'!D7</f>
        <v>0</v>
      </c>
      <c r="AL276" s="536"/>
      <c r="AM276" s="536"/>
      <c r="AN276" s="451" t="str">
        <f>'11. R&amp;O (GC)'!A7</f>
        <v>Risk 2</v>
      </c>
      <c r="AO276" s="535"/>
      <c r="AP276" s="451">
        <v>286</v>
      </c>
      <c r="AQ276" s="451" t="str">
        <f>Settings!$A$1</f>
        <v>V2</v>
      </c>
    </row>
    <row r="277" spans="1:43">
      <c r="A277" s="451">
        <f>'Input-FX Rates'!$C$4</f>
        <v>242</v>
      </c>
      <c r="B277" s="451" t="str">
        <f>'Input-FX Rates'!$B$4</f>
        <v>ICH Icheon (242)</v>
      </c>
      <c r="C277" s="451">
        <f>'Input-FX Rates'!$C$6</f>
        <v>780</v>
      </c>
      <c r="D277" s="451" t="str">
        <f>'Input-FX Rates'!$B$6</f>
        <v>780 BU Controls</v>
      </c>
      <c r="E277" s="451" t="str">
        <f>'Input-FX Rates'!$C$5</f>
        <v>7821 &amp; 7822</v>
      </c>
      <c r="F277" s="451" t="str">
        <f>'Input-FX Rates'!$B$5</f>
        <v>7821 PL Drivetrain Controls (&amp; Electrification)</v>
      </c>
      <c r="G277" s="451" t="s">
        <v>1542</v>
      </c>
      <c r="H277" s="451" t="s">
        <v>738</v>
      </c>
      <c r="I277" s="535"/>
      <c r="J277" s="535"/>
      <c r="K277" s="535"/>
      <c r="L277" s="535"/>
      <c r="M277" s="535"/>
      <c r="N277" s="535"/>
      <c r="O277" s="535"/>
      <c r="P277" s="535"/>
      <c r="Q277" s="535"/>
      <c r="R277" s="535"/>
      <c r="S277" s="535"/>
      <c r="T277" s="535"/>
      <c r="U277" s="535"/>
      <c r="V277" s="535"/>
      <c r="W277" s="535"/>
      <c r="X277" s="535"/>
      <c r="Y277" s="535"/>
      <c r="Z277" s="535"/>
      <c r="AA277" s="535"/>
      <c r="AB277" s="535"/>
      <c r="AC277" s="535"/>
      <c r="AD277" s="535"/>
      <c r="AE277" s="535"/>
      <c r="AF277" s="535"/>
      <c r="AG277" s="535"/>
      <c r="AH277" s="535"/>
      <c r="AI277" s="536">
        <f>'11. R&amp;O (GC)'!B8</f>
        <v>0</v>
      </c>
      <c r="AJ277" s="536">
        <f>'11. R&amp;O (GC)'!C8</f>
        <v>0</v>
      </c>
      <c r="AK277" s="536">
        <f>'11. R&amp;O (GC)'!D8</f>
        <v>0</v>
      </c>
      <c r="AL277" s="536"/>
      <c r="AM277" s="536"/>
      <c r="AN277" s="451" t="str">
        <f>'11. R&amp;O (GC)'!A8</f>
        <v>Risk 3</v>
      </c>
      <c r="AO277" s="535"/>
      <c r="AP277" s="451">
        <v>287</v>
      </c>
      <c r="AQ277" s="451" t="str">
        <f>Settings!$A$1</f>
        <v>V2</v>
      </c>
    </row>
    <row r="278" spans="1:43">
      <c r="A278" s="451">
        <f>'Input-FX Rates'!$C$4</f>
        <v>242</v>
      </c>
      <c r="B278" s="451" t="str">
        <f>'Input-FX Rates'!$B$4</f>
        <v>ICH Icheon (242)</v>
      </c>
      <c r="C278" s="451">
        <f>'Input-FX Rates'!$C$6</f>
        <v>780</v>
      </c>
      <c r="D278" s="451" t="str">
        <f>'Input-FX Rates'!$B$6</f>
        <v>780 BU Controls</v>
      </c>
      <c r="E278" s="451" t="str">
        <f>'Input-FX Rates'!$C$5</f>
        <v>7821 &amp; 7822</v>
      </c>
      <c r="F278" s="451" t="str">
        <f>'Input-FX Rates'!$B$5</f>
        <v>7821 PL Drivetrain Controls (&amp; Electrification)</v>
      </c>
      <c r="G278" s="451" t="s">
        <v>1542</v>
      </c>
      <c r="H278" s="451" t="s">
        <v>739</v>
      </c>
      <c r="I278" s="535"/>
      <c r="J278" s="535"/>
      <c r="K278" s="535"/>
      <c r="L278" s="535"/>
      <c r="M278" s="535"/>
      <c r="N278" s="535"/>
      <c r="O278" s="535"/>
      <c r="P278" s="535"/>
      <c r="Q278" s="535"/>
      <c r="R278" s="535"/>
      <c r="S278" s="535"/>
      <c r="T278" s="535"/>
      <c r="U278" s="535"/>
      <c r="V278" s="535"/>
      <c r="W278" s="535"/>
      <c r="X278" s="535"/>
      <c r="Y278" s="535"/>
      <c r="Z278" s="535"/>
      <c r="AA278" s="535"/>
      <c r="AB278" s="535"/>
      <c r="AC278" s="535"/>
      <c r="AD278" s="535"/>
      <c r="AE278" s="535"/>
      <c r="AF278" s="535"/>
      <c r="AG278" s="535"/>
      <c r="AH278" s="535"/>
      <c r="AI278" s="536">
        <f>'11. R&amp;O (GC)'!B9</f>
        <v>0</v>
      </c>
      <c r="AJ278" s="536">
        <f>'11. R&amp;O (GC)'!C9</f>
        <v>0</v>
      </c>
      <c r="AK278" s="536">
        <f>'11. R&amp;O (GC)'!D9</f>
        <v>0</v>
      </c>
      <c r="AL278" s="536"/>
      <c r="AM278" s="536"/>
      <c r="AN278" s="451" t="str">
        <f>'11. R&amp;O (GC)'!A9</f>
        <v>Risk 4</v>
      </c>
      <c r="AO278" s="535"/>
      <c r="AP278" s="451">
        <v>288</v>
      </c>
      <c r="AQ278" s="451" t="str">
        <f>Settings!$A$1</f>
        <v>V2</v>
      </c>
    </row>
    <row r="279" spans="1:43">
      <c r="A279" s="451">
        <f>'Input-FX Rates'!$C$4</f>
        <v>242</v>
      </c>
      <c r="B279" s="451" t="str">
        <f>'Input-FX Rates'!$B$4</f>
        <v>ICH Icheon (242)</v>
      </c>
      <c r="C279" s="451">
        <f>'Input-FX Rates'!$C$6</f>
        <v>780</v>
      </c>
      <c r="D279" s="451" t="str">
        <f>'Input-FX Rates'!$B$6</f>
        <v>780 BU Controls</v>
      </c>
      <c r="E279" s="451" t="str">
        <f>'Input-FX Rates'!$C$5</f>
        <v>7821 &amp; 7822</v>
      </c>
      <c r="F279" s="451" t="str">
        <f>'Input-FX Rates'!$B$5</f>
        <v>7821 PL Drivetrain Controls (&amp; Electrification)</v>
      </c>
      <c r="G279" s="451" t="s">
        <v>1542</v>
      </c>
      <c r="H279" s="451" t="s">
        <v>740</v>
      </c>
      <c r="I279" s="535"/>
      <c r="J279" s="535"/>
      <c r="K279" s="535"/>
      <c r="L279" s="535"/>
      <c r="M279" s="535"/>
      <c r="N279" s="535"/>
      <c r="O279" s="535"/>
      <c r="P279" s="535"/>
      <c r="Q279" s="535"/>
      <c r="R279" s="535"/>
      <c r="S279" s="535"/>
      <c r="T279" s="535"/>
      <c r="U279" s="535"/>
      <c r="V279" s="535"/>
      <c r="W279" s="535"/>
      <c r="X279" s="535"/>
      <c r="Y279" s="535"/>
      <c r="Z279" s="535"/>
      <c r="AA279" s="535"/>
      <c r="AB279" s="535"/>
      <c r="AC279" s="535"/>
      <c r="AD279" s="535"/>
      <c r="AE279" s="535"/>
      <c r="AF279" s="535"/>
      <c r="AG279" s="535"/>
      <c r="AH279" s="535"/>
      <c r="AI279" s="536">
        <f>'11. R&amp;O (GC)'!B10</f>
        <v>0</v>
      </c>
      <c r="AJ279" s="536">
        <f>'11. R&amp;O (GC)'!C10</f>
        <v>0</v>
      </c>
      <c r="AK279" s="536">
        <f>'11. R&amp;O (GC)'!D10</f>
        <v>0</v>
      </c>
      <c r="AL279" s="536"/>
      <c r="AM279" s="536"/>
      <c r="AN279" s="451" t="str">
        <f>'11. R&amp;O (GC)'!A10</f>
        <v>Risk 5</v>
      </c>
      <c r="AO279" s="535"/>
      <c r="AP279" s="451">
        <v>289</v>
      </c>
      <c r="AQ279" s="451" t="str">
        <f>Settings!$A$1</f>
        <v>V2</v>
      </c>
    </row>
    <row r="280" spans="1:43">
      <c r="A280" s="451">
        <f>'Input-FX Rates'!$C$4</f>
        <v>242</v>
      </c>
      <c r="B280" s="451" t="str">
        <f>'Input-FX Rates'!$B$4</f>
        <v>ICH Icheon (242)</v>
      </c>
      <c r="C280" s="451">
        <f>'Input-FX Rates'!$C$6</f>
        <v>780</v>
      </c>
      <c r="D280" s="451" t="str">
        <f>'Input-FX Rates'!$B$6</f>
        <v>780 BU Controls</v>
      </c>
      <c r="E280" s="451" t="str">
        <f>'Input-FX Rates'!$C$5</f>
        <v>7821 &amp; 7822</v>
      </c>
      <c r="F280" s="451" t="str">
        <f>'Input-FX Rates'!$B$5</f>
        <v>7821 PL Drivetrain Controls (&amp; Electrification)</v>
      </c>
      <c r="G280" s="451" t="s">
        <v>1542</v>
      </c>
      <c r="H280" s="451" t="s">
        <v>741</v>
      </c>
      <c r="I280" s="535"/>
      <c r="J280" s="535"/>
      <c r="K280" s="535"/>
      <c r="L280" s="535"/>
      <c r="M280" s="535"/>
      <c r="N280" s="535"/>
      <c r="O280" s="535"/>
      <c r="P280" s="535"/>
      <c r="Q280" s="535"/>
      <c r="R280" s="535"/>
      <c r="S280" s="535"/>
      <c r="T280" s="535"/>
      <c r="U280" s="535"/>
      <c r="V280" s="535"/>
      <c r="W280" s="535"/>
      <c r="X280" s="535"/>
      <c r="Y280" s="535"/>
      <c r="Z280" s="535"/>
      <c r="AA280" s="535"/>
      <c r="AB280" s="535"/>
      <c r="AC280" s="535"/>
      <c r="AD280" s="535"/>
      <c r="AE280" s="535"/>
      <c r="AF280" s="535"/>
      <c r="AG280" s="535"/>
      <c r="AH280" s="535"/>
      <c r="AI280" s="536">
        <f>'11. R&amp;O (GC)'!B11</f>
        <v>0</v>
      </c>
      <c r="AJ280" s="536">
        <f>'11. R&amp;O (GC)'!C11</f>
        <v>0</v>
      </c>
      <c r="AK280" s="536">
        <f>'11. R&amp;O (GC)'!D11</f>
        <v>0</v>
      </c>
      <c r="AL280" s="536"/>
      <c r="AM280" s="536"/>
      <c r="AN280" s="451" t="str">
        <f>'11. R&amp;O (GC)'!A11</f>
        <v>Risk 6</v>
      </c>
      <c r="AO280" s="535"/>
      <c r="AP280" s="451">
        <v>290</v>
      </c>
      <c r="AQ280" s="451" t="str">
        <f>Settings!$A$1</f>
        <v>V2</v>
      </c>
    </row>
    <row r="281" spans="1:43">
      <c r="A281" s="451">
        <f>'Input-FX Rates'!$C$4</f>
        <v>242</v>
      </c>
      <c r="B281" s="451" t="str">
        <f>'Input-FX Rates'!$B$4</f>
        <v>ICH Icheon (242)</v>
      </c>
      <c r="C281" s="451">
        <f>'Input-FX Rates'!$C$6</f>
        <v>780</v>
      </c>
      <c r="D281" s="451" t="str">
        <f>'Input-FX Rates'!$B$6</f>
        <v>780 BU Controls</v>
      </c>
      <c r="E281" s="451" t="str">
        <f>'Input-FX Rates'!$C$5</f>
        <v>7821 &amp; 7822</v>
      </c>
      <c r="F281" s="451" t="str">
        <f>'Input-FX Rates'!$B$5</f>
        <v>7821 PL Drivetrain Controls (&amp; Electrification)</v>
      </c>
      <c r="G281" s="451" t="s">
        <v>1542</v>
      </c>
      <c r="H281" s="451" t="s">
        <v>742</v>
      </c>
      <c r="I281" s="535"/>
      <c r="J281" s="535"/>
      <c r="K281" s="535"/>
      <c r="L281" s="535"/>
      <c r="M281" s="535"/>
      <c r="N281" s="535"/>
      <c r="O281" s="535"/>
      <c r="P281" s="535"/>
      <c r="Q281" s="535"/>
      <c r="R281" s="535"/>
      <c r="S281" s="535"/>
      <c r="T281" s="535"/>
      <c r="U281" s="535"/>
      <c r="V281" s="535"/>
      <c r="W281" s="535"/>
      <c r="X281" s="535"/>
      <c r="Y281" s="535"/>
      <c r="Z281" s="535"/>
      <c r="AA281" s="535"/>
      <c r="AB281" s="535"/>
      <c r="AC281" s="535"/>
      <c r="AD281" s="535"/>
      <c r="AE281" s="535"/>
      <c r="AF281" s="535"/>
      <c r="AG281" s="535"/>
      <c r="AH281" s="535"/>
      <c r="AI281" s="536">
        <f>'11. R&amp;O (GC)'!B12</f>
        <v>0</v>
      </c>
      <c r="AJ281" s="536">
        <f>'11. R&amp;O (GC)'!C12</f>
        <v>0</v>
      </c>
      <c r="AK281" s="536">
        <f>'11. R&amp;O (GC)'!D12</f>
        <v>0</v>
      </c>
      <c r="AL281" s="536"/>
      <c r="AM281" s="536"/>
      <c r="AN281" s="451" t="str">
        <f>'11. R&amp;O (GC)'!A12</f>
        <v>Risk 7</v>
      </c>
      <c r="AO281" s="535"/>
      <c r="AP281" s="451">
        <v>291</v>
      </c>
      <c r="AQ281" s="451" t="str">
        <f>Settings!$A$1</f>
        <v>V2</v>
      </c>
    </row>
    <row r="282" spans="1:43">
      <c r="A282" s="451">
        <f>'Input-FX Rates'!$C$4</f>
        <v>242</v>
      </c>
      <c r="B282" s="451" t="str">
        <f>'Input-FX Rates'!$B$4</f>
        <v>ICH Icheon (242)</v>
      </c>
      <c r="C282" s="451">
        <f>'Input-FX Rates'!$C$6</f>
        <v>780</v>
      </c>
      <c r="D282" s="451" t="str">
        <f>'Input-FX Rates'!$B$6</f>
        <v>780 BU Controls</v>
      </c>
      <c r="E282" s="451" t="str">
        <f>'Input-FX Rates'!$C$5</f>
        <v>7821 &amp; 7822</v>
      </c>
      <c r="F282" s="451" t="str">
        <f>'Input-FX Rates'!$B$5</f>
        <v>7821 PL Drivetrain Controls (&amp; Electrification)</v>
      </c>
      <c r="G282" s="451" t="s">
        <v>1542</v>
      </c>
      <c r="H282" s="451" t="s">
        <v>743</v>
      </c>
      <c r="I282" s="535"/>
      <c r="J282" s="535"/>
      <c r="K282" s="535"/>
      <c r="L282" s="535"/>
      <c r="M282" s="535"/>
      <c r="N282" s="535"/>
      <c r="O282" s="535"/>
      <c r="P282" s="535"/>
      <c r="Q282" s="535"/>
      <c r="R282" s="535"/>
      <c r="S282" s="535"/>
      <c r="T282" s="535"/>
      <c r="U282" s="535"/>
      <c r="V282" s="535"/>
      <c r="W282" s="535"/>
      <c r="X282" s="535"/>
      <c r="Y282" s="535"/>
      <c r="Z282" s="535"/>
      <c r="AA282" s="535"/>
      <c r="AB282" s="535"/>
      <c r="AC282" s="535"/>
      <c r="AD282" s="535"/>
      <c r="AE282" s="535"/>
      <c r="AF282" s="535"/>
      <c r="AG282" s="535"/>
      <c r="AH282" s="535"/>
      <c r="AI282" s="536">
        <f>'11. R&amp;O (GC)'!B13</f>
        <v>0</v>
      </c>
      <c r="AJ282" s="536">
        <f>'11. R&amp;O (GC)'!C13</f>
        <v>0</v>
      </c>
      <c r="AK282" s="536">
        <f>'11. R&amp;O (GC)'!D13</f>
        <v>0</v>
      </c>
      <c r="AL282" s="536"/>
      <c r="AM282" s="536"/>
      <c r="AN282" s="451" t="str">
        <f>'11. R&amp;O (GC)'!A13</f>
        <v>Risk 8</v>
      </c>
      <c r="AO282" s="535"/>
      <c r="AP282" s="451">
        <v>292</v>
      </c>
      <c r="AQ282" s="451" t="str">
        <f>Settings!$A$1</f>
        <v>V2</v>
      </c>
    </row>
    <row r="283" spans="1:43">
      <c r="A283" s="451">
        <f>'Input-FX Rates'!$C$4</f>
        <v>242</v>
      </c>
      <c r="B283" s="451" t="str">
        <f>'Input-FX Rates'!$B$4</f>
        <v>ICH Icheon (242)</v>
      </c>
      <c r="C283" s="451">
        <f>'Input-FX Rates'!$C$6</f>
        <v>780</v>
      </c>
      <c r="D283" s="451" t="str">
        <f>'Input-FX Rates'!$B$6</f>
        <v>780 BU Controls</v>
      </c>
      <c r="E283" s="451" t="str">
        <f>'Input-FX Rates'!$C$5</f>
        <v>7821 &amp; 7822</v>
      </c>
      <c r="F283" s="451" t="str">
        <f>'Input-FX Rates'!$B$5</f>
        <v>7821 PL Drivetrain Controls (&amp; Electrification)</v>
      </c>
      <c r="G283" s="451" t="s">
        <v>1542</v>
      </c>
      <c r="H283" s="451" t="s">
        <v>744</v>
      </c>
      <c r="I283" s="535"/>
      <c r="J283" s="535"/>
      <c r="K283" s="535"/>
      <c r="L283" s="535"/>
      <c r="M283" s="535"/>
      <c r="N283" s="535"/>
      <c r="O283" s="535"/>
      <c r="P283" s="535"/>
      <c r="Q283" s="535"/>
      <c r="R283" s="535"/>
      <c r="S283" s="535"/>
      <c r="T283" s="535"/>
      <c r="U283" s="535"/>
      <c r="V283" s="535"/>
      <c r="W283" s="535"/>
      <c r="X283" s="535"/>
      <c r="Y283" s="535"/>
      <c r="Z283" s="535"/>
      <c r="AA283" s="535"/>
      <c r="AB283" s="535"/>
      <c r="AC283" s="535"/>
      <c r="AD283" s="535"/>
      <c r="AE283" s="535"/>
      <c r="AF283" s="535"/>
      <c r="AG283" s="535"/>
      <c r="AH283" s="535"/>
      <c r="AI283" s="536">
        <f>'11. R&amp;O (GC)'!B14</f>
        <v>0</v>
      </c>
      <c r="AJ283" s="536">
        <f>'11. R&amp;O (GC)'!C14</f>
        <v>0</v>
      </c>
      <c r="AK283" s="536">
        <f>'11. R&amp;O (GC)'!D14</f>
        <v>0</v>
      </c>
      <c r="AL283" s="536"/>
      <c r="AM283" s="536"/>
      <c r="AN283" s="451" t="str">
        <f>'11. R&amp;O (GC)'!A14</f>
        <v>Risk 9</v>
      </c>
      <c r="AO283" s="535"/>
      <c r="AP283" s="451">
        <v>293</v>
      </c>
      <c r="AQ283" s="451" t="str">
        <f>Settings!$A$1</f>
        <v>V2</v>
      </c>
    </row>
    <row r="284" spans="1:43">
      <c r="A284" s="451">
        <f>'Input-FX Rates'!$C$4</f>
        <v>242</v>
      </c>
      <c r="B284" s="451" t="str">
        <f>'Input-FX Rates'!$B$4</f>
        <v>ICH Icheon (242)</v>
      </c>
      <c r="C284" s="451">
        <f>'Input-FX Rates'!$C$6</f>
        <v>780</v>
      </c>
      <c r="D284" s="451" t="str">
        <f>'Input-FX Rates'!$B$6</f>
        <v>780 BU Controls</v>
      </c>
      <c r="E284" s="451" t="str">
        <f>'Input-FX Rates'!$C$5</f>
        <v>7821 &amp; 7822</v>
      </c>
      <c r="F284" s="451" t="str">
        <f>'Input-FX Rates'!$B$5</f>
        <v>7821 PL Drivetrain Controls (&amp; Electrification)</v>
      </c>
      <c r="G284" s="451" t="s">
        <v>1542</v>
      </c>
      <c r="H284" s="451" t="s">
        <v>745</v>
      </c>
      <c r="I284" s="535"/>
      <c r="J284" s="535"/>
      <c r="K284" s="535"/>
      <c r="L284" s="535"/>
      <c r="M284" s="535"/>
      <c r="N284" s="535"/>
      <c r="O284" s="535"/>
      <c r="P284" s="535"/>
      <c r="Q284" s="535"/>
      <c r="R284" s="535"/>
      <c r="S284" s="535"/>
      <c r="T284" s="535"/>
      <c r="U284" s="535"/>
      <c r="V284" s="535"/>
      <c r="W284" s="535"/>
      <c r="X284" s="535"/>
      <c r="Y284" s="535"/>
      <c r="Z284" s="535"/>
      <c r="AA284" s="535"/>
      <c r="AB284" s="535"/>
      <c r="AC284" s="535"/>
      <c r="AD284" s="535"/>
      <c r="AE284" s="535"/>
      <c r="AF284" s="535"/>
      <c r="AG284" s="535"/>
      <c r="AH284" s="535"/>
      <c r="AI284" s="536">
        <f>'11. R&amp;O (GC)'!B15</f>
        <v>0</v>
      </c>
      <c r="AJ284" s="536">
        <f>'11. R&amp;O (GC)'!C15</f>
        <v>0</v>
      </c>
      <c r="AK284" s="536">
        <f>'11. R&amp;O (GC)'!D15</f>
        <v>0</v>
      </c>
      <c r="AL284" s="536"/>
      <c r="AM284" s="536"/>
      <c r="AN284" s="451" t="str">
        <f>'11. R&amp;O (GC)'!A15</f>
        <v>Total Risks</v>
      </c>
      <c r="AO284" s="535"/>
      <c r="AP284" s="451">
        <v>294</v>
      </c>
      <c r="AQ284" s="451" t="str">
        <f>Settings!$A$1</f>
        <v>V2</v>
      </c>
    </row>
    <row r="285" spans="1:43">
      <c r="A285" s="451">
        <f>'Input-FX Rates'!$C$4</f>
        <v>242</v>
      </c>
      <c r="B285" s="451" t="str">
        <f>'Input-FX Rates'!$B$4</f>
        <v>ICH Icheon (242)</v>
      </c>
      <c r="C285" s="451">
        <f>'Input-FX Rates'!$C$6</f>
        <v>780</v>
      </c>
      <c r="D285" s="451" t="str">
        <f>'Input-FX Rates'!$B$6</f>
        <v>780 BU Controls</v>
      </c>
      <c r="E285" s="451" t="str">
        <f>'Input-FX Rates'!$C$5</f>
        <v>7821 &amp; 7822</v>
      </c>
      <c r="F285" s="451" t="str">
        <f>'Input-FX Rates'!$B$5</f>
        <v>7821 PL Drivetrain Controls (&amp; Electrification)</v>
      </c>
      <c r="G285" s="451" t="s">
        <v>1542</v>
      </c>
      <c r="H285" s="451" t="s">
        <v>1543</v>
      </c>
      <c r="I285" s="535"/>
      <c r="J285" s="535"/>
      <c r="K285" s="535"/>
      <c r="L285" s="535"/>
      <c r="M285" s="535"/>
      <c r="N285" s="535"/>
      <c r="O285" s="535"/>
      <c r="P285" s="535"/>
      <c r="Q285" s="535"/>
      <c r="R285" s="535"/>
      <c r="S285" s="535"/>
      <c r="T285" s="535"/>
      <c r="U285" s="535"/>
      <c r="V285" s="535"/>
      <c r="W285" s="535"/>
      <c r="X285" s="535"/>
      <c r="Y285" s="535"/>
      <c r="Z285" s="535"/>
      <c r="AA285" s="535"/>
      <c r="AB285" s="535"/>
      <c r="AC285" s="535"/>
      <c r="AD285" s="535"/>
      <c r="AE285" s="535"/>
      <c r="AF285" s="535"/>
      <c r="AG285" s="535"/>
      <c r="AH285" s="535"/>
      <c r="AI285" s="536">
        <f>'11. R&amp;O (GC)'!B16</f>
        <v>0</v>
      </c>
      <c r="AJ285" s="536">
        <f>'11. R&amp;O (GC)'!C16</f>
        <v>0</v>
      </c>
      <c r="AK285" s="536">
        <f>'11. R&amp;O (GC)'!D16</f>
        <v>0</v>
      </c>
      <c r="AL285" s="536"/>
      <c r="AM285" s="536"/>
      <c r="AN285" s="451" t="str">
        <f>'11. R&amp;O (GC)'!A16</f>
        <v>Opportunity 1</v>
      </c>
      <c r="AO285" s="535"/>
      <c r="AP285" s="451">
        <v>295</v>
      </c>
      <c r="AQ285" s="451" t="str">
        <f>Settings!$A$1</f>
        <v>V2</v>
      </c>
    </row>
    <row r="286" spans="1:43">
      <c r="A286" s="451">
        <f>'Input-FX Rates'!$C$4</f>
        <v>242</v>
      </c>
      <c r="B286" s="451" t="str">
        <f>'Input-FX Rates'!$B$4</f>
        <v>ICH Icheon (242)</v>
      </c>
      <c r="C286" s="451">
        <f>'Input-FX Rates'!$C$6</f>
        <v>780</v>
      </c>
      <c r="D286" s="451" t="str">
        <f>'Input-FX Rates'!$B$6</f>
        <v>780 BU Controls</v>
      </c>
      <c r="E286" s="451" t="str">
        <f>'Input-FX Rates'!$C$5</f>
        <v>7821 &amp; 7822</v>
      </c>
      <c r="F286" s="451" t="str">
        <f>'Input-FX Rates'!$B$5</f>
        <v>7821 PL Drivetrain Controls (&amp; Electrification)</v>
      </c>
      <c r="G286" s="451" t="s">
        <v>1542</v>
      </c>
      <c r="H286" s="451" t="s">
        <v>1544</v>
      </c>
      <c r="I286" s="535"/>
      <c r="J286" s="535"/>
      <c r="K286" s="535"/>
      <c r="L286" s="535"/>
      <c r="M286" s="535"/>
      <c r="N286" s="535"/>
      <c r="O286" s="535"/>
      <c r="P286" s="535"/>
      <c r="Q286" s="535"/>
      <c r="R286" s="535"/>
      <c r="S286" s="535"/>
      <c r="T286" s="535"/>
      <c r="U286" s="535"/>
      <c r="V286" s="535"/>
      <c r="W286" s="535"/>
      <c r="X286" s="535"/>
      <c r="Y286" s="535"/>
      <c r="Z286" s="535"/>
      <c r="AA286" s="535"/>
      <c r="AB286" s="535"/>
      <c r="AC286" s="535"/>
      <c r="AD286" s="535"/>
      <c r="AE286" s="535"/>
      <c r="AF286" s="535"/>
      <c r="AG286" s="535"/>
      <c r="AH286" s="535"/>
      <c r="AI286" s="536">
        <f>'11. R&amp;O (GC)'!B17</f>
        <v>0</v>
      </c>
      <c r="AJ286" s="536">
        <f>'11. R&amp;O (GC)'!C17</f>
        <v>0</v>
      </c>
      <c r="AK286" s="536">
        <f>'11. R&amp;O (GC)'!D17</f>
        <v>0</v>
      </c>
      <c r="AL286" s="536"/>
      <c r="AM286" s="536"/>
      <c r="AN286" s="451" t="str">
        <f>'11. R&amp;O (GC)'!A17</f>
        <v>Opportunity 2</v>
      </c>
      <c r="AO286" s="535"/>
      <c r="AP286" s="451">
        <v>296</v>
      </c>
      <c r="AQ286" s="451" t="str">
        <f>Settings!$A$1</f>
        <v>V2</v>
      </c>
    </row>
    <row r="287" spans="1:43">
      <c r="A287" s="451">
        <f>'Input-FX Rates'!$C$4</f>
        <v>242</v>
      </c>
      <c r="B287" s="451" t="str">
        <f>'Input-FX Rates'!$B$4</f>
        <v>ICH Icheon (242)</v>
      </c>
      <c r="C287" s="451">
        <f>'Input-FX Rates'!$C$6</f>
        <v>780</v>
      </c>
      <c r="D287" s="451" t="str">
        <f>'Input-FX Rates'!$B$6</f>
        <v>780 BU Controls</v>
      </c>
      <c r="E287" s="451" t="str">
        <f>'Input-FX Rates'!$C$5</f>
        <v>7821 &amp; 7822</v>
      </c>
      <c r="F287" s="451" t="str">
        <f>'Input-FX Rates'!$B$5</f>
        <v>7821 PL Drivetrain Controls (&amp; Electrification)</v>
      </c>
      <c r="G287" s="451" t="s">
        <v>1542</v>
      </c>
      <c r="H287" s="451" t="s">
        <v>1545</v>
      </c>
      <c r="I287" s="535"/>
      <c r="J287" s="535"/>
      <c r="K287" s="535"/>
      <c r="L287" s="535"/>
      <c r="M287" s="535"/>
      <c r="N287" s="535"/>
      <c r="O287" s="535"/>
      <c r="P287" s="535"/>
      <c r="Q287" s="535"/>
      <c r="R287" s="535"/>
      <c r="S287" s="535"/>
      <c r="T287" s="535"/>
      <c r="U287" s="535"/>
      <c r="V287" s="535"/>
      <c r="W287" s="535"/>
      <c r="X287" s="535"/>
      <c r="Y287" s="535"/>
      <c r="Z287" s="535"/>
      <c r="AA287" s="535"/>
      <c r="AB287" s="535"/>
      <c r="AC287" s="535"/>
      <c r="AD287" s="535"/>
      <c r="AE287" s="535"/>
      <c r="AF287" s="535"/>
      <c r="AG287" s="535"/>
      <c r="AH287" s="535"/>
      <c r="AI287" s="536">
        <f>'11. R&amp;O (GC)'!B18</f>
        <v>0</v>
      </c>
      <c r="AJ287" s="536">
        <f>'11. R&amp;O (GC)'!C18</f>
        <v>0</v>
      </c>
      <c r="AK287" s="536">
        <f>'11. R&amp;O (GC)'!D18</f>
        <v>0</v>
      </c>
      <c r="AL287" s="536"/>
      <c r="AM287" s="536"/>
      <c r="AN287" s="451" t="str">
        <f>'11. R&amp;O (GC)'!A18</f>
        <v>Opportunity 3</v>
      </c>
      <c r="AO287" s="535"/>
      <c r="AP287" s="451">
        <v>297</v>
      </c>
      <c r="AQ287" s="451" t="str">
        <f>Settings!$A$1</f>
        <v>V2</v>
      </c>
    </row>
    <row r="288" spans="1:43">
      <c r="A288" s="451">
        <f>'Input-FX Rates'!$C$4</f>
        <v>242</v>
      </c>
      <c r="B288" s="451" t="str">
        <f>'Input-FX Rates'!$B$4</f>
        <v>ICH Icheon (242)</v>
      </c>
      <c r="C288" s="451">
        <f>'Input-FX Rates'!$C$6</f>
        <v>780</v>
      </c>
      <c r="D288" s="451" t="str">
        <f>'Input-FX Rates'!$B$6</f>
        <v>780 BU Controls</v>
      </c>
      <c r="E288" s="451" t="str">
        <f>'Input-FX Rates'!$C$5</f>
        <v>7821 &amp; 7822</v>
      </c>
      <c r="F288" s="451" t="str">
        <f>'Input-FX Rates'!$B$5</f>
        <v>7821 PL Drivetrain Controls (&amp; Electrification)</v>
      </c>
      <c r="G288" s="451" t="s">
        <v>1542</v>
      </c>
      <c r="H288" s="451" t="s">
        <v>1546</v>
      </c>
      <c r="I288" s="535"/>
      <c r="J288" s="535"/>
      <c r="K288" s="535"/>
      <c r="L288" s="535"/>
      <c r="M288" s="535"/>
      <c r="N288" s="535"/>
      <c r="O288" s="535"/>
      <c r="P288" s="535"/>
      <c r="Q288" s="535"/>
      <c r="R288" s="535"/>
      <c r="S288" s="535"/>
      <c r="T288" s="535"/>
      <c r="U288" s="535"/>
      <c r="V288" s="535"/>
      <c r="W288" s="535"/>
      <c r="X288" s="535"/>
      <c r="Y288" s="535"/>
      <c r="Z288" s="535"/>
      <c r="AA288" s="535"/>
      <c r="AB288" s="535"/>
      <c r="AC288" s="535"/>
      <c r="AD288" s="535"/>
      <c r="AE288" s="535"/>
      <c r="AF288" s="535"/>
      <c r="AG288" s="535"/>
      <c r="AH288" s="535"/>
      <c r="AI288" s="536">
        <f>'11. R&amp;O (GC)'!B19</f>
        <v>0</v>
      </c>
      <c r="AJ288" s="536">
        <f>'11. R&amp;O (GC)'!C19</f>
        <v>0</v>
      </c>
      <c r="AK288" s="536">
        <f>'11. R&amp;O (GC)'!D19</f>
        <v>0</v>
      </c>
      <c r="AL288" s="536"/>
      <c r="AM288" s="536"/>
      <c r="AN288" s="451" t="str">
        <f>'11. R&amp;O (GC)'!A19</f>
        <v>Opportunity 4</v>
      </c>
      <c r="AO288" s="535"/>
      <c r="AP288" s="451">
        <v>298</v>
      </c>
      <c r="AQ288" s="451" t="str">
        <f>Settings!$A$1</f>
        <v>V2</v>
      </c>
    </row>
    <row r="289" spans="1:43">
      <c r="A289" s="451">
        <f>'Input-FX Rates'!$C$4</f>
        <v>242</v>
      </c>
      <c r="B289" s="451" t="str">
        <f>'Input-FX Rates'!$B$4</f>
        <v>ICH Icheon (242)</v>
      </c>
      <c r="C289" s="451">
        <f>'Input-FX Rates'!$C$6</f>
        <v>780</v>
      </c>
      <c r="D289" s="451" t="str">
        <f>'Input-FX Rates'!$B$6</f>
        <v>780 BU Controls</v>
      </c>
      <c r="E289" s="451" t="str">
        <f>'Input-FX Rates'!$C$5</f>
        <v>7821 &amp; 7822</v>
      </c>
      <c r="F289" s="451" t="str">
        <f>'Input-FX Rates'!$B$5</f>
        <v>7821 PL Drivetrain Controls (&amp; Electrification)</v>
      </c>
      <c r="G289" s="451" t="s">
        <v>1542</v>
      </c>
      <c r="H289" s="451" t="s">
        <v>746</v>
      </c>
      <c r="I289" s="535"/>
      <c r="J289" s="535"/>
      <c r="K289" s="535"/>
      <c r="L289" s="535"/>
      <c r="M289" s="535"/>
      <c r="N289" s="535"/>
      <c r="O289" s="535"/>
      <c r="P289" s="535"/>
      <c r="Q289" s="535"/>
      <c r="R289" s="535"/>
      <c r="S289" s="535"/>
      <c r="T289" s="535"/>
      <c r="U289" s="535"/>
      <c r="V289" s="535"/>
      <c r="W289" s="535"/>
      <c r="X289" s="535"/>
      <c r="Y289" s="535"/>
      <c r="Z289" s="535"/>
      <c r="AA289" s="535"/>
      <c r="AB289" s="535"/>
      <c r="AC289" s="535"/>
      <c r="AD289" s="535"/>
      <c r="AE289" s="535"/>
      <c r="AF289" s="535"/>
      <c r="AG289" s="535"/>
      <c r="AH289" s="535"/>
      <c r="AI289" s="536">
        <f>'11. R&amp;O (GC)'!B20</f>
        <v>0</v>
      </c>
      <c r="AJ289" s="536">
        <f>'11. R&amp;O (GC)'!C20</f>
        <v>0</v>
      </c>
      <c r="AK289" s="536">
        <f>'11. R&amp;O (GC)'!D20</f>
        <v>0</v>
      </c>
      <c r="AL289" s="536"/>
      <c r="AM289" s="536"/>
      <c r="AN289" s="451" t="str">
        <f>'11. R&amp;O (GC)'!A20</f>
        <v>Opportunity 5</v>
      </c>
      <c r="AO289" s="535"/>
      <c r="AP289" s="451">
        <v>299</v>
      </c>
      <c r="AQ289" s="451" t="str">
        <f>Settings!$A$1</f>
        <v>V2</v>
      </c>
    </row>
    <row r="290" spans="1:43">
      <c r="A290" s="451">
        <f>'Input-FX Rates'!$C$4</f>
        <v>242</v>
      </c>
      <c r="B290" s="451" t="str">
        <f>'Input-FX Rates'!$B$4</f>
        <v>ICH Icheon (242)</v>
      </c>
      <c r="C290" s="451">
        <f>'Input-FX Rates'!$C$6</f>
        <v>780</v>
      </c>
      <c r="D290" s="451" t="str">
        <f>'Input-FX Rates'!$B$6</f>
        <v>780 BU Controls</v>
      </c>
      <c r="E290" s="451" t="str">
        <f>'Input-FX Rates'!$C$5</f>
        <v>7821 &amp; 7822</v>
      </c>
      <c r="F290" s="451" t="str">
        <f>'Input-FX Rates'!$B$5</f>
        <v>7821 PL Drivetrain Controls (&amp; Electrification)</v>
      </c>
      <c r="G290" s="451" t="s">
        <v>1542</v>
      </c>
      <c r="H290" s="451" t="s">
        <v>747</v>
      </c>
      <c r="I290" s="535"/>
      <c r="J290" s="535"/>
      <c r="K290" s="535"/>
      <c r="L290" s="535"/>
      <c r="M290" s="535"/>
      <c r="N290" s="535"/>
      <c r="O290" s="535"/>
      <c r="P290" s="535"/>
      <c r="Q290" s="535"/>
      <c r="R290" s="535"/>
      <c r="S290" s="535"/>
      <c r="T290" s="535"/>
      <c r="U290" s="535"/>
      <c r="V290" s="535"/>
      <c r="W290" s="535"/>
      <c r="X290" s="535"/>
      <c r="Y290" s="535"/>
      <c r="Z290" s="535"/>
      <c r="AA290" s="535"/>
      <c r="AB290" s="535"/>
      <c r="AC290" s="535"/>
      <c r="AD290" s="535"/>
      <c r="AE290" s="535"/>
      <c r="AF290" s="535"/>
      <c r="AG290" s="535"/>
      <c r="AH290" s="535"/>
      <c r="AI290" s="536">
        <f>'11. R&amp;O (GC)'!B21</f>
        <v>0</v>
      </c>
      <c r="AJ290" s="536">
        <f>'11. R&amp;O (GC)'!C21</f>
        <v>0</v>
      </c>
      <c r="AK290" s="536">
        <f>'11. R&amp;O (GC)'!D21</f>
        <v>0</v>
      </c>
      <c r="AL290" s="536"/>
      <c r="AM290" s="536"/>
      <c r="AN290" s="451" t="str">
        <f>'11. R&amp;O (GC)'!A21</f>
        <v>Opportunity 6</v>
      </c>
      <c r="AO290" s="535"/>
      <c r="AP290" s="451">
        <v>300</v>
      </c>
      <c r="AQ290" s="451" t="str">
        <f>Settings!$A$1</f>
        <v>V2</v>
      </c>
    </row>
    <row r="291" spans="1:43">
      <c r="A291" s="451">
        <f>'Input-FX Rates'!$C$4</f>
        <v>242</v>
      </c>
      <c r="B291" s="451" t="str">
        <f>'Input-FX Rates'!$B$4</f>
        <v>ICH Icheon (242)</v>
      </c>
      <c r="C291" s="451">
        <f>'Input-FX Rates'!$C$6</f>
        <v>780</v>
      </c>
      <c r="D291" s="451" t="str">
        <f>'Input-FX Rates'!$B$6</f>
        <v>780 BU Controls</v>
      </c>
      <c r="E291" s="451" t="str">
        <f>'Input-FX Rates'!$C$5</f>
        <v>7821 &amp; 7822</v>
      </c>
      <c r="F291" s="451" t="str">
        <f>'Input-FX Rates'!$B$5</f>
        <v>7821 PL Drivetrain Controls (&amp; Electrification)</v>
      </c>
      <c r="G291" s="451" t="s">
        <v>1542</v>
      </c>
      <c r="H291" s="451" t="s">
        <v>748</v>
      </c>
      <c r="I291" s="535"/>
      <c r="J291" s="535"/>
      <c r="K291" s="535"/>
      <c r="L291" s="535"/>
      <c r="M291" s="535"/>
      <c r="N291" s="535"/>
      <c r="O291" s="535"/>
      <c r="P291" s="535"/>
      <c r="Q291" s="535"/>
      <c r="R291" s="535"/>
      <c r="S291" s="535"/>
      <c r="T291" s="535"/>
      <c r="U291" s="535"/>
      <c r="V291" s="535"/>
      <c r="W291" s="535"/>
      <c r="X291" s="535"/>
      <c r="Y291" s="535"/>
      <c r="Z291" s="535"/>
      <c r="AA291" s="535"/>
      <c r="AB291" s="535"/>
      <c r="AC291" s="535"/>
      <c r="AD291" s="535"/>
      <c r="AE291" s="535"/>
      <c r="AF291" s="535"/>
      <c r="AG291" s="535"/>
      <c r="AH291" s="535"/>
      <c r="AI291" s="536">
        <f>'11. R&amp;O (GC)'!B22</f>
        <v>0</v>
      </c>
      <c r="AJ291" s="536">
        <f>'11. R&amp;O (GC)'!C22</f>
        <v>0</v>
      </c>
      <c r="AK291" s="536">
        <f>'11. R&amp;O (GC)'!D22</f>
        <v>0</v>
      </c>
      <c r="AL291" s="536"/>
      <c r="AM291" s="536"/>
      <c r="AN291" s="451" t="str">
        <f>'11. R&amp;O (GC)'!A22</f>
        <v>Opportunity 7</v>
      </c>
      <c r="AO291" s="535"/>
      <c r="AP291" s="451">
        <v>301</v>
      </c>
      <c r="AQ291" s="451" t="str">
        <f>Settings!$A$1</f>
        <v>V2</v>
      </c>
    </row>
    <row r="292" spans="1:43">
      <c r="A292" s="451">
        <f>'Input-FX Rates'!$C$4</f>
        <v>242</v>
      </c>
      <c r="B292" s="451" t="str">
        <f>'Input-FX Rates'!$B$4</f>
        <v>ICH Icheon (242)</v>
      </c>
      <c r="C292" s="451">
        <f>'Input-FX Rates'!$C$6</f>
        <v>780</v>
      </c>
      <c r="D292" s="451" t="str">
        <f>'Input-FX Rates'!$B$6</f>
        <v>780 BU Controls</v>
      </c>
      <c r="E292" s="451" t="str">
        <f>'Input-FX Rates'!$C$5</f>
        <v>7821 &amp; 7822</v>
      </c>
      <c r="F292" s="451" t="str">
        <f>'Input-FX Rates'!$B$5</f>
        <v>7821 PL Drivetrain Controls (&amp; Electrification)</v>
      </c>
      <c r="G292" s="451" t="s">
        <v>1542</v>
      </c>
      <c r="H292" s="451" t="s">
        <v>749</v>
      </c>
      <c r="I292" s="535"/>
      <c r="J292" s="535"/>
      <c r="K292" s="535"/>
      <c r="L292" s="535"/>
      <c r="M292" s="535"/>
      <c r="N292" s="535"/>
      <c r="O292" s="535"/>
      <c r="P292" s="535"/>
      <c r="Q292" s="535"/>
      <c r="R292" s="535"/>
      <c r="S292" s="535"/>
      <c r="T292" s="535"/>
      <c r="U292" s="535"/>
      <c r="V292" s="535"/>
      <c r="W292" s="535"/>
      <c r="X292" s="535"/>
      <c r="Y292" s="535"/>
      <c r="Z292" s="535"/>
      <c r="AA292" s="535"/>
      <c r="AB292" s="535"/>
      <c r="AC292" s="535"/>
      <c r="AD292" s="535"/>
      <c r="AE292" s="535"/>
      <c r="AF292" s="535"/>
      <c r="AG292" s="535"/>
      <c r="AH292" s="535"/>
      <c r="AI292" s="536">
        <f>'11. R&amp;O (GC)'!B23</f>
        <v>0</v>
      </c>
      <c r="AJ292" s="536">
        <f>'11. R&amp;O (GC)'!C23</f>
        <v>0</v>
      </c>
      <c r="AK292" s="536">
        <f>'11. R&amp;O (GC)'!D23</f>
        <v>0</v>
      </c>
      <c r="AL292" s="536"/>
      <c r="AM292" s="536"/>
      <c r="AN292" s="451" t="str">
        <f>'11. R&amp;O (GC)'!A23</f>
        <v>Opportunity 8</v>
      </c>
      <c r="AO292" s="535"/>
      <c r="AP292" s="451">
        <v>302</v>
      </c>
      <c r="AQ292" s="451" t="str">
        <f>Settings!$A$1</f>
        <v>V2</v>
      </c>
    </row>
    <row r="293" spans="1:43">
      <c r="A293" s="451">
        <f>'Input-FX Rates'!$C$4</f>
        <v>242</v>
      </c>
      <c r="B293" s="451" t="str">
        <f>'Input-FX Rates'!$B$4</f>
        <v>ICH Icheon (242)</v>
      </c>
      <c r="C293" s="451">
        <f>'Input-FX Rates'!$C$6</f>
        <v>780</v>
      </c>
      <c r="D293" s="451" t="str">
        <f>'Input-FX Rates'!$B$6</f>
        <v>780 BU Controls</v>
      </c>
      <c r="E293" s="451" t="str">
        <f>'Input-FX Rates'!$C$5</f>
        <v>7821 &amp; 7822</v>
      </c>
      <c r="F293" s="451" t="str">
        <f>'Input-FX Rates'!$B$5</f>
        <v>7821 PL Drivetrain Controls (&amp; Electrification)</v>
      </c>
      <c r="G293" s="451" t="s">
        <v>1542</v>
      </c>
      <c r="H293" s="451" t="s">
        <v>750</v>
      </c>
      <c r="I293" s="535"/>
      <c r="J293" s="535"/>
      <c r="K293" s="535"/>
      <c r="L293" s="535"/>
      <c r="M293" s="535"/>
      <c r="N293" s="535"/>
      <c r="O293" s="535"/>
      <c r="P293" s="535"/>
      <c r="Q293" s="535"/>
      <c r="R293" s="535"/>
      <c r="S293" s="535"/>
      <c r="T293" s="535"/>
      <c r="U293" s="535"/>
      <c r="V293" s="535"/>
      <c r="W293" s="535"/>
      <c r="X293" s="535"/>
      <c r="Y293" s="535"/>
      <c r="Z293" s="535"/>
      <c r="AA293" s="535"/>
      <c r="AB293" s="535"/>
      <c r="AC293" s="535"/>
      <c r="AD293" s="535"/>
      <c r="AE293" s="535"/>
      <c r="AF293" s="535"/>
      <c r="AG293" s="535"/>
      <c r="AH293" s="535"/>
      <c r="AI293" s="536">
        <f>'11. R&amp;O (GC)'!B24</f>
        <v>0</v>
      </c>
      <c r="AJ293" s="536">
        <f>'11. R&amp;O (GC)'!C24</f>
        <v>0</v>
      </c>
      <c r="AK293" s="536">
        <f>'11. R&amp;O (GC)'!D24</f>
        <v>0</v>
      </c>
      <c r="AL293" s="536"/>
      <c r="AM293" s="536"/>
      <c r="AN293" s="451" t="str">
        <f>'11. R&amp;O (GC)'!A24</f>
        <v>Opportunity 9</v>
      </c>
      <c r="AO293" s="535"/>
      <c r="AP293" s="451">
        <v>303</v>
      </c>
      <c r="AQ293" s="451" t="str">
        <f>Settings!$A$1</f>
        <v>V2</v>
      </c>
    </row>
    <row r="294" spans="1:43">
      <c r="A294" s="451">
        <f>'Input-FX Rates'!$C$4</f>
        <v>242</v>
      </c>
      <c r="B294" s="451" t="str">
        <f>'Input-FX Rates'!$B$4</f>
        <v>ICH Icheon (242)</v>
      </c>
      <c r="C294" s="451">
        <f>'Input-FX Rates'!$C$6</f>
        <v>780</v>
      </c>
      <c r="D294" s="451" t="str">
        <f>'Input-FX Rates'!$B$6</f>
        <v>780 BU Controls</v>
      </c>
      <c r="E294" s="451" t="str">
        <f>'Input-FX Rates'!$C$5</f>
        <v>7821 &amp; 7822</v>
      </c>
      <c r="F294" s="451" t="str">
        <f>'Input-FX Rates'!$B$5</f>
        <v>7821 PL Drivetrain Controls (&amp; Electrification)</v>
      </c>
      <c r="G294" s="451" t="s">
        <v>1542</v>
      </c>
      <c r="H294" s="451" t="s">
        <v>751</v>
      </c>
      <c r="I294" s="535"/>
      <c r="J294" s="535"/>
      <c r="K294" s="535"/>
      <c r="L294" s="535"/>
      <c r="M294" s="535"/>
      <c r="N294" s="535"/>
      <c r="O294" s="535"/>
      <c r="P294" s="535"/>
      <c r="Q294" s="535"/>
      <c r="R294" s="535"/>
      <c r="S294" s="535"/>
      <c r="T294" s="535"/>
      <c r="U294" s="535"/>
      <c r="V294" s="535"/>
      <c r="W294" s="535"/>
      <c r="X294" s="535"/>
      <c r="Y294" s="535"/>
      <c r="Z294" s="535"/>
      <c r="AA294" s="535"/>
      <c r="AB294" s="535"/>
      <c r="AC294" s="535"/>
      <c r="AD294" s="535"/>
      <c r="AE294" s="535"/>
      <c r="AF294" s="535"/>
      <c r="AG294" s="535"/>
      <c r="AH294" s="535"/>
      <c r="AI294" s="536">
        <f>'11. R&amp;O (GC)'!B25</f>
        <v>0</v>
      </c>
      <c r="AJ294" s="536">
        <f>'11. R&amp;O (GC)'!C25</f>
        <v>0</v>
      </c>
      <c r="AK294" s="536">
        <f>'11. R&amp;O (GC)'!D25</f>
        <v>0</v>
      </c>
      <c r="AL294" s="536"/>
      <c r="AM294" s="536"/>
      <c r="AN294" s="451" t="str">
        <f>'11. R&amp;O (GC)'!A25</f>
        <v>Total Opportunities</v>
      </c>
      <c r="AO294" s="535"/>
      <c r="AP294" s="451">
        <v>304</v>
      </c>
      <c r="AQ294" s="451" t="str">
        <f>Settings!$A$1</f>
        <v>V2</v>
      </c>
    </row>
    <row r="295" spans="1:43">
      <c r="A295" s="451">
        <f>'Input-FX Rates'!$C$4</f>
        <v>242</v>
      </c>
      <c r="B295" s="451" t="str">
        <f>'Input-FX Rates'!$B$4</f>
        <v>ICH Icheon (242)</v>
      </c>
      <c r="C295" s="451">
        <f>'Input-FX Rates'!$C$6</f>
        <v>780</v>
      </c>
      <c r="D295" s="451" t="str">
        <f>'Input-FX Rates'!$B$6</f>
        <v>780 BU Controls</v>
      </c>
      <c r="E295" s="451" t="str">
        <f>'Input-FX Rates'!$C$5</f>
        <v>7821 &amp; 7822</v>
      </c>
      <c r="F295" s="451" t="str">
        <f>'Input-FX Rates'!$B$5</f>
        <v>7821 PL Drivetrain Controls (&amp; Electrification)</v>
      </c>
      <c r="G295" s="451" t="s">
        <v>1542</v>
      </c>
      <c r="H295" s="451" t="s">
        <v>752</v>
      </c>
      <c r="I295" s="535"/>
      <c r="J295" s="535"/>
      <c r="K295" s="535"/>
      <c r="L295" s="535"/>
      <c r="M295" s="535"/>
      <c r="N295" s="535"/>
      <c r="O295" s="535"/>
      <c r="P295" s="535"/>
      <c r="Q295" s="535"/>
      <c r="R295" s="535"/>
      <c r="S295" s="535"/>
      <c r="T295" s="535"/>
      <c r="U295" s="535"/>
      <c r="V295" s="535"/>
      <c r="W295" s="535"/>
      <c r="X295" s="535"/>
      <c r="Y295" s="535"/>
      <c r="Z295" s="535"/>
      <c r="AA295" s="535"/>
      <c r="AB295" s="535"/>
      <c r="AC295" s="535"/>
      <c r="AD295" s="535"/>
      <c r="AE295" s="535"/>
      <c r="AF295" s="535"/>
      <c r="AG295" s="535"/>
      <c r="AH295" s="535"/>
      <c r="AI295" s="536">
        <f>'11. R&amp;O (GC)'!B26</f>
        <v>0</v>
      </c>
      <c r="AJ295" s="536">
        <f>'11. R&amp;O (GC)'!C26</f>
        <v>0</v>
      </c>
      <c r="AK295" s="536">
        <f>'11. R&amp;O (GC)'!D26</f>
        <v>0</v>
      </c>
      <c r="AL295" s="536"/>
      <c r="AM295" s="536"/>
      <c r="AN295" s="451" t="str">
        <f>'11. R&amp;O (GC)'!A26</f>
        <v>Total Risks &amp; Opportunities</v>
      </c>
      <c r="AO295" s="535"/>
      <c r="AP295" s="451">
        <v>305</v>
      </c>
      <c r="AQ295" s="451" t="str">
        <f>Settings!$A$1</f>
        <v>V2</v>
      </c>
    </row>
  </sheetData>
  <autoFilter ref="A1:AO295" xr:uid="{9CFA50AE-4099-4599-9703-926F86EB6D89}"/>
  <phoneticPr fontId="54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09BD3-3314-4B81-88E9-9964F15CD5F0}">
  <sheetPr>
    <tabColor rgb="FFFFFFCC"/>
  </sheetPr>
  <dimension ref="A1:J17"/>
  <sheetViews>
    <sheetView showGridLines="0" tabSelected="1" zoomScale="85" zoomScaleNormal="85" workbookViewId="0">
      <selection activeCell="E39" sqref="E39"/>
    </sheetView>
  </sheetViews>
  <sheetFormatPr defaultColWidth="9.28515625" defaultRowHeight="12.75" customHeight="1"/>
  <cols>
    <col min="1" max="1" width="22.7109375" style="5" customWidth="1"/>
    <col min="2" max="2" width="49.140625" style="5" customWidth="1"/>
    <col min="3" max="8" width="17.28515625" style="5" customWidth="1"/>
    <col min="9" max="9" width="3.28515625" style="5" customWidth="1"/>
    <col min="10" max="10" width="53.28515625" style="5" bestFit="1" customWidth="1"/>
    <col min="11" max="17" width="9.28515625" style="5" customWidth="1"/>
    <col min="18" max="16384" width="9.28515625" style="5"/>
  </cols>
  <sheetData>
    <row r="1" spans="1:10" s="51" customFormat="1" ht="19.899999999999999" customHeight="1">
      <c r="A1" s="60" t="s">
        <v>153</v>
      </c>
      <c r="D1" s="59"/>
      <c r="E1" s="59"/>
      <c r="F1" s="59"/>
      <c r="G1" s="58"/>
      <c r="H1" s="57" t="str">
        <f>"Plant "&amp;$B$4</f>
        <v>Plant ICH Icheon (242)</v>
      </c>
      <c r="I1" s="53"/>
      <c r="J1" s="56" t="s">
        <v>154</v>
      </c>
    </row>
    <row r="2" spans="1:10" s="51" customFormat="1" ht="19.899999999999999" customHeight="1" thickBot="1">
      <c r="A2" s="55" t="s">
        <v>155</v>
      </c>
      <c r="B2" s="55"/>
      <c r="C2" s="55"/>
      <c r="D2" s="55"/>
      <c r="E2" s="55"/>
      <c r="F2" s="55"/>
      <c r="G2" s="54"/>
      <c r="H2" s="54" t="str">
        <f>IF($B$5="All",$B$6,$B$5)</f>
        <v>7821 PL Drivetrain Controls (&amp; Electrification)</v>
      </c>
      <c r="I2" s="53"/>
      <c r="J2" s="52" t="s">
        <v>156</v>
      </c>
    </row>
    <row r="3" spans="1:10" ht="69" customHeight="1">
      <c r="A3" s="20"/>
      <c r="B3" s="50"/>
      <c r="C3" s="50" t="s">
        <v>157</v>
      </c>
      <c r="D3" s="20"/>
      <c r="E3" s="20"/>
      <c r="F3" s="20"/>
      <c r="G3" s="20"/>
      <c r="H3" s="20"/>
      <c r="I3" s="21"/>
      <c r="J3" s="49" t="s">
        <v>158</v>
      </c>
    </row>
    <row r="4" spans="1:10" ht="15.75">
      <c r="A4" s="46" t="s">
        <v>159</v>
      </c>
      <c r="B4" s="45" t="str">
        <f>_xlfn.IFNA(VLOOKUP(C4,Settings!$A4:$C51,2,FALSE),"-")</f>
        <v>ICH Icheon (242)</v>
      </c>
      <c r="C4" s="48">
        <v>242</v>
      </c>
      <c r="D4" s="21"/>
      <c r="E4" s="21"/>
      <c r="F4" s="21"/>
      <c r="G4" s="21"/>
      <c r="H4" s="21"/>
      <c r="I4" s="21"/>
      <c r="J4" s="20" t="s">
        <v>160</v>
      </c>
    </row>
    <row r="5" spans="1:10" ht="15.75">
      <c r="A5" s="46" t="s">
        <v>161</v>
      </c>
      <c r="B5" s="45" t="str">
        <f>_xlfn.IFNA(VLOOKUP(C5,Settings!$G4:$I50,2,FALSE),"-")</f>
        <v>7821 PL Drivetrain Controls (&amp; Electrification)</v>
      </c>
      <c r="C5" s="48" t="s">
        <v>123</v>
      </c>
      <c r="D5" s="47"/>
      <c r="E5" s="21"/>
      <c r="F5" s="21"/>
      <c r="G5" s="21"/>
      <c r="H5" s="21"/>
      <c r="I5" s="21"/>
      <c r="J5" s="20" t="s">
        <v>162</v>
      </c>
    </row>
    <row r="6" spans="1:10" ht="15.75">
      <c r="A6" s="46" t="s">
        <v>163</v>
      </c>
      <c r="B6" s="45" t="str">
        <f>VLOOKUP(C5, Settings!G:M,7,FALSE)</f>
        <v>780 BU Controls</v>
      </c>
      <c r="C6" s="45">
        <f>VLOOKUP(C5, Settings!G:L,6,FALSE)</f>
        <v>780</v>
      </c>
      <c r="D6" s="21"/>
      <c r="E6" s="21"/>
      <c r="F6" s="21"/>
      <c r="G6" s="21"/>
      <c r="H6" s="21"/>
      <c r="I6" s="21"/>
      <c r="J6" s="20" t="s">
        <v>164</v>
      </c>
    </row>
    <row r="7" spans="1:10" ht="15.75">
      <c r="A7" s="46" t="s">
        <v>165</v>
      </c>
      <c r="B7" s="45" t="str">
        <f>VLOOKUP(C5, Settings!G:L,5,FALSE)</f>
        <v>722 Electrification Solutions</v>
      </c>
      <c r="C7" s="45">
        <f>VLOOKUP(C5, Settings!G:L,4,FALSE)</f>
        <v>722</v>
      </c>
      <c r="D7" s="21"/>
      <c r="E7" s="1030"/>
      <c r="F7" s="1030"/>
      <c r="G7" s="1030"/>
      <c r="H7" s="21"/>
      <c r="I7" s="21"/>
      <c r="J7" s="20" t="s">
        <v>166</v>
      </c>
    </row>
    <row r="8" spans="1:10" ht="15.75">
      <c r="A8" s="46" t="s">
        <v>167</v>
      </c>
      <c r="B8" s="45" t="str">
        <f>_xlfn.IFNA(VLOOKUP($C$4,Settings!$A5:$C51,3,FALSE),"-")</f>
        <v>KRW</v>
      </c>
      <c r="C8" s="44"/>
      <c r="D8" s="21"/>
      <c r="E8" s="43"/>
      <c r="F8" s="43"/>
      <c r="G8" s="43"/>
      <c r="H8" s="21"/>
      <c r="I8" s="21"/>
      <c r="J8" s="20" t="s">
        <v>168</v>
      </c>
    </row>
    <row r="9" spans="1:10" ht="17.649999999999999" customHeight="1">
      <c r="J9" s="20" t="s">
        <v>169</v>
      </c>
    </row>
    <row r="10" spans="1:10" ht="20.65" customHeight="1">
      <c r="A10" s="40" t="s">
        <v>170</v>
      </c>
      <c r="B10" s="1028">
        <v>2022</v>
      </c>
      <c r="C10" s="1029"/>
      <c r="D10" s="1028">
        <v>2023</v>
      </c>
      <c r="E10" s="1031"/>
      <c r="F10" s="1031"/>
      <c r="G10" s="1029"/>
      <c r="H10" s="39">
        <v>2024</v>
      </c>
      <c r="I10" s="21"/>
      <c r="J10" s="20"/>
    </row>
    <row r="11" spans="1:10" ht="20.65" customHeight="1">
      <c r="A11" s="40" t="str">
        <f>$B$8</f>
        <v>KRW</v>
      </c>
      <c r="B11" s="42" t="s">
        <v>15</v>
      </c>
      <c r="C11" s="40" t="s">
        <v>16</v>
      </c>
      <c r="D11" s="42" t="s">
        <v>17</v>
      </c>
      <c r="E11" s="41" t="s">
        <v>171</v>
      </c>
      <c r="F11" s="41" t="s">
        <v>18</v>
      </c>
      <c r="G11" s="40" t="s">
        <v>19</v>
      </c>
      <c r="H11" s="39" t="s">
        <v>15</v>
      </c>
      <c r="I11" s="21"/>
      <c r="J11" s="20" t="s">
        <v>172</v>
      </c>
    </row>
    <row r="12" spans="1:10" ht="15">
      <c r="A12" s="38"/>
      <c r="B12" s="37"/>
      <c r="C12" s="34"/>
      <c r="D12" s="36"/>
      <c r="E12" s="35"/>
      <c r="F12" s="35"/>
      <c r="G12" s="34"/>
      <c r="H12" s="33"/>
      <c r="I12" s="21"/>
      <c r="J12" s="20" t="s">
        <v>173</v>
      </c>
    </row>
    <row r="13" spans="1:10" ht="15">
      <c r="A13" s="32" t="s">
        <v>174</v>
      </c>
      <c r="B13" s="31">
        <f>VLOOKUP($A$11,FX_BS,2,FALSE)</f>
        <v>1362</v>
      </c>
      <c r="C13" s="29">
        <f>VLOOKUP($A$11,FX_BS,3,FALSE)</f>
        <v>1344.72</v>
      </c>
      <c r="D13" s="31">
        <f>VLOOKUP($A$11,FX_BS,4,FALSE)</f>
        <v>1329</v>
      </c>
      <c r="E13" s="30">
        <f>VLOOKUP($A$11,FX_BS,6,FALSE)</f>
        <v>1430.47</v>
      </c>
      <c r="F13" s="30">
        <f>VLOOKUP($A$11,FX_BS,6,FALSE)</f>
        <v>1430.47</v>
      </c>
      <c r="G13" s="29">
        <f>VLOOKUP($A$11,FX_BS,7,FALSE)</f>
        <v>1422.8</v>
      </c>
      <c r="H13" s="28">
        <f>VLOOKUP($A$11,FX_BS,8,FALSE)</f>
        <v>1450</v>
      </c>
      <c r="I13" s="21"/>
      <c r="J13" s="981" t="s">
        <v>175</v>
      </c>
    </row>
    <row r="14" spans="1:10" ht="15">
      <c r="A14" s="32" t="s">
        <v>176</v>
      </c>
      <c r="B14" s="31"/>
      <c r="C14" s="29"/>
      <c r="D14" s="31"/>
      <c r="E14" s="30"/>
      <c r="F14" s="30"/>
      <c r="G14" s="29"/>
      <c r="H14" s="28"/>
      <c r="I14" s="21"/>
      <c r="J14" s="20"/>
    </row>
    <row r="15" spans="1:10" ht="15">
      <c r="A15" s="32"/>
      <c r="B15" s="31"/>
      <c r="C15" s="29"/>
      <c r="D15" s="31"/>
      <c r="E15" s="30"/>
      <c r="F15" s="30"/>
      <c r="G15" s="29"/>
      <c r="H15" s="28"/>
      <c r="I15" s="21"/>
      <c r="J15" s="982" t="s">
        <v>177</v>
      </c>
    </row>
    <row r="16" spans="1:10" ht="15">
      <c r="A16" s="32" t="s">
        <v>178</v>
      </c>
      <c r="B16" s="31">
        <f>VLOOKUP($A$11,FX_PL,2,FALSE)</f>
        <v>1362</v>
      </c>
      <c r="C16" s="29">
        <f>VLOOKUP($A$11,FX_PL,3,FALSE)</f>
        <v>1357.90319</v>
      </c>
      <c r="D16" s="31">
        <f>VLOOKUP($A$11,FX_PL,4,FALSE)</f>
        <v>1329</v>
      </c>
      <c r="E16" s="30">
        <f>VLOOKUP($A$11,FX_PL,6,FALSE)</f>
        <v>1400.8527799999999</v>
      </c>
      <c r="F16" s="30">
        <f>VLOOKUP($A$11,FX_PL,6,FALSE)</f>
        <v>1400.8527799999999</v>
      </c>
      <c r="G16" s="29">
        <f>VLOOKUP($A$11,FX_PL,7,FALSE)</f>
        <v>1403.6801399999999</v>
      </c>
      <c r="H16" s="28">
        <f>VLOOKUP($A$11,FX_PL,8,FALSE)</f>
        <v>1450</v>
      </c>
      <c r="I16" s="21"/>
      <c r="J16" s="20"/>
    </row>
    <row r="17" spans="1:10" ht="15">
      <c r="A17" s="27" t="s">
        <v>179</v>
      </c>
      <c r="B17" s="26"/>
      <c r="C17" s="23"/>
      <c r="D17" s="25"/>
      <c r="E17" s="24"/>
      <c r="F17" s="24"/>
      <c r="G17" s="23"/>
      <c r="H17" s="22"/>
      <c r="I17" s="21"/>
      <c r="J17" s="20"/>
    </row>
  </sheetData>
  <mergeCells count="3">
    <mergeCell ref="B10:C10"/>
    <mergeCell ref="E7:G7"/>
    <mergeCell ref="D10:G10"/>
  </mergeCells>
  <phoneticPr fontId="65" type="noConversion"/>
  <hyperlinks>
    <hyperlink ref="J15" r:id="rId1" xr:uid="{8C2E3020-C672-4307-82A3-38DB679589D5}"/>
  </hyperlinks>
  <pageMargins left="0.7" right="0.7" top="0.75" bottom="0.75" header="0.3" footer="0.3"/>
  <pageSetup paperSize="9" orientation="portrait" r:id="rId2"/>
  <customProperties>
    <customPr name="_pios_id" r:id="rId3"/>
  </customPropertie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1C05627-759C-4D4B-A8DE-91CE56A46D53}">
          <x14:formula1>
            <xm:f>Settings!$A$5:$A$54</xm:f>
          </x14:formula1>
          <xm:sqref>C4</xm:sqref>
        </x14:dataValidation>
        <x14:dataValidation type="list" allowBlank="1" showInputMessage="1" showErrorMessage="1" xr:uid="{08144DC2-425D-4F5C-9A50-ADF6FDBFDE0F}">
          <x14:formula1>
            <xm:f>Settings!$G$5:$G$32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E356A-05C4-4632-8F36-806024853277}">
  <dimension ref="A1:BM76"/>
  <sheetViews>
    <sheetView showGridLines="0" zoomScaleNormal="100" workbookViewId="0">
      <selection activeCell="G43" sqref="G43"/>
    </sheetView>
  </sheetViews>
  <sheetFormatPr defaultColWidth="9.28515625" defaultRowHeight="12.75" customHeight="1"/>
  <cols>
    <col min="1" max="1" width="15" style="5" customWidth="1"/>
    <col min="2" max="8" width="19.7109375" style="5" customWidth="1"/>
    <col min="9" max="65" width="9.28515625" style="5"/>
    <col min="66" max="16384" width="9.28515625" style="3"/>
  </cols>
  <sheetData>
    <row r="1" spans="1:65" s="70" customFormat="1" ht="19.899999999999999" customHeight="1">
      <c r="A1" s="60" t="s">
        <v>153</v>
      </c>
      <c r="B1" s="60"/>
      <c r="C1" s="60"/>
      <c r="D1" s="72"/>
      <c r="E1" s="72"/>
      <c r="F1" s="72"/>
      <c r="G1" s="58"/>
      <c r="H1" s="58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</row>
    <row r="2" spans="1:65" s="70" customFormat="1" ht="19.899999999999999" customHeight="1" thickBot="1">
      <c r="A2" s="55" t="s">
        <v>180</v>
      </c>
      <c r="B2" s="55"/>
      <c r="C2" s="55"/>
      <c r="D2" s="55"/>
      <c r="E2" s="55"/>
      <c r="F2" s="55"/>
      <c r="G2" s="54"/>
      <c r="H2" s="54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</row>
    <row r="3" spans="1:65" s="61" customFormat="1" ht="19.899999999999999" customHeight="1">
      <c r="A3" s="67"/>
      <c r="B3" s="67"/>
      <c r="C3" s="67"/>
      <c r="D3" s="67"/>
      <c r="E3" s="67"/>
      <c r="F3" s="67"/>
      <c r="G3" s="67"/>
      <c r="H3" s="66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</row>
    <row r="4" spans="1:65" s="61" customFormat="1" ht="19.899999999999999" customHeight="1">
      <c r="A4" s="63" t="s">
        <v>181</v>
      </c>
      <c r="B4" s="69" t="s">
        <v>156</v>
      </c>
      <c r="C4" s="68"/>
      <c r="D4" s="67"/>
      <c r="E4" s="67"/>
      <c r="F4" s="67"/>
      <c r="G4" s="67"/>
      <c r="H4" s="66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</row>
    <row r="5" spans="1:65" s="61" customFormat="1" ht="19.899999999999999" customHeight="1">
      <c r="A5" s="67"/>
      <c r="B5" s="63" t="s">
        <v>182</v>
      </c>
      <c r="C5" s="67"/>
      <c r="D5" s="67"/>
      <c r="E5" s="67"/>
      <c r="F5" s="67"/>
      <c r="G5" s="67"/>
      <c r="H5" s="66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</row>
    <row r="6" spans="1:65" s="61" customFormat="1" ht="19.899999999999999" customHeight="1">
      <c r="A6" s="67"/>
      <c r="B6" s="63"/>
      <c r="C6" s="67"/>
      <c r="D6" s="67"/>
      <c r="E6" s="67"/>
      <c r="F6" s="67"/>
      <c r="G6" s="67"/>
      <c r="H6" s="66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</row>
    <row r="7" spans="1:65" s="61" customFormat="1" ht="15.75">
      <c r="A7" s="63" t="s">
        <v>183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</row>
    <row r="8" spans="1:65" s="61" customFormat="1" ht="15.75">
      <c r="A8" s="63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</row>
    <row r="9" spans="1:65" s="61" customFormat="1" ht="15.75">
      <c r="A9" s="65"/>
      <c r="B9" s="651" t="s">
        <v>184</v>
      </c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</row>
    <row r="10" spans="1:65" s="61" customFormat="1" ht="20.25" customHeight="1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</row>
    <row r="11" spans="1:65" s="61" customFormat="1" ht="12.75" customHeight="1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</row>
    <row r="12" spans="1:65" s="61" customFormat="1" ht="15.75">
      <c r="A12" s="63" t="s">
        <v>185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</row>
    <row r="13" spans="1:65" s="61" customFormat="1" ht="12.75" customHeight="1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</row>
    <row r="14" spans="1:65" s="61" customFormat="1" ht="12.75" customHeight="1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</row>
    <row r="15" spans="1:65" s="61" customFormat="1" ht="12.75" customHeight="1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</row>
    <row r="16" spans="1:65" s="61" customFormat="1" ht="12.75" customHeight="1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</row>
    <row r="17" spans="1:65" s="61" customFormat="1" ht="12.75" customHeight="1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</row>
    <row r="18" spans="1:65" s="61" customFormat="1" ht="12.75" customHeight="1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</row>
    <row r="19" spans="1:65" s="61" customFormat="1" ht="12.75" customHeight="1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</row>
    <row r="20" spans="1:65" s="61" customFormat="1" ht="12.75" customHeight="1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</row>
    <row r="21" spans="1:65" s="61" customFormat="1" ht="12.75" customHeight="1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</row>
    <row r="22" spans="1:65" s="61" customFormat="1" ht="12.75" customHeight="1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</row>
    <row r="23" spans="1:65" s="61" customFormat="1" ht="12.75" customHeight="1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</row>
    <row r="24" spans="1:65" s="61" customFormat="1" ht="12.75" customHeight="1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</row>
    <row r="25" spans="1:65" s="61" customFormat="1" ht="12.75" customHeight="1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</row>
    <row r="26" spans="1:65" s="61" customFormat="1" ht="12.75" customHeight="1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</row>
    <row r="27" spans="1:65" s="61" customFormat="1" ht="12.75" customHeight="1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</row>
    <row r="28" spans="1:65" s="61" customFormat="1" ht="12.75" customHeight="1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</row>
    <row r="29" spans="1:65" s="61" customFormat="1" ht="12.75" customHeight="1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</row>
    <row r="30" spans="1:65" s="61" customFormat="1" ht="12.75" customHeight="1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</row>
    <row r="31" spans="1:65" s="61" customFormat="1" ht="12.75" customHeight="1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</row>
    <row r="32" spans="1:65" s="61" customFormat="1" ht="12.75" customHeight="1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</row>
    <row r="33" spans="1:65" s="61" customFormat="1" ht="12.75" customHeight="1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  <c r="BM33" s="62"/>
    </row>
    <row r="34" spans="1:65" s="61" customFormat="1" ht="12.75" customHeight="1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</row>
    <row r="35" spans="1:65" s="61" customFormat="1" ht="12.75" customHeight="1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</row>
    <row r="36" spans="1:65" s="61" customFormat="1" ht="12.75" customHeight="1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</row>
    <row r="37" spans="1:65" s="61" customFormat="1" ht="15.75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</row>
    <row r="38" spans="1:65" s="61" customFormat="1" ht="15.75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</row>
    <row r="39" spans="1:65" s="61" customFormat="1" ht="15.75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</row>
    <row r="40" spans="1:65" s="61" customFormat="1" ht="15.75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</row>
    <row r="41" spans="1:65" s="61" customFormat="1" ht="15.75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</row>
    <row r="42" spans="1:65" s="61" customFormat="1" ht="15.75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  <c r="BL42" s="62"/>
      <c r="BM42" s="62"/>
    </row>
    <row r="43" spans="1:65" s="61" customFormat="1" ht="15.75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62"/>
    </row>
    <row r="44" spans="1:65" s="61" customFormat="1" ht="15.75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</row>
    <row r="45" spans="1:65" s="61" customFormat="1" ht="12.75" customHeight="1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</row>
    <row r="46" spans="1:65" s="61" customFormat="1" ht="12.75" customHeight="1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</row>
    <row r="47" spans="1:65" s="61" customFormat="1" ht="15.75">
      <c r="A47" s="62"/>
      <c r="B47" s="62"/>
      <c r="C47" s="62"/>
      <c r="D47" s="62"/>
      <c r="E47" s="62"/>
      <c r="F47" s="62"/>
      <c r="G47" s="62"/>
      <c r="H47" s="64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</row>
    <row r="48" spans="1:65" s="61" customFormat="1" ht="15.75">
      <c r="A48" s="62"/>
      <c r="B48" s="62"/>
      <c r="C48" s="62"/>
      <c r="D48" s="62"/>
      <c r="E48" s="62"/>
      <c r="F48" s="62"/>
      <c r="G48" s="62"/>
      <c r="H48" s="64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</row>
    <row r="49" spans="1:65" s="61" customFormat="1" ht="15.75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</row>
    <row r="50" spans="1:65" s="61" customFormat="1" ht="12.75" customHeight="1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</row>
    <row r="51" spans="1:65" s="61" customFormat="1" ht="12.75" customHeight="1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</row>
    <row r="52" spans="1:65" s="61" customFormat="1" ht="12.75" customHeight="1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</row>
    <row r="53" spans="1:65" s="61" customFormat="1" ht="12.75" customHeight="1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</row>
    <row r="54" spans="1:65" s="61" customFormat="1" ht="12.75" customHeight="1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62"/>
    </row>
    <row r="55" spans="1:65" s="61" customFormat="1" ht="12.75" customHeight="1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62"/>
    </row>
    <row r="56" spans="1:65" s="61" customFormat="1" ht="12.75" customHeight="1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</row>
    <row r="57" spans="1:65" s="61" customFormat="1" ht="12.75" customHeight="1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</row>
    <row r="58" spans="1:65" s="61" customFormat="1" ht="12.75" customHeight="1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</row>
    <row r="59" spans="1:65" s="61" customFormat="1" ht="12.75" customHeight="1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</row>
    <row r="60" spans="1:65" s="61" customFormat="1" ht="12.75" customHeight="1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</row>
    <row r="61" spans="1:65" s="61" customFormat="1" ht="12.75" customHeight="1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</row>
    <row r="62" spans="1:65" s="61" customFormat="1" ht="12.75" customHeight="1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</row>
    <row r="63" spans="1:65" s="61" customFormat="1" ht="12.75" customHeight="1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</row>
    <row r="64" spans="1:65" s="61" customFormat="1" ht="12.75" customHeight="1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</row>
    <row r="65" spans="1:65" s="61" customFormat="1" ht="12.75" customHeight="1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</row>
    <row r="66" spans="1:65" s="61" customFormat="1" ht="12.75" customHeight="1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</row>
    <row r="67" spans="1:65" s="61" customFormat="1" ht="12.75" customHeight="1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</row>
    <row r="68" spans="1:65" s="61" customFormat="1" ht="15.75">
      <c r="A68" s="63" t="s">
        <v>186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</row>
    <row r="69" spans="1:65" s="61" customFormat="1" ht="18.75" thickBot="1">
      <c r="A69" s="55"/>
      <c r="B69" s="55"/>
      <c r="C69" s="55"/>
      <c r="D69" s="55"/>
      <c r="E69" s="55"/>
      <c r="F69" s="55"/>
      <c r="G69" s="54"/>
      <c r="H69" s="54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</row>
    <row r="70" spans="1:65" s="61" customFormat="1" ht="15.75">
      <c r="A70" s="63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</row>
    <row r="71" spans="1:65" s="61" customFormat="1" ht="15.75">
      <c r="A71" s="63" t="s">
        <v>187</v>
      </c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</row>
    <row r="72" spans="1:65" s="61" customFormat="1" ht="18.75" thickBot="1">
      <c r="A72" s="55"/>
      <c r="B72" s="55"/>
      <c r="C72" s="55"/>
      <c r="D72" s="55"/>
      <c r="E72" s="55"/>
      <c r="F72" s="55"/>
      <c r="G72" s="54"/>
      <c r="H72" s="54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</row>
    <row r="73" spans="1:65" s="61" customFormat="1" ht="12.75" customHeight="1">
      <c r="A73" s="63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</row>
    <row r="74" spans="1:65" s="61" customFormat="1" ht="15.75">
      <c r="A74" s="63" t="s">
        <v>188</v>
      </c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</row>
    <row r="75" spans="1:65" s="61" customFormat="1" ht="12.75" customHeight="1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</row>
    <row r="76" spans="1:65" s="61" customFormat="1" ht="12.75" customHeight="1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</row>
  </sheetData>
  <phoneticPr fontId="65" type="noConversion"/>
  <hyperlinks>
    <hyperlink ref="B9" r:id="rId1" xr:uid="{6120EDC5-6142-45F1-81EA-13687E51F0BE}"/>
  </hyperlinks>
  <pageMargins left="0.7" right="0.7" top="0.75" bottom="0.75" header="0.3" footer="0.3"/>
  <pageSetup paperSize="9" orientation="portrait" r:id="rId2"/>
  <customProperties>
    <customPr name="_pios_id" r:id="rId3"/>
  </customPropertie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89517-E980-4AEA-BE6F-E957A9E682F1}">
  <sheetPr>
    <tabColor rgb="FFFFFFCC"/>
    <pageSetUpPr fitToPage="1"/>
  </sheetPr>
  <dimension ref="A1:I32"/>
  <sheetViews>
    <sheetView showGridLines="0" zoomScaleNormal="100" workbookViewId="0">
      <pane ySplit="6" topLeftCell="A7" activePane="bottomLeft" state="frozen"/>
      <selection activeCell="A30" sqref="A30:G30"/>
      <selection pane="bottomLeft" activeCell="F20" sqref="F20"/>
    </sheetView>
  </sheetViews>
  <sheetFormatPr defaultColWidth="9.28515625" defaultRowHeight="12.75" customHeight="1"/>
  <cols>
    <col min="1" max="4" width="16.7109375" style="5" customWidth="1"/>
    <col min="5" max="5" width="61.28515625" style="5" customWidth="1"/>
    <col min="6" max="7" width="18.7109375" style="5" customWidth="1"/>
    <col min="8" max="8" width="15.7109375" style="5" bestFit="1" customWidth="1"/>
    <col min="9" max="9" width="76.28515625" style="73" bestFit="1" customWidth="1"/>
    <col min="10" max="10" width="9.28515625" style="5" customWidth="1"/>
    <col min="11" max="16384" width="9.28515625" style="5"/>
  </cols>
  <sheetData>
    <row r="1" spans="1:9" s="71" customFormat="1" ht="19.899999999999999" customHeight="1">
      <c r="A1" s="60" t="str">
        <f>+'0. Instructions'!A1</f>
        <v>Budget 2024</v>
      </c>
      <c r="B1" s="60"/>
      <c r="C1" s="60"/>
      <c r="D1" s="72"/>
      <c r="E1" s="219"/>
      <c r="F1" s="72"/>
      <c r="G1" s="58" t="str">
        <f>'Input-FX Rates'!$H$1</f>
        <v>Plant ICH Icheon (242)</v>
      </c>
      <c r="I1" s="56" t="s">
        <v>154</v>
      </c>
    </row>
    <row r="2" spans="1:9" s="71" customFormat="1" ht="19.899999999999999" customHeight="1" thickBot="1">
      <c r="A2" s="55" t="s">
        <v>189</v>
      </c>
      <c r="B2" s="55"/>
      <c r="C2" s="55"/>
      <c r="D2" s="55"/>
      <c r="E2" s="55"/>
      <c r="F2" s="55"/>
      <c r="G2" s="54" t="str">
        <f>'Input-FX Rates'!$H$2</f>
        <v>7821 PL Drivetrain Controls (&amp; Electrification)</v>
      </c>
      <c r="I2" s="95" t="s">
        <v>156</v>
      </c>
    </row>
    <row r="5" spans="1:9" ht="27.6" customHeight="1">
      <c r="A5" s="40">
        <v>2022</v>
      </c>
      <c r="B5" s="1031">
        <v>2023</v>
      </c>
      <c r="C5" s="1031"/>
      <c r="D5" s="1029"/>
      <c r="E5" s="1032" t="str">
        <f>"in '000 "&amp;'Input-FX Rates'!$B$8</f>
        <v>in '000 KRW</v>
      </c>
      <c r="F5" s="41">
        <v>2024</v>
      </c>
      <c r="G5" s="41" t="s">
        <v>190</v>
      </c>
    </row>
    <row r="6" spans="1:9" ht="27.6" customHeight="1">
      <c r="A6" s="40" t="s">
        <v>191</v>
      </c>
      <c r="B6" s="41" t="s">
        <v>15</v>
      </c>
      <c r="C6" s="41" t="s">
        <v>192</v>
      </c>
      <c r="D6" s="40" t="s">
        <v>19</v>
      </c>
      <c r="E6" s="1032"/>
      <c r="F6" s="41" t="s">
        <v>15</v>
      </c>
      <c r="G6" s="41" t="s">
        <v>193</v>
      </c>
      <c r="I6" s="267" t="s">
        <v>194</v>
      </c>
    </row>
    <row r="7" spans="1:9" ht="21.6" customHeight="1">
      <c r="A7" s="80">
        <f>'P&amp;L'!D8</f>
        <v>125697705.465</v>
      </c>
      <c r="B7" s="78">
        <f>'P&amp;L'!E8</f>
        <v>122276397.866</v>
      </c>
      <c r="C7" s="78">
        <f>'P&amp;L'!F8</f>
        <v>78052717.702999994</v>
      </c>
      <c r="D7" s="80">
        <f>'P&amp;L'!H8</f>
        <v>140545930.37400001</v>
      </c>
      <c r="E7" s="79" t="s">
        <v>195</v>
      </c>
      <c r="F7" s="78">
        <f>'P&amp;L'!I8</f>
        <v>127417506.756</v>
      </c>
      <c r="G7" s="78">
        <f t="shared" ref="G7:G21" si="0">F7-D7</f>
        <v>-13128423.618000016</v>
      </c>
      <c r="H7" s="999"/>
      <c r="I7" s="267" t="s">
        <v>196</v>
      </c>
    </row>
    <row r="8" spans="1:9" ht="21.6" customHeight="1">
      <c r="A8" s="94">
        <f>'P&amp;L'!D53</f>
        <v>42913529.822999999</v>
      </c>
      <c r="B8" s="92">
        <f>'P&amp;L'!E53</f>
        <v>35714093.902999997</v>
      </c>
      <c r="C8" s="92">
        <f>'P&amp;L'!F53</f>
        <v>26711946.092999998</v>
      </c>
      <c r="D8" s="94">
        <f>'P&amp;L'!H53</f>
        <v>49189994.707999997</v>
      </c>
      <c r="E8" s="93" t="s">
        <v>197</v>
      </c>
      <c r="F8" s="92">
        <f>'P&amp;L'!I53</f>
        <v>41994787.987000003</v>
      </c>
      <c r="G8" s="92">
        <f t="shared" si="0"/>
        <v>-7195206.7209999934</v>
      </c>
      <c r="I8" s="5"/>
    </row>
    <row r="9" spans="1:9" ht="21.6" customHeight="1">
      <c r="A9" s="91">
        <f>IFERROR(A8/A$7,0)</f>
        <v>0.34140265062315789</v>
      </c>
      <c r="B9" s="86">
        <f>IFERROR(B8/B$7,0)</f>
        <v>0.29207675828117119</v>
      </c>
      <c r="C9" s="86">
        <f>IFERROR(C8/C$7,0)</f>
        <v>0.34222954535218331</v>
      </c>
      <c r="D9" s="91">
        <f>IFERROR(D8/D$7,0)</f>
        <v>0.34999230911277807</v>
      </c>
      <c r="E9" s="90" t="s">
        <v>198</v>
      </c>
      <c r="F9" s="86">
        <f>IFERROR(F8/F$7,0)</f>
        <v>0.32958412902725004</v>
      </c>
      <c r="G9" s="86">
        <f t="shared" si="0"/>
        <v>-2.0408180085528027E-2</v>
      </c>
      <c r="H9" s="1000"/>
    </row>
    <row r="10" spans="1:9" ht="21.6" customHeight="1">
      <c r="A10" s="83">
        <f>'P&amp;L'!D55+'P&amp;L'!D56+'P&amp;L'!D57+'P&amp;L'!D59</f>
        <v>-15126378.514</v>
      </c>
      <c r="B10" s="81">
        <f>'P&amp;L'!E55+'P&amp;L'!E56+'P&amp;L'!E57+'P&amp;L'!E59</f>
        <v>-15459409.926000001</v>
      </c>
      <c r="C10" s="81">
        <f>'P&amp;L'!F55+'P&amp;L'!F56+'P&amp;L'!F57+'P&amp;L'!F59</f>
        <v>-7730209.233</v>
      </c>
      <c r="D10" s="83">
        <f>'P&amp;L'!H55+'P&amp;L'!H56+'P&amp;L'!H57+'P&amp;L'!H59</f>
        <v>-15161869.111000001</v>
      </c>
      <c r="E10" s="82" t="s">
        <v>199</v>
      </c>
      <c r="F10" s="85">
        <f>'P&amp;L'!I55+'P&amp;L'!I56+'P&amp;L'!I57+'P&amp;L'!I59</f>
        <v>-14629139.013999999</v>
      </c>
      <c r="G10" s="81">
        <f t="shared" si="0"/>
        <v>532730.09700000286</v>
      </c>
    </row>
    <row r="11" spans="1:9" ht="21.6" customHeight="1">
      <c r="A11" s="89">
        <f>IFERROR(A10/A$7,0)</f>
        <v>-0.12033933680843424</v>
      </c>
      <c r="B11" s="87">
        <f>IFERROR(B10/B$7,0)</f>
        <v>-0.12643004043136458</v>
      </c>
      <c r="C11" s="87">
        <f>IFERROR(C10/C$7,0)</f>
        <v>-9.9038309753856094E-2</v>
      </c>
      <c r="D11" s="89">
        <f>IFERROR(D10/D$7,0)</f>
        <v>-0.10787839299689063</v>
      </c>
      <c r="E11" s="88" t="s">
        <v>198</v>
      </c>
      <c r="F11" s="87">
        <f>IFERROR(F10/F$7,0)</f>
        <v>-0.11481262964919162</v>
      </c>
      <c r="G11" s="86">
        <f t="shared" si="0"/>
        <v>-6.9342366523009874E-3</v>
      </c>
      <c r="H11" s="73"/>
    </row>
    <row r="12" spans="1:9" ht="21.6" customHeight="1">
      <c r="A12" s="83">
        <f>+'P&amp;L'!D58</f>
        <v>-6668132.4510000004</v>
      </c>
      <c r="B12" s="81">
        <f>+'P&amp;L'!E58</f>
        <v>-4734674.9620000003</v>
      </c>
      <c r="C12" s="81">
        <f>+'P&amp;L'!F58</f>
        <v>-3860834.1880000001</v>
      </c>
      <c r="D12" s="81">
        <f>+'P&amp;L'!H58</f>
        <v>-6842464.7439999999</v>
      </c>
      <c r="E12" s="82" t="s">
        <v>200</v>
      </c>
      <c r="F12" s="85">
        <f>+'P&amp;L'!I58</f>
        <v>-5875334.091</v>
      </c>
      <c r="G12" s="81">
        <f t="shared" si="0"/>
        <v>967130.65299999993</v>
      </c>
    </row>
    <row r="13" spans="1:9" ht="21.6" customHeight="1">
      <c r="A13" s="83">
        <f>'P&amp;L'!D60</f>
        <v>-59841.521999999997</v>
      </c>
      <c r="B13" s="81">
        <f>'P&amp;L'!E60</f>
        <v>0</v>
      </c>
      <c r="C13" s="81">
        <f>'P&amp;L'!F60</f>
        <v>-28395.342000000001</v>
      </c>
      <c r="D13" s="83">
        <f>'P&amp;L'!H60</f>
        <v>-28395.342000000001</v>
      </c>
      <c r="E13" s="82" t="s">
        <v>201</v>
      </c>
      <c r="F13" s="81">
        <f>'P&amp;L'!I60</f>
        <v>0</v>
      </c>
      <c r="G13" s="81">
        <f t="shared" si="0"/>
        <v>28395.342000000001</v>
      </c>
    </row>
    <row r="14" spans="1:9" ht="21.6" customHeight="1">
      <c r="A14" s="80">
        <f>'P&amp;L'!D64</f>
        <v>21059177.335999999</v>
      </c>
      <c r="B14" s="78">
        <f>'P&amp;L'!E64</f>
        <v>15520009.015000001</v>
      </c>
      <c r="C14" s="78">
        <f>'P&amp;L'!F64</f>
        <v>15092507.33</v>
      </c>
      <c r="D14" s="80">
        <f>'P&amp;L'!H64</f>
        <v>27157265.511</v>
      </c>
      <c r="E14" s="79" t="s">
        <v>202</v>
      </c>
      <c r="F14" s="78">
        <f>'P&amp;L'!I64</f>
        <v>21490314.881999999</v>
      </c>
      <c r="G14" s="78">
        <f t="shared" si="0"/>
        <v>-5666950.6290000007</v>
      </c>
    </row>
    <row r="15" spans="1:9" ht="21.6" customHeight="1">
      <c r="A15" s="77">
        <f>IFERROR(A14/A$7,0)</f>
        <v>0.16753827970124593</v>
      </c>
      <c r="B15" s="75">
        <f>IFERROR(B14/B$7,0)</f>
        <v>0.12692563148620092</v>
      </c>
      <c r="C15" s="75">
        <f>IFERROR(C14/C$7,0)</f>
        <v>0.19336299585914241</v>
      </c>
      <c r="D15" s="77">
        <f>IFERROR(D14/D$7,0)</f>
        <v>0.19322697881563064</v>
      </c>
      <c r="E15" s="84" t="s">
        <v>198</v>
      </c>
      <c r="F15" s="75">
        <f>IFERROR(F14/F$7,0)</f>
        <v>0.1686606136718182</v>
      </c>
      <c r="G15" s="75">
        <f t="shared" si="0"/>
        <v>-2.4566365143812441E-2</v>
      </c>
      <c r="H15" s="73"/>
    </row>
    <row r="16" spans="1:9" ht="21.6" customHeight="1">
      <c r="A16" s="83">
        <f>'P&amp;L'!D65+'P&amp;L'!D80+'P&amp;L'!D85</f>
        <v>-10410862.143000001</v>
      </c>
      <c r="B16" s="81">
        <f>'P&amp;L'!E65+'P&amp;L'!E80+'P&amp;L'!E85</f>
        <v>-16183462.447000002</v>
      </c>
      <c r="C16" s="81">
        <f>'P&amp;L'!F65+'P&amp;L'!F80+'P&amp;L'!F85</f>
        <v>-7449127.1549999993</v>
      </c>
      <c r="D16" s="83">
        <f>'P&amp;L'!H65+'P&amp;L'!H80+'P&amp;L'!H85</f>
        <v>-14803944.626</v>
      </c>
      <c r="E16" s="82" t="s">
        <v>203</v>
      </c>
      <c r="F16" s="81">
        <f>'P&amp;L'!I65+'P&amp;L'!I80+'P&amp;L'!I85</f>
        <v>-15551954.254000001</v>
      </c>
      <c r="G16" s="81">
        <f t="shared" si="0"/>
        <v>-748009.62800000049</v>
      </c>
    </row>
    <row r="17" spans="1:9" ht="21.6" customHeight="1">
      <c r="A17" s="83">
        <f>'P&amp;L'!D88+'P&amp;L'!D132</f>
        <v>3998243.57</v>
      </c>
      <c r="B17" s="81">
        <f>'P&amp;L'!E88+'P&amp;L'!E132</f>
        <v>0</v>
      </c>
      <c r="C17" s="81">
        <f>'P&amp;L'!F88+'P&amp;L'!F132</f>
        <v>599668.201</v>
      </c>
      <c r="D17" s="83">
        <f>'P&amp;L'!H88+'P&amp;L'!H132</f>
        <v>1275304.689</v>
      </c>
      <c r="E17" s="82" t="s">
        <v>204</v>
      </c>
      <c r="F17" s="81">
        <f>'P&amp;L'!I88+'P&amp;L'!I132</f>
        <v>0</v>
      </c>
      <c r="G17" s="81">
        <f t="shared" si="0"/>
        <v>-1275304.689</v>
      </c>
    </row>
    <row r="18" spans="1:9" ht="21.6" customHeight="1">
      <c r="A18" s="83">
        <f>'P&amp;L'!D137</f>
        <v>0</v>
      </c>
      <c r="B18" s="81">
        <f>'P&amp;L'!E137</f>
        <v>0</v>
      </c>
      <c r="C18" s="81">
        <f>'P&amp;L'!F137</f>
        <v>0</v>
      </c>
      <c r="D18" s="83">
        <f>'P&amp;L'!H137</f>
        <v>0</v>
      </c>
      <c r="E18" s="82" t="s">
        <v>205</v>
      </c>
      <c r="F18" s="81">
        <f>'P&amp;L'!I137</f>
        <v>0</v>
      </c>
      <c r="G18" s="81">
        <f t="shared" si="0"/>
        <v>0</v>
      </c>
    </row>
    <row r="19" spans="1:9" ht="21.6" customHeight="1">
      <c r="A19" s="83">
        <f>'P&amp;L'!D135-'P&amp;L'!D137</f>
        <v>0</v>
      </c>
      <c r="B19" s="81">
        <f>'P&amp;L'!E135-'P&amp;L'!E137</f>
        <v>0</v>
      </c>
      <c r="C19" s="81">
        <f>'P&amp;L'!F135-'P&amp;L'!F137</f>
        <v>0</v>
      </c>
      <c r="D19" s="83">
        <f>'P&amp;L'!H135-'P&amp;L'!H137</f>
        <v>0</v>
      </c>
      <c r="E19" s="82" t="s">
        <v>206</v>
      </c>
      <c r="F19" s="81">
        <f>'P&amp;L'!I135-'P&amp;L'!I137</f>
        <v>0</v>
      </c>
      <c r="G19" s="81">
        <f t="shared" si="0"/>
        <v>0</v>
      </c>
    </row>
    <row r="20" spans="1:9" ht="21.6" customHeight="1">
      <c r="A20" s="80">
        <f>'P&amp;L'!D147</f>
        <v>14646558.763</v>
      </c>
      <c r="B20" s="78">
        <f>'P&amp;L'!E147</f>
        <v>-663453.43200000003</v>
      </c>
      <c r="C20" s="78">
        <f>'P&amp;L'!F147</f>
        <v>8243048.3760000002</v>
      </c>
      <c r="D20" s="80">
        <f>'P&amp;L'!H147</f>
        <v>13628625.573999999</v>
      </c>
      <c r="E20" s="79" t="s">
        <v>207</v>
      </c>
      <c r="F20" s="78">
        <f>'P&amp;L'!I147</f>
        <v>5938360.6279999996</v>
      </c>
      <c r="G20" s="78">
        <f t="shared" si="0"/>
        <v>-7690264.9459999995</v>
      </c>
      <c r="H20" s="97"/>
    </row>
    <row r="21" spans="1:9" ht="21.6" customHeight="1">
      <c r="A21" s="77">
        <f>IFERROR(A20/A$7,0)</f>
        <v>0.11652208533813112</v>
      </c>
      <c r="B21" s="75">
        <f>IFERROR(B20/B$7,0)</f>
        <v>-5.4258503159952745E-3</v>
      </c>
      <c r="C21" s="75">
        <f>IFERROR(C20/C$7,0)</f>
        <v>0.10560872982496002</v>
      </c>
      <c r="D21" s="77">
        <f>IFERROR(D20/D$7,0)</f>
        <v>9.6969193897920192E-2</v>
      </c>
      <c r="E21" s="76" t="s">
        <v>198</v>
      </c>
      <c r="F21" s="75">
        <f>IFERROR(F20/F$7,0)</f>
        <v>4.6605531525363696E-2</v>
      </c>
      <c r="G21" s="75">
        <f t="shared" si="0"/>
        <v>-5.0363662372556496E-2</v>
      </c>
      <c r="H21" s="999"/>
    </row>
    <row r="23" spans="1:9" ht="18">
      <c r="A23" s="1033" t="s">
        <v>208</v>
      </c>
      <c r="B23" s="1033"/>
      <c r="C23" s="1033"/>
      <c r="D23" s="1033"/>
      <c r="E23" s="1033"/>
      <c r="F23" s="1033"/>
      <c r="G23" s="1033"/>
    </row>
    <row r="25" spans="1:9" ht="13.9" customHeight="1">
      <c r="A25" s="69" t="s">
        <v>209</v>
      </c>
      <c r="B25" s="69"/>
      <c r="C25" s="69"/>
      <c r="D25" s="69"/>
      <c r="E25" s="69"/>
      <c r="F25" s="69"/>
      <c r="G25" s="69"/>
      <c r="I25" s="699" t="s">
        <v>210</v>
      </c>
    </row>
    <row r="26" spans="1:9" ht="13.9" customHeight="1">
      <c r="A26" s="69" t="s">
        <v>211</v>
      </c>
      <c r="B26" s="69"/>
      <c r="C26" s="69"/>
      <c r="D26" s="69"/>
      <c r="E26" s="69"/>
      <c r="F26" s="69"/>
      <c r="G26" s="69"/>
      <c r="I26" s="5"/>
    </row>
    <row r="27" spans="1:9" ht="13.9" customHeight="1">
      <c r="A27" s="69" t="s">
        <v>212</v>
      </c>
      <c r="B27" s="69"/>
      <c r="C27" s="69"/>
      <c r="D27" s="69"/>
      <c r="E27" s="69"/>
      <c r="F27" s="69"/>
      <c r="G27" s="69"/>
      <c r="I27" s="699" t="s">
        <v>213</v>
      </c>
    </row>
    <row r="28" spans="1:9" ht="13.9" customHeight="1">
      <c r="A28" s="69" t="s">
        <v>214</v>
      </c>
      <c r="B28" s="69"/>
      <c r="C28" s="69"/>
      <c r="D28" s="69"/>
      <c r="E28" s="69"/>
      <c r="F28" s="69"/>
      <c r="G28" s="69"/>
      <c r="I28" s="700" t="s">
        <v>215</v>
      </c>
    </row>
    <row r="29" spans="1:9" ht="13.9" customHeight="1">
      <c r="A29" s="69" t="s">
        <v>216</v>
      </c>
      <c r="B29" s="69"/>
      <c r="C29" s="69"/>
      <c r="D29" s="69"/>
      <c r="E29" s="69"/>
      <c r="F29" s="69"/>
      <c r="G29" s="69"/>
      <c r="I29" s="701" t="s">
        <v>217</v>
      </c>
    </row>
    <row r="30" spans="1:9" ht="13.9" customHeight="1">
      <c r="A30" s="69" t="s">
        <v>218</v>
      </c>
      <c r="B30" s="69"/>
      <c r="C30" s="69"/>
      <c r="D30" s="69"/>
      <c r="E30" s="69"/>
      <c r="F30" s="69"/>
      <c r="G30" s="69"/>
      <c r="I30" s="701" t="s">
        <v>219</v>
      </c>
    </row>
    <row r="31" spans="1:9" ht="13.9" customHeight="1">
      <c r="A31" s="69" t="s">
        <v>220</v>
      </c>
      <c r="B31" s="69"/>
      <c r="C31" s="69"/>
      <c r="D31" s="69"/>
      <c r="E31" s="69"/>
      <c r="F31" s="69"/>
      <c r="G31" s="69"/>
    </row>
    <row r="32" spans="1:9" ht="13.9" customHeight="1">
      <c r="A32" s="69" t="s">
        <v>221</v>
      </c>
      <c r="B32" s="69"/>
      <c r="C32" s="69"/>
      <c r="D32" s="69"/>
      <c r="E32" s="69"/>
      <c r="F32" s="69"/>
      <c r="G32" s="69"/>
      <c r="I32" s="74"/>
    </row>
  </sheetData>
  <mergeCells count="3">
    <mergeCell ref="B5:D5"/>
    <mergeCell ref="E5:E6"/>
    <mergeCell ref="A23:G23"/>
  </mergeCells>
  <phoneticPr fontId="65" type="noConversion"/>
  <pageMargins left="0.70866141732283472" right="0.70866141732283472" top="0.74803149606299213" bottom="0.74803149606299213" header="0.31496062992125984" footer="0.31496062992125984"/>
  <pageSetup paperSize="9" scale="79" orientation="landscape" r:id="rId1"/>
  <customProperties>
    <customPr name="_pios_id" r:id="rId2"/>
    <customPr name="CofWorksheetType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53C4D-A3FF-4345-9B4E-6F85F8EF718E}">
  <sheetPr>
    <tabColor theme="0" tint="-4.9989318521683403E-2"/>
    <pageSetUpPr fitToPage="1"/>
  </sheetPr>
  <dimension ref="A1:O32"/>
  <sheetViews>
    <sheetView showGridLines="0" zoomScaleNormal="100" workbookViewId="0">
      <pane ySplit="6" topLeftCell="A7" activePane="bottomLeft" state="frozen"/>
      <selection activeCell="A30" sqref="A30:G30"/>
      <selection pane="bottomLeft" activeCell="G12" sqref="G12"/>
    </sheetView>
  </sheetViews>
  <sheetFormatPr defaultColWidth="9.28515625" defaultRowHeight="12.75" customHeight="1"/>
  <cols>
    <col min="1" max="4" width="16.7109375" style="5" customWidth="1"/>
    <col min="5" max="5" width="61.28515625" style="5" customWidth="1"/>
    <col min="6" max="7" width="18.7109375" style="5" customWidth="1"/>
    <col min="8" max="8" width="5.7109375" style="5" customWidth="1"/>
    <col min="9" max="9" width="76.28515625" style="5" bestFit="1" customWidth="1"/>
    <col min="10" max="17" width="9.28515625" style="3" customWidth="1"/>
    <col min="18" max="16384" width="9.28515625" style="3"/>
  </cols>
  <sheetData>
    <row r="1" spans="1:15" s="5" customFormat="1" ht="19.899999999999999" customHeight="1">
      <c r="A1" s="60" t="str">
        <f>+'0. Instructions'!A1</f>
        <v>Budget 2024</v>
      </c>
      <c r="B1" s="60"/>
      <c r="C1" s="60"/>
      <c r="D1" s="72"/>
      <c r="E1" s="72"/>
      <c r="F1" s="72"/>
      <c r="G1" s="58" t="str">
        <f>'Input-FX Rates'!$H$1</f>
        <v>Plant ICH Icheon (242)</v>
      </c>
      <c r="H1" s="71"/>
      <c r="I1" s="56" t="s">
        <v>154</v>
      </c>
    </row>
    <row r="2" spans="1:15" s="5" customFormat="1" ht="19.899999999999999" customHeight="1" thickBot="1">
      <c r="A2" s="55" t="s">
        <v>189</v>
      </c>
      <c r="B2" s="55"/>
      <c r="C2" s="55"/>
      <c r="D2" s="55"/>
      <c r="E2" s="55"/>
      <c r="F2" s="55"/>
      <c r="G2" s="54" t="str">
        <f>'Input-FX Rates'!$H$2</f>
        <v>7821 PL Drivetrain Controls (&amp; Electrification)</v>
      </c>
      <c r="H2" s="71"/>
      <c r="I2" s="95" t="s">
        <v>156</v>
      </c>
    </row>
    <row r="3" spans="1:15" s="5" customFormat="1" ht="12.75" customHeight="1">
      <c r="I3" s="73"/>
    </row>
    <row r="4" spans="1:15">
      <c r="I4" s="73"/>
      <c r="J4" s="5"/>
      <c r="K4" s="5"/>
      <c r="L4" s="5"/>
      <c r="M4" s="5"/>
      <c r="N4" s="5"/>
      <c r="O4" s="5"/>
    </row>
    <row r="5" spans="1:15" ht="27.6" customHeight="1">
      <c r="A5" s="40">
        <v>2022</v>
      </c>
      <c r="B5" s="1031">
        <v>2023</v>
      </c>
      <c r="C5" s="1031"/>
      <c r="D5" s="1029"/>
      <c r="E5" s="1032" t="str">
        <f>"in '000 "&amp;"EUR"</f>
        <v>in '000 EUR</v>
      </c>
      <c r="F5" s="41">
        <v>2024</v>
      </c>
      <c r="G5" s="41" t="s">
        <v>190</v>
      </c>
      <c r="I5" s="73"/>
      <c r="J5" s="5"/>
      <c r="K5" s="5"/>
      <c r="L5" s="5"/>
      <c r="M5" s="5"/>
      <c r="N5" s="5"/>
      <c r="O5" s="5"/>
    </row>
    <row r="6" spans="1:15" ht="27.6" customHeight="1">
      <c r="A6" s="40" t="s">
        <v>191</v>
      </c>
      <c r="B6" s="41" t="s">
        <v>15</v>
      </c>
      <c r="C6" s="41" t="s">
        <v>192</v>
      </c>
      <c r="D6" s="40" t="s">
        <v>19</v>
      </c>
      <c r="E6" s="1032"/>
      <c r="F6" s="41" t="s">
        <v>15</v>
      </c>
      <c r="G6" s="41" t="s">
        <v>193</v>
      </c>
      <c r="I6" s="267" t="s">
        <v>194</v>
      </c>
      <c r="J6" s="5"/>
      <c r="K6" s="5"/>
      <c r="L6" s="5"/>
      <c r="M6" s="5"/>
      <c r="N6" s="5"/>
      <c r="O6" s="5"/>
    </row>
    <row r="7" spans="1:15" ht="21.6" customHeight="1">
      <c r="A7" s="80">
        <f>IFERROR('1. Main Issues (LC)'!A7/'Input-FX Rates'!$C$16,0)</f>
        <v>92567.501417387495</v>
      </c>
      <c r="B7" s="78">
        <f>IFERROR('1. Main Issues (LC)'!B7/'Input-FX Rates'!$D$16,0)</f>
        <v>92006.318936042138</v>
      </c>
      <c r="C7" s="78">
        <f>IFERROR('1. Main Issues (LC)'!C7/'Input-FX Rates'!$E$16,0)</f>
        <v>55718.001789595619</v>
      </c>
      <c r="D7" s="80">
        <f>IFERROR('1. Main Issues (LC)'!D7/'Input-FX Rates'!$G$16,0)</f>
        <v>100126.74994033898</v>
      </c>
      <c r="E7" s="79" t="s">
        <v>195</v>
      </c>
      <c r="F7" s="78">
        <f>IFERROR('1. Main Issues (LC)'!F7/'Input-FX Rates'!$H$16,0)</f>
        <v>87874.142590344825</v>
      </c>
      <c r="G7" s="78">
        <f t="shared" ref="G7:G21" si="0">F7-D7</f>
        <v>-12252.607349994156</v>
      </c>
      <c r="I7" s="267" t="s">
        <v>196</v>
      </c>
      <c r="J7" s="5"/>
      <c r="K7" s="5"/>
      <c r="L7" s="5"/>
      <c r="M7" s="5"/>
      <c r="N7" s="5"/>
      <c r="O7" s="5"/>
    </row>
    <row r="8" spans="1:15" ht="21.6" customHeight="1">
      <c r="A8" s="94">
        <f>IFERROR('1. Main Issues (LC)'!A8/'Input-FX Rates'!$C$16,0)</f>
        <v>31602.790345459016</v>
      </c>
      <c r="B8" s="92">
        <f>IFERROR('1. Main Issues (LC)'!B8/'Input-FX Rates'!$D$16,0)</f>
        <v>26872.90737622272</v>
      </c>
      <c r="C8" s="92">
        <f>IFERROR('1. Main Issues (LC)'!C8/'Input-FX Rates'!$E$16,0)</f>
        <v>19068.346420385446</v>
      </c>
      <c r="D8" s="94">
        <f>IFERROR('1. Main Issues (LC)'!D8/'Input-FX Rates'!$G$16,0)</f>
        <v>35043.592415576953</v>
      </c>
      <c r="E8" s="93" t="s">
        <v>197</v>
      </c>
      <c r="F8" s="92">
        <f>IFERROR('1. Main Issues (LC)'!F8/'Input-FX Rates'!$H$16,0)</f>
        <v>28961.922749655176</v>
      </c>
      <c r="G8" s="92">
        <f t="shared" si="0"/>
        <v>-6081.6696659217778</v>
      </c>
      <c r="J8" s="5"/>
      <c r="K8" s="5"/>
      <c r="L8" s="5"/>
      <c r="M8" s="5"/>
      <c r="N8" s="5"/>
      <c r="O8" s="5"/>
    </row>
    <row r="9" spans="1:15" ht="21.6" customHeight="1">
      <c r="A9" s="91">
        <f>IFERROR(A8/A$7,0)</f>
        <v>0.34140265062315789</v>
      </c>
      <c r="B9" s="86">
        <f>IFERROR(B8/B$7,0)</f>
        <v>0.29207675828117113</v>
      </c>
      <c r="C9" s="86">
        <f>IFERROR(C8/C$7,0)</f>
        <v>0.34222954535218331</v>
      </c>
      <c r="D9" s="91">
        <f>IFERROR(D8/D$7,0)</f>
        <v>0.34999230911277807</v>
      </c>
      <c r="E9" s="90" t="s">
        <v>198</v>
      </c>
      <c r="F9" s="86">
        <f>IFERROR(F8/F$7,0)</f>
        <v>0.32958412902725004</v>
      </c>
      <c r="G9" s="86">
        <f t="shared" si="0"/>
        <v>-2.0408180085528027E-2</v>
      </c>
      <c r="H9" s="73"/>
      <c r="I9" s="73"/>
      <c r="J9" s="5"/>
      <c r="K9" s="5"/>
      <c r="L9" s="5"/>
      <c r="M9" s="5"/>
      <c r="N9" s="5"/>
      <c r="O9" s="5"/>
    </row>
    <row r="10" spans="1:15" ht="21.6" customHeight="1">
      <c r="A10" s="83">
        <f>IFERROR('1. Main Issues (LC)'!A10/'Input-FX Rates'!$C$16,0)</f>
        <v>-11139.511730582208</v>
      </c>
      <c r="B10" s="81">
        <f>IFERROR('1. Main Issues (LC)'!B10/'Input-FX Rates'!$D$16,0)</f>
        <v>-11632.362623024832</v>
      </c>
      <c r="C10" s="81">
        <f>IFERROR('1. Main Issues (LC)'!C10/'Input-FX Rates'!$E$16,0)</f>
        <v>-5518.2167201038783</v>
      </c>
      <c r="D10" s="83">
        <f>IFERROR('1. Main Issues (LC)'!D10/'Input-FX Rates'!$G$16,0)</f>
        <v>-10801.512879565285</v>
      </c>
      <c r="E10" s="82" t="s">
        <v>199</v>
      </c>
      <c r="F10" s="85">
        <f>IFERROR('1. Main Issues (LC)'!F10/'Input-FX Rates'!$H$16,0)</f>
        <v>-10089.061388965516</v>
      </c>
      <c r="G10" s="81">
        <f t="shared" si="0"/>
        <v>712.45149059976939</v>
      </c>
      <c r="I10" s="73"/>
      <c r="J10" s="5"/>
      <c r="K10" s="5"/>
      <c r="L10" s="5"/>
      <c r="M10" s="5"/>
      <c r="N10" s="5"/>
      <c r="O10" s="5"/>
    </row>
    <row r="11" spans="1:15" ht="21.6" customHeight="1">
      <c r="A11" s="89">
        <f>IFERROR(A10/A$7,0)</f>
        <v>-0.12033933680843424</v>
      </c>
      <c r="B11" s="87">
        <f>IFERROR(B10/B$7,0)</f>
        <v>-0.12643004043136458</v>
      </c>
      <c r="C11" s="87">
        <f>IFERROR(C10/C$7,0)</f>
        <v>-9.903830975385608E-2</v>
      </c>
      <c r="D11" s="89">
        <f>IFERROR(D10/D$7,0)</f>
        <v>-0.10787839299689064</v>
      </c>
      <c r="E11" s="88" t="s">
        <v>198</v>
      </c>
      <c r="F11" s="87">
        <f>IFERROR(F10/F$7,0)</f>
        <v>-0.11481262964919162</v>
      </c>
      <c r="G11" s="86">
        <f t="shared" si="0"/>
        <v>-6.9342366523009735E-3</v>
      </c>
      <c r="H11" s="73"/>
      <c r="I11" s="73"/>
      <c r="J11" s="5"/>
      <c r="K11" s="5"/>
      <c r="L11" s="5"/>
      <c r="M11" s="5"/>
      <c r="N11" s="5"/>
      <c r="O11" s="5"/>
    </row>
    <row r="12" spans="1:15" ht="21.6" customHeight="1">
      <c r="A12" s="83">
        <f>IFERROR('1. Main Issues (LC)'!A12/'Input-FX Rates'!$C$16,0)</f>
        <v>-4910.6096075965479</v>
      </c>
      <c r="B12" s="81">
        <f>IFERROR('1. Main Issues (LC)'!B12/'Input-FX Rates'!$D$16,0)</f>
        <v>-3562.5846215199399</v>
      </c>
      <c r="C12" s="81">
        <f>IFERROR('1. Main Issues (LC)'!C12/'Input-FX Rates'!$E$16,0)</f>
        <v>-2756.0599108780011</v>
      </c>
      <c r="D12" s="81">
        <f>IFERROR('1. Main Issues (LC)'!D12/'Input-FX Rates'!$G$16,0)</f>
        <v>-4874.6609352184751</v>
      </c>
      <c r="E12" s="82" t="s">
        <v>200</v>
      </c>
      <c r="F12" s="85">
        <f>IFERROR('1. Main Issues (LC)'!F12/'Input-FX Rates'!$H$16,0)</f>
        <v>-4051.9545455172415</v>
      </c>
      <c r="G12" s="81">
        <f t="shared" si="0"/>
        <v>822.70638970123355</v>
      </c>
      <c r="I12" s="73"/>
      <c r="J12" s="5"/>
      <c r="K12" s="5"/>
      <c r="L12" s="5"/>
      <c r="M12" s="5"/>
      <c r="N12" s="5"/>
      <c r="O12" s="5"/>
    </row>
    <row r="13" spans="1:15" ht="21.6" customHeight="1">
      <c r="A13" s="83">
        <f>IFERROR('1. Main Issues (LC)'!A13/'Input-FX Rates'!$C$16,0)</f>
        <v>-44.06906356851551</v>
      </c>
      <c r="B13" s="81">
        <f>IFERROR('1. Main Issues (LC)'!B13/'Input-FX Rates'!$D$16,0)</f>
        <v>0</v>
      </c>
      <c r="C13" s="81">
        <f>IFERROR('1. Main Issues (LC)'!C13/'Input-FX Rates'!$E$16,0)</f>
        <v>-20.270040082299012</v>
      </c>
      <c r="D13" s="83">
        <f>IFERROR('1. Main Issues (LC)'!D13/'Input-FX Rates'!$G$16,0)</f>
        <v>-20.229211193370592</v>
      </c>
      <c r="E13" s="82" t="s">
        <v>201</v>
      </c>
      <c r="F13" s="81">
        <f>IFERROR('1. Main Issues (LC)'!F13/'Input-FX Rates'!$H$16,0)</f>
        <v>0</v>
      </c>
      <c r="G13" s="81">
        <f t="shared" si="0"/>
        <v>20.229211193370592</v>
      </c>
      <c r="I13" s="73"/>
      <c r="J13" s="5"/>
      <c r="K13" s="5"/>
      <c r="L13" s="5"/>
      <c r="M13" s="5"/>
      <c r="N13" s="5"/>
      <c r="O13" s="5"/>
    </row>
    <row r="14" spans="1:15" ht="21.6" customHeight="1">
      <c r="A14" s="80">
        <f>IFERROR('1. Main Issues (LC)'!A14/'Input-FX Rates'!$C$16,0)</f>
        <v>15508.599943711744</v>
      </c>
      <c r="B14" s="78">
        <f>IFERROR('1. Main Issues (LC)'!B14/'Input-FX Rates'!$D$16,0)</f>
        <v>11677.960131677954</v>
      </c>
      <c r="C14" s="78">
        <f>IFERROR('1. Main Issues (LC)'!C14/'Input-FX Rates'!$E$16,0)</f>
        <v>10773.799749321268</v>
      </c>
      <c r="D14" s="80">
        <f>IFERROR('1. Main Issues (LC)'!D14/'Input-FX Rates'!$G$16,0)</f>
        <v>19347.189389599829</v>
      </c>
      <c r="E14" s="79" t="s">
        <v>202</v>
      </c>
      <c r="F14" s="78">
        <f>IFERROR('1. Main Issues (LC)'!F14/'Input-FX Rates'!$H$16,0)</f>
        <v>14820.906815172413</v>
      </c>
      <c r="G14" s="78">
        <f t="shared" si="0"/>
        <v>-4526.282574427416</v>
      </c>
      <c r="I14" s="73"/>
      <c r="J14" s="5"/>
      <c r="K14" s="5"/>
      <c r="L14" s="5"/>
      <c r="M14" s="5"/>
      <c r="N14" s="5"/>
      <c r="O14" s="5"/>
    </row>
    <row r="15" spans="1:15" ht="21.6" customHeight="1">
      <c r="A15" s="77">
        <f>IFERROR(A14/A$7,0)</f>
        <v>0.16753827970124591</v>
      </c>
      <c r="B15" s="75">
        <f>IFERROR(B14/B$7,0)</f>
        <v>0.12692563148620092</v>
      </c>
      <c r="C15" s="75">
        <f>IFERROR(C14/C$7,0)</f>
        <v>0.19336299585914243</v>
      </c>
      <c r="D15" s="77">
        <f>IFERROR(D14/D$7,0)</f>
        <v>0.19322697881563067</v>
      </c>
      <c r="E15" s="84" t="s">
        <v>198</v>
      </c>
      <c r="F15" s="75">
        <f>IFERROR(F14/F$7,0)</f>
        <v>0.1686606136718182</v>
      </c>
      <c r="G15" s="75">
        <f t="shared" si="0"/>
        <v>-2.4566365143812469E-2</v>
      </c>
      <c r="H15" s="73"/>
      <c r="I15" s="73"/>
      <c r="J15" s="5"/>
      <c r="K15" s="5"/>
      <c r="L15" s="5"/>
      <c r="M15" s="5"/>
      <c r="N15" s="5"/>
      <c r="O15" s="5"/>
    </row>
    <row r="16" spans="1:15" ht="21.6" customHeight="1">
      <c r="A16" s="83">
        <f>IFERROR('1. Main Issues (LC)'!A16/'Input-FX Rates'!$C$16,0)</f>
        <v>-7666.8662535508156</v>
      </c>
      <c r="B16" s="81">
        <f>IFERROR('1. Main Issues (LC)'!B16/'Input-FX Rates'!$D$16,0)</f>
        <v>-12177.172646350642</v>
      </c>
      <c r="C16" s="81">
        <f>IFERROR('1. Main Issues (LC)'!C16/'Input-FX Rates'!$E$16,0)</f>
        <v>-5317.5660293153715</v>
      </c>
      <c r="D16" s="83">
        <f>IFERROR('1. Main Issues (LC)'!D16/'Input-FX Rates'!$G$16,0)</f>
        <v>-10546.522818225527</v>
      </c>
      <c r="E16" s="82" t="s">
        <v>203</v>
      </c>
      <c r="F16" s="81">
        <f>IFERROR('1. Main Issues (LC)'!F16/'Input-FX Rates'!$H$16,0)</f>
        <v>-10725.485692413793</v>
      </c>
      <c r="G16" s="81">
        <f t="shared" si="0"/>
        <v>-178.96287418826614</v>
      </c>
      <c r="I16" s="73"/>
      <c r="J16" s="5"/>
      <c r="K16" s="5"/>
      <c r="L16" s="5"/>
      <c r="M16" s="5"/>
      <c r="N16" s="5"/>
      <c r="O16" s="5"/>
    </row>
    <row r="17" spans="1:15" ht="21.6" customHeight="1">
      <c r="A17" s="83">
        <f>IFERROR('1. Main Issues (LC)'!A17/'Input-FX Rates'!$C$16,0)</f>
        <v>2944.4246095334674</v>
      </c>
      <c r="B17" s="81">
        <f>IFERROR('1. Main Issues (LC)'!B17/'Input-FX Rates'!$D$16,0)</f>
        <v>0</v>
      </c>
      <c r="C17" s="81">
        <f>IFERROR('1. Main Issues (LC)'!C17/'Input-FX Rates'!$E$16,0)</f>
        <v>428.07367737814678</v>
      </c>
      <c r="D17" s="83">
        <f>IFERROR('1. Main Issues (LC)'!D17/'Input-FX Rates'!$G$16,0)</f>
        <v>908.54365795899912</v>
      </c>
      <c r="E17" s="82" t="s">
        <v>204</v>
      </c>
      <c r="F17" s="81">
        <f>IFERROR('1. Main Issues (LC)'!F17/'Input-FX Rates'!$H$16,0)</f>
        <v>0</v>
      </c>
      <c r="G17" s="81">
        <f t="shared" si="0"/>
        <v>-908.54365795899912</v>
      </c>
      <c r="I17" s="73"/>
      <c r="J17" s="5"/>
      <c r="K17" s="5"/>
      <c r="L17" s="5"/>
      <c r="M17" s="5"/>
      <c r="N17" s="5"/>
      <c r="O17" s="5"/>
    </row>
    <row r="18" spans="1:15" ht="21.6" customHeight="1">
      <c r="A18" s="83">
        <f>IFERROR('1. Main Issues (LC)'!A18/'Input-FX Rates'!$C$16,0)</f>
        <v>0</v>
      </c>
      <c r="B18" s="81">
        <f>IFERROR('1. Main Issues (LC)'!B18/'Input-FX Rates'!$D$16,0)</f>
        <v>0</v>
      </c>
      <c r="C18" s="81">
        <f>IFERROR('1. Main Issues (LC)'!C18/'Input-FX Rates'!$E$16,0)</f>
        <v>0</v>
      </c>
      <c r="D18" s="83">
        <f>IFERROR('1. Main Issues (LC)'!D18/'Input-FX Rates'!$G$16,0)</f>
        <v>0</v>
      </c>
      <c r="E18" s="82" t="s">
        <v>205</v>
      </c>
      <c r="F18" s="81">
        <f>IFERROR('1. Main Issues (LC)'!F18/'Input-FX Rates'!$H$16,0)</f>
        <v>0</v>
      </c>
      <c r="G18" s="81">
        <f t="shared" si="0"/>
        <v>0</v>
      </c>
      <c r="I18" s="73"/>
      <c r="J18" s="5"/>
      <c r="K18" s="5"/>
      <c r="L18" s="5"/>
      <c r="M18" s="5"/>
      <c r="N18" s="5"/>
      <c r="O18" s="5"/>
    </row>
    <row r="19" spans="1:15" ht="21.6" customHeight="1">
      <c r="A19" s="83">
        <f>IFERROR('1. Main Issues (LC)'!A19/'Input-FX Rates'!$C$16,0)</f>
        <v>0</v>
      </c>
      <c r="B19" s="81">
        <f>IFERROR('1. Main Issues (LC)'!B19/'Input-FX Rates'!$D$16,0)</f>
        <v>0</v>
      </c>
      <c r="C19" s="81">
        <f>IFERROR('1. Main Issues (LC)'!C19/'Input-FX Rates'!$E$16,0)</f>
        <v>0</v>
      </c>
      <c r="D19" s="83">
        <f>IFERROR('1. Main Issues (LC)'!D19/'Input-FX Rates'!$G$16,0)</f>
        <v>0</v>
      </c>
      <c r="E19" s="82" t="s">
        <v>206</v>
      </c>
      <c r="F19" s="81">
        <f>IFERROR('1. Main Issues (LC)'!F19/'Input-FX Rates'!$H$16,0)</f>
        <v>0</v>
      </c>
      <c r="G19" s="81">
        <f t="shared" si="0"/>
        <v>0</v>
      </c>
      <c r="I19" s="73"/>
      <c r="J19" s="5"/>
      <c r="K19" s="5"/>
      <c r="L19" s="5"/>
      <c r="M19" s="5"/>
      <c r="N19" s="5"/>
      <c r="O19" s="5"/>
    </row>
    <row r="20" spans="1:15" ht="21.6" customHeight="1">
      <c r="A20" s="80">
        <f>IFERROR('1. Main Issues (LC)'!A20/'Input-FX Rates'!$C$16,0)</f>
        <v>10786.1582996944</v>
      </c>
      <c r="B20" s="78">
        <f>IFERROR('1. Main Issues (LC)'!B20/'Input-FX Rates'!$D$16,0)</f>
        <v>-499.21251467268627</v>
      </c>
      <c r="C20" s="78">
        <f>IFERROR('1. Main Issues (LC)'!C20/'Input-FX Rates'!$E$16,0)</f>
        <v>5884.3073973840428</v>
      </c>
      <c r="D20" s="80">
        <f>IFERROR('1. Main Issues (LC)'!D20/'Input-FX Rates'!$G$16,0)</f>
        <v>9709.210229333301</v>
      </c>
      <c r="E20" s="79" t="s">
        <v>207</v>
      </c>
      <c r="F20" s="78">
        <f>IFERROR('1. Main Issues (LC)'!F20/'Input-FX Rates'!$H$16,0)</f>
        <v>4095.4211227586202</v>
      </c>
      <c r="G20" s="78">
        <f t="shared" si="0"/>
        <v>-5613.7891065746808</v>
      </c>
      <c r="I20" s="73"/>
      <c r="J20" s="5"/>
      <c r="K20" s="5"/>
      <c r="L20" s="5"/>
      <c r="M20" s="5"/>
      <c r="N20" s="5"/>
      <c r="O20" s="5"/>
    </row>
    <row r="21" spans="1:15" ht="21.6" customHeight="1">
      <c r="A21" s="77">
        <f>IFERROR(A20/A$7,0)</f>
        <v>0.11652208533813113</v>
      </c>
      <c r="B21" s="75">
        <f>IFERROR(B20/B$7,0)</f>
        <v>-5.4258503159952745E-3</v>
      </c>
      <c r="C21" s="75">
        <f>IFERROR(C20/C$7,0)</f>
        <v>0.10560872982496003</v>
      </c>
      <c r="D21" s="77">
        <f>IFERROR(D20/D$7,0)</f>
        <v>9.6969193897920206E-2</v>
      </c>
      <c r="E21" s="76" t="s">
        <v>198</v>
      </c>
      <c r="F21" s="75">
        <f>IFERROR(F20/F$7,0)</f>
        <v>4.6605531525363696E-2</v>
      </c>
      <c r="G21" s="75">
        <f t="shared" si="0"/>
        <v>-5.036366237255651E-2</v>
      </c>
      <c r="I21" s="73"/>
      <c r="J21" s="5"/>
      <c r="K21" s="5"/>
      <c r="L21" s="5"/>
      <c r="M21" s="5"/>
      <c r="N21" s="5"/>
      <c r="O21" s="5"/>
    </row>
    <row r="22" spans="1:15">
      <c r="I22" s="73"/>
      <c r="J22" s="5"/>
      <c r="K22" s="5"/>
      <c r="L22" s="5"/>
      <c r="M22" s="5"/>
      <c r="N22" s="5"/>
      <c r="O22" s="5"/>
    </row>
    <row r="23" spans="1:15" ht="18">
      <c r="A23" s="1033" t="s">
        <v>208</v>
      </c>
      <c r="B23" s="1033"/>
      <c r="C23" s="1033"/>
      <c r="D23" s="1033"/>
      <c r="E23" s="1033"/>
      <c r="F23" s="1033"/>
      <c r="G23" s="1033"/>
      <c r="I23" s="73"/>
      <c r="J23" s="5"/>
      <c r="K23" s="5"/>
      <c r="L23" s="5"/>
      <c r="M23" s="5"/>
      <c r="N23" s="5"/>
      <c r="O23" s="5"/>
    </row>
    <row r="24" spans="1:15">
      <c r="I24" s="73"/>
      <c r="J24" s="5"/>
      <c r="K24" s="5"/>
      <c r="L24" s="5"/>
      <c r="M24" s="5"/>
      <c r="N24" s="5"/>
      <c r="O24" s="5"/>
    </row>
    <row r="25" spans="1:15" ht="13.9" customHeight="1">
      <c r="A25" s="1034" t="str">
        <f>IF(ISBLANK('1. Main Issues (LC)'!A25),"",'1. Main Issues (LC)'!A25)</f>
        <v>General background : Inflation rate 2.3%</v>
      </c>
      <c r="B25" s="1034"/>
      <c r="C25" s="1034"/>
      <c r="D25" s="1034"/>
      <c r="E25" s="1034"/>
      <c r="F25" s="1034"/>
      <c r="G25" s="1034"/>
      <c r="I25" s="699" t="s">
        <v>210</v>
      </c>
      <c r="J25" s="5"/>
      <c r="K25" s="5"/>
      <c r="L25" s="5"/>
      <c r="M25" s="5"/>
      <c r="N25" s="5"/>
      <c r="O25" s="5"/>
    </row>
    <row r="26" spans="1:15" ht="13.9" customHeight="1">
      <c r="A26" s="1034" t="str">
        <f>IF(ISBLANK('1. Main Issues (LC)'!A26),"",'1. Main Issues (LC)'!A26)</f>
        <v>Sales amount decrease 13% (volume decrease 0.1%) after taking opportunity of 1.5M EUR, sales goes up to 88.6M EUR or 5.6% of EBIT ratio</v>
      </c>
      <c r="B26" s="1034"/>
      <c r="C26" s="1034"/>
      <c r="D26" s="1034"/>
      <c r="E26" s="1034"/>
      <c r="F26" s="1034"/>
      <c r="G26" s="1034"/>
      <c r="J26" s="5"/>
      <c r="K26" s="5"/>
      <c r="L26" s="5"/>
      <c r="M26" s="5"/>
      <c r="N26" s="5"/>
      <c r="O26" s="5"/>
    </row>
    <row r="27" spans="1:15" ht="13.9" customHeight="1">
      <c r="A27" s="1034" t="str">
        <f>IF(ISBLANK('1. Main Issues (LC)'!A27),"",'1. Main Issues (LC)'!A27)</f>
        <v>Particularly, sales decrease in Gen2 products that leads to negative mix impact</v>
      </c>
      <c r="B27" s="1034"/>
      <c r="C27" s="1034"/>
      <c r="D27" s="1034"/>
      <c r="E27" s="1034"/>
      <c r="F27" s="1034"/>
      <c r="G27" s="1034"/>
      <c r="I27" s="699" t="s">
        <v>213</v>
      </c>
      <c r="J27" s="5"/>
      <c r="K27" s="5"/>
      <c r="L27" s="5"/>
      <c r="M27" s="5"/>
      <c r="N27" s="5"/>
      <c r="O27" s="5"/>
    </row>
    <row r="28" spans="1:15" ht="13.9" customHeight="1">
      <c r="A28" s="1034" t="str">
        <f>IF(ISBLANK('1. Main Issues (LC)'!A28),"",'1. Main Issues (LC)'!A28)</f>
        <v>Material cost rate has increased about 2.1%p (-2.2M EUR), mainly due to volume increase in SIM2K-305/310 &amp; Wet DCT projects with higher material cost rate.</v>
      </c>
      <c r="B28" s="1034"/>
      <c r="C28" s="1034"/>
      <c r="D28" s="1034"/>
      <c r="E28" s="1034"/>
      <c r="F28" s="1034"/>
      <c r="G28" s="1034"/>
      <c r="I28" s="700" t="s">
        <v>215</v>
      </c>
      <c r="J28" s="5"/>
      <c r="K28" s="5"/>
      <c r="L28" s="5"/>
      <c r="M28" s="5"/>
      <c r="N28" s="5"/>
      <c r="O28" s="5"/>
    </row>
    <row r="29" spans="1:15" ht="13.9" customHeight="1">
      <c r="A29" s="1034" t="str">
        <f>IF(ISBLANK('1. Main Issues (LC)'!A29),"",'1. Main Issues (LC)'!A29)</f>
        <v>Structural change for Technician cost by VT O guideline. Technician cost is now under MDC side meaning that MDC (vice versa LDC is less) is larger than previous structure.</v>
      </c>
      <c r="B29" s="1034"/>
      <c r="C29" s="1034"/>
      <c r="D29" s="1034"/>
      <c r="E29" s="1034"/>
      <c r="F29" s="1034"/>
      <c r="G29" s="1034"/>
      <c r="I29" s="701" t="s">
        <v>217</v>
      </c>
      <c r="J29" s="5"/>
      <c r="K29" s="5"/>
      <c r="L29" s="5"/>
      <c r="M29" s="5"/>
      <c r="N29" s="5"/>
      <c r="O29" s="5"/>
    </row>
    <row r="30" spans="1:15" ht="13.9" customHeight="1">
      <c r="A30" s="1034" t="str">
        <f>IF(ISBLANK('1. Main Issues (LC)'!A30),"",'1. Main Issues (LC)'!A30)</f>
        <v>CF cost assessment decrease due to sales drop although CM portion (espeicially CM PSS sales decrease) decrease and FM cost increase, global IT cost increase</v>
      </c>
      <c r="B30" s="1034"/>
      <c r="C30" s="1034"/>
      <c r="D30" s="1034"/>
      <c r="E30" s="1034"/>
      <c r="F30" s="1034"/>
      <c r="G30" s="1034"/>
      <c r="I30" s="701" t="s">
        <v>219</v>
      </c>
      <c r="J30" s="5"/>
      <c r="K30" s="5"/>
      <c r="L30" s="5"/>
      <c r="M30" s="5"/>
      <c r="N30" s="5"/>
      <c r="O30" s="5"/>
    </row>
    <row r="31" spans="1:15" ht="13.9" customHeight="1">
      <c r="A31" s="1034" t="str">
        <f>IF(ISBLANK('1. Main Issues (LC)'!A31),"",'1. Main Issues (LC)'!A31)</f>
        <v>R&amp;D allocation increase of 413K EUR</v>
      </c>
      <c r="B31" s="1034"/>
      <c r="C31" s="1034"/>
      <c r="D31" s="1034"/>
      <c r="E31" s="1034"/>
      <c r="F31" s="1034"/>
      <c r="G31" s="1034"/>
      <c r="I31" s="73"/>
      <c r="J31" s="5"/>
      <c r="K31" s="5"/>
      <c r="L31" s="5"/>
      <c r="M31" s="5"/>
      <c r="N31" s="5"/>
      <c r="O31" s="5"/>
    </row>
    <row r="32" spans="1:15" ht="13.9" customHeight="1">
      <c r="A32" s="1034" t="str">
        <f>IF(ISBLANK('1. Main Issues (LC)'!A32),"",'1. Main Issues (LC)'!A32)</f>
        <v>EBIT is 3.9%(5.7% including opportunity) about 6% less than FC 7+5</v>
      </c>
      <c r="B32" s="1034"/>
      <c r="C32" s="1034"/>
      <c r="D32" s="1034"/>
      <c r="E32" s="1034"/>
      <c r="F32" s="1034"/>
      <c r="G32" s="1034"/>
      <c r="I32" s="74"/>
      <c r="J32" s="5"/>
      <c r="K32" s="5"/>
      <c r="L32" s="5"/>
      <c r="M32" s="5"/>
      <c r="N32" s="5"/>
      <c r="O32" s="5"/>
    </row>
  </sheetData>
  <mergeCells count="11">
    <mergeCell ref="B5:D5"/>
    <mergeCell ref="E5:E6"/>
    <mergeCell ref="A23:G23"/>
    <mergeCell ref="A25:G25"/>
    <mergeCell ref="A31:G31"/>
    <mergeCell ref="A32:G32"/>
    <mergeCell ref="A26:G26"/>
    <mergeCell ref="A27:G27"/>
    <mergeCell ref="A28:G28"/>
    <mergeCell ref="A29:G29"/>
    <mergeCell ref="A30:G30"/>
  </mergeCells>
  <phoneticPr fontId="65" type="noConversion"/>
  <pageMargins left="0.70866141732283472" right="0.70866141732283472" top="0.74803149606299213" bottom="0.74803149606299213" header="0.31496062992125984" footer="0.31496062992125984"/>
  <pageSetup paperSize="9" scale="79" orientation="landscape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E852D-E6D7-4F69-9B7F-73B6FCC95B93}">
  <sheetPr>
    <tabColor rgb="FFFFFFCC"/>
    <pageSetUpPr fitToPage="1"/>
  </sheetPr>
  <dimension ref="A1:F28"/>
  <sheetViews>
    <sheetView showGridLines="0" zoomScaleNormal="100" workbookViewId="0">
      <pane xSplit="1" ySplit="5" topLeftCell="B6" activePane="bottomRight" state="frozen"/>
      <selection pane="topRight" activeCell="A30" sqref="A30:G30"/>
      <selection pane="bottomLeft" activeCell="A30" sqref="A30:G30"/>
      <selection pane="bottomRight" activeCell="D8" sqref="D8"/>
    </sheetView>
  </sheetViews>
  <sheetFormatPr defaultColWidth="9.28515625" defaultRowHeight="12.75" customHeight="1"/>
  <cols>
    <col min="1" max="1" width="45.7109375" style="221" bestFit="1" customWidth="1"/>
    <col min="2" max="3" width="36.7109375" style="221" customWidth="1"/>
    <col min="4" max="4" width="69.28515625" style="221" bestFit="1" customWidth="1"/>
    <col min="5" max="5" width="9.28515625" style="221"/>
    <col min="6" max="6" width="88.7109375" style="221" bestFit="1" customWidth="1"/>
    <col min="7" max="16384" width="9.28515625" style="451"/>
  </cols>
  <sheetData>
    <row r="1" spans="1:6" ht="19.899999999999999" customHeight="1">
      <c r="A1" s="60" t="str">
        <f>+'0. Instructions'!A1</f>
        <v>Budget 2024</v>
      </c>
      <c r="B1" s="60"/>
      <c r="C1" s="57"/>
      <c r="D1" s="57" t="str">
        <f>'Input-FX Rates'!$H$1</f>
        <v>Plant ICH Icheon (242)</v>
      </c>
      <c r="F1" s="397" t="s">
        <v>154</v>
      </c>
    </row>
    <row r="2" spans="1:6" ht="19.899999999999999" customHeight="1" thickBot="1">
      <c r="A2" s="55" t="s">
        <v>222</v>
      </c>
      <c r="B2" s="55"/>
      <c r="C2" s="54"/>
      <c r="D2" s="54" t="str">
        <f>'Input-FX Rates'!$H$2</f>
        <v>7821 PL Drivetrain Controls (&amp; Electrification)</v>
      </c>
      <c r="F2" s="95" t="s">
        <v>156</v>
      </c>
    </row>
    <row r="4" spans="1:6" ht="24" customHeight="1">
      <c r="A4" s="658" t="str">
        <f>"in '000 "&amp;'Input-FX Rates'!$B$8</f>
        <v>in '000 KRW</v>
      </c>
      <c r="B4" s="1035" t="s">
        <v>153</v>
      </c>
      <c r="C4" s="1036"/>
      <c r="D4" s="187"/>
      <c r="F4" s="267"/>
    </row>
    <row r="5" spans="1:6" ht="24" customHeight="1">
      <c r="A5" s="658"/>
      <c r="B5" s="187" t="s">
        <v>223</v>
      </c>
      <c r="C5" s="658" t="s">
        <v>224</v>
      </c>
      <c r="D5" s="187" t="s">
        <v>208</v>
      </c>
      <c r="F5" s="267" t="s">
        <v>225</v>
      </c>
    </row>
    <row r="6" spans="1:6" ht="22.9" customHeight="1">
      <c r="A6" s="452" t="s">
        <v>226</v>
      </c>
      <c r="B6" s="78">
        <f>SUM(B7:B16)</f>
        <v>0</v>
      </c>
      <c r="C6" s="265">
        <f>SUM(C7:C16)</f>
        <v>0</v>
      </c>
      <c r="D6" s="971"/>
      <c r="F6" s="267"/>
    </row>
    <row r="7" spans="1:6" ht="19.149999999999999" customHeight="1">
      <c r="A7" s="702" t="s">
        <v>227</v>
      </c>
      <c r="B7" s="703"/>
      <c r="C7" s="704"/>
      <c r="D7" s="973" t="s">
        <v>228</v>
      </c>
      <c r="F7" s="267" t="s">
        <v>229</v>
      </c>
    </row>
    <row r="8" spans="1:6" ht="19.149999999999999" customHeight="1">
      <c r="A8" s="702" t="s">
        <v>230</v>
      </c>
      <c r="B8" s="703"/>
      <c r="C8" s="704"/>
      <c r="D8" s="973"/>
      <c r="F8" s="267" t="s">
        <v>231</v>
      </c>
    </row>
    <row r="9" spans="1:6" ht="19.149999999999999" customHeight="1">
      <c r="A9" s="702" t="s">
        <v>232</v>
      </c>
      <c r="B9" s="703"/>
      <c r="C9" s="704"/>
      <c r="D9" s="973"/>
      <c r="F9" s="267"/>
    </row>
    <row r="10" spans="1:6" ht="19.149999999999999" customHeight="1">
      <c r="A10" s="702" t="s">
        <v>233</v>
      </c>
      <c r="B10" s="703"/>
      <c r="C10" s="704"/>
      <c r="D10" s="973"/>
      <c r="F10" s="267" t="s">
        <v>234</v>
      </c>
    </row>
    <row r="11" spans="1:6" ht="19.149999999999999" customHeight="1">
      <c r="A11" s="702" t="s">
        <v>235</v>
      </c>
      <c r="B11" s="703"/>
      <c r="C11" s="704"/>
      <c r="D11" s="973"/>
      <c r="F11" s="267" t="s">
        <v>236</v>
      </c>
    </row>
    <row r="12" spans="1:6" ht="19.149999999999999" customHeight="1">
      <c r="A12" s="702" t="s">
        <v>237</v>
      </c>
      <c r="B12" s="703"/>
      <c r="C12" s="704"/>
      <c r="D12" s="973"/>
      <c r="F12" s="267"/>
    </row>
    <row r="13" spans="1:6" ht="19.149999999999999" customHeight="1">
      <c r="A13" s="702" t="s">
        <v>238</v>
      </c>
      <c r="B13" s="703"/>
      <c r="C13" s="704"/>
      <c r="D13" s="973"/>
      <c r="F13" s="267"/>
    </row>
    <row r="14" spans="1:6" ht="19.149999999999999" customHeight="1">
      <c r="A14" s="702" t="s">
        <v>239</v>
      </c>
      <c r="B14" s="703"/>
      <c r="C14" s="704"/>
      <c r="D14" s="973"/>
      <c r="F14" s="267" t="s">
        <v>240</v>
      </c>
    </row>
    <row r="15" spans="1:6" ht="19.149999999999999" customHeight="1">
      <c r="A15" s="702" t="s">
        <v>241</v>
      </c>
      <c r="B15" s="703"/>
      <c r="C15" s="704"/>
      <c r="D15" s="973"/>
      <c r="F15" s="267"/>
    </row>
    <row r="16" spans="1:6" ht="19.149999999999999" customHeight="1">
      <c r="A16" s="702" t="s">
        <v>242</v>
      </c>
      <c r="B16" s="703"/>
      <c r="C16" s="704"/>
      <c r="D16" s="973"/>
      <c r="F16" s="267"/>
    </row>
    <row r="17" spans="1:6" ht="22.9" customHeight="1">
      <c r="A17" s="452" t="s">
        <v>243</v>
      </c>
      <c r="B17" s="78">
        <f>SUM(B18:B27)</f>
        <v>0</v>
      </c>
      <c r="C17" s="265">
        <f>SUM(C18:C27)</f>
        <v>0</v>
      </c>
      <c r="D17" s="971"/>
      <c r="F17" s="267"/>
    </row>
    <row r="18" spans="1:6" ht="19.149999999999999" customHeight="1">
      <c r="A18" s="702" t="s">
        <v>227</v>
      </c>
      <c r="B18" s="703"/>
      <c r="C18" s="704"/>
      <c r="D18" s="973"/>
    </row>
    <row r="19" spans="1:6" ht="19.149999999999999" customHeight="1">
      <c r="A19" s="702" t="s">
        <v>244</v>
      </c>
      <c r="B19" s="703"/>
      <c r="C19" s="704"/>
      <c r="D19" s="973"/>
      <c r="F19" s="698"/>
    </row>
    <row r="20" spans="1:6" ht="19.149999999999999" customHeight="1">
      <c r="A20" s="702" t="s">
        <v>232</v>
      </c>
      <c r="B20" s="703"/>
      <c r="C20" s="704"/>
      <c r="D20" s="973"/>
      <c r="F20" s="698"/>
    </row>
    <row r="21" spans="1:6" ht="19.149999999999999" customHeight="1">
      <c r="A21" s="702" t="s">
        <v>233</v>
      </c>
      <c r="B21" s="703"/>
      <c r="C21" s="704"/>
      <c r="D21" s="973"/>
      <c r="F21" s="698"/>
    </row>
    <row r="22" spans="1:6" ht="19.149999999999999" customHeight="1">
      <c r="A22" s="702" t="s">
        <v>235</v>
      </c>
      <c r="B22" s="703"/>
      <c r="C22" s="704"/>
      <c r="D22" s="973"/>
    </row>
    <row r="23" spans="1:6" ht="19.149999999999999" customHeight="1">
      <c r="A23" s="702" t="s">
        <v>237</v>
      </c>
      <c r="B23" s="703"/>
      <c r="C23" s="704"/>
      <c r="D23" s="973"/>
    </row>
    <row r="24" spans="1:6" ht="19.149999999999999" customHeight="1">
      <c r="A24" s="702" t="s">
        <v>238</v>
      </c>
      <c r="B24" s="703"/>
      <c r="C24" s="704"/>
      <c r="D24" s="973"/>
    </row>
    <row r="25" spans="1:6" ht="19.149999999999999" customHeight="1">
      <c r="A25" s="702" t="s">
        <v>239</v>
      </c>
      <c r="B25" s="703"/>
      <c r="C25" s="704"/>
      <c r="D25" s="973"/>
    </row>
    <row r="26" spans="1:6" ht="19.149999999999999" customHeight="1">
      <c r="A26" s="702" t="s">
        <v>241</v>
      </c>
      <c r="B26" s="703"/>
      <c r="C26" s="704"/>
      <c r="D26" s="973"/>
    </row>
    <row r="27" spans="1:6" ht="19.149999999999999" customHeight="1">
      <c r="A27" s="702" t="s">
        <v>242</v>
      </c>
      <c r="B27" s="703"/>
      <c r="C27" s="704"/>
      <c r="D27" s="973"/>
    </row>
    <row r="28" spans="1:6" ht="22.5" customHeight="1">
      <c r="A28" s="452" t="s">
        <v>245</v>
      </c>
      <c r="B28" s="78">
        <f>SUM(B17,B6)</f>
        <v>0</v>
      </c>
      <c r="C28" s="265">
        <f>SUM(C17,C6)</f>
        <v>0</v>
      </c>
      <c r="D28" s="971"/>
    </row>
  </sheetData>
  <mergeCells count="1">
    <mergeCell ref="B4:C4"/>
  </mergeCells>
  <phoneticPr fontId="54" type="noConversion"/>
  <dataValidations count="1">
    <dataValidation type="decimal" allowBlank="1" showInputMessage="1" showErrorMessage="1" sqref="B6:C28 D17 D6 D28" xr:uid="{488F6C6E-8C58-4B94-9FCB-C6028E1248E2}">
      <formula1>-100000000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90" orientation="landscape" r:id="rId1"/>
  <customProperties>
    <customPr name="_pios_id" r:id="rId2"/>
  </customPropertie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3965-14EB-4D88-A115-18B138E3641B}">
  <sheetPr>
    <tabColor theme="0" tint="-4.9989318521683403E-2"/>
    <pageSetUpPr fitToPage="1"/>
  </sheetPr>
  <dimension ref="A1:F28"/>
  <sheetViews>
    <sheetView showGridLines="0" zoomScaleNormal="100" workbookViewId="0">
      <pane xSplit="1" ySplit="5" topLeftCell="B6" activePane="bottomRight" state="frozen"/>
      <selection pane="topRight" activeCell="A30" sqref="A30:G30"/>
      <selection pane="bottomLeft" activeCell="A30" sqref="A30:G30"/>
      <selection pane="bottomRight" activeCell="A30" sqref="A30:G30"/>
    </sheetView>
  </sheetViews>
  <sheetFormatPr defaultColWidth="9.28515625" defaultRowHeight="12.75" customHeight="1"/>
  <cols>
    <col min="1" max="1" width="45.7109375" style="221" bestFit="1" customWidth="1"/>
    <col min="2" max="3" width="36.7109375" style="221" customWidth="1"/>
    <col min="4" max="4" width="69.28515625" style="221" bestFit="1" customWidth="1"/>
    <col min="5" max="5" width="9.28515625" style="221"/>
    <col min="6" max="6" width="88.7109375" style="221" bestFit="1" customWidth="1"/>
    <col min="7" max="16384" width="9.28515625" style="451"/>
  </cols>
  <sheetData>
    <row r="1" spans="1:6" ht="19.899999999999999" customHeight="1">
      <c r="A1" s="60" t="str">
        <f>+'0. Instructions'!A1</f>
        <v>Budget 2024</v>
      </c>
      <c r="B1" s="60"/>
      <c r="C1" s="57"/>
      <c r="D1" s="57" t="str">
        <f>'Input-FX Rates'!$H$1</f>
        <v>Plant ICH Icheon (242)</v>
      </c>
      <c r="F1" s="397" t="s">
        <v>154</v>
      </c>
    </row>
    <row r="2" spans="1:6" ht="19.899999999999999" customHeight="1" thickBot="1">
      <c r="A2" s="55" t="s">
        <v>222</v>
      </c>
      <c r="B2" s="55"/>
      <c r="C2" s="54"/>
      <c r="D2" s="54" t="str">
        <f>'Input-FX Rates'!$H$2</f>
        <v>7821 PL Drivetrain Controls (&amp; Electrification)</v>
      </c>
      <c r="F2" s="95" t="s">
        <v>156</v>
      </c>
    </row>
    <row r="4" spans="1:6" ht="24" customHeight="1">
      <c r="A4" s="658" t="str">
        <f>"in '000 "&amp;"EUR"</f>
        <v>in '000 EUR</v>
      </c>
      <c r="B4" s="1035" t="s">
        <v>153</v>
      </c>
      <c r="C4" s="1036"/>
      <c r="D4" s="187"/>
      <c r="F4" s="267"/>
    </row>
    <row r="5" spans="1:6" ht="24" customHeight="1">
      <c r="A5" s="658"/>
      <c r="B5" s="187" t="s">
        <v>223</v>
      </c>
      <c r="C5" s="658" t="s">
        <v>224</v>
      </c>
      <c r="D5" s="187" t="s">
        <v>208</v>
      </c>
      <c r="F5" s="267" t="s">
        <v>225</v>
      </c>
    </row>
    <row r="6" spans="1:6" ht="22.9" customHeight="1">
      <c r="A6" s="452" t="s">
        <v>226</v>
      </c>
      <c r="B6" s="78">
        <f>IFERROR('1.1 Structural changes (LC)'!B6,0)</f>
        <v>0</v>
      </c>
      <c r="C6" s="265">
        <f>IFERROR('1.1 Structural changes (LC)'!C6/'Input-FX Rates'!$H$16,0)</f>
        <v>0</v>
      </c>
      <c r="D6" s="971" t="str">
        <f>IF(ISBLANK('1.1 Structural changes (LC)'!D6),"",'1.1 Structural changes (LC)'!D6)</f>
        <v/>
      </c>
      <c r="F6" s="267"/>
    </row>
    <row r="7" spans="1:6" ht="19.149999999999999" customHeight="1">
      <c r="A7" s="705" t="str">
        <f>IF(ISBLANK('1.1 Structural changes (LC)'!A7),"",'1.1 Structural changes (LC)'!A7)</f>
        <v>Maintenance harmonization</v>
      </c>
      <c r="B7" s="706">
        <f>IFERROR('1.1 Structural changes (LC)'!B7,0)</f>
        <v>0</v>
      </c>
      <c r="C7" s="707">
        <f>IFERROR('1.1 Structural changes (LC)'!C7/'Input-FX Rates'!$H$16,0)</f>
        <v>0</v>
      </c>
      <c r="D7" s="972" t="str">
        <f>IF(ISBLANK('1.1 Structural changes (LC)'!D7),"",'1.1 Structural changes (LC)'!D7)</f>
        <v>Technician cost moved from LDC to MDC_mainternance (512K EUR)</v>
      </c>
      <c r="F7" s="267" t="s">
        <v>229</v>
      </c>
    </row>
    <row r="8" spans="1:6" ht="19.149999999999999" customHeight="1">
      <c r="A8" s="705" t="str">
        <f>IF(ISBLANK('1.1 Structural changes (LC)'!A8),"",'1.1 Structural changes (LC)'!A8)</f>
        <v>SMD Pool centralization</v>
      </c>
      <c r="B8" s="706">
        <f>IFERROR('1.1 Structural changes (LC)'!B8,0)</f>
        <v>0</v>
      </c>
      <c r="C8" s="707">
        <f>IFERROR('1.1 Structural changes (LC)'!C8/'Input-FX Rates'!$H$16,0)</f>
        <v>0</v>
      </c>
      <c r="D8" s="972" t="str">
        <f>IF(ISBLANK('1.1 Structural changes (LC)'!D8),"",'1.1 Structural changes (LC)'!D8)</f>
        <v/>
      </c>
      <c r="F8" s="267" t="s">
        <v>231</v>
      </c>
    </row>
    <row r="9" spans="1:6" ht="19.149999999999999" customHeight="1">
      <c r="A9" s="705" t="str">
        <f>IF(ISBLANK('1.1 Structural changes (LC)'!A9),"",'1.1 Structural changes (LC)'!A9)</f>
        <v>Structural change 3</v>
      </c>
      <c r="B9" s="706">
        <f>IFERROR('1.1 Structural changes (LC)'!B9,0)</f>
        <v>0</v>
      </c>
      <c r="C9" s="707">
        <f>IFERROR('1.1 Structural changes (LC)'!C9/'Input-FX Rates'!$H$16,0)</f>
        <v>0</v>
      </c>
      <c r="D9" s="972" t="str">
        <f>IF(ISBLANK('1.1 Structural changes (LC)'!D9),"",'1.1 Structural changes (LC)'!D9)</f>
        <v/>
      </c>
      <c r="F9" s="267"/>
    </row>
    <row r="10" spans="1:6" ht="19.149999999999999" customHeight="1">
      <c r="A10" s="705" t="str">
        <f>IF(ISBLANK('1.1 Structural changes (LC)'!A10),"",'1.1 Structural changes (LC)'!A10)</f>
        <v>Structural change 4</v>
      </c>
      <c r="B10" s="706">
        <f>IFERROR('1.1 Structural changes (LC)'!B10,0)</f>
        <v>0</v>
      </c>
      <c r="C10" s="707">
        <f>IFERROR('1.1 Structural changes (LC)'!C10/'Input-FX Rates'!$H$16,0)</f>
        <v>0</v>
      </c>
      <c r="D10" s="972" t="str">
        <f>IF(ISBLANK('1.1 Structural changes (LC)'!D10),"",'1.1 Structural changes (LC)'!D10)</f>
        <v/>
      </c>
      <c r="F10" s="267" t="s">
        <v>234</v>
      </c>
    </row>
    <row r="11" spans="1:6" ht="19.149999999999999" customHeight="1">
      <c r="A11" s="705" t="str">
        <f>IF(ISBLANK('1.1 Structural changes (LC)'!A11),"",'1.1 Structural changes (LC)'!A11)</f>
        <v>Structural change 5</v>
      </c>
      <c r="B11" s="706">
        <f>IFERROR('1.1 Structural changes (LC)'!B11,0)</f>
        <v>0</v>
      </c>
      <c r="C11" s="707">
        <f>IFERROR('1.1 Structural changes (LC)'!C11/'Input-FX Rates'!$H$16,0)</f>
        <v>0</v>
      </c>
      <c r="D11" s="972" t="str">
        <f>IF(ISBLANK('1.1 Structural changes (LC)'!D11),"",'1.1 Structural changes (LC)'!D11)</f>
        <v/>
      </c>
      <c r="F11" s="267" t="s">
        <v>236</v>
      </c>
    </row>
    <row r="12" spans="1:6" ht="19.149999999999999" customHeight="1">
      <c r="A12" s="705" t="str">
        <f>IF(ISBLANK('1.1 Structural changes (LC)'!A12),"",'1.1 Structural changes (LC)'!A12)</f>
        <v>Structural change 6</v>
      </c>
      <c r="B12" s="706">
        <f>IFERROR('1.1 Structural changes (LC)'!B12,0)</f>
        <v>0</v>
      </c>
      <c r="C12" s="707">
        <f>IFERROR('1.1 Structural changes (LC)'!C12/'Input-FX Rates'!$H$16,0)</f>
        <v>0</v>
      </c>
      <c r="D12" s="972" t="str">
        <f>IF(ISBLANK('1.1 Structural changes (LC)'!D12),"",'1.1 Structural changes (LC)'!D12)</f>
        <v/>
      </c>
      <c r="F12" s="267"/>
    </row>
    <row r="13" spans="1:6" ht="19.149999999999999" customHeight="1">
      <c r="A13" s="705" t="str">
        <f>IF(ISBLANK('1.1 Structural changes (LC)'!A13),"",'1.1 Structural changes (LC)'!A13)</f>
        <v>Structural change 7</v>
      </c>
      <c r="B13" s="706">
        <f>IFERROR('1.1 Structural changes (LC)'!B13,0)</f>
        <v>0</v>
      </c>
      <c r="C13" s="707">
        <f>IFERROR('1.1 Structural changes (LC)'!C13/'Input-FX Rates'!$H$16,0)</f>
        <v>0</v>
      </c>
      <c r="D13" s="972" t="str">
        <f>IF(ISBLANK('1.1 Structural changes (LC)'!D13),"",'1.1 Structural changes (LC)'!D13)</f>
        <v/>
      </c>
      <c r="F13" s="267"/>
    </row>
    <row r="14" spans="1:6" ht="19.149999999999999" customHeight="1">
      <c r="A14" s="705" t="str">
        <f>IF(ISBLANK('1.1 Structural changes (LC)'!A14),"",'1.1 Structural changes (LC)'!A14)</f>
        <v>Structural change 8</v>
      </c>
      <c r="B14" s="706">
        <f>IFERROR('1.1 Structural changes (LC)'!B14,0)</f>
        <v>0</v>
      </c>
      <c r="C14" s="707">
        <f>IFERROR('1.1 Structural changes (LC)'!C14/'Input-FX Rates'!$H$16,0)</f>
        <v>0</v>
      </c>
      <c r="D14" s="972" t="str">
        <f>IF(ISBLANK('1.1 Structural changes (LC)'!D14),"",'1.1 Structural changes (LC)'!D14)</f>
        <v/>
      </c>
      <c r="F14" s="267" t="s">
        <v>240</v>
      </c>
    </row>
    <row r="15" spans="1:6" ht="19.149999999999999" customHeight="1">
      <c r="A15" s="705" t="str">
        <f>IF(ISBLANK('1.1 Structural changes (LC)'!A15),"",'1.1 Structural changes (LC)'!A15)</f>
        <v>Structural change 9</v>
      </c>
      <c r="B15" s="706">
        <f>IFERROR('1.1 Structural changes (LC)'!B15,0)</f>
        <v>0</v>
      </c>
      <c r="C15" s="707">
        <f>IFERROR('1.1 Structural changes (LC)'!C15/'Input-FX Rates'!$H$16,0)</f>
        <v>0</v>
      </c>
      <c r="D15" s="972" t="str">
        <f>IF(ISBLANK('1.1 Structural changes (LC)'!D15),"",'1.1 Structural changes (LC)'!D15)</f>
        <v/>
      </c>
      <c r="F15" s="267"/>
    </row>
    <row r="16" spans="1:6" ht="19.149999999999999" customHeight="1">
      <c r="A16" s="705" t="str">
        <f>IF(ISBLANK('1.1 Structural changes (LC)'!A16),"",'1.1 Structural changes (LC)'!A16)</f>
        <v>Structural change 10</v>
      </c>
      <c r="B16" s="706">
        <f>IFERROR('1.1 Structural changes (LC)'!B16,0)</f>
        <v>0</v>
      </c>
      <c r="C16" s="707">
        <f>IFERROR('1.1 Structural changes (LC)'!C16/'Input-FX Rates'!$H$16,0)</f>
        <v>0</v>
      </c>
      <c r="D16" s="972" t="str">
        <f>IF(ISBLANK('1.1 Structural changes (LC)'!D16),"",'1.1 Structural changes (LC)'!D16)</f>
        <v/>
      </c>
      <c r="F16" s="267"/>
    </row>
    <row r="17" spans="1:6" ht="22.9" customHeight="1">
      <c r="A17" s="452" t="s">
        <v>243</v>
      </c>
      <c r="B17" s="78">
        <f>IFERROR('1.1 Structural changes (LC)'!B17,0)</f>
        <v>0</v>
      </c>
      <c r="C17" s="265">
        <f>IFERROR('1.1 Structural changes (LC)'!C17/'Input-FX Rates'!$H$16,0)</f>
        <v>0</v>
      </c>
      <c r="D17" s="971" t="str">
        <f>IF(ISBLANK('1.1 Structural changes (LC)'!D17),"",'1.1 Structural changes (LC)'!D17)</f>
        <v/>
      </c>
      <c r="F17" s="267"/>
    </row>
    <row r="18" spans="1:6" ht="19.149999999999999" customHeight="1">
      <c r="A18" s="705" t="str">
        <f>IF(ISBLANK('1.1 Structural changes (LC)'!A18),"",'1.1 Structural changes (LC)'!A18)</f>
        <v>Maintenance harmonization</v>
      </c>
      <c r="B18" s="706">
        <f>IFERROR('1.1 Structural changes (LC)'!B18,0)</f>
        <v>0</v>
      </c>
      <c r="C18" s="707">
        <f>IFERROR('1.1 Structural changes (LC)'!C18/'Input-FX Rates'!$H$16,0)</f>
        <v>0</v>
      </c>
      <c r="D18" s="972" t="str">
        <f>IF(ISBLANK('1.1 Structural changes (LC)'!D18),"",'1.1 Structural changes (LC)'!D18)</f>
        <v/>
      </c>
    </row>
    <row r="19" spans="1:6" ht="19.149999999999999" customHeight="1">
      <c r="A19" s="705" t="str">
        <f>IF(ISBLANK('1.1 Structural changes (LC)'!A19),"",'1.1 Structural changes (LC)'!A19)</f>
        <v>Structural change 2</v>
      </c>
      <c r="B19" s="706">
        <f>IFERROR('1.1 Structural changes (LC)'!B19,0)</f>
        <v>0</v>
      </c>
      <c r="C19" s="707">
        <f>IFERROR('1.1 Structural changes (LC)'!C19/'Input-FX Rates'!$H$16,0)</f>
        <v>0</v>
      </c>
      <c r="D19" s="972" t="str">
        <f>IF(ISBLANK('1.1 Structural changes (LC)'!D19),"",'1.1 Structural changes (LC)'!D19)</f>
        <v/>
      </c>
      <c r="F19" s="698"/>
    </row>
    <row r="20" spans="1:6" ht="19.149999999999999" customHeight="1">
      <c r="A20" s="705" t="str">
        <f>IF(ISBLANK('1.1 Structural changes (LC)'!A20),"",'1.1 Structural changes (LC)'!A20)</f>
        <v>Structural change 3</v>
      </c>
      <c r="B20" s="706">
        <f>IFERROR('1.1 Structural changes (LC)'!B20,0)</f>
        <v>0</v>
      </c>
      <c r="C20" s="707">
        <f>IFERROR('1.1 Structural changes (LC)'!C20/'Input-FX Rates'!$H$16,0)</f>
        <v>0</v>
      </c>
      <c r="D20" s="972" t="str">
        <f>IF(ISBLANK('1.1 Structural changes (LC)'!D20),"",'1.1 Structural changes (LC)'!D20)</f>
        <v/>
      </c>
      <c r="F20" s="698"/>
    </row>
    <row r="21" spans="1:6" ht="19.149999999999999" customHeight="1">
      <c r="A21" s="705" t="str">
        <f>IF(ISBLANK('1.1 Structural changes (LC)'!A21),"",'1.1 Structural changes (LC)'!A21)</f>
        <v>Structural change 4</v>
      </c>
      <c r="B21" s="706">
        <f>IFERROR('1.1 Structural changes (LC)'!B21,0)</f>
        <v>0</v>
      </c>
      <c r="C21" s="707">
        <f>IFERROR('1.1 Structural changes (LC)'!C21/'Input-FX Rates'!$H$16,0)</f>
        <v>0</v>
      </c>
      <c r="D21" s="972" t="str">
        <f>IF(ISBLANK('1.1 Structural changes (LC)'!D21),"",'1.1 Structural changes (LC)'!D21)</f>
        <v/>
      </c>
      <c r="F21" s="698"/>
    </row>
    <row r="22" spans="1:6" ht="19.149999999999999" customHeight="1">
      <c r="A22" s="705" t="str">
        <f>IF(ISBLANK('1.1 Structural changes (LC)'!A22),"",'1.1 Structural changes (LC)'!A22)</f>
        <v>Structural change 5</v>
      </c>
      <c r="B22" s="706">
        <f>IFERROR('1.1 Structural changes (LC)'!B22,0)</f>
        <v>0</v>
      </c>
      <c r="C22" s="707">
        <f>IFERROR('1.1 Structural changes (LC)'!C22/'Input-FX Rates'!$H$16,0)</f>
        <v>0</v>
      </c>
      <c r="D22" s="972" t="str">
        <f>IF(ISBLANK('1.1 Structural changes (LC)'!D22),"",'1.1 Structural changes (LC)'!D22)</f>
        <v/>
      </c>
    </row>
    <row r="23" spans="1:6" ht="19.149999999999999" customHeight="1">
      <c r="A23" s="705" t="str">
        <f>IF(ISBLANK('1.1 Structural changes (LC)'!A23),"",'1.1 Structural changes (LC)'!A23)</f>
        <v>Structural change 6</v>
      </c>
      <c r="B23" s="706">
        <f>IFERROR('1.1 Structural changes (LC)'!B23,0)</f>
        <v>0</v>
      </c>
      <c r="C23" s="707">
        <f>IFERROR('1.1 Structural changes (LC)'!C23/'Input-FX Rates'!$H$16,0)</f>
        <v>0</v>
      </c>
      <c r="D23" s="972" t="str">
        <f>IF(ISBLANK('1.1 Structural changes (LC)'!D23),"",'1.1 Structural changes (LC)'!D23)</f>
        <v/>
      </c>
    </row>
    <row r="24" spans="1:6" ht="19.149999999999999" customHeight="1">
      <c r="A24" s="705" t="str">
        <f>IF(ISBLANK('1.1 Structural changes (LC)'!A24),"",'1.1 Structural changes (LC)'!A24)</f>
        <v>Structural change 7</v>
      </c>
      <c r="B24" s="706">
        <f>IFERROR('1.1 Structural changes (LC)'!B24,0)</f>
        <v>0</v>
      </c>
      <c r="C24" s="707">
        <f>IFERROR('1.1 Structural changes (LC)'!C24/'Input-FX Rates'!$H$16,0)</f>
        <v>0</v>
      </c>
      <c r="D24" s="972" t="str">
        <f>IF(ISBLANK('1.1 Structural changes (LC)'!D24),"",'1.1 Structural changes (LC)'!D24)</f>
        <v/>
      </c>
    </row>
    <row r="25" spans="1:6" ht="19.149999999999999" customHeight="1">
      <c r="A25" s="705" t="str">
        <f>IF(ISBLANK('1.1 Structural changes (LC)'!A25),"",'1.1 Structural changes (LC)'!A25)</f>
        <v>Structural change 8</v>
      </c>
      <c r="B25" s="706">
        <f>IFERROR('1.1 Structural changes (LC)'!B25,0)</f>
        <v>0</v>
      </c>
      <c r="C25" s="707">
        <f>IFERROR('1.1 Structural changes (LC)'!C25/'Input-FX Rates'!$H$16,0)</f>
        <v>0</v>
      </c>
      <c r="D25" s="972" t="str">
        <f>IF(ISBLANK('1.1 Structural changes (LC)'!D25),"",'1.1 Structural changes (LC)'!D25)</f>
        <v/>
      </c>
    </row>
    <row r="26" spans="1:6" ht="19.149999999999999" customHeight="1">
      <c r="A26" s="705" t="str">
        <f>IF(ISBLANK('1.1 Structural changes (LC)'!A26),"",'1.1 Structural changes (LC)'!A26)</f>
        <v>Structural change 9</v>
      </c>
      <c r="B26" s="706">
        <f>IFERROR('1.1 Structural changes (LC)'!B26,0)</f>
        <v>0</v>
      </c>
      <c r="C26" s="707">
        <f>IFERROR('1.1 Structural changes (LC)'!C26/'Input-FX Rates'!$H$16,0)</f>
        <v>0</v>
      </c>
      <c r="D26" s="972" t="str">
        <f>IF(ISBLANK('1.1 Structural changes (LC)'!D26),"",'1.1 Structural changes (LC)'!D26)</f>
        <v/>
      </c>
    </row>
    <row r="27" spans="1:6" ht="19.149999999999999" customHeight="1">
      <c r="A27" s="705" t="str">
        <f>IF(ISBLANK('1.1 Structural changes (LC)'!A27),"",'1.1 Structural changes (LC)'!A27)</f>
        <v>Structural change 10</v>
      </c>
      <c r="B27" s="706">
        <f>IFERROR('1.1 Structural changes (LC)'!B27,0)</f>
        <v>0</v>
      </c>
      <c r="C27" s="707">
        <f>IFERROR('1.1 Structural changes (LC)'!C27/'Input-FX Rates'!$H$16,0)</f>
        <v>0</v>
      </c>
      <c r="D27" s="972" t="str">
        <f>IF(ISBLANK('1.1 Structural changes (LC)'!D27),"",'1.1 Structural changes (LC)'!D27)</f>
        <v/>
      </c>
    </row>
    <row r="28" spans="1:6" ht="22.5" customHeight="1">
      <c r="A28" s="452" t="s">
        <v>245</v>
      </c>
      <c r="B28" s="78">
        <f>IFERROR('1.1 Structural changes (LC)'!B28,0)</f>
        <v>0</v>
      </c>
      <c r="C28" s="265">
        <f>IFERROR('1.1 Structural changes (LC)'!C28/'Input-FX Rates'!$H$16,0)</f>
        <v>0</v>
      </c>
      <c r="D28" s="971" t="str">
        <f>IF(ISBLANK('1.1 Structural changes (LC)'!D28),"",'1.1 Structural changes (LC)'!D28)</f>
        <v/>
      </c>
    </row>
  </sheetData>
  <mergeCells count="1">
    <mergeCell ref="B4:C4"/>
  </mergeCells>
  <phoneticPr fontId="65" type="noConversion"/>
  <dataValidations count="1">
    <dataValidation type="decimal" allowBlank="1" showInputMessage="1" showErrorMessage="1" sqref="B6:C28 D17 D6 D28" xr:uid="{B50AAB9F-61D5-42A8-81C6-8464A39E4FDD}">
      <formula1>-100000000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90" orientation="landscape" r:id="rId1"/>
  <customProperties>
    <customPr name="_pios_id" r:id="rId2"/>
  </customProperties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4cfd3d3-2c89-4764-aaab-c87677d64949">
      <Terms xmlns="http://schemas.microsoft.com/office/infopath/2007/PartnerControls"/>
    </lcf76f155ced4ddcb4097134ff3c332f>
    <TaxCatchAll xmlns="50a08be1-ba3e-4a79-8f58-48006bbce96a" xsi:nil="true"/>
    <BU xmlns="2ae3030a-d705-4552-b829-e01f656186ac" xsi:nil="true"/>
    <Year xmlns="2ae3030a-d705-4552-b829-e01f656186ac" xsi:nil="true"/>
    <Month xmlns="2ae3030a-d705-4552-b829-e01f656186a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AF870E99ECA94F864B327C5B7E3838" ma:contentTypeVersion="48" ma:contentTypeDescription="Create a new document." ma:contentTypeScope="" ma:versionID="82b9f7007cc6be862c240747973d81ce">
  <xsd:schema xmlns:xsd="http://www.w3.org/2001/XMLSchema" xmlns:xs="http://www.w3.org/2001/XMLSchema" xmlns:p="http://schemas.microsoft.com/office/2006/metadata/properties" xmlns:ns2="2ae3030a-d705-4552-b829-e01f656186ac" xmlns:ns3="04cfd3d3-2c89-4764-aaab-c87677d64949" xmlns:ns4="50a08be1-ba3e-4a79-8f58-48006bbce96a" targetNamespace="http://schemas.microsoft.com/office/2006/metadata/properties" ma:root="true" ma:fieldsID="e8258b38c56eae07d2fa1a90e4b3e342" ns2:_="" ns3:_="" ns4:_="">
    <xsd:import namespace="2ae3030a-d705-4552-b829-e01f656186ac"/>
    <xsd:import namespace="04cfd3d3-2c89-4764-aaab-c87677d64949"/>
    <xsd:import namespace="50a08be1-ba3e-4a79-8f58-48006bbce96a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BU" minOccurs="0"/>
                <xsd:element ref="ns2:Month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3030a-d705-4552-b829-e01f656186ac" elementFormDefault="qualified">
    <xsd:import namespace="http://schemas.microsoft.com/office/2006/documentManagement/types"/>
    <xsd:import namespace="http://schemas.microsoft.com/office/infopath/2007/PartnerControls"/>
    <xsd:element name="Year" ma:index="2" nillable="true" ma:displayName="Year" ma:internalName="Year" ma:readOnly="false">
      <xsd:simpleType>
        <xsd:restriction base="dms:Text"/>
      </xsd:simpleType>
    </xsd:element>
    <xsd:element name="BU" ma:index="3" nillable="true" ma:displayName="BU" ma:internalName="BU" ma:readOnly="false">
      <xsd:simpleType>
        <xsd:restriction base="dms:Text"/>
      </xsd:simpleType>
    </xsd:element>
    <xsd:element name="Month" ma:index="4" nillable="true" ma:displayName="Month" ma:internalName="Month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cfd3d3-2c89-4764-aaab-c87677d649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7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b937219-7576-41a1-b649-10f96e1e170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a08be1-ba3e-4a79-8f58-48006bbce96a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91ec38bc-3473-4415-ad79-795e08459ca8}" ma:internalName="TaxCatchAll" ma:showField="CatchAllData" ma:web="50a08be1-ba3e-4a79-8f58-48006bbce9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4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Application xmlns="http://www.sap.com/cof/excel/application">
  <Version>2</Version>
  <Revision>2.8.1300.98253</Revision>
</Application>
</file>

<file path=customXml/itemProps1.xml><?xml version="1.0" encoding="utf-8"?>
<ds:datastoreItem xmlns:ds="http://schemas.openxmlformats.org/officeDocument/2006/customXml" ds:itemID="{576946B0-D050-4DE0-9B51-0E296A5703B4}">
  <ds:schemaRefs>
    <ds:schemaRef ds:uri="236118e9-2a95-4329-9704-c1b59db7da16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4CC5501-9A21-4D82-B6A8-2915BE593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CFC65D-A080-44FF-A375-A79FA9B551A7}"/>
</file>

<file path=customXml/itemProps4.xml><?xml version="1.0" encoding="utf-8"?>
<ds:datastoreItem xmlns:ds="http://schemas.openxmlformats.org/officeDocument/2006/customXml" ds:itemID="{CFAE4CBA-3A0F-4089-9C6B-C3E96BEA17C1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28</vt:i4>
      </vt:variant>
    </vt:vector>
  </HeadingPairs>
  <TitlesOfParts>
    <vt:vector size="62" baseType="lpstr">
      <vt:lpstr>Version History</vt:lpstr>
      <vt:lpstr>Settings</vt:lpstr>
      <vt:lpstr>Input-FX Rates</vt:lpstr>
      <vt:lpstr>0. Instructions</vt:lpstr>
      <vt:lpstr>1. Main Issues (LC)</vt:lpstr>
      <vt:lpstr>1. Main Issues (GC)</vt:lpstr>
      <vt:lpstr>1.1 Structural changes (LC)</vt:lpstr>
      <vt:lpstr>1.1 Structural changes (GC)</vt:lpstr>
      <vt:lpstr>2. Variable (LC)</vt:lpstr>
      <vt:lpstr>2. Variable (GC)</vt:lpstr>
      <vt:lpstr>3. Scrap (LC)</vt:lpstr>
      <vt:lpstr>3. Scrap (GC)</vt:lpstr>
      <vt:lpstr>4. Fix Cost (LC) </vt:lpstr>
      <vt:lpstr>4. Fix Cost (GC)</vt:lpstr>
      <vt:lpstr>5. Logistic Cost (LC)</vt:lpstr>
      <vt:lpstr>5.  Logistic Cost (GC)</vt:lpstr>
      <vt:lpstr>5.1 Inventory (LC)</vt:lpstr>
      <vt:lpstr>5.1 Inventory (GC)</vt:lpstr>
      <vt:lpstr>6. HC (LC)</vt:lpstr>
      <vt:lpstr>6. HC (GC)</vt:lpstr>
      <vt:lpstr>7. BS-Key Figures (LC)</vt:lpstr>
      <vt:lpstr>7. BS-Key Figures (GC)</vt:lpstr>
      <vt:lpstr>8. Volumes</vt:lpstr>
      <vt:lpstr>10. Purchasing (LC)</vt:lpstr>
      <vt:lpstr>10. Purchasing (GC)</vt:lpstr>
      <vt:lpstr>11. R&amp;O (LC) </vt:lpstr>
      <vt:lpstr>11. R&amp;O (GC)</vt:lpstr>
      <vt:lpstr>P&amp;L</vt:lpstr>
      <vt:lpstr>KeyData</vt:lpstr>
      <vt:lpstr>P&amp;L_seasonal</vt:lpstr>
      <vt:lpstr>KeyData_seasonal</vt:lpstr>
      <vt:lpstr>Race_2024</vt:lpstr>
      <vt:lpstr>Race_2024_Seasonal</vt:lpstr>
      <vt:lpstr>Consolidation_BU_Budget</vt:lpstr>
      <vt:lpstr>BA_code</vt:lpstr>
      <vt:lpstr>BA_Name</vt:lpstr>
      <vt:lpstr>BU_Codes</vt:lpstr>
      <vt:lpstr>FX_BS</vt:lpstr>
      <vt:lpstr>FX_PL</vt:lpstr>
      <vt:lpstr>Outlet_Codes</vt:lpstr>
      <vt:lpstr>Plant_Code_FIRE</vt:lpstr>
      <vt:lpstr>'1. Main Issues (GC)'!Print_Area</vt:lpstr>
      <vt:lpstr>'1. Main Issues (LC)'!Print_Area</vt:lpstr>
      <vt:lpstr>'1.1 Structural changes (GC)'!Print_Area</vt:lpstr>
      <vt:lpstr>'1.1 Structural changes (LC)'!Print_Area</vt:lpstr>
      <vt:lpstr>'11. R&amp;O (GC)'!Print_Area</vt:lpstr>
      <vt:lpstr>'11. R&amp;O (LC) '!Print_Area</vt:lpstr>
      <vt:lpstr>'2. Variable (GC)'!Print_Area</vt:lpstr>
      <vt:lpstr>'2. Variable (LC)'!Print_Area</vt:lpstr>
      <vt:lpstr>'3. Scrap (GC)'!Print_Area</vt:lpstr>
      <vt:lpstr>'3. Scrap (LC)'!Print_Area</vt:lpstr>
      <vt:lpstr>'4. Fix Cost (GC)'!Print_Area</vt:lpstr>
      <vt:lpstr>'4. Fix Cost (LC) '!Print_Area</vt:lpstr>
      <vt:lpstr>'5.  Logistic Cost (GC)'!Print_Area</vt:lpstr>
      <vt:lpstr>'5. Logistic Cost (LC)'!Print_Area</vt:lpstr>
      <vt:lpstr>'6. HC (GC)'!Print_Area</vt:lpstr>
      <vt:lpstr>'6. HC (LC)'!Print_Area</vt:lpstr>
      <vt:lpstr>'7. BS-Key Figures (GC)'!Print_Area</vt:lpstr>
      <vt:lpstr>'7. BS-Key Figures (LC)'!Print_Area</vt:lpstr>
      <vt:lpstr>'8. Volumes'!Print_Area</vt:lpstr>
      <vt:lpstr>SAPCrosstab1</vt:lpstr>
      <vt:lpstr>SAPCrosstab3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Gruel, Kim (uic34337)</dc:creator>
  <cp:keywords/>
  <dc:description/>
  <cp:lastModifiedBy>Rhee, SeokWoo (uidj3659)</cp:lastModifiedBy>
  <cp:revision/>
  <dcterms:created xsi:type="dcterms:W3CDTF">2022-07-01T11:20:38Z</dcterms:created>
  <dcterms:modified xsi:type="dcterms:W3CDTF">2023-10-30T01:07:05Z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MSIP_Label_3f3ac890-09a1-47d3-8d04-15427d7fec91_Enabled">
    <vt:lpwstr>true</vt:lpwstr>
  </property>
  <property fmtid="{D5CDD505-2E9C-101B-9397-08002B2CF9AE}" pid="4" name="MSIP_Label_3f3ac890-09a1-47d3-8d04-15427d7fec91_SetDate">
    <vt:lpwstr>2023-05-31T07:56:11Z</vt:lpwstr>
  </property>
  <property fmtid="{D5CDD505-2E9C-101B-9397-08002B2CF9AE}" pid="5" name="MSIP_Label_3f3ac890-09a1-47d3-8d04-15427d7fec91_Method">
    <vt:lpwstr>Standard</vt:lpwstr>
  </property>
  <property fmtid="{D5CDD505-2E9C-101B-9397-08002B2CF9AE}" pid="6" name="MSIP_Label_3f3ac890-09a1-47d3-8d04-15427d7fec91_Name">
    <vt:lpwstr>Internal</vt:lpwstr>
  </property>
  <property fmtid="{D5CDD505-2E9C-101B-9397-08002B2CF9AE}" pid="7" name="MSIP_Label_3f3ac890-09a1-47d3-8d04-15427d7fec91_SiteId">
    <vt:lpwstr>39b77101-99b7-41c9-8d6a-7794b9d48476</vt:lpwstr>
  </property>
  <property fmtid="{D5CDD505-2E9C-101B-9397-08002B2CF9AE}" pid="8" name="MSIP_Label_3f3ac890-09a1-47d3-8d04-15427d7fec91_ActionId">
    <vt:lpwstr>7f9f5e3f-ef39-4a36-bdb9-6d0d4f348a38</vt:lpwstr>
  </property>
  <property fmtid="{D5CDD505-2E9C-101B-9397-08002B2CF9AE}" pid="9" name="MSIP_Label_3f3ac890-09a1-47d3-8d04-15427d7fec91_ContentBits">
    <vt:lpwstr>0</vt:lpwstr>
  </property>
  <property fmtid="{D5CDD505-2E9C-101B-9397-08002B2CF9AE}" pid="10" name="ContentTypeId">
    <vt:lpwstr>0x0101007EAF870E99ECA94F864B327C5B7E3838</vt:lpwstr>
  </property>
  <property fmtid="{D5CDD505-2E9C-101B-9397-08002B2CF9AE}" pid="11" name="MediaServiceImageTags">
    <vt:lpwstr/>
  </property>
  <property fmtid="{D5CDD505-2E9C-101B-9397-08002B2CF9AE}" pid="12" name="Order">
    <vt:r8>30549000</vt:r8>
  </property>
  <property fmtid="{D5CDD505-2E9C-101B-9397-08002B2CF9AE}" pid="13" name="KeyPoints">
    <vt:lpwstr/>
  </property>
  <property fmtid="{D5CDD505-2E9C-101B-9397-08002B2CF9AE}" pid="14" name="xd_Signature">
    <vt:bool>false</vt:bool>
  </property>
  <property fmtid="{D5CDD505-2E9C-101B-9397-08002B2CF9AE}" pid="15" name="xd_ProgID">
    <vt:lpwstr/>
  </property>
  <property fmtid="{D5CDD505-2E9C-101B-9397-08002B2CF9AE}" pid="16" name="Shared With Details">
    <vt:lpwstr/>
  </property>
  <property fmtid="{D5CDD505-2E9C-101B-9397-08002B2CF9AE}" pid="17" name="Shared With">
    <vt:lpwstr/>
  </property>
  <property fmtid="{D5CDD505-2E9C-101B-9397-08002B2CF9AE}" pid="18" name="ComplianceAssetId">
    <vt:lpwstr/>
  </property>
  <property fmtid="{D5CDD505-2E9C-101B-9397-08002B2CF9AE}" pid="19" name="TemplateUrl">
    <vt:lpwstr/>
  </property>
  <property fmtid="{D5CDD505-2E9C-101B-9397-08002B2CF9AE}" pid="20" name="_ExtendedDescription">
    <vt:lpwstr/>
  </property>
  <property fmtid="{D5CDD505-2E9C-101B-9397-08002B2CF9AE}" pid="21" name="TriggerFlowInfo">
    <vt:lpwstr/>
  </property>
</Properties>
</file>