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1.xml" ContentType="application/vnd.openxmlformats-officedocument.drawing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drawings/drawing2.xml" ContentType="application/vnd.openxmlformats-officedocument.drawing+xml"/>
  <Override PartName="/xl/printerSettings/printerSettings8.bin" ContentType="application/vnd.openxmlformats-officedocument.spreadsheetml.printerSettings"/>
  <Override PartName="/xl/drawings/drawing3.xml" ContentType="application/vnd.openxmlformats-officedocument.drawing+xml"/>
  <Override PartName="/xl/printerSettings/printerSettings9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printerSettings/printerSettings16.bin" ContentType="application/vnd.openxmlformats-officedocument.spreadsheetml.printerSettings"/>
  <Override PartName="/xl/printerSettings/printerSettings17.bin" ContentType="application/vnd.openxmlformats-officedocument.spreadsheetml.printerSettings"/>
  <Override PartName="/xl/printerSettings/printerSettings18.bin" ContentType="application/vnd.openxmlformats-officedocument.spreadsheetml.printerSettings"/>
  <Override PartName="/xl/printerSettings/printerSettings19.bin" ContentType="application/vnd.openxmlformats-officedocument.spreadsheetml.printerSettings"/>
  <Override PartName="/xl/printerSettings/printerSettings20.bin" ContentType="application/vnd.openxmlformats-officedocument.spreadsheetml.printerSettings"/>
  <Override PartName="/xl/printerSettings/printerSettings21.bin" ContentType="application/vnd.openxmlformats-officedocument.spreadsheetml.printerSettings"/>
  <Override PartName="/xl/printerSettings/printerSettings22.bin" ContentType="application/vnd.openxmlformats-officedocument.spreadsheetml.printerSettings"/>
  <Override PartName="/xl/printerSettings/printerSettings23.bin" ContentType="application/vnd.openxmlformats-officedocument.spreadsheetml.printerSettings"/>
  <Override PartName="/xl/printerSettings/printerSettings24.bin" ContentType="application/vnd.openxmlformats-officedocument.spreadsheetml.printerSettings"/>
  <Override PartName="/xl/printerSettings/printerSettings25.bin" ContentType="application/vnd.openxmlformats-officedocument.spreadsheetml.printerSettings"/>
  <Override PartName="/xl/printerSettings/printerSettings26.bin" ContentType="application/vnd.openxmlformats-officedocument.spreadsheetml.printerSettings"/>
  <Override PartName="/xl/printerSettings/printerSettings27.bin" ContentType="application/vnd.openxmlformats-officedocument.spreadsheetml.printerSettings"/>
  <Override PartName="/xl/printerSettings/printerSettings28.bin" ContentType="application/vnd.openxmlformats-officedocument.spreadsheetml.printerSettings"/>
  <Override PartName="/xl/printerSettings/printerSettings29.bin" ContentType="application/vnd.openxmlformats-officedocument.spreadsheetml.printerSettings"/>
  <Override PartName="/xl/printerSettings/printerSettings30.bin" ContentType="application/vnd.openxmlformats-officedocument.spreadsheetml.printerSettings"/>
  <Override PartName="/xl/printerSettings/printerSettings31.bin" ContentType="application/vnd.openxmlformats-officedocument.spreadsheetml.printerSettings"/>
  <Override PartName="/xl/printerSettings/printerSettings3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3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6532/Shared Documents/030. Planning/2024/060. Budget booklet/910. Sent to HQ/020. After review/"/>
    </mc:Choice>
  </mc:AlternateContent>
  <xr:revisionPtr revIDLastSave="0" documentId="8_{1251CABC-CCC9-4F7F-8F0D-934F52523689}" xr6:coauthVersionLast="47" xr6:coauthVersionMax="47" xr10:uidLastSave="{00000000-0000-0000-0000-000000000000}"/>
  <bookViews>
    <workbookView xWindow="28680" yWindow="-120" windowWidth="29040" windowHeight="17520" tabRatio="921" firstSheet="1" activeTab="3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Race_2024!$B$1:$L$528</definedName>
    <definedName name="SAPCrosstab3">Race_2024_Seasonal!$B$1:$R$212</definedName>
    <definedName name="SAPCrosstab4">#REF!</definedName>
    <definedName name="SAPCrosstab5">#REF!</definedName>
    <definedName name="SAPCrosstab6">#REF!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2" l="1"/>
  <c r="A2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H65" i="30"/>
  <c r="D16" i="6"/>
  <c r="H80" i="30"/>
  <c r="H85" i="30"/>
  <c r="I46" i="30"/>
  <c r="M33" i="8"/>
  <c r="N33" i="9"/>
  <c r="N10" i="9"/>
  <c r="M10" i="8"/>
  <c r="H43" i="32"/>
  <c r="P18" i="12"/>
  <c r="I8" i="30"/>
  <c r="F7" i="6"/>
  <c r="H8" i="30"/>
  <c r="D7" i="6"/>
  <c r="D7" i="7"/>
  <c r="I53" i="30"/>
  <c r="F8" i="6"/>
  <c r="F8" i="7"/>
  <c r="H51" i="32"/>
  <c r="G51" i="32"/>
  <c r="F51" i="32"/>
  <c r="E51" i="32"/>
  <c r="D51" i="32"/>
  <c r="P25" i="9"/>
  <c r="P24" i="9"/>
  <c r="P21" i="9"/>
  <c r="R28" i="18"/>
  <c r="H77" i="30"/>
  <c r="K77" i="30"/>
  <c r="I77" i="30"/>
  <c r="L77" i="30"/>
  <c r="G10" i="8"/>
  <c r="A3" i="43"/>
  <c r="H141" i="31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M141" i="31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L142" i="31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I141" i="31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G141" i="31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H142" i="31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B12" i="31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F141" i="31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I136" i="31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N44" i="31"/>
  <c r="P80" i="10"/>
  <c r="P37" i="10"/>
  <c r="H46" i="30"/>
  <c r="E81" i="10"/>
  <c r="E66" i="10"/>
  <c r="D66" i="10"/>
  <c r="D66" i="11"/>
  <c r="D8" i="10"/>
  <c r="D7" i="10"/>
  <c r="D52" i="10"/>
  <c r="D51" i="10"/>
  <c r="D50" i="10"/>
  <c r="D57" i="10"/>
  <c r="D56" i="10"/>
  <c r="D55" i="10"/>
  <c r="D61" i="10"/>
  <c r="D60" i="10"/>
  <c r="D62" i="10"/>
  <c r="H27" i="8"/>
  <c r="C6" i="8"/>
  <c r="G26" i="8"/>
  <c r="G19" i="8"/>
  <c r="H29" i="8"/>
  <c r="H30" i="8"/>
  <c r="H26" i="8"/>
  <c r="H25" i="8"/>
  <c r="H10" i="8"/>
  <c r="R24" i="18"/>
  <c r="A527" i="40"/>
  <c r="D142" i="3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I141" i="30"/>
  <c r="I142" i="30"/>
  <c r="B9" i="31"/>
  <c r="B17" i="31"/>
  <c r="B18" i="31"/>
  <c r="B20" i="31"/>
  <c r="B21" i="31"/>
  <c r="B22" i="31"/>
  <c r="D141" i="30"/>
  <c r="E141" i="30"/>
  <c r="F141" i="30"/>
  <c r="G141" i="30"/>
  <c r="H141" i="30"/>
  <c r="E142" i="30"/>
  <c r="G142" i="30"/>
  <c r="B141" i="30"/>
  <c r="B142" i="30"/>
  <c r="N386" i="40"/>
  <c r="D136" i="30"/>
  <c r="E136" i="30"/>
  <c r="F136" i="30"/>
  <c r="H136" i="30"/>
  <c r="B136" i="30"/>
  <c r="O3" i="40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E8" i="25"/>
  <c r="E14" i="25"/>
  <c r="C14" i="25"/>
  <c r="F14" i="25"/>
  <c r="AQ56" i="29"/>
  <c r="AO56" i="29"/>
  <c r="A56" i="29"/>
  <c r="E56" i="29"/>
  <c r="AO49" i="29"/>
  <c r="A49" i="29"/>
  <c r="E49" i="29"/>
  <c r="N29" i="8"/>
  <c r="N21" i="8"/>
  <c r="E29" i="8"/>
  <c r="E21" i="8"/>
  <c r="Y231" i="29"/>
  <c r="W232" i="29"/>
  <c r="AA214" i="29"/>
  <c r="AB214" i="29"/>
  <c r="AC214" i="29"/>
  <c r="O26" i="15"/>
  <c r="U22" i="1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12" i="43"/>
  <c r="D59" i="33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D57" i="33"/>
  <c r="E57" i="33"/>
  <c r="F57" i="33"/>
  <c r="G57" i="33"/>
  <c r="H57" i="33"/>
  <c r="I57" i="33"/>
  <c r="J57" i="33"/>
  <c r="K57" i="33"/>
  <c r="L57" i="33"/>
  <c r="M57" i="33"/>
  <c r="N57" i="33"/>
  <c r="O57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Q60" i="33"/>
  <c r="S60" i="33"/>
  <c r="M59" i="33"/>
  <c r="K59" i="33"/>
  <c r="H59" i="33"/>
  <c r="N58" i="33"/>
  <c r="L58" i="33"/>
  <c r="I58" i="33"/>
  <c r="N56" i="33"/>
  <c r="L56" i="33"/>
  <c r="I56" i="33"/>
  <c r="O55" i="33"/>
  <c r="M55" i="33"/>
  <c r="J55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N52" i="33"/>
  <c r="K52" i="33"/>
  <c r="D52" i="33"/>
  <c r="O51" i="33"/>
  <c r="N51" i="33"/>
  <c r="M51" i="33"/>
  <c r="L51" i="33"/>
  <c r="K51" i="33"/>
  <c r="J51" i="33"/>
  <c r="I51" i="33"/>
  <c r="H51" i="33"/>
  <c r="G51" i="33"/>
  <c r="D51" i="33"/>
  <c r="E51" i="33"/>
  <c r="F51" i="33"/>
  <c r="Q51" i="33"/>
  <c r="M50" i="33"/>
  <c r="F50" i="33"/>
  <c r="D50" i="3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9" i="29"/>
  <c r="A242" i="29"/>
  <c r="E242" i="29"/>
  <c r="AQ232" i="29"/>
  <c r="AO232" i="29"/>
  <c r="A232" i="29"/>
  <c r="E232" i="29"/>
  <c r="AO214" i="29"/>
  <c r="AQ214" i="29"/>
  <c r="A214" i="29"/>
  <c r="E214" i="29"/>
  <c r="AO185" i="29"/>
  <c r="AO186" i="29"/>
  <c r="AO187" i="29"/>
  <c r="AO188" i="29"/>
  <c r="AO189" i="29"/>
  <c r="AO190" i="29"/>
  <c r="AO191" i="29"/>
  <c r="AO192" i="29"/>
  <c r="AO193" i="29"/>
  <c r="AO194" i="29"/>
  <c r="AO195" i="29"/>
  <c r="AO196" i="29"/>
  <c r="H50" i="32"/>
  <c r="H52" i="32"/>
  <c r="S51" i="33"/>
  <c r="H53" i="32"/>
  <c r="H54" i="32"/>
  <c r="H55" i="32"/>
  <c r="H56" i="32"/>
  <c r="H57" i="32"/>
  <c r="H58" i="32"/>
  <c r="Q57" i="33"/>
  <c r="S57" i="33"/>
  <c r="H59" i="32"/>
  <c r="H60" i="32"/>
  <c r="H61" i="32"/>
  <c r="G50" i="32"/>
  <c r="G52" i="32"/>
  <c r="G53" i="32"/>
  <c r="G54" i="32"/>
  <c r="G55" i="32"/>
  <c r="G56" i="32"/>
  <c r="G57" i="32"/>
  <c r="G58" i="32"/>
  <c r="G59" i="32"/>
  <c r="G60" i="32"/>
  <c r="G61" i="32"/>
  <c r="F50" i="32"/>
  <c r="F52" i="32"/>
  <c r="F53" i="32"/>
  <c r="F54" i="32"/>
  <c r="F55" i="32"/>
  <c r="F56" i="32"/>
  <c r="F57" i="32"/>
  <c r="F58" i="32"/>
  <c r="F59" i="32"/>
  <c r="F60" i="32"/>
  <c r="F61" i="32"/>
  <c r="E50" i="32"/>
  <c r="E52" i="32"/>
  <c r="E53" i="32"/>
  <c r="E54" i="32"/>
  <c r="E55" i="32"/>
  <c r="E56" i="32"/>
  <c r="E57" i="32"/>
  <c r="E58" i="32"/>
  <c r="E59" i="32"/>
  <c r="E60" i="32"/>
  <c r="E61" i="32"/>
  <c r="D50" i="32"/>
  <c r="D52" i="32"/>
  <c r="D53" i="32"/>
  <c r="D54" i="32"/>
  <c r="D55" i="32"/>
  <c r="D56" i="32"/>
  <c r="D57" i="32"/>
  <c r="D58" i="32"/>
  <c r="D59" i="32"/>
  <c r="D60" i="32"/>
  <c r="D61" i="32"/>
  <c r="F33" i="32"/>
  <c r="F40" i="32"/>
  <c r="F34" i="32"/>
  <c r="B9" i="12"/>
  <c r="B9" i="13"/>
  <c r="K110" i="29"/>
  <c r="F35" i="32"/>
  <c r="B10" i="12"/>
  <c r="F36" i="32"/>
  <c r="B11" i="12"/>
  <c r="B11" i="13"/>
  <c r="K112" i="29"/>
  <c r="F37" i="32"/>
  <c r="B12" i="12"/>
  <c r="B12" i="13"/>
  <c r="K113" i="29"/>
  <c r="F38" i="32"/>
  <c r="B13" i="12"/>
  <c r="B13" i="13"/>
  <c r="K114" i="29"/>
  <c r="F39" i="32"/>
  <c r="B14" i="12"/>
  <c r="B14" i="13"/>
  <c r="K115" i="29"/>
  <c r="F41" i="32"/>
  <c r="B16" i="12"/>
  <c r="B16" i="13"/>
  <c r="K117" i="29"/>
  <c r="F42" i="32"/>
  <c r="B17" i="12"/>
  <c r="B17" i="13"/>
  <c r="K118" i="29"/>
  <c r="F43" i="32"/>
  <c r="B18" i="12"/>
  <c r="B18" i="13"/>
  <c r="K119" i="29"/>
  <c r="F44" i="32"/>
  <c r="B19" i="12"/>
  <c r="B19" i="13"/>
  <c r="K120" i="29"/>
  <c r="F45" i="32"/>
  <c r="B20" i="12"/>
  <c r="B20" i="13"/>
  <c r="K121" i="29"/>
  <c r="F55" i="30"/>
  <c r="F56" i="30"/>
  <c r="F57" i="30"/>
  <c r="F59" i="30"/>
  <c r="S33" i="11"/>
  <c r="S36" i="11"/>
  <c r="E82" i="10"/>
  <c r="E38" i="10"/>
  <c r="E41" i="10"/>
  <c r="D8" i="31"/>
  <c r="F82" i="10"/>
  <c r="F38" i="10"/>
  <c r="E8" i="31"/>
  <c r="G82" i="10"/>
  <c r="G38" i="10"/>
  <c r="F8" i="31"/>
  <c r="H82" i="10"/>
  <c r="H38" i="10"/>
  <c r="H41" i="10"/>
  <c r="G8" i="31"/>
  <c r="H8" i="31"/>
  <c r="J82" i="10"/>
  <c r="J38" i="10"/>
  <c r="I8" i="31"/>
  <c r="K82" i="10"/>
  <c r="K38" i="10"/>
  <c r="K76" i="10"/>
  <c r="J8" i="31"/>
  <c r="L82" i="10"/>
  <c r="L38" i="10"/>
  <c r="K8" i="31"/>
  <c r="M82" i="10"/>
  <c r="M38" i="10"/>
  <c r="L8" i="31"/>
  <c r="N82" i="10"/>
  <c r="N38" i="10"/>
  <c r="N41" i="10"/>
  <c r="M8" i="31"/>
  <c r="O82" i="10"/>
  <c r="O38" i="10"/>
  <c r="N8" i="31"/>
  <c r="P82" i="10"/>
  <c r="P38" i="10"/>
  <c r="O8" i="31"/>
  <c r="Q82" i="10"/>
  <c r="Q38" i="10"/>
  <c r="R82" i="10"/>
  <c r="Q18" i="18"/>
  <c r="S61" i="33"/>
  <c r="S47" i="33"/>
  <c r="S48" i="33"/>
  <c r="D17" i="33"/>
  <c r="E17" i="33"/>
  <c r="D14" i="33"/>
  <c r="E14" i="33"/>
  <c r="D12" i="33"/>
  <c r="E12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Q11" i="33"/>
  <c r="S11" i="33"/>
  <c r="H11" i="32"/>
  <c r="D10" i="33"/>
  <c r="F12" i="20"/>
  <c r="D9" i="33"/>
  <c r="E9" i="33"/>
  <c r="D8" i="33"/>
  <c r="E8" i="33"/>
  <c r="N22" i="33"/>
  <c r="N23" i="33"/>
  <c r="M22" i="33"/>
  <c r="M21" i="33"/>
  <c r="M30" i="33"/>
  <c r="M23" i="33"/>
  <c r="L22" i="33"/>
  <c r="L21" i="33"/>
  <c r="L30" i="33"/>
  <c r="L23" i="33"/>
  <c r="K22" i="33"/>
  <c r="K23" i="33"/>
  <c r="K21" i="33"/>
  <c r="K30" i="33"/>
  <c r="J22" i="33"/>
  <c r="J21" i="33"/>
  <c r="J30" i="33"/>
  <c r="J23" i="33"/>
  <c r="I22" i="33"/>
  <c r="I23" i="33"/>
  <c r="H22" i="33"/>
  <c r="H23" i="33"/>
  <c r="G22" i="33"/>
  <c r="G23" i="33"/>
  <c r="G21" i="33"/>
  <c r="G30" i="33"/>
  <c r="F22" i="33"/>
  <c r="F23" i="33"/>
  <c r="E22" i="33"/>
  <c r="E23" i="33"/>
  <c r="E21" i="33"/>
  <c r="E30" i="33"/>
  <c r="O22" i="33"/>
  <c r="O23" i="33"/>
  <c r="O21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O25" i="33"/>
  <c r="Q25" i="33"/>
  <c r="N25" i="33"/>
  <c r="M25" i="33"/>
  <c r="L25" i="33"/>
  <c r="K25" i="33"/>
  <c r="J25" i="33"/>
  <c r="I25" i="33"/>
  <c r="H25" i="33"/>
  <c r="G25" i="33"/>
  <c r="F25" i="33"/>
  <c r="E25" i="33"/>
  <c r="D25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D23" i="33"/>
  <c r="D22" i="33"/>
  <c r="O45" i="33"/>
  <c r="N45" i="33"/>
  <c r="M45" i="33"/>
  <c r="L45" i="33"/>
  <c r="L20" i="12"/>
  <c r="K45" i="33"/>
  <c r="J45" i="33"/>
  <c r="I45" i="33"/>
  <c r="I20" i="12"/>
  <c r="H45" i="33"/>
  <c r="H20" i="12"/>
  <c r="G45" i="33"/>
  <c r="F45" i="33"/>
  <c r="E45" i="33"/>
  <c r="D45" i="33"/>
  <c r="O44" i="33"/>
  <c r="N44" i="33"/>
  <c r="N19" i="12"/>
  <c r="M44" i="33"/>
  <c r="L44" i="33"/>
  <c r="K44" i="33"/>
  <c r="J44" i="33"/>
  <c r="J19" i="12"/>
  <c r="I44" i="33"/>
  <c r="H44" i="33"/>
  <c r="H41" i="33"/>
  <c r="H42" i="33"/>
  <c r="H17" i="12"/>
  <c r="H43" i="33"/>
  <c r="H18" i="12"/>
  <c r="G44" i="33"/>
  <c r="F44" i="33"/>
  <c r="F19" i="12"/>
  <c r="E44" i="33"/>
  <c r="D44" i="33"/>
  <c r="D19" i="12"/>
  <c r="E19" i="13"/>
  <c r="O43" i="33"/>
  <c r="N43" i="33"/>
  <c r="M43" i="33"/>
  <c r="M18" i="12"/>
  <c r="L43" i="33"/>
  <c r="K43" i="33"/>
  <c r="J43" i="33"/>
  <c r="J18" i="12"/>
  <c r="J41" i="33"/>
  <c r="J42" i="33"/>
  <c r="I43" i="33"/>
  <c r="G43" i="33"/>
  <c r="F43" i="33"/>
  <c r="E43" i="33"/>
  <c r="D43" i="33"/>
  <c r="O42" i="33"/>
  <c r="N42" i="33"/>
  <c r="N17" i="12"/>
  <c r="M42" i="33"/>
  <c r="L42" i="33"/>
  <c r="K42" i="33"/>
  <c r="K17" i="12"/>
  <c r="I42" i="33"/>
  <c r="G42" i="33"/>
  <c r="F42" i="33"/>
  <c r="F17" i="12"/>
  <c r="E42" i="33"/>
  <c r="E17" i="12"/>
  <c r="D42" i="33"/>
  <c r="D17" i="12"/>
  <c r="O41" i="33"/>
  <c r="N41" i="33"/>
  <c r="N16" i="12"/>
  <c r="M41" i="33"/>
  <c r="L41" i="33"/>
  <c r="K41" i="33"/>
  <c r="K16" i="12"/>
  <c r="I41" i="33"/>
  <c r="G41" i="33"/>
  <c r="G46" i="33"/>
  <c r="F41" i="33"/>
  <c r="E41" i="33"/>
  <c r="E16" i="12"/>
  <c r="D41" i="33"/>
  <c r="D16" i="12"/>
  <c r="D18" i="12"/>
  <c r="D20" i="12"/>
  <c r="O39" i="33"/>
  <c r="N39" i="33"/>
  <c r="M39" i="33"/>
  <c r="L39" i="33"/>
  <c r="K39" i="33"/>
  <c r="J39" i="33"/>
  <c r="I39" i="33"/>
  <c r="H39" i="33"/>
  <c r="H14" i="12"/>
  <c r="G39" i="33"/>
  <c r="G40" i="33"/>
  <c r="F39" i="33"/>
  <c r="F14" i="12"/>
  <c r="E39" i="33"/>
  <c r="E14" i="12"/>
  <c r="D39" i="33"/>
  <c r="O38" i="33"/>
  <c r="N38" i="33"/>
  <c r="M38" i="33"/>
  <c r="M13" i="12"/>
  <c r="L38" i="33"/>
  <c r="K38" i="33"/>
  <c r="K13" i="12"/>
  <c r="J38" i="33"/>
  <c r="I38" i="33"/>
  <c r="H38" i="33"/>
  <c r="G38" i="33"/>
  <c r="F38" i="33"/>
  <c r="F13" i="12"/>
  <c r="E38" i="33"/>
  <c r="E13" i="12"/>
  <c r="D38" i="33"/>
  <c r="D13" i="12"/>
  <c r="E13" i="13"/>
  <c r="O37" i="33"/>
  <c r="N37" i="33"/>
  <c r="M37" i="33"/>
  <c r="L37" i="33"/>
  <c r="K37" i="33"/>
  <c r="K12" i="12"/>
  <c r="J37" i="33"/>
  <c r="J12" i="12"/>
  <c r="I37" i="33"/>
  <c r="H37" i="33"/>
  <c r="G37" i="33"/>
  <c r="G12" i="12"/>
  <c r="F37" i="33"/>
  <c r="F12" i="12"/>
  <c r="E37" i="33"/>
  <c r="E12" i="12"/>
  <c r="E33" i="33"/>
  <c r="E8" i="12"/>
  <c r="E34" i="33"/>
  <c r="E9" i="12"/>
  <c r="E35" i="33"/>
  <c r="E10" i="12"/>
  <c r="E36" i="33"/>
  <c r="E11" i="12"/>
  <c r="D37" i="33"/>
  <c r="H37" i="32"/>
  <c r="P12" i="12"/>
  <c r="O36" i="33"/>
  <c r="N36" i="33"/>
  <c r="M36" i="33"/>
  <c r="M11" i="12"/>
  <c r="L36" i="33"/>
  <c r="K36" i="33"/>
  <c r="J36" i="33"/>
  <c r="I36" i="33"/>
  <c r="H36" i="33"/>
  <c r="Q36" i="33"/>
  <c r="G36" i="33"/>
  <c r="F36" i="33"/>
  <c r="D36" i="33"/>
  <c r="O35" i="33"/>
  <c r="N35" i="33"/>
  <c r="N10" i="12"/>
  <c r="M35" i="33"/>
  <c r="L35" i="33"/>
  <c r="K35" i="33"/>
  <c r="J35" i="33"/>
  <c r="I35" i="33"/>
  <c r="I10" i="12"/>
  <c r="H35" i="33"/>
  <c r="G35" i="33"/>
  <c r="F35" i="33"/>
  <c r="F10" i="12"/>
  <c r="D35" i="33"/>
  <c r="O34" i="33"/>
  <c r="O9" i="12"/>
  <c r="N34" i="33"/>
  <c r="M34" i="33"/>
  <c r="L34" i="33"/>
  <c r="K34" i="33"/>
  <c r="J34" i="33"/>
  <c r="I34" i="33"/>
  <c r="I9" i="12"/>
  <c r="H34" i="33"/>
  <c r="G34" i="33"/>
  <c r="F34" i="33"/>
  <c r="F9" i="12"/>
  <c r="F33" i="33"/>
  <c r="F8" i="12"/>
  <c r="F11" i="12"/>
  <c r="D34" i="33"/>
  <c r="H34" i="32"/>
  <c r="P9" i="12"/>
  <c r="O33" i="33"/>
  <c r="N33" i="33"/>
  <c r="M33" i="33"/>
  <c r="L33" i="33"/>
  <c r="K33" i="33"/>
  <c r="J33" i="33"/>
  <c r="J8" i="12"/>
  <c r="I33" i="33"/>
  <c r="I8" i="12"/>
  <c r="H33" i="33"/>
  <c r="G33" i="33"/>
  <c r="D33" i="33"/>
  <c r="D8" i="12"/>
  <c r="D42" i="12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7" i="31"/>
  <c r="B138" i="31"/>
  <c r="B139" i="31"/>
  <c r="B140" i="31"/>
  <c r="B143" i="31"/>
  <c r="B144" i="31"/>
  <c r="B145" i="31"/>
  <c r="B146" i="31"/>
  <c r="B147" i="31"/>
  <c r="D22" i="31"/>
  <c r="E22" i="31"/>
  <c r="Q22" i="31"/>
  <c r="F22" i="31"/>
  <c r="G22" i="31"/>
  <c r="H22" i="31"/>
  <c r="I22" i="31"/>
  <c r="J22" i="31"/>
  <c r="K22" i="31"/>
  <c r="L22" i="31"/>
  <c r="M22" i="31"/>
  <c r="N22" i="31"/>
  <c r="O22" i="31"/>
  <c r="I22" i="30"/>
  <c r="O147" i="31"/>
  <c r="N147" i="31"/>
  <c r="M147" i="31"/>
  <c r="L147" i="31"/>
  <c r="D147" i="31"/>
  <c r="E147" i="31"/>
  <c r="F147" i="31"/>
  <c r="G147" i="31"/>
  <c r="H147" i="31"/>
  <c r="I147" i="31"/>
  <c r="J147" i="31"/>
  <c r="K147" i="31"/>
  <c r="Q147" i="31"/>
  <c r="O146" i="31"/>
  <c r="N146" i="31"/>
  <c r="M146" i="31"/>
  <c r="L146" i="31"/>
  <c r="K146" i="31"/>
  <c r="J146" i="31"/>
  <c r="D146" i="31"/>
  <c r="E146" i="31"/>
  <c r="F146" i="31"/>
  <c r="G146" i="31"/>
  <c r="H146" i="31"/>
  <c r="I146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O144" i="31"/>
  <c r="N144" i="31"/>
  <c r="D144" i="31"/>
  <c r="E144" i="31"/>
  <c r="F144" i="31"/>
  <c r="G144" i="31"/>
  <c r="H144" i="31"/>
  <c r="I144" i="31"/>
  <c r="J144" i="31"/>
  <c r="K144" i="31"/>
  <c r="L144" i="31"/>
  <c r="M144" i="31"/>
  <c r="Q144" i="31"/>
  <c r="I144" i="30"/>
  <c r="O143" i="31"/>
  <c r="N143" i="31"/>
  <c r="M143" i="31"/>
  <c r="L143" i="31"/>
  <c r="K143" i="31"/>
  <c r="J143" i="31"/>
  <c r="I143" i="31"/>
  <c r="H143" i="31"/>
  <c r="G143" i="31"/>
  <c r="F143" i="31"/>
  <c r="E143" i="31"/>
  <c r="Q143" i="31"/>
  <c r="S143" i="31"/>
  <c r="D143" i="31"/>
  <c r="O140" i="31"/>
  <c r="N140" i="31"/>
  <c r="M140" i="31"/>
  <c r="D140" i="31"/>
  <c r="E140" i="31"/>
  <c r="F140" i="31"/>
  <c r="G140" i="31"/>
  <c r="H140" i="31"/>
  <c r="I140" i="31"/>
  <c r="J140" i="31"/>
  <c r="K140" i="31"/>
  <c r="L140" i="31"/>
  <c r="O139" i="31"/>
  <c r="N139" i="31"/>
  <c r="M139" i="31"/>
  <c r="L139" i="31"/>
  <c r="K139" i="31"/>
  <c r="J139" i="31"/>
  <c r="D139" i="31"/>
  <c r="E139" i="31"/>
  <c r="F139" i="31"/>
  <c r="G139" i="31"/>
  <c r="Q139" i="31"/>
  <c r="H139" i="31"/>
  <c r="I139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O135" i="31"/>
  <c r="N135" i="31"/>
  <c r="M135" i="31"/>
  <c r="L135" i="31"/>
  <c r="K135" i="31"/>
  <c r="J135" i="31"/>
  <c r="I135" i="31"/>
  <c r="H135" i="31"/>
  <c r="G135" i="31"/>
  <c r="F135" i="31"/>
  <c r="Q135" i="31"/>
  <c r="E135" i="31"/>
  <c r="D135" i="31"/>
  <c r="O134" i="31"/>
  <c r="N134" i="31"/>
  <c r="M134" i="31"/>
  <c r="L134" i="31"/>
  <c r="K134" i="31"/>
  <c r="J134" i="31"/>
  <c r="D134" i="31"/>
  <c r="E134" i="31"/>
  <c r="F134" i="31"/>
  <c r="G134" i="31"/>
  <c r="H134" i="31"/>
  <c r="I134" i="31"/>
  <c r="I134" i="30"/>
  <c r="O133" i="31"/>
  <c r="N133" i="31"/>
  <c r="M133" i="31"/>
  <c r="L133" i="31"/>
  <c r="K133" i="31"/>
  <c r="J133" i="31"/>
  <c r="D133" i="31"/>
  <c r="E133" i="31"/>
  <c r="F133" i="31"/>
  <c r="G133" i="31"/>
  <c r="H133" i="31"/>
  <c r="I133" i="31"/>
  <c r="I133" i="30"/>
  <c r="O132" i="31"/>
  <c r="D132" i="31"/>
  <c r="E132" i="31"/>
  <c r="F132" i="31"/>
  <c r="G132" i="31"/>
  <c r="H132" i="31"/>
  <c r="I132" i="31"/>
  <c r="J132" i="31"/>
  <c r="K132" i="31"/>
  <c r="L132" i="31"/>
  <c r="M132" i="31"/>
  <c r="N132" i="31"/>
  <c r="I132" i="30"/>
  <c r="O131" i="31"/>
  <c r="N131" i="31"/>
  <c r="D131" i="31"/>
  <c r="E131" i="31"/>
  <c r="F131" i="31"/>
  <c r="G131" i="31"/>
  <c r="H131" i="31"/>
  <c r="I131" i="31"/>
  <c r="J131" i="31"/>
  <c r="K131" i="31"/>
  <c r="L131" i="31"/>
  <c r="M131" i="31"/>
  <c r="I131" i="30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O129" i="31"/>
  <c r="N129" i="31"/>
  <c r="M129" i="31"/>
  <c r="L129" i="31"/>
  <c r="D129" i="31"/>
  <c r="E129" i="31"/>
  <c r="F129" i="31"/>
  <c r="G129" i="31"/>
  <c r="H129" i="31"/>
  <c r="I129" i="31"/>
  <c r="J129" i="31"/>
  <c r="K129" i="31"/>
  <c r="I129" i="30"/>
  <c r="O128" i="31"/>
  <c r="N128" i="31"/>
  <c r="M128" i="31"/>
  <c r="L128" i="31"/>
  <c r="K128" i="31"/>
  <c r="J128" i="31"/>
  <c r="D128" i="31"/>
  <c r="E128" i="31"/>
  <c r="Q128" i="31"/>
  <c r="S128" i="31"/>
  <c r="F128" i="31"/>
  <c r="G128" i="31"/>
  <c r="H128" i="31"/>
  <c r="I128" i="31"/>
  <c r="I128" i="30"/>
  <c r="O127" i="31"/>
  <c r="N127" i="31"/>
  <c r="M127" i="31"/>
  <c r="L127" i="31"/>
  <c r="K127" i="31"/>
  <c r="J127" i="31"/>
  <c r="I127" i="31"/>
  <c r="H127" i="31"/>
  <c r="G127" i="31"/>
  <c r="F127" i="31"/>
  <c r="E127" i="31"/>
  <c r="D127" i="31"/>
  <c r="O126" i="31"/>
  <c r="D126" i="31"/>
  <c r="E126" i="31"/>
  <c r="F126" i="31"/>
  <c r="G126" i="31"/>
  <c r="H126" i="31"/>
  <c r="I126" i="31"/>
  <c r="J126" i="31"/>
  <c r="K126" i="31"/>
  <c r="L126" i="31"/>
  <c r="M126" i="31"/>
  <c r="N126" i="31"/>
  <c r="I126" i="30"/>
  <c r="O125" i="31"/>
  <c r="N125" i="31"/>
  <c r="M125" i="31"/>
  <c r="L125" i="31"/>
  <c r="K125" i="31"/>
  <c r="J125" i="31"/>
  <c r="I125" i="31"/>
  <c r="H125" i="31"/>
  <c r="G125" i="31"/>
  <c r="F125" i="31"/>
  <c r="D125" i="31"/>
  <c r="E125" i="31"/>
  <c r="Q125" i="31"/>
  <c r="S125" i="31"/>
  <c r="I125" i="30"/>
  <c r="O124" i="31"/>
  <c r="N124" i="31"/>
  <c r="M124" i="31"/>
  <c r="L124" i="31"/>
  <c r="K124" i="31"/>
  <c r="J124" i="31"/>
  <c r="I124" i="31"/>
  <c r="H124" i="31"/>
  <c r="G124" i="31"/>
  <c r="D124" i="31"/>
  <c r="E124" i="31"/>
  <c r="F124" i="31"/>
  <c r="I124" i="30"/>
  <c r="O123" i="31"/>
  <c r="D123" i="31"/>
  <c r="E123" i="31"/>
  <c r="F123" i="31"/>
  <c r="G123" i="31"/>
  <c r="H123" i="31"/>
  <c r="I123" i="31"/>
  <c r="J123" i="31"/>
  <c r="K123" i="31"/>
  <c r="L123" i="31"/>
  <c r="M123" i="31"/>
  <c r="N123" i="31"/>
  <c r="I123" i="30"/>
  <c r="O122" i="31"/>
  <c r="N122" i="31"/>
  <c r="M122" i="31"/>
  <c r="L122" i="31"/>
  <c r="K122" i="31"/>
  <c r="J122" i="31"/>
  <c r="D122" i="31"/>
  <c r="E122" i="31"/>
  <c r="F122" i="31"/>
  <c r="G122" i="31"/>
  <c r="H122" i="31"/>
  <c r="I122" i="31"/>
  <c r="I122" i="30"/>
  <c r="O121" i="31"/>
  <c r="N121" i="31"/>
  <c r="D121" i="31"/>
  <c r="E121" i="31"/>
  <c r="F121" i="31"/>
  <c r="G121" i="31"/>
  <c r="H121" i="31"/>
  <c r="I121" i="31"/>
  <c r="J121" i="31"/>
  <c r="K121" i="31"/>
  <c r="L121" i="31"/>
  <c r="M121" i="31"/>
  <c r="I121" i="30"/>
  <c r="O120" i="31"/>
  <c r="N120" i="31"/>
  <c r="M120" i="31"/>
  <c r="D120" i="31"/>
  <c r="E120" i="31"/>
  <c r="F120" i="31"/>
  <c r="G120" i="31"/>
  <c r="H120" i="31"/>
  <c r="I120" i="31"/>
  <c r="J120" i="31"/>
  <c r="K120" i="31"/>
  <c r="L120" i="31"/>
  <c r="I120" i="30"/>
  <c r="O119" i="31"/>
  <c r="N119" i="31"/>
  <c r="M119" i="31"/>
  <c r="L119" i="31"/>
  <c r="D119" i="31"/>
  <c r="Q119" i="31"/>
  <c r="S119" i="31"/>
  <c r="E119" i="31"/>
  <c r="F119" i="31"/>
  <c r="G119" i="31"/>
  <c r="H119" i="31"/>
  <c r="I119" i="31"/>
  <c r="J119" i="31"/>
  <c r="K119" i="31"/>
  <c r="I119" i="30"/>
  <c r="O118" i="31"/>
  <c r="N118" i="31"/>
  <c r="M118" i="31"/>
  <c r="L118" i="31"/>
  <c r="Q118" i="31"/>
  <c r="K118" i="31"/>
  <c r="D118" i="31"/>
  <c r="E118" i="31"/>
  <c r="F118" i="31"/>
  <c r="G118" i="31"/>
  <c r="H118" i="31"/>
  <c r="I118" i="31"/>
  <c r="J118" i="31"/>
  <c r="O117" i="31"/>
  <c r="N117" i="31"/>
  <c r="M117" i="31"/>
  <c r="L117" i="31"/>
  <c r="K117" i="31"/>
  <c r="J117" i="31"/>
  <c r="D117" i="31"/>
  <c r="E117" i="31"/>
  <c r="F117" i="31"/>
  <c r="Q117" i="31"/>
  <c r="G117" i="31"/>
  <c r="H117" i="31"/>
  <c r="I117" i="31"/>
  <c r="I117" i="30"/>
  <c r="O116" i="31"/>
  <c r="N116" i="31"/>
  <c r="M116" i="31"/>
  <c r="L116" i="31"/>
  <c r="K116" i="31"/>
  <c r="D116" i="31"/>
  <c r="E116" i="31"/>
  <c r="F116" i="31"/>
  <c r="G116" i="31"/>
  <c r="H116" i="31"/>
  <c r="I116" i="31"/>
  <c r="J116" i="31"/>
  <c r="I116" i="30"/>
  <c r="O115" i="31"/>
  <c r="D115" i="31"/>
  <c r="E115" i="31"/>
  <c r="F115" i="31"/>
  <c r="G115" i="31"/>
  <c r="H115" i="31"/>
  <c r="I115" i="31"/>
  <c r="J115" i="31"/>
  <c r="K115" i="31"/>
  <c r="L115" i="31"/>
  <c r="M115" i="31"/>
  <c r="N115" i="31"/>
  <c r="Q115" i="31"/>
  <c r="S115" i="31"/>
  <c r="I115" i="30"/>
  <c r="O114" i="31"/>
  <c r="N114" i="31"/>
  <c r="M114" i="31"/>
  <c r="L114" i="31"/>
  <c r="K114" i="31"/>
  <c r="J114" i="31"/>
  <c r="I114" i="31"/>
  <c r="H114" i="31"/>
  <c r="D114" i="31"/>
  <c r="E114" i="31"/>
  <c r="F114" i="31"/>
  <c r="G114" i="31"/>
  <c r="I114" i="30"/>
  <c r="O113" i="31"/>
  <c r="N113" i="31"/>
  <c r="D113" i="31"/>
  <c r="E113" i="31"/>
  <c r="F113" i="31"/>
  <c r="G113" i="31"/>
  <c r="H113" i="31"/>
  <c r="I113" i="31"/>
  <c r="J113" i="31"/>
  <c r="K113" i="31"/>
  <c r="L113" i="31"/>
  <c r="M113" i="31"/>
  <c r="I113" i="30"/>
  <c r="O112" i="31"/>
  <c r="N112" i="31"/>
  <c r="D112" i="31"/>
  <c r="E112" i="31"/>
  <c r="F112" i="31"/>
  <c r="G112" i="31"/>
  <c r="H112" i="31"/>
  <c r="I112" i="31"/>
  <c r="Q112" i="31"/>
  <c r="J112" i="31"/>
  <c r="K112" i="31"/>
  <c r="L112" i="31"/>
  <c r="M112" i="31"/>
  <c r="I112" i="30"/>
  <c r="O111" i="31"/>
  <c r="N111" i="31"/>
  <c r="M111" i="31"/>
  <c r="L111" i="31"/>
  <c r="K111" i="31"/>
  <c r="J111" i="31"/>
  <c r="I111" i="31"/>
  <c r="H111" i="31"/>
  <c r="G111" i="31"/>
  <c r="D111" i="31"/>
  <c r="E111" i="31"/>
  <c r="Q111" i="31"/>
  <c r="S111" i="31"/>
  <c r="F111" i="31"/>
  <c r="I111" i="30"/>
  <c r="O110" i="31"/>
  <c r="N110" i="31"/>
  <c r="M110" i="31"/>
  <c r="Q110" i="31"/>
  <c r="S110" i="31"/>
  <c r="L110" i="31"/>
  <c r="K110" i="31"/>
  <c r="J110" i="31"/>
  <c r="I110" i="31"/>
  <c r="H110" i="31"/>
  <c r="G110" i="31"/>
  <c r="F110" i="31"/>
  <c r="E110" i="31"/>
  <c r="D110" i="31"/>
  <c r="I110" i="30"/>
  <c r="O109" i="31"/>
  <c r="N109" i="31"/>
  <c r="M109" i="31"/>
  <c r="D109" i="31"/>
  <c r="E109" i="31"/>
  <c r="F109" i="31"/>
  <c r="G109" i="31"/>
  <c r="H109" i="31"/>
  <c r="I109" i="31"/>
  <c r="J109" i="31"/>
  <c r="K109" i="31"/>
  <c r="L109" i="31"/>
  <c r="I109" i="30"/>
  <c r="O108" i="31"/>
  <c r="N108" i="31"/>
  <c r="M108" i="31"/>
  <c r="L108" i="31"/>
  <c r="K108" i="31"/>
  <c r="J108" i="31"/>
  <c r="I108" i="31"/>
  <c r="D108" i="31"/>
  <c r="E108" i="31"/>
  <c r="F108" i="31"/>
  <c r="G108" i="31"/>
  <c r="H108" i="31"/>
  <c r="O107" i="31"/>
  <c r="Q107" i="31"/>
  <c r="N107" i="31"/>
  <c r="M107" i="31"/>
  <c r="L107" i="31"/>
  <c r="K107" i="31"/>
  <c r="J107" i="31"/>
  <c r="I107" i="31"/>
  <c r="D107" i="31"/>
  <c r="E107" i="31"/>
  <c r="F107" i="31"/>
  <c r="G107" i="31"/>
  <c r="H107" i="31"/>
  <c r="I107" i="30"/>
  <c r="O106" i="31"/>
  <c r="N106" i="31"/>
  <c r="M106" i="31"/>
  <c r="L106" i="31"/>
  <c r="K106" i="31"/>
  <c r="D106" i="31"/>
  <c r="E106" i="31"/>
  <c r="F106" i="31"/>
  <c r="G106" i="31"/>
  <c r="H106" i="31"/>
  <c r="I106" i="31"/>
  <c r="J106" i="31"/>
  <c r="I106" i="30"/>
  <c r="O105" i="31"/>
  <c r="N105" i="31"/>
  <c r="M105" i="31"/>
  <c r="L105" i="31"/>
  <c r="K105" i="31"/>
  <c r="J105" i="31"/>
  <c r="I105" i="31"/>
  <c r="H105" i="31"/>
  <c r="G105" i="31"/>
  <c r="Q105" i="31"/>
  <c r="S105" i="31"/>
  <c r="F105" i="31"/>
  <c r="E105" i="31"/>
  <c r="D105" i="31"/>
  <c r="I105" i="30"/>
  <c r="O104" i="31"/>
  <c r="D104" i="31"/>
  <c r="E104" i="31"/>
  <c r="F104" i="31"/>
  <c r="G104" i="31"/>
  <c r="H104" i="31"/>
  <c r="I104" i="31"/>
  <c r="J104" i="31"/>
  <c r="Q104" i="31"/>
  <c r="S104" i="31"/>
  <c r="K104" i="31"/>
  <c r="L104" i="31"/>
  <c r="M104" i="31"/>
  <c r="N104" i="31"/>
  <c r="I104" i="30"/>
  <c r="O103" i="31"/>
  <c r="N103" i="31"/>
  <c r="M103" i="31"/>
  <c r="L103" i="31"/>
  <c r="K103" i="31"/>
  <c r="J103" i="31"/>
  <c r="D103" i="31"/>
  <c r="Q103" i="31"/>
  <c r="E103" i="31"/>
  <c r="F103" i="31"/>
  <c r="G103" i="31"/>
  <c r="H103" i="31"/>
  <c r="I103" i="31"/>
  <c r="I103" i="30"/>
  <c r="O102" i="31"/>
  <c r="N102" i="31"/>
  <c r="M102" i="31"/>
  <c r="L102" i="31"/>
  <c r="D102" i="31"/>
  <c r="E102" i="31"/>
  <c r="Q102" i="31"/>
  <c r="F102" i="31"/>
  <c r="G102" i="31"/>
  <c r="H102" i="31"/>
  <c r="I102" i="31"/>
  <c r="J102" i="31"/>
  <c r="K102" i="31"/>
  <c r="I102" i="30"/>
  <c r="O101" i="31"/>
  <c r="N101" i="31"/>
  <c r="D101" i="31"/>
  <c r="E101" i="31"/>
  <c r="F101" i="31"/>
  <c r="G101" i="31"/>
  <c r="H101" i="31"/>
  <c r="I101" i="31"/>
  <c r="J101" i="31"/>
  <c r="K101" i="31"/>
  <c r="L101" i="31"/>
  <c r="M101" i="31"/>
  <c r="I101" i="30"/>
  <c r="O100" i="31"/>
  <c r="N100" i="31"/>
  <c r="M100" i="31"/>
  <c r="L100" i="31"/>
  <c r="K100" i="31"/>
  <c r="J100" i="31"/>
  <c r="I100" i="31"/>
  <c r="H100" i="31"/>
  <c r="G100" i="31"/>
  <c r="D100" i="31"/>
  <c r="E100" i="31"/>
  <c r="F100" i="31"/>
  <c r="I100" i="30"/>
  <c r="O99" i="31"/>
  <c r="N99" i="31"/>
  <c r="M99" i="31"/>
  <c r="L99" i="31"/>
  <c r="K99" i="31"/>
  <c r="J99" i="31"/>
  <c r="I99" i="31"/>
  <c r="D99" i="31"/>
  <c r="E99" i="31"/>
  <c r="F99" i="31"/>
  <c r="G99" i="31"/>
  <c r="H99" i="31"/>
  <c r="I99" i="30"/>
  <c r="O98" i="31"/>
  <c r="N98" i="31"/>
  <c r="M98" i="31"/>
  <c r="L98" i="31"/>
  <c r="D98" i="31"/>
  <c r="E98" i="31"/>
  <c r="F98" i="31"/>
  <c r="G98" i="31"/>
  <c r="H98" i="31"/>
  <c r="I98" i="31"/>
  <c r="J98" i="31"/>
  <c r="K98" i="31"/>
  <c r="I98" i="30"/>
  <c r="O97" i="31"/>
  <c r="N97" i="31"/>
  <c r="M97" i="31"/>
  <c r="L97" i="31"/>
  <c r="K97" i="31"/>
  <c r="J97" i="31"/>
  <c r="I97" i="31"/>
  <c r="H97" i="31"/>
  <c r="G97" i="31"/>
  <c r="F97" i="31"/>
  <c r="E97" i="31"/>
  <c r="D97" i="31"/>
  <c r="I97" i="30"/>
  <c r="O96" i="31"/>
  <c r="N96" i="31"/>
  <c r="M96" i="31"/>
  <c r="L96" i="31"/>
  <c r="K96" i="31"/>
  <c r="J96" i="31"/>
  <c r="I96" i="31"/>
  <c r="H96" i="31"/>
  <c r="G96" i="31"/>
  <c r="F96" i="31"/>
  <c r="E96" i="31"/>
  <c r="Q96" i="31"/>
  <c r="D96" i="31"/>
  <c r="O95" i="31"/>
  <c r="N95" i="31"/>
  <c r="M95" i="31"/>
  <c r="L95" i="31"/>
  <c r="K95" i="31"/>
  <c r="J95" i="31"/>
  <c r="D95" i="31"/>
  <c r="E95" i="31"/>
  <c r="F95" i="31"/>
  <c r="G95" i="31"/>
  <c r="H95" i="31"/>
  <c r="I95" i="31"/>
  <c r="I95" i="30"/>
  <c r="O94" i="31"/>
  <c r="N94" i="31"/>
  <c r="M94" i="31"/>
  <c r="L94" i="31"/>
  <c r="K94" i="31"/>
  <c r="D94" i="31"/>
  <c r="E94" i="31"/>
  <c r="F94" i="31"/>
  <c r="G94" i="31"/>
  <c r="H94" i="31"/>
  <c r="Q94" i="31"/>
  <c r="S94" i="31"/>
  <c r="I94" i="31"/>
  <c r="J94" i="31"/>
  <c r="I94" i="30"/>
  <c r="O93" i="31"/>
  <c r="N93" i="31"/>
  <c r="M93" i="31"/>
  <c r="L93" i="31"/>
  <c r="K93" i="31"/>
  <c r="J93" i="31"/>
  <c r="I93" i="31"/>
  <c r="H93" i="31"/>
  <c r="G93" i="31"/>
  <c r="F93" i="31"/>
  <c r="D93" i="31"/>
  <c r="E93" i="31"/>
  <c r="I93" i="30"/>
  <c r="O92" i="31"/>
  <c r="N92" i="31"/>
  <c r="M92" i="31"/>
  <c r="L92" i="31"/>
  <c r="K92" i="31"/>
  <c r="J92" i="31"/>
  <c r="I92" i="31"/>
  <c r="D92" i="31"/>
  <c r="E92" i="31"/>
  <c r="F92" i="31"/>
  <c r="G92" i="31"/>
  <c r="H92" i="31"/>
  <c r="I92" i="30"/>
  <c r="O91" i="31"/>
  <c r="N91" i="31"/>
  <c r="M91" i="31"/>
  <c r="L91" i="31"/>
  <c r="K91" i="31"/>
  <c r="D91" i="31"/>
  <c r="E91" i="31"/>
  <c r="F91" i="31"/>
  <c r="G91" i="31"/>
  <c r="H91" i="31"/>
  <c r="I91" i="31"/>
  <c r="J91" i="31"/>
  <c r="I91" i="30"/>
  <c r="O90" i="31"/>
  <c r="D90" i="31"/>
  <c r="E90" i="31"/>
  <c r="F90" i="31"/>
  <c r="G90" i="31"/>
  <c r="H90" i="31"/>
  <c r="Q90" i="31"/>
  <c r="S90" i="31"/>
  <c r="I90" i="31"/>
  <c r="J90" i="31"/>
  <c r="K90" i="31"/>
  <c r="L90" i="31"/>
  <c r="M90" i="31"/>
  <c r="N90" i="31"/>
  <c r="I90" i="30"/>
  <c r="O89" i="31"/>
  <c r="N89" i="31"/>
  <c r="D89" i="31"/>
  <c r="E89" i="31"/>
  <c r="F89" i="31"/>
  <c r="G89" i="31"/>
  <c r="H89" i="31"/>
  <c r="I89" i="31"/>
  <c r="J89" i="31"/>
  <c r="K89" i="31"/>
  <c r="L89" i="31"/>
  <c r="M89" i="31"/>
  <c r="I89" i="30"/>
  <c r="O88" i="31"/>
  <c r="N88" i="31"/>
  <c r="M88" i="31"/>
  <c r="L88" i="31"/>
  <c r="K88" i="31"/>
  <c r="J88" i="31"/>
  <c r="I88" i="31"/>
  <c r="D88" i="31"/>
  <c r="E88" i="31"/>
  <c r="F88" i="31"/>
  <c r="G88" i="31"/>
  <c r="H88" i="31"/>
  <c r="I88" i="30"/>
  <c r="O87" i="31"/>
  <c r="N87" i="31"/>
  <c r="M87" i="31"/>
  <c r="L87" i="31"/>
  <c r="K87" i="31"/>
  <c r="J87" i="31"/>
  <c r="I87" i="31"/>
  <c r="H87" i="31"/>
  <c r="G87" i="31"/>
  <c r="F87" i="31"/>
  <c r="E87" i="31"/>
  <c r="D87" i="31"/>
  <c r="O86" i="31"/>
  <c r="N86" i="31"/>
  <c r="M86" i="31"/>
  <c r="L86" i="31"/>
  <c r="K86" i="31"/>
  <c r="J86" i="31"/>
  <c r="D86" i="31"/>
  <c r="E86" i="31"/>
  <c r="F86" i="31"/>
  <c r="G86" i="31"/>
  <c r="H86" i="31"/>
  <c r="Q86" i="31"/>
  <c r="S86" i="31"/>
  <c r="I86" i="31"/>
  <c r="I86" i="30"/>
  <c r="O85" i="31"/>
  <c r="N85" i="31"/>
  <c r="M85" i="31"/>
  <c r="L85" i="31"/>
  <c r="K85" i="31"/>
  <c r="J85" i="31"/>
  <c r="I85" i="31"/>
  <c r="H85" i="31"/>
  <c r="G85" i="31"/>
  <c r="F85" i="31"/>
  <c r="E85" i="31"/>
  <c r="D85" i="31"/>
  <c r="I85" i="30"/>
  <c r="O84" i="31"/>
  <c r="N84" i="31"/>
  <c r="M84" i="31"/>
  <c r="L84" i="31"/>
  <c r="K84" i="31"/>
  <c r="D84" i="31"/>
  <c r="E84" i="31"/>
  <c r="F84" i="31"/>
  <c r="G84" i="31"/>
  <c r="H84" i="31"/>
  <c r="I84" i="31"/>
  <c r="J84" i="31"/>
  <c r="I84" i="30"/>
  <c r="O83" i="31"/>
  <c r="N83" i="31"/>
  <c r="M83" i="31"/>
  <c r="L83" i="31"/>
  <c r="K83" i="31"/>
  <c r="J83" i="31"/>
  <c r="I83" i="31"/>
  <c r="D83" i="31"/>
  <c r="E83" i="31"/>
  <c r="F83" i="31"/>
  <c r="G83" i="31"/>
  <c r="H83" i="31"/>
  <c r="I83" i="30"/>
  <c r="O82" i="31"/>
  <c r="N82" i="31"/>
  <c r="M82" i="31"/>
  <c r="L82" i="31"/>
  <c r="K82" i="31"/>
  <c r="J82" i="31"/>
  <c r="D82" i="31"/>
  <c r="E82" i="31"/>
  <c r="F82" i="31"/>
  <c r="G82" i="31"/>
  <c r="H82" i="31"/>
  <c r="I82" i="31"/>
  <c r="I82" i="30"/>
  <c r="O81" i="31"/>
  <c r="N81" i="31"/>
  <c r="M81" i="31"/>
  <c r="L81" i="31"/>
  <c r="K81" i="31"/>
  <c r="D81" i="31"/>
  <c r="E81" i="31"/>
  <c r="F81" i="31"/>
  <c r="G81" i="31"/>
  <c r="H81" i="31"/>
  <c r="I81" i="31"/>
  <c r="J81" i="31"/>
  <c r="Q81" i="31"/>
  <c r="I81" i="30"/>
  <c r="O80" i="31"/>
  <c r="N80" i="31"/>
  <c r="M80" i="31"/>
  <c r="L80" i="31"/>
  <c r="K80" i="31"/>
  <c r="J80" i="31"/>
  <c r="I80" i="31"/>
  <c r="D80" i="31"/>
  <c r="E80" i="31"/>
  <c r="F80" i="31"/>
  <c r="G80" i="31"/>
  <c r="H80" i="31"/>
  <c r="I80" i="30"/>
  <c r="O79" i="31"/>
  <c r="D79" i="31"/>
  <c r="E79" i="31"/>
  <c r="F79" i="31"/>
  <c r="G79" i="31"/>
  <c r="H79" i="31"/>
  <c r="I79" i="31"/>
  <c r="J79" i="31"/>
  <c r="K79" i="31"/>
  <c r="L79" i="31"/>
  <c r="M79" i="31"/>
  <c r="N79" i="31"/>
  <c r="I79" i="30"/>
  <c r="O78" i="31"/>
  <c r="N78" i="31"/>
  <c r="M78" i="31"/>
  <c r="L78" i="31"/>
  <c r="K78" i="31"/>
  <c r="J78" i="31"/>
  <c r="I78" i="31"/>
  <c r="D78" i="31"/>
  <c r="E78" i="31"/>
  <c r="Q78" i="31"/>
  <c r="F78" i="31"/>
  <c r="G78" i="31"/>
  <c r="H78" i="31"/>
  <c r="I78" i="30"/>
  <c r="O77" i="31"/>
  <c r="N77" i="31"/>
  <c r="M77" i="31"/>
  <c r="L77" i="31"/>
  <c r="K77" i="31"/>
  <c r="J77" i="31"/>
  <c r="I77" i="31"/>
  <c r="H77" i="31"/>
  <c r="D77" i="31"/>
  <c r="E77" i="31"/>
  <c r="Q77" i="31"/>
  <c r="S77" i="31"/>
  <c r="F77" i="31"/>
  <c r="G77" i="31"/>
  <c r="O76" i="31"/>
  <c r="D76" i="31"/>
  <c r="E76" i="31"/>
  <c r="F76" i="31"/>
  <c r="G76" i="31"/>
  <c r="H76" i="31"/>
  <c r="I76" i="31"/>
  <c r="J76" i="31"/>
  <c r="K76" i="31"/>
  <c r="L76" i="31"/>
  <c r="M76" i="31"/>
  <c r="N76" i="31"/>
  <c r="I76" i="30"/>
  <c r="O75" i="31"/>
  <c r="N75" i="31"/>
  <c r="M75" i="31"/>
  <c r="L75" i="31"/>
  <c r="D75" i="31"/>
  <c r="E75" i="31"/>
  <c r="F75" i="31"/>
  <c r="G75" i="31"/>
  <c r="H75" i="31"/>
  <c r="I75" i="31"/>
  <c r="J75" i="31"/>
  <c r="K75" i="31"/>
  <c r="I75" i="30"/>
  <c r="O74" i="31"/>
  <c r="D74" i="31"/>
  <c r="E74" i="31"/>
  <c r="F74" i="31"/>
  <c r="G74" i="31"/>
  <c r="H74" i="31"/>
  <c r="I74" i="31"/>
  <c r="J74" i="31"/>
  <c r="K74" i="31"/>
  <c r="L74" i="31"/>
  <c r="M74" i="31"/>
  <c r="N74" i="31"/>
  <c r="I74" i="30"/>
  <c r="O73" i="31"/>
  <c r="N73" i="31"/>
  <c r="M73" i="31"/>
  <c r="D73" i="31"/>
  <c r="E73" i="31"/>
  <c r="F73" i="31"/>
  <c r="G73" i="31"/>
  <c r="H73" i="31"/>
  <c r="I73" i="31"/>
  <c r="J73" i="31"/>
  <c r="K73" i="31"/>
  <c r="L73" i="31"/>
  <c r="I73" i="30"/>
  <c r="O72" i="31"/>
  <c r="N72" i="31"/>
  <c r="M72" i="31"/>
  <c r="L72" i="31"/>
  <c r="K72" i="31"/>
  <c r="J72" i="31"/>
  <c r="I72" i="31"/>
  <c r="H72" i="31"/>
  <c r="G72" i="31"/>
  <c r="F72" i="31"/>
  <c r="D72" i="31"/>
  <c r="E72" i="31"/>
  <c r="I72" i="30"/>
  <c r="O71" i="31"/>
  <c r="N71" i="31"/>
  <c r="M71" i="31"/>
  <c r="L71" i="31"/>
  <c r="K71" i="31"/>
  <c r="D71" i="31"/>
  <c r="E71" i="31"/>
  <c r="F71" i="31"/>
  <c r="G71" i="31"/>
  <c r="H71" i="31"/>
  <c r="I71" i="31"/>
  <c r="J71" i="31"/>
  <c r="I71" i="30"/>
  <c r="O70" i="31"/>
  <c r="N70" i="31"/>
  <c r="M70" i="31"/>
  <c r="L70" i="31"/>
  <c r="K70" i="31"/>
  <c r="D70" i="31"/>
  <c r="E70" i="31"/>
  <c r="F70" i="31"/>
  <c r="G70" i="31"/>
  <c r="H70" i="31"/>
  <c r="I70" i="31"/>
  <c r="J70" i="31"/>
  <c r="I70" i="30"/>
  <c r="O69" i="31"/>
  <c r="D69" i="31"/>
  <c r="E69" i="31"/>
  <c r="F69" i="31"/>
  <c r="G69" i="31"/>
  <c r="H69" i="31"/>
  <c r="I69" i="31"/>
  <c r="J69" i="31"/>
  <c r="K69" i="31"/>
  <c r="L69" i="31"/>
  <c r="M69" i="31"/>
  <c r="N69" i="31"/>
  <c r="I69" i="30"/>
  <c r="O68" i="31"/>
  <c r="N68" i="31"/>
  <c r="M68" i="31"/>
  <c r="L68" i="31"/>
  <c r="K68" i="31"/>
  <c r="J68" i="31"/>
  <c r="I68" i="31"/>
  <c r="H68" i="31"/>
  <c r="G68" i="31"/>
  <c r="F68" i="31"/>
  <c r="E68" i="31"/>
  <c r="D68" i="31"/>
  <c r="O67" i="31"/>
  <c r="N67" i="31"/>
  <c r="M67" i="31"/>
  <c r="L67" i="31"/>
  <c r="K67" i="31"/>
  <c r="J67" i="31"/>
  <c r="I67" i="31"/>
  <c r="D67" i="31"/>
  <c r="E67" i="31"/>
  <c r="F67" i="31"/>
  <c r="G67" i="31"/>
  <c r="H67" i="31"/>
  <c r="Q67" i="31"/>
  <c r="I67" i="30"/>
  <c r="O66" i="31"/>
  <c r="N66" i="31"/>
  <c r="M66" i="31"/>
  <c r="L66" i="31"/>
  <c r="K66" i="31"/>
  <c r="Q66" i="31"/>
  <c r="J66" i="31"/>
  <c r="I66" i="31"/>
  <c r="H66" i="31"/>
  <c r="G66" i="31"/>
  <c r="D66" i="31"/>
  <c r="E66" i="31"/>
  <c r="F66" i="31"/>
  <c r="I66" i="30"/>
  <c r="O65" i="31"/>
  <c r="N65" i="31"/>
  <c r="D65" i="31"/>
  <c r="E65" i="31"/>
  <c r="F65" i="31"/>
  <c r="G65" i="31"/>
  <c r="H65" i="31"/>
  <c r="I65" i="31"/>
  <c r="J65" i="31"/>
  <c r="K65" i="31"/>
  <c r="L65" i="31"/>
  <c r="M65" i="31"/>
  <c r="I65" i="30"/>
  <c r="O64" i="31"/>
  <c r="N64" i="31"/>
  <c r="M64" i="31"/>
  <c r="L64" i="31"/>
  <c r="D64" i="31"/>
  <c r="E64" i="31"/>
  <c r="F64" i="31"/>
  <c r="Q64" i="31"/>
  <c r="G64" i="31"/>
  <c r="H64" i="31"/>
  <c r="I64" i="31"/>
  <c r="J64" i="31"/>
  <c r="K64" i="31"/>
  <c r="I64" i="30"/>
  <c r="O63" i="31"/>
  <c r="N63" i="31"/>
  <c r="M63" i="31"/>
  <c r="L63" i="31"/>
  <c r="K63" i="31"/>
  <c r="J63" i="31"/>
  <c r="I63" i="31"/>
  <c r="H63" i="31"/>
  <c r="G63" i="31"/>
  <c r="D63" i="31"/>
  <c r="E63" i="31"/>
  <c r="F63" i="31"/>
  <c r="I63" i="30"/>
  <c r="O62" i="31"/>
  <c r="N62" i="31"/>
  <c r="M62" i="31"/>
  <c r="L62" i="31"/>
  <c r="D62" i="31"/>
  <c r="E62" i="31"/>
  <c r="F62" i="31"/>
  <c r="G62" i="31"/>
  <c r="H62" i="31"/>
  <c r="I62" i="31"/>
  <c r="J62" i="31"/>
  <c r="K62" i="31"/>
  <c r="I62" i="30"/>
  <c r="O61" i="31"/>
  <c r="N61" i="31"/>
  <c r="M61" i="31"/>
  <c r="L61" i="31"/>
  <c r="K61" i="31"/>
  <c r="D61" i="31"/>
  <c r="E61" i="31"/>
  <c r="F61" i="31"/>
  <c r="G61" i="31"/>
  <c r="H61" i="31"/>
  <c r="I61" i="31"/>
  <c r="J61" i="31"/>
  <c r="I61" i="30"/>
  <c r="O60" i="31"/>
  <c r="N60" i="31"/>
  <c r="M60" i="31"/>
  <c r="L60" i="31"/>
  <c r="K60" i="31"/>
  <c r="J60" i="31"/>
  <c r="I60" i="31"/>
  <c r="H60" i="31"/>
  <c r="G60" i="31"/>
  <c r="F60" i="31"/>
  <c r="E60" i="31"/>
  <c r="D60" i="31"/>
  <c r="I60" i="30"/>
  <c r="O59" i="31"/>
  <c r="N59" i="31"/>
  <c r="M59" i="31"/>
  <c r="L59" i="31"/>
  <c r="K59" i="31"/>
  <c r="D59" i="31"/>
  <c r="E59" i="31"/>
  <c r="F59" i="31"/>
  <c r="G59" i="31"/>
  <c r="H59" i="31"/>
  <c r="I59" i="31"/>
  <c r="J59" i="31"/>
  <c r="I59" i="30"/>
  <c r="K55" i="31"/>
  <c r="K56" i="31"/>
  <c r="D56" i="31"/>
  <c r="E56" i="31"/>
  <c r="F56" i="31"/>
  <c r="G56" i="31"/>
  <c r="G23" i="12"/>
  <c r="H23" i="13"/>
  <c r="Z124" i="29"/>
  <c r="H56" i="31"/>
  <c r="H23" i="12"/>
  <c r="I56" i="31"/>
  <c r="J56" i="31"/>
  <c r="L56" i="31"/>
  <c r="M56" i="31"/>
  <c r="N56" i="31"/>
  <c r="O56" i="31"/>
  <c r="Q56" i="31"/>
  <c r="S56" i="31"/>
  <c r="I56" i="30"/>
  <c r="K57" i="31"/>
  <c r="O58" i="31"/>
  <c r="N58" i="31"/>
  <c r="N24" i="12"/>
  <c r="M58" i="31"/>
  <c r="M24" i="12"/>
  <c r="L58" i="31"/>
  <c r="L24" i="12"/>
  <c r="K58" i="31"/>
  <c r="K24" i="12"/>
  <c r="J58" i="31"/>
  <c r="J24" i="12"/>
  <c r="I58" i="31"/>
  <c r="I24" i="12"/>
  <c r="H58" i="31"/>
  <c r="H24" i="12"/>
  <c r="G58" i="31"/>
  <c r="G24" i="12"/>
  <c r="F58" i="31"/>
  <c r="F24" i="12"/>
  <c r="D58" i="31"/>
  <c r="D24" i="12"/>
  <c r="E58" i="31"/>
  <c r="I58" i="30"/>
  <c r="O57" i="31"/>
  <c r="N57" i="31"/>
  <c r="M57" i="31"/>
  <c r="L57" i="31"/>
  <c r="L23" i="12"/>
  <c r="M23" i="13"/>
  <c r="AE124" i="29"/>
  <c r="J57" i="31"/>
  <c r="I57" i="31"/>
  <c r="H57" i="31"/>
  <c r="G57" i="31"/>
  <c r="F57" i="31"/>
  <c r="E57" i="31"/>
  <c r="D57" i="31"/>
  <c r="O55" i="31"/>
  <c r="O23" i="12"/>
  <c r="N55" i="31"/>
  <c r="N23" i="12"/>
  <c r="M55" i="31"/>
  <c r="L55" i="31"/>
  <c r="J55" i="31"/>
  <c r="I55" i="31"/>
  <c r="H55" i="31"/>
  <c r="G55" i="31"/>
  <c r="F55" i="31"/>
  <c r="F18" i="12"/>
  <c r="F20" i="12"/>
  <c r="F7" i="12"/>
  <c r="E55" i="31"/>
  <c r="D55" i="31"/>
  <c r="I55" i="30"/>
  <c r="O54" i="31"/>
  <c r="D54" i="31"/>
  <c r="E54" i="31"/>
  <c r="F54" i="31"/>
  <c r="G54" i="31"/>
  <c r="H54" i="31"/>
  <c r="I54" i="31"/>
  <c r="J54" i="31"/>
  <c r="K54" i="31"/>
  <c r="L54" i="31"/>
  <c r="M54" i="31"/>
  <c r="N54" i="31"/>
  <c r="I54" i="30"/>
  <c r="O53" i="31"/>
  <c r="N53" i="31"/>
  <c r="M53" i="31"/>
  <c r="L53" i="31"/>
  <c r="K53" i="31"/>
  <c r="J53" i="31"/>
  <c r="I53" i="31"/>
  <c r="H53" i="31"/>
  <c r="D53" i="31"/>
  <c r="E53" i="31"/>
  <c r="F53" i="31"/>
  <c r="G53" i="31"/>
  <c r="O52" i="31"/>
  <c r="N52" i="31"/>
  <c r="M52" i="31"/>
  <c r="L52" i="31"/>
  <c r="K52" i="31"/>
  <c r="J52" i="31"/>
  <c r="I52" i="31"/>
  <c r="H52" i="31"/>
  <c r="G52" i="31"/>
  <c r="F52" i="31"/>
  <c r="E52" i="31"/>
  <c r="D52" i="31"/>
  <c r="O51" i="31"/>
  <c r="N51" i="31"/>
  <c r="M51" i="31"/>
  <c r="D51" i="31"/>
  <c r="Q51" i="31"/>
  <c r="S51" i="31"/>
  <c r="E51" i="31"/>
  <c r="F51" i="31"/>
  <c r="G51" i="31"/>
  <c r="H51" i="31"/>
  <c r="I51" i="31"/>
  <c r="J51" i="31"/>
  <c r="K51" i="31"/>
  <c r="L51" i="31"/>
  <c r="I51" i="30"/>
  <c r="O50" i="31"/>
  <c r="N50" i="31"/>
  <c r="M50" i="31"/>
  <c r="L50" i="31"/>
  <c r="K50" i="31"/>
  <c r="J50" i="31"/>
  <c r="I50" i="31"/>
  <c r="H50" i="31"/>
  <c r="G50" i="31"/>
  <c r="F50" i="31"/>
  <c r="E50" i="31"/>
  <c r="D50" i="31"/>
  <c r="O49" i="31"/>
  <c r="D49" i="31"/>
  <c r="E49" i="31"/>
  <c r="F49" i="31"/>
  <c r="G49" i="31"/>
  <c r="H49" i="31"/>
  <c r="I49" i="31"/>
  <c r="J49" i="31"/>
  <c r="K49" i="31"/>
  <c r="L49" i="31"/>
  <c r="M49" i="31"/>
  <c r="N49" i="31"/>
  <c r="I49" i="30"/>
  <c r="M32" i="8"/>
  <c r="O48" i="31"/>
  <c r="N48" i="31"/>
  <c r="M48" i="31"/>
  <c r="L48" i="31"/>
  <c r="D48" i="31"/>
  <c r="E48" i="31"/>
  <c r="F48" i="31"/>
  <c r="G48" i="31"/>
  <c r="H48" i="31"/>
  <c r="I48" i="31"/>
  <c r="J48" i="31"/>
  <c r="K48" i="31"/>
  <c r="Q48" i="31"/>
  <c r="S48" i="31"/>
  <c r="I48" i="30"/>
  <c r="O47" i="31"/>
  <c r="N47" i="31"/>
  <c r="M47" i="31"/>
  <c r="L47" i="31"/>
  <c r="K47" i="31"/>
  <c r="J47" i="31"/>
  <c r="I47" i="31"/>
  <c r="H47" i="31"/>
  <c r="G47" i="31"/>
  <c r="F47" i="31"/>
  <c r="E47" i="31"/>
  <c r="D47" i="31"/>
  <c r="I47" i="30"/>
  <c r="O46" i="31"/>
  <c r="Q81" i="10"/>
  <c r="Q66" i="10"/>
  <c r="N46" i="31"/>
  <c r="P81" i="10"/>
  <c r="P66" i="10"/>
  <c r="M46" i="31"/>
  <c r="O81" i="10"/>
  <c r="O66" i="10"/>
  <c r="L46" i="31"/>
  <c r="N81" i="10"/>
  <c r="N66" i="10"/>
  <c r="K46" i="31"/>
  <c r="M81" i="10"/>
  <c r="M66" i="10"/>
  <c r="D46" i="31"/>
  <c r="F81" i="10"/>
  <c r="F66" i="10"/>
  <c r="F70" i="10"/>
  <c r="E46" i="31"/>
  <c r="F46" i="31"/>
  <c r="G46" i="31"/>
  <c r="H46" i="31"/>
  <c r="J81" i="10"/>
  <c r="J66" i="10"/>
  <c r="I46" i="31"/>
  <c r="K81" i="10"/>
  <c r="K66" i="10"/>
  <c r="J46" i="31"/>
  <c r="L81" i="10"/>
  <c r="L66" i="10"/>
  <c r="L69" i="10"/>
  <c r="C33" i="8"/>
  <c r="O45" i="31"/>
  <c r="N45" i="31"/>
  <c r="M45" i="31"/>
  <c r="L45" i="31"/>
  <c r="D45" i="31"/>
  <c r="Q45" i="31"/>
  <c r="S45" i="31"/>
  <c r="E45" i="31"/>
  <c r="F45" i="31"/>
  <c r="G45" i="31"/>
  <c r="H45" i="31"/>
  <c r="I45" i="31"/>
  <c r="J45" i="31"/>
  <c r="K45" i="31"/>
  <c r="I45" i="30"/>
  <c r="M12" i="8"/>
  <c r="O44" i="31"/>
  <c r="Q80" i="10"/>
  <c r="Q37" i="10"/>
  <c r="M44" i="31"/>
  <c r="O80" i="10"/>
  <c r="O37" i="10"/>
  <c r="L44" i="31"/>
  <c r="N80" i="10"/>
  <c r="N37" i="10"/>
  <c r="K44" i="31"/>
  <c r="M80" i="10"/>
  <c r="M37" i="10"/>
  <c r="M75" i="10"/>
  <c r="J44" i="31"/>
  <c r="L80" i="10"/>
  <c r="L37" i="10"/>
  <c r="I44" i="31"/>
  <c r="K80" i="10"/>
  <c r="K37" i="10"/>
  <c r="H44" i="31"/>
  <c r="J80" i="10"/>
  <c r="J37" i="10"/>
  <c r="G44" i="31"/>
  <c r="F44" i="31"/>
  <c r="H80" i="10"/>
  <c r="H37" i="10"/>
  <c r="E44" i="31"/>
  <c r="D44" i="31"/>
  <c r="F80" i="10"/>
  <c r="F37" i="10"/>
  <c r="O43" i="31"/>
  <c r="N43" i="31"/>
  <c r="M43" i="31"/>
  <c r="L43" i="31"/>
  <c r="K43" i="31"/>
  <c r="J43" i="31"/>
  <c r="I43" i="31"/>
  <c r="H43" i="31"/>
  <c r="G43" i="31"/>
  <c r="D43" i="31"/>
  <c r="E43" i="31"/>
  <c r="F43" i="31"/>
  <c r="I43" i="30"/>
  <c r="O42" i="31"/>
  <c r="N42" i="31"/>
  <c r="D42" i="31"/>
  <c r="E42" i="31"/>
  <c r="F42" i="31"/>
  <c r="G42" i="31"/>
  <c r="H42" i="31"/>
  <c r="I42" i="31"/>
  <c r="J42" i="31"/>
  <c r="K42" i="31"/>
  <c r="L42" i="31"/>
  <c r="M42" i="31"/>
  <c r="O41" i="31"/>
  <c r="N41" i="31"/>
  <c r="M41" i="31"/>
  <c r="L41" i="31"/>
  <c r="K41" i="31"/>
  <c r="J41" i="31"/>
  <c r="I41" i="31"/>
  <c r="H41" i="31"/>
  <c r="G41" i="31"/>
  <c r="D41" i="31"/>
  <c r="E41" i="31"/>
  <c r="F41" i="31"/>
  <c r="I41" i="30"/>
  <c r="O40" i="31"/>
  <c r="N40" i="31"/>
  <c r="M40" i="31"/>
  <c r="L40" i="31"/>
  <c r="K40" i="31"/>
  <c r="J40" i="31"/>
  <c r="I40" i="31"/>
  <c r="H40" i="31"/>
  <c r="G40" i="31"/>
  <c r="F40" i="31"/>
  <c r="D40" i="31"/>
  <c r="E40" i="31"/>
  <c r="I40" i="30"/>
  <c r="O39" i="31"/>
  <c r="D39" i="31"/>
  <c r="E39" i="31"/>
  <c r="F39" i="31"/>
  <c r="G39" i="31"/>
  <c r="H39" i="31"/>
  <c r="I39" i="31"/>
  <c r="J39" i="31"/>
  <c r="K39" i="31"/>
  <c r="Q39" i="31"/>
  <c r="L39" i="31"/>
  <c r="M39" i="31"/>
  <c r="N39" i="31"/>
  <c r="I39" i="30"/>
  <c r="O38" i="31"/>
  <c r="N38" i="31"/>
  <c r="M38" i="31"/>
  <c r="L38" i="31"/>
  <c r="K38" i="31"/>
  <c r="J38" i="31"/>
  <c r="I38" i="31"/>
  <c r="H38" i="31"/>
  <c r="Q38" i="31"/>
  <c r="D38" i="31"/>
  <c r="E38" i="31"/>
  <c r="F38" i="31"/>
  <c r="G38" i="31"/>
  <c r="I38" i="30"/>
  <c r="O37" i="31"/>
  <c r="N37" i="31"/>
  <c r="M37" i="31"/>
  <c r="L37" i="31"/>
  <c r="K37" i="31"/>
  <c r="J37" i="31"/>
  <c r="I37" i="31"/>
  <c r="H37" i="31"/>
  <c r="G37" i="31"/>
  <c r="F37" i="31"/>
  <c r="D37" i="31"/>
  <c r="Q37" i="31"/>
  <c r="E37" i="31"/>
  <c r="I37" i="30"/>
  <c r="O36" i="31"/>
  <c r="N36" i="31"/>
  <c r="M36" i="31"/>
  <c r="L36" i="31"/>
  <c r="K36" i="31"/>
  <c r="D36" i="31"/>
  <c r="E36" i="31"/>
  <c r="F36" i="31"/>
  <c r="G36" i="31"/>
  <c r="H36" i="31"/>
  <c r="I36" i="31"/>
  <c r="J36" i="31"/>
  <c r="I36" i="30"/>
  <c r="O35" i="31"/>
  <c r="N35" i="31"/>
  <c r="M35" i="31"/>
  <c r="L35" i="31"/>
  <c r="K35" i="31"/>
  <c r="J35" i="31"/>
  <c r="D35" i="31"/>
  <c r="E35" i="31"/>
  <c r="F35" i="31"/>
  <c r="G35" i="31"/>
  <c r="H35" i="31"/>
  <c r="I35" i="31"/>
  <c r="I35" i="30"/>
  <c r="O34" i="31"/>
  <c r="D34" i="31"/>
  <c r="E34" i="31"/>
  <c r="F34" i="31"/>
  <c r="G34" i="31"/>
  <c r="H34" i="31"/>
  <c r="I34" i="31"/>
  <c r="J34" i="31"/>
  <c r="K34" i="31"/>
  <c r="L34" i="31"/>
  <c r="M34" i="31"/>
  <c r="N34" i="31"/>
  <c r="O33" i="31"/>
  <c r="D33" i="31"/>
  <c r="E33" i="31"/>
  <c r="Q33" i="31"/>
  <c r="F33" i="31"/>
  <c r="G33" i="31"/>
  <c r="H33" i="31"/>
  <c r="I33" i="31"/>
  <c r="J33" i="31"/>
  <c r="K33" i="31"/>
  <c r="L33" i="31"/>
  <c r="M33" i="31"/>
  <c r="N33" i="31"/>
  <c r="I33" i="30"/>
  <c r="O32" i="31"/>
  <c r="N32" i="31"/>
  <c r="M32" i="31"/>
  <c r="L32" i="31"/>
  <c r="K32" i="31"/>
  <c r="J32" i="31"/>
  <c r="I32" i="31"/>
  <c r="H32" i="31"/>
  <c r="G32" i="31"/>
  <c r="F32" i="31"/>
  <c r="E32" i="31"/>
  <c r="D32" i="31"/>
  <c r="O31" i="31"/>
  <c r="N31" i="31"/>
  <c r="M31" i="31"/>
  <c r="L31" i="31"/>
  <c r="K31" i="31"/>
  <c r="J31" i="31"/>
  <c r="D31" i="31"/>
  <c r="E31" i="31"/>
  <c r="F31" i="31"/>
  <c r="Q31" i="31"/>
  <c r="S31" i="31"/>
  <c r="G31" i="31"/>
  <c r="H31" i="31"/>
  <c r="I31" i="31"/>
  <c r="I31" i="30"/>
  <c r="O30" i="31"/>
  <c r="N30" i="31"/>
  <c r="M30" i="31"/>
  <c r="L30" i="31"/>
  <c r="K30" i="31"/>
  <c r="J30" i="31"/>
  <c r="I30" i="31"/>
  <c r="H30" i="31"/>
  <c r="G30" i="31"/>
  <c r="F30" i="31"/>
  <c r="D30" i="31"/>
  <c r="E30" i="31"/>
  <c r="I30" i="30"/>
  <c r="O29" i="31"/>
  <c r="D29" i="31"/>
  <c r="E29" i="31"/>
  <c r="F29" i="31"/>
  <c r="G29" i="31"/>
  <c r="H29" i="31"/>
  <c r="I29" i="31"/>
  <c r="J29" i="31"/>
  <c r="K29" i="31"/>
  <c r="L29" i="31"/>
  <c r="M29" i="31"/>
  <c r="N29" i="31"/>
  <c r="I29" i="30"/>
  <c r="O28" i="31"/>
  <c r="N28" i="31"/>
  <c r="M28" i="31"/>
  <c r="L28" i="31"/>
  <c r="K28" i="31"/>
  <c r="J28" i="31"/>
  <c r="I28" i="31"/>
  <c r="D28" i="31"/>
  <c r="Q28" i="31"/>
  <c r="S28" i="31"/>
  <c r="E28" i="31"/>
  <c r="F28" i="31"/>
  <c r="G28" i="31"/>
  <c r="H28" i="31"/>
  <c r="O27" i="31"/>
  <c r="N27" i="31"/>
  <c r="M27" i="31"/>
  <c r="L27" i="31"/>
  <c r="K27" i="31"/>
  <c r="D27" i="31"/>
  <c r="E27" i="31"/>
  <c r="F27" i="31"/>
  <c r="G27" i="31"/>
  <c r="H27" i="31"/>
  <c r="I27" i="31"/>
  <c r="J27" i="31"/>
  <c r="I27" i="30"/>
  <c r="O26" i="31"/>
  <c r="N26" i="31"/>
  <c r="M26" i="31"/>
  <c r="L26" i="31"/>
  <c r="K26" i="31"/>
  <c r="J26" i="31"/>
  <c r="I26" i="31"/>
  <c r="H26" i="31"/>
  <c r="G26" i="31"/>
  <c r="F26" i="31"/>
  <c r="E26" i="31"/>
  <c r="D26" i="31"/>
  <c r="I26" i="30"/>
  <c r="M11" i="8"/>
  <c r="O25" i="31"/>
  <c r="N25" i="31"/>
  <c r="M25" i="31"/>
  <c r="L25" i="31"/>
  <c r="K25" i="31"/>
  <c r="J25" i="31"/>
  <c r="I25" i="31"/>
  <c r="D25" i="31"/>
  <c r="E25" i="31"/>
  <c r="F25" i="31"/>
  <c r="G25" i="31"/>
  <c r="H25" i="31"/>
  <c r="I25" i="30"/>
  <c r="O24" i="31"/>
  <c r="D24" i="31"/>
  <c r="E24" i="31"/>
  <c r="F24" i="31"/>
  <c r="G24" i="31"/>
  <c r="H24" i="31"/>
  <c r="I24" i="31"/>
  <c r="J24" i="31"/>
  <c r="K24" i="31"/>
  <c r="L24" i="31"/>
  <c r="M24" i="31"/>
  <c r="N24" i="31"/>
  <c r="I24" i="30"/>
  <c r="O23" i="31"/>
  <c r="N23" i="31"/>
  <c r="D23" i="31"/>
  <c r="E23" i="31"/>
  <c r="F23" i="31"/>
  <c r="G23" i="31"/>
  <c r="H23" i="31"/>
  <c r="I23" i="31"/>
  <c r="J23" i="31"/>
  <c r="K23" i="31"/>
  <c r="L23" i="31"/>
  <c r="M23" i="31"/>
  <c r="I23" i="30"/>
  <c r="O21" i="31"/>
  <c r="D21" i="31"/>
  <c r="E21" i="31"/>
  <c r="F21" i="31"/>
  <c r="G21" i="31"/>
  <c r="H21" i="31"/>
  <c r="I21" i="31"/>
  <c r="J21" i="31"/>
  <c r="K21" i="31"/>
  <c r="L21" i="31"/>
  <c r="M21" i="31"/>
  <c r="N21" i="31"/>
  <c r="I21" i="30"/>
  <c r="O20" i="31"/>
  <c r="N20" i="31"/>
  <c r="M20" i="31"/>
  <c r="L20" i="31"/>
  <c r="K20" i="31"/>
  <c r="J20" i="31"/>
  <c r="I20" i="31"/>
  <c r="H20" i="31"/>
  <c r="G20" i="31"/>
  <c r="F20" i="31"/>
  <c r="E20" i="31"/>
  <c r="D20" i="31"/>
  <c r="O19" i="31"/>
  <c r="N19" i="31"/>
  <c r="M19" i="31"/>
  <c r="D19" i="31"/>
  <c r="E19" i="31"/>
  <c r="F19" i="31"/>
  <c r="G19" i="31"/>
  <c r="H19" i="31"/>
  <c r="I19" i="31"/>
  <c r="J19" i="31"/>
  <c r="K19" i="31"/>
  <c r="L19" i="31"/>
  <c r="I19" i="30"/>
  <c r="O18" i="31"/>
  <c r="N18" i="31"/>
  <c r="M18" i="31"/>
  <c r="L18" i="31"/>
  <c r="D18" i="31"/>
  <c r="E18" i="31"/>
  <c r="F18" i="31"/>
  <c r="G18" i="31"/>
  <c r="H18" i="31"/>
  <c r="I18" i="31"/>
  <c r="J18" i="31"/>
  <c r="K18" i="31"/>
  <c r="I18" i="30"/>
  <c r="O17" i="31"/>
  <c r="N17" i="31"/>
  <c r="M17" i="31"/>
  <c r="L17" i="31"/>
  <c r="K17" i="31"/>
  <c r="J17" i="31"/>
  <c r="I17" i="31"/>
  <c r="H17" i="31"/>
  <c r="G17" i="31"/>
  <c r="F17" i="31"/>
  <c r="E17" i="31"/>
  <c r="D17" i="31"/>
  <c r="O16" i="31"/>
  <c r="N16" i="31"/>
  <c r="M16" i="31"/>
  <c r="L16" i="31"/>
  <c r="D16" i="31"/>
  <c r="E16" i="31"/>
  <c r="F16" i="31"/>
  <c r="G16" i="31"/>
  <c r="H16" i="31"/>
  <c r="I16" i="31"/>
  <c r="J16" i="31"/>
  <c r="K16" i="31"/>
  <c r="Q16" i="31"/>
  <c r="S16" i="31"/>
  <c r="I16" i="30"/>
  <c r="O15" i="31"/>
  <c r="N15" i="31"/>
  <c r="M15" i="31"/>
  <c r="L15" i="31"/>
  <c r="K15" i="31"/>
  <c r="J15" i="31"/>
  <c r="D15" i="31"/>
  <c r="E15" i="31"/>
  <c r="F15" i="31"/>
  <c r="G15" i="31"/>
  <c r="H15" i="31"/>
  <c r="I15" i="31"/>
  <c r="I15" i="30"/>
  <c r="O14" i="31"/>
  <c r="N14" i="31"/>
  <c r="M14" i="31"/>
  <c r="L14" i="31"/>
  <c r="K14" i="31"/>
  <c r="J14" i="31"/>
  <c r="I14" i="31"/>
  <c r="D14" i="31"/>
  <c r="E14" i="31"/>
  <c r="F14" i="31"/>
  <c r="G14" i="31"/>
  <c r="H14" i="31"/>
  <c r="I14" i="30"/>
  <c r="O13" i="31"/>
  <c r="N13" i="31"/>
  <c r="P9" i="20"/>
  <c r="M13" i="31"/>
  <c r="O9" i="20"/>
  <c r="L13" i="31"/>
  <c r="K13" i="31"/>
  <c r="M9" i="20"/>
  <c r="J13" i="31"/>
  <c r="L9" i="20"/>
  <c r="I13" i="31"/>
  <c r="K9" i="20"/>
  <c r="K9" i="21"/>
  <c r="AB245" i="29"/>
  <c r="H13" i="31"/>
  <c r="J9" i="20"/>
  <c r="G13" i="31"/>
  <c r="I9" i="20"/>
  <c r="F13" i="31"/>
  <c r="H9" i="20"/>
  <c r="E13" i="31"/>
  <c r="G9" i="20"/>
  <c r="D13" i="31"/>
  <c r="F9" i="20"/>
  <c r="O12" i="31"/>
  <c r="D12" i="31"/>
  <c r="E12" i="31"/>
  <c r="F12" i="31"/>
  <c r="G12" i="31"/>
  <c r="H12" i="31"/>
  <c r="I12" i="31"/>
  <c r="J12" i="31"/>
  <c r="K12" i="31"/>
  <c r="L12" i="31"/>
  <c r="M12" i="31"/>
  <c r="N12" i="31"/>
  <c r="I12" i="30"/>
  <c r="O11" i="31"/>
  <c r="N11" i="31"/>
  <c r="M11" i="31"/>
  <c r="L11" i="31"/>
  <c r="D11" i="31"/>
  <c r="E11" i="31"/>
  <c r="Q11" i="31"/>
  <c r="S11" i="31"/>
  <c r="F11" i="31"/>
  <c r="G11" i="31"/>
  <c r="H11" i="31"/>
  <c r="I11" i="31"/>
  <c r="J11" i="31"/>
  <c r="K11" i="31"/>
  <c r="I11" i="30"/>
  <c r="O10" i="31"/>
  <c r="N10" i="31"/>
  <c r="D10" i="31"/>
  <c r="Q10" i="31"/>
  <c r="S10" i="31"/>
  <c r="E10" i="31"/>
  <c r="F10" i="31"/>
  <c r="G10" i="31"/>
  <c r="H10" i="31"/>
  <c r="I10" i="31"/>
  <c r="J10" i="31"/>
  <c r="K10" i="31"/>
  <c r="L10" i="31"/>
  <c r="M10" i="31"/>
  <c r="I10" i="30"/>
  <c r="O9" i="31"/>
  <c r="D9" i="31"/>
  <c r="E9" i="31"/>
  <c r="F9" i="31"/>
  <c r="G9" i="31"/>
  <c r="H9" i="31"/>
  <c r="I9" i="31"/>
  <c r="J9" i="31"/>
  <c r="K9" i="31"/>
  <c r="L9" i="31"/>
  <c r="M9" i="31"/>
  <c r="N9" i="31"/>
  <c r="I9" i="30"/>
  <c r="D45" i="32"/>
  <c r="E27" i="32"/>
  <c r="H28" i="32"/>
  <c r="Q28" i="33"/>
  <c r="S28" i="33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1" i="32"/>
  <c r="D22" i="32"/>
  <c r="D17" i="32"/>
  <c r="C18" i="20"/>
  <c r="C18" i="21"/>
  <c r="D14" i="32"/>
  <c r="C16" i="20"/>
  <c r="D12" i="32"/>
  <c r="D11" i="32"/>
  <c r="D10" i="32"/>
  <c r="C12" i="20"/>
  <c r="C12" i="21"/>
  <c r="D9" i="32"/>
  <c r="C11" i="20"/>
  <c r="C11" i="21"/>
  <c r="I247" i="29"/>
  <c r="E33" i="32"/>
  <c r="E28" i="32"/>
  <c r="E26" i="32"/>
  <c r="E24" i="32"/>
  <c r="E23" i="32"/>
  <c r="E22" i="32"/>
  <c r="E21" i="32"/>
  <c r="E30" i="32"/>
  <c r="E17" i="32"/>
  <c r="E8" i="32"/>
  <c r="D10" i="20"/>
  <c r="E14" i="32"/>
  <c r="D16" i="20"/>
  <c r="D16" i="21"/>
  <c r="E12" i="32"/>
  <c r="D13" i="20"/>
  <c r="D13" i="21"/>
  <c r="J249" i="29"/>
  <c r="E11" i="32"/>
  <c r="D12" i="20"/>
  <c r="D12" i="21"/>
  <c r="J248" i="29"/>
  <c r="E10" i="32"/>
  <c r="E9" i="32"/>
  <c r="D11" i="20"/>
  <c r="D11" i="21"/>
  <c r="J247" i="29"/>
  <c r="F27" i="32"/>
  <c r="F26" i="32"/>
  <c r="F24" i="32"/>
  <c r="F23" i="32"/>
  <c r="C25" i="18"/>
  <c r="C25" i="19"/>
  <c r="K216" i="29"/>
  <c r="F22" i="32"/>
  <c r="F17" i="32"/>
  <c r="F14" i="32"/>
  <c r="F8" i="32"/>
  <c r="C46" i="16"/>
  <c r="F19" i="32"/>
  <c r="F12" i="32"/>
  <c r="C53" i="16"/>
  <c r="F11" i="32"/>
  <c r="F10" i="32"/>
  <c r="C52" i="16"/>
  <c r="F9" i="32"/>
  <c r="G26" i="32"/>
  <c r="G25" i="32"/>
  <c r="G24" i="32"/>
  <c r="G23" i="32"/>
  <c r="D25" i="19"/>
  <c r="L216" i="29"/>
  <c r="G22" i="32"/>
  <c r="G17" i="32"/>
  <c r="E18" i="20"/>
  <c r="G14" i="32"/>
  <c r="G12" i="32"/>
  <c r="D53" i="16"/>
  <c r="G11" i="32"/>
  <c r="G10" i="32"/>
  <c r="D52" i="16"/>
  <c r="G9" i="32"/>
  <c r="D51" i="16"/>
  <c r="H29" i="32"/>
  <c r="S29" i="33"/>
  <c r="Q29" i="33"/>
  <c r="H27" i="32"/>
  <c r="S27" i="33"/>
  <c r="Q27" i="33"/>
  <c r="H26" i="32"/>
  <c r="H24" i="32"/>
  <c r="Q24" i="33"/>
  <c r="S24" i="33"/>
  <c r="H23" i="32"/>
  <c r="Q25" i="18"/>
  <c r="Q25" i="19"/>
  <c r="O216" i="29"/>
  <c r="H22" i="32"/>
  <c r="H21" i="32"/>
  <c r="H17" i="32"/>
  <c r="S18" i="20"/>
  <c r="S19" i="20"/>
  <c r="F17" i="33"/>
  <c r="G17" i="33"/>
  <c r="H17" i="33"/>
  <c r="I17" i="33"/>
  <c r="J17" i="33"/>
  <c r="K17" i="33"/>
  <c r="L17" i="33"/>
  <c r="M17" i="33"/>
  <c r="N17" i="33"/>
  <c r="O17" i="33"/>
  <c r="Q17" i="33"/>
  <c r="S17" i="33"/>
  <c r="S8" i="20"/>
  <c r="H14" i="32"/>
  <c r="F14" i="33"/>
  <c r="G14" i="33"/>
  <c r="H14" i="33"/>
  <c r="I14" i="33"/>
  <c r="J14" i="33"/>
  <c r="K14" i="33"/>
  <c r="L14" i="33"/>
  <c r="M14" i="33"/>
  <c r="N14" i="33"/>
  <c r="O14" i="33"/>
  <c r="Q14" i="33"/>
  <c r="S14" i="33"/>
  <c r="S16" i="20"/>
  <c r="S16" i="21"/>
  <c r="H12" i="32"/>
  <c r="S13" i="20"/>
  <c r="H10" i="32"/>
  <c r="S12" i="20"/>
  <c r="S12" i="21"/>
  <c r="H9" i="32"/>
  <c r="S11" i="20"/>
  <c r="H8" i="32"/>
  <c r="G8" i="32"/>
  <c r="D8" i="32"/>
  <c r="I147" i="30"/>
  <c r="F20" i="6"/>
  <c r="I143" i="30"/>
  <c r="I140" i="30"/>
  <c r="I138" i="30"/>
  <c r="I137" i="30"/>
  <c r="F19" i="6"/>
  <c r="G19" i="6"/>
  <c r="I135" i="30"/>
  <c r="I130" i="30"/>
  <c r="I127" i="30"/>
  <c r="I68" i="30"/>
  <c r="I57" i="30"/>
  <c r="I52" i="30"/>
  <c r="I50" i="30"/>
  <c r="I44" i="30"/>
  <c r="R80" i="10"/>
  <c r="I42" i="30"/>
  <c r="I20" i="30"/>
  <c r="I17" i="30"/>
  <c r="I13" i="30"/>
  <c r="H147" i="30"/>
  <c r="D20" i="6"/>
  <c r="H145" i="30"/>
  <c r="H144" i="30"/>
  <c r="H143" i="30"/>
  <c r="H140" i="30"/>
  <c r="H138" i="30"/>
  <c r="H137" i="30"/>
  <c r="D18" i="6"/>
  <c r="G18" i="6"/>
  <c r="H135" i="30"/>
  <c r="H134" i="30"/>
  <c r="H133" i="30"/>
  <c r="H132" i="30"/>
  <c r="H88" i="30"/>
  <c r="D17" i="6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C33" i="12"/>
  <c r="H83" i="30"/>
  <c r="H82" i="30"/>
  <c r="H81" i="30"/>
  <c r="H79" i="30"/>
  <c r="H78" i="30"/>
  <c r="H76" i="30"/>
  <c r="H75" i="30"/>
  <c r="H74" i="30"/>
  <c r="H73" i="30"/>
  <c r="H72" i="30"/>
  <c r="H71" i="30"/>
  <c r="H70" i="30"/>
  <c r="H69" i="30"/>
  <c r="H68" i="30"/>
  <c r="H67" i="30"/>
  <c r="H66" i="30"/>
  <c r="C32" i="12"/>
  <c r="H64" i="30"/>
  <c r="D14" i="6"/>
  <c r="H63" i="30"/>
  <c r="H62" i="30"/>
  <c r="H61" i="30"/>
  <c r="H60" i="30"/>
  <c r="D13" i="6"/>
  <c r="H58" i="30"/>
  <c r="H57" i="30"/>
  <c r="H56" i="30"/>
  <c r="H55" i="30"/>
  <c r="H59" i="30"/>
  <c r="H54" i="30"/>
  <c r="H53" i="30"/>
  <c r="D8" i="6"/>
  <c r="H52" i="30"/>
  <c r="H51" i="30"/>
  <c r="H50" i="30"/>
  <c r="H49" i="30"/>
  <c r="C32" i="8"/>
  <c r="H48" i="30"/>
  <c r="H47" i="30"/>
  <c r="H45" i="30"/>
  <c r="C12" i="8"/>
  <c r="H44" i="30"/>
  <c r="C31" i="8"/>
  <c r="H43" i="30"/>
  <c r="H42" i="30"/>
  <c r="H41" i="30"/>
  <c r="H40" i="30"/>
  <c r="H39" i="30"/>
  <c r="H38" i="30"/>
  <c r="H37" i="30"/>
  <c r="H36" i="30"/>
  <c r="H35" i="30"/>
  <c r="H33" i="30"/>
  <c r="H30" i="30"/>
  <c r="H29" i="30"/>
  <c r="H27" i="30"/>
  <c r="H26" i="30"/>
  <c r="C11" i="8"/>
  <c r="E11" i="8"/>
  <c r="H25" i="30"/>
  <c r="H22" i="30"/>
  <c r="H21" i="30"/>
  <c r="H20" i="30"/>
  <c r="H19" i="30"/>
  <c r="H18" i="30"/>
  <c r="H17" i="30"/>
  <c r="C37" i="8"/>
  <c r="H16" i="30"/>
  <c r="H15" i="30"/>
  <c r="H14" i="30"/>
  <c r="H13" i="30"/>
  <c r="E9" i="20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F144" i="30"/>
  <c r="F143" i="30"/>
  <c r="F140" i="30"/>
  <c r="F138" i="30"/>
  <c r="F137" i="30"/>
  <c r="C18" i="6"/>
  <c r="F135" i="30"/>
  <c r="C19" i="6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8" i="30"/>
  <c r="F86" i="30"/>
  <c r="F85" i="30"/>
  <c r="B33" i="12"/>
  <c r="F83" i="30"/>
  <c r="B30" i="12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C14" i="6"/>
  <c r="F63" i="30"/>
  <c r="F62" i="30"/>
  <c r="F61" i="30"/>
  <c r="F60" i="30"/>
  <c r="C13" i="6"/>
  <c r="F58" i="30"/>
  <c r="F54" i="30"/>
  <c r="F53" i="30"/>
  <c r="C8" i="6"/>
  <c r="F52" i="30"/>
  <c r="F51" i="30"/>
  <c r="F50" i="30"/>
  <c r="F49" i="30"/>
  <c r="B32" i="8"/>
  <c r="F48" i="30"/>
  <c r="F47" i="30"/>
  <c r="F46" i="30"/>
  <c r="C81" i="10"/>
  <c r="C66" i="10"/>
  <c r="B33" i="8"/>
  <c r="F45" i="30"/>
  <c r="B12" i="8"/>
  <c r="F44" i="30"/>
  <c r="B31" i="8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B11" i="8"/>
  <c r="F25" i="30"/>
  <c r="F21" i="30"/>
  <c r="F20" i="30"/>
  <c r="F19" i="30"/>
  <c r="F18" i="30"/>
  <c r="F17" i="30"/>
  <c r="B37" i="8"/>
  <c r="F16" i="30"/>
  <c r="F15" i="30"/>
  <c r="F14" i="30"/>
  <c r="F13" i="30"/>
  <c r="F12" i="30"/>
  <c r="F11" i="30"/>
  <c r="F9" i="30"/>
  <c r="E147" i="30"/>
  <c r="B20" i="6"/>
  <c r="B21" i="6"/>
  <c r="E144" i="30"/>
  <c r="E143" i="30"/>
  <c r="E140" i="30"/>
  <c r="E138" i="30"/>
  <c r="E137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E86" i="30"/>
  <c r="E85" i="30"/>
  <c r="E83" i="30"/>
  <c r="E82" i="30"/>
  <c r="E81" i="30"/>
  <c r="E80" i="30"/>
  <c r="B16" i="6"/>
  <c r="B16" i="7"/>
  <c r="E65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E8" i="30"/>
  <c r="D8" i="20"/>
  <c r="B7" i="6"/>
  <c r="E63" i="30"/>
  <c r="E62" i="30"/>
  <c r="E61" i="30"/>
  <c r="E60" i="30"/>
  <c r="B13" i="6"/>
  <c r="E58" i="30"/>
  <c r="B12" i="6"/>
  <c r="E57" i="30"/>
  <c r="E55" i="30"/>
  <c r="E56" i="30"/>
  <c r="E59" i="30"/>
  <c r="B10" i="6"/>
  <c r="E54" i="30"/>
  <c r="E53" i="30"/>
  <c r="B8" i="6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3" i="30"/>
  <c r="D9" i="20"/>
  <c r="E12" i="30"/>
  <c r="E11" i="30"/>
  <c r="E9" i="30"/>
  <c r="D147" i="30"/>
  <c r="A20" i="6"/>
  <c r="A21" i="6"/>
  <c r="D8" i="30"/>
  <c r="A7" i="6"/>
  <c r="C8" i="20"/>
  <c r="D144" i="30"/>
  <c r="D143" i="30"/>
  <c r="D140" i="30"/>
  <c r="D138" i="30"/>
  <c r="D137" i="30"/>
  <c r="A18" i="6"/>
  <c r="D135" i="30"/>
  <c r="A19" i="6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A17" i="6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D63" i="30"/>
  <c r="D62" i="30"/>
  <c r="D61" i="30"/>
  <c r="D60" i="30"/>
  <c r="A13" i="6"/>
  <c r="D58" i="30"/>
  <c r="A12" i="6"/>
  <c r="D57" i="30"/>
  <c r="D55" i="30"/>
  <c r="A10" i="6"/>
  <c r="D56" i="30"/>
  <c r="D59" i="30"/>
  <c r="D54" i="30"/>
  <c r="D53" i="30"/>
  <c r="A8" i="6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C9" i="20"/>
  <c r="D12" i="30"/>
  <c r="D11" i="30"/>
  <c r="D9" i="30"/>
  <c r="G8" i="30"/>
  <c r="F8" i="30"/>
  <c r="B6" i="8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R37" i="18"/>
  <c r="R37" i="19"/>
  <c r="AH241" i="29"/>
  <c r="Q36" i="18"/>
  <c r="H19" i="14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AH214" i="29" s="1"/>
  <c r="R22" i="19"/>
  <c r="O232" i="29" s="1"/>
  <c r="T22" i="19"/>
  <c r="D22" i="19"/>
  <c r="L214" i="29" s="1"/>
  <c r="E22" i="19"/>
  <c r="L232" i="29" s="1"/>
  <c r="C22" i="19"/>
  <c r="K214" i="29"/>
  <c r="C21" i="19"/>
  <c r="K213" i="29" s="1"/>
  <c r="T22" i="18"/>
  <c r="T21" i="18"/>
  <c r="S22" i="18"/>
  <c r="S21" i="18"/>
  <c r="Q45" i="16"/>
  <c r="S42" i="17"/>
  <c r="D32" i="16"/>
  <c r="C32" i="16"/>
  <c r="E32" i="16"/>
  <c r="D24" i="16"/>
  <c r="C24" i="16"/>
  <c r="E24" i="16"/>
  <c r="E8" i="16"/>
  <c r="D8" i="16"/>
  <c r="C8" i="16"/>
  <c r="C51" i="16"/>
  <c r="Q42" i="16"/>
  <c r="S69" i="10"/>
  <c r="S68" i="10"/>
  <c r="S64" i="10"/>
  <c r="S63" i="10"/>
  <c r="S59" i="10"/>
  <c r="S58" i="10"/>
  <c r="S54" i="10"/>
  <c r="S53" i="10"/>
  <c r="R35" i="10"/>
  <c r="R34" i="10"/>
  <c r="R32" i="10"/>
  <c r="R31" i="10"/>
  <c r="R29" i="10"/>
  <c r="R28" i="10"/>
  <c r="R26" i="10"/>
  <c r="R25" i="10"/>
  <c r="S39" i="10"/>
  <c r="S36" i="10"/>
  <c r="S33" i="10"/>
  <c r="S30" i="10"/>
  <c r="S27" i="10"/>
  <c r="S24" i="10"/>
  <c r="S21" i="10"/>
  <c r="S18" i="10"/>
  <c r="S15" i="10"/>
  <c r="S12" i="10"/>
  <c r="S9" i="10"/>
  <c r="S9" i="11"/>
  <c r="W38" i="11"/>
  <c r="AO86" i="29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9" i="11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8" i="11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AO238" i="29"/>
  <c r="U33" i="19"/>
  <c r="T31" i="18"/>
  <c r="S31" i="18"/>
  <c r="U26" i="10"/>
  <c r="B10" i="14"/>
  <c r="B20" i="8"/>
  <c r="B17" i="8"/>
  <c r="A4" i="26"/>
  <c r="B6" i="19"/>
  <c r="A4" i="13"/>
  <c r="A4" i="11"/>
  <c r="A4" i="46"/>
  <c r="M26" i="15"/>
  <c r="O159" i="29"/>
  <c r="M25" i="15"/>
  <c r="B26" i="15"/>
  <c r="K159" i="29"/>
  <c r="E26" i="15"/>
  <c r="N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B8" i="46"/>
  <c r="B7" i="46"/>
  <c r="B7" i="4"/>
  <c r="C7" i="4"/>
  <c r="B6" i="4"/>
  <c r="D137" i="29"/>
  <c r="C6" i="4"/>
  <c r="C19" i="29"/>
  <c r="R21" i="19"/>
  <c r="O231" i="29" s="1"/>
  <c r="Q21" i="19"/>
  <c r="AH213" i="29"/>
  <c r="E21" i="19"/>
  <c r="E26" i="19" s="1"/>
  <c r="D21" i="19"/>
  <c r="L213" i="29" s="1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5" i="29"/>
  <c r="AN16" i="29"/>
  <c r="AN17" i="29"/>
  <c r="AN24" i="29"/>
  <c r="AN25" i="29"/>
  <c r="AN27" i="29"/>
  <c r="AN28" i="29"/>
  <c r="AN35" i="29"/>
  <c r="AN13" i="29"/>
  <c r="AL14" i="29"/>
  <c r="AL15" i="29"/>
  <c r="AL16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S35" i="17"/>
  <c r="S36" i="17"/>
  <c r="S37" i="17"/>
  <c r="S38" i="17"/>
  <c r="S39" i="17"/>
  <c r="S40" i="17"/>
  <c r="S41" i="17"/>
  <c r="S43" i="17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S16" i="17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Q20" i="16"/>
  <c r="Q21" i="16"/>
  <c r="Q22" i="16"/>
  <c r="Q23" i="16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D8" i="46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8" i="46"/>
  <c r="A7" i="46"/>
  <c r="AN14" i="29"/>
  <c r="A1" i="46"/>
  <c r="C6" i="45"/>
  <c r="C17" i="45"/>
  <c r="B17" i="45"/>
  <c r="B17" i="46"/>
  <c r="AL24" i="29"/>
  <c r="B6" i="45"/>
  <c r="B6" i="46"/>
  <c r="AL13" i="29"/>
  <c r="A1" i="45"/>
  <c r="C12" i="19"/>
  <c r="K205" i="29"/>
  <c r="C13" i="19"/>
  <c r="K206" i="29"/>
  <c r="C14" i="19"/>
  <c r="K207" i="29"/>
  <c r="C15" i="19"/>
  <c r="K208" i="29"/>
  <c r="C16" i="19"/>
  <c r="K209" i="29"/>
  <c r="C17" i="19"/>
  <c r="K210" i="29"/>
  <c r="C7" i="19"/>
  <c r="K200" i="29"/>
  <c r="C8" i="19"/>
  <c r="K201" i="29"/>
  <c r="C9" i="19"/>
  <c r="K202" i="29"/>
  <c r="C10" i="19"/>
  <c r="K203" i="29"/>
  <c r="C18" i="18"/>
  <c r="C11" i="18"/>
  <c r="Q159" i="29"/>
  <c r="T158" i="29"/>
  <c r="B7" i="14"/>
  <c r="B24" i="14"/>
  <c r="B24" i="15"/>
  <c r="K157" i="29"/>
  <c r="B18" i="14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C9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Q41" i="16"/>
  <c r="Q40" i="16"/>
  <c r="Q39" i="16"/>
  <c r="Q38" i="16"/>
  <c r="Q37" i="16"/>
  <c r="Q36" i="16"/>
  <c r="Q35" i="16"/>
  <c r="Q34" i="16"/>
  <c r="Q33" i="16"/>
  <c r="Q30" i="16"/>
  <c r="Q29" i="16"/>
  <c r="Q28" i="16"/>
  <c r="Q27" i="16"/>
  <c r="Q26" i="16"/>
  <c r="Q25" i="16"/>
  <c r="Q19" i="16"/>
  <c r="Q18" i="16"/>
  <c r="Q17" i="16"/>
  <c r="Q16" i="16"/>
  <c r="Q15" i="16"/>
  <c r="Q14" i="16"/>
  <c r="Q13" i="16"/>
  <c r="Q12" i="16"/>
  <c r="Q11" i="16"/>
  <c r="Q10" i="16"/>
  <c r="Q9" i="16"/>
  <c r="M15" i="14"/>
  <c r="E15" i="14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O270" i="29"/>
  <c r="AN271" i="29"/>
  <c r="AN273" i="29"/>
  <c r="AN276" i="29"/>
  <c r="AN280" i="29"/>
  <c r="AN281" i="29"/>
  <c r="AN283" i="29"/>
  <c r="AN284" i="29"/>
  <c r="AN290" i="29"/>
  <c r="AN292" i="29"/>
  <c r="A1" i="28"/>
  <c r="A4" i="28"/>
  <c r="A6" i="28"/>
  <c r="AN275" i="29"/>
  <c r="A7" i="28"/>
  <c r="A8" i="28"/>
  <c r="AN277" i="29"/>
  <c r="A9" i="28"/>
  <c r="AN278" i="29"/>
  <c r="A10" i="28"/>
  <c r="AN279" i="29"/>
  <c r="A11" i="28"/>
  <c r="A12" i="28"/>
  <c r="A13" i="28"/>
  <c r="AN282" i="29"/>
  <c r="A14" i="28"/>
  <c r="A15" i="28"/>
  <c r="A16" i="28"/>
  <c r="AN285" i="29"/>
  <c r="A17" i="28"/>
  <c r="AN286" i="29"/>
  <c r="A18" i="28"/>
  <c r="AN287" i="29"/>
  <c r="A19" i="28"/>
  <c r="AN288" i="29"/>
  <c r="A20" i="28"/>
  <c r="AN289" i="29"/>
  <c r="A21" i="28"/>
  <c r="A22" i="28"/>
  <c r="AN291" i="29"/>
  <c r="A23" i="28"/>
  <c r="A24" i="28"/>
  <c r="AN293" i="29"/>
  <c r="A25" i="28"/>
  <c r="AN294" i="29"/>
  <c r="A26" i="28"/>
  <c r="AN295" i="29"/>
  <c r="A1" i="27"/>
  <c r="B15" i="27"/>
  <c r="C15" i="27"/>
  <c r="D15" i="27"/>
  <c r="B25" i="27"/>
  <c r="B26" i="27"/>
  <c r="C25" i="27"/>
  <c r="C26" i="27"/>
  <c r="D25" i="27"/>
  <c r="A1" i="26"/>
  <c r="B8" i="26"/>
  <c r="G8" i="26"/>
  <c r="A9" i="26"/>
  <c r="AN269" i="29"/>
  <c r="G9" i="26"/>
  <c r="AO269" i="29"/>
  <c r="A10" i="26"/>
  <c r="AN270" i="29"/>
  <c r="G10" i="26"/>
  <c r="A11" i="26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A1" i="22"/>
  <c r="E7" i="22"/>
  <c r="F7" i="22"/>
  <c r="E8" i="22"/>
  <c r="E1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Q7" i="19"/>
  <c r="O200" i="29"/>
  <c r="R7" i="19"/>
  <c r="O218" i="29"/>
  <c r="U7" i="19"/>
  <c r="AO218" i="29"/>
  <c r="D8" i="19"/>
  <c r="L201" i="29"/>
  <c r="E8" i="19"/>
  <c r="L219" i="29"/>
  <c r="Q8" i="19"/>
  <c r="O201" i="29"/>
  <c r="R8" i="19"/>
  <c r="U8" i="19"/>
  <c r="AO201" i="29"/>
  <c r="AO219" i="29"/>
  <c r="D9" i="19"/>
  <c r="L202" i="29"/>
  <c r="E9" i="19"/>
  <c r="Q9" i="19"/>
  <c r="O202" i="29"/>
  <c r="R9" i="19"/>
  <c r="T9" i="19"/>
  <c r="U9" i="19"/>
  <c r="AO202" i="29"/>
  <c r="D10" i="19"/>
  <c r="L203" i="29"/>
  <c r="E10" i="19"/>
  <c r="L221" i="29"/>
  <c r="Q10" i="19"/>
  <c r="O203" i="29"/>
  <c r="R10" i="19"/>
  <c r="O221" i="29"/>
  <c r="U10" i="19"/>
  <c r="AO203" i="29"/>
  <c r="U11" i="19"/>
  <c r="AO204" i="29"/>
  <c r="D12" i="19"/>
  <c r="L205" i="29"/>
  <c r="E12" i="19"/>
  <c r="L223" i="29"/>
  <c r="F12" i="19"/>
  <c r="W205" i="29"/>
  <c r="G12" i="19"/>
  <c r="X205" i="29"/>
  <c r="H12" i="19"/>
  <c r="Y205" i="29"/>
  <c r="I12" i="19"/>
  <c r="Z205" i="29"/>
  <c r="J12" i="19"/>
  <c r="AA205" i="29"/>
  <c r="K12" i="19"/>
  <c r="AB205" i="29"/>
  <c r="L12" i="19"/>
  <c r="M12" i="19"/>
  <c r="AD205" i="29"/>
  <c r="N12" i="19"/>
  <c r="AE205" i="29"/>
  <c r="O12" i="19"/>
  <c r="AF205" i="29"/>
  <c r="P12" i="19"/>
  <c r="AG205" i="29"/>
  <c r="Q12" i="19"/>
  <c r="O205" i="29"/>
  <c r="AH205" i="29"/>
  <c r="U12" i="19"/>
  <c r="AO205" i="29"/>
  <c r="D13" i="19"/>
  <c r="L206" i="29"/>
  <c r="E13" i="19"/>
  <c r="L224" i="29"/>
  <c r="F13" i="19"/>
  <c r="W206" i="29"/>
  <c r="G13" i="19"/>
  <c r="X206" i="29"/>
  <c r="H13" i="19"/>
  <c r="I13" i="19"/>
  <c r="Z206" i="29"/>
  <c r="J13" i="19"/>
  <c r="AA206" i="29"/>
  <c r="K13" i="19"/>
  <c r="AB206" i="29"/>
  <c r="L13" i="19"/>
  <c r="AC206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L207" i="29"/>
  <c r="E14" i="19"/>
  <c r="L225" i="29"/>
  <c r="F14" i="19"/>
  <c r="W207" i="29"/>
  <c r="G14" i="19"/>
  <c r="X207" i="29"/>
  <c r="H14" i="19"/>
  <c r="Y207" i="29"/>
  <c r="I14" i="19"/>
  <c r="Z207" i="29"/>
  <c r="J14" i="19"/>
  <c r="AA207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L226" i="29"/>
  <c r="F15" i="19"/>
  <c r="W208" i="29"/>
  <c r="G15" i="19"/>
  <c r="X208" i="29"/>
  <c r="H15" i="19"/>
  <c r="Y208" i="29"/>
  <c r="I15" i="19"/>
  <c r="Z208" i="29"/>
  <c r="J15" i="19"/>
  <c r="AA208" i="29"/>
  <c r="K15" i="19"/>
  <c r="AB208" i="29"/>
  <c r="L15" i="19"/>
  <c r="AC208" i="29"/>
  <c r="M15" i="19"/>
  <c r="AD208" i="29"/>
  <c r="N15" i="19"/>
  <c r="AE208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E24" i="19"/>
  <c r="L233" i="29"/>
  <c r="R24" i="19"/>
  <c r="U24" i="19"/>
  <c r="AO233" i="29"/>
  <c r="E25" i="19"/>
  <c r="L234" i="29"/>
  <c r="R25" i="1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E11" i="18"/>
  <c r="Q11" i="18"/>
  <c r="Q19" i="18"/>
  <c r="R11" i="18"/>
  <c r="R12" i="18"/>
  <c r="R13" i="18"/>
  <c r="R14" i="18"/>
  <c r="S14" i="18"/>
  <c r="R15" i="18"/>
  <c r="S15" i="18"/>
  <c r="R16" i="18"/>
  <c r="T16" i="18"/>
  <c r="R17" i="18"/>
  <c r="R17" i="19"/>
  <c r="D18" i="18"/>
  <c r="D19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S24" i="18"/>
  <c r="T24" i="18"/>
  <c r="S25" i="18"/>
  <c r="T25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S44" i="17"/>
  <c r="S45" i="17"/>
  <c r="S46" i="17"/>
  <c r="AO197" i="29"/>
  <c r="S47" i="17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G6" i="14"/>
  <c r="H6" i="14"/>
  <c r="I6" i="14"/>
  <c r="K6" i="14"/>
  <c r="L6" i="15"/>
  <c r="K9" i="14"/>
  <c r="C7" i="14"/>
  <c r="E7" i="14"/>
  <c r="D7" i="14"/>
  <c r="F7" i="14"/>
  <c r="G7" i="14"/>
  <c r="H7" i="14"/>
  <c r="I7" i="14"/>
  <c r="J7" i="14"/>
  <c r="K7" i="14"/>
  <c r="L7" i="14"/>
  <c r="M7" i="14"/>
  <c r="C10" i="14"/>
  <c r="D10" i="14"/>
  <c r="G10" i="14"/>
  <c r="I10" i="14"/>
  <c r="K10" i="14"/>
  <c r="L10" i="14"/>
  <c r="E11" i="14"/>
  <c r="M11" i="14"/>
  <c r="E12" i="14"/>
  <c r="M12" i="14"/>
  <c r="E13" i="14"/>
  <c r="M13" i="14"/>
  <c r="E14" i="14"/>
  <c r="M14" i="14"/>
  <c r="E16" i="14"/>
  <c r="M16" i="14"/>
  <c r="E17" i="14"/>
  <c r="M17" i="14"/>
  <c r="C18" i="14"/>
  <c r="C8" i="14"/>
  <c r="D18" i="14"/>
  <c r="D8" i="14"/>
  <c r="G18" i="14"/>
  <c r="I18" i="14"/>
  <c r="K18" i="14"/>
  <c r="L18" i="14"/>
  <c r="L8" i="14" s="1"/>
  <c r="M8" i="15" s="1"/>
  <c r="E19" i="14"/>
  <c r="M19" i="14"/>
  <c r="E20" i="14"/>
  <c r="M20" i="14"/>
  <c r="E21" i="14"/>
  <c r="M21" i="14"/>
  <c r="E22" i="14"/>
  <c r="M22" i="14"/>
  <c r="E23" i="14"/>
  <c r="M23" i="14"/>
  <c r="C24" i="14"/>
  <c r="C24" i="15"/>
  <c r="L24" i="14"/>
  <c r="M24" i="15"/>
  <c r="O157" i="29"/>
  <c r="E25" i="14"/>
  <c r="E25" i="15"/>
  <c r="N158" i="29"/>
  <c r="M25" i="14"/>
  <c r="E26" i="14"/>
  <c r="M26" i="14"/>
  <c r="A1" i="13"/>
  <c r="W7" i="13"/>
  <c r="AO108" i="29"/>
  <c r="W8" i="13"/>
  <c r="AO109" i="29"/>
  <c r="W9" i="13"/>
  <c r="AO110" i="29"/>
  <c r="AO111" i="29"/>
  <c r="W11" i="13"/>
  <c r="AO112" i="29"/>
  <c r="W12" i="13"/>
  <c r="AO113" i="29"/>
  <c r="W13" i="13"/>
  <c r="AO114" i="29"/>
  <c r="W14" i="13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39" i="12"/>
  <c r="Q15" i="12"/>
  <c r="Q36" i="12"/>
  <c r="Q21" i="12"/>
  <c r="P25" i="12"/>
  <c r="P30" i="12"/>
  <c r="P29" i="12"/>
  <c r="R26" i="12"/>
  <c r="H33" i="32"/>
  <c r="Q33" i="33"/>
  <c r="S33" i="33"/>
  <c r="G33" i="32"/>
  <c r="C8" i="12"/>
  <c r="C8" i="13"/>
  <c r="L109" i="29"/>
  <c r="M6" i="8"/>
  <c r="P7" i="12"/>
  <c r="C7" i="12"/>
  <c r="R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R27" i="12"/>
  <c r="S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R28" i="12"/>
  <c r="S28" i="12"/>
  <c r="Q30" i="12"/>
  <c r="Q42" i="12"/>
  <c r="Q43" i="12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S12" i="11"/>
  <c r="W12" i="11"/>
  <c r="AN69" i="29"/>
  <c r="W13" i="11"/>
  <c r="AO69" i="29"/>
  <c r="W14" i="11"/>
  <c r="AO70" i="29"/>
  <c r="S15" i="11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S54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R7" i="10"/>
  <c r="AN66" i="29"/>
  <c r="R8" i="10"/>
  <c r="V7" i="10"/>
  <c r="V41" i="10"/>
  <c r="B9" i="10"/>
  <c r="B9" i="11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10" i="10"/>
  <c r="T10" i="10"/>
  <c r="B11" i="10"/>
  <c r="AN68" i="29"/>
  <c r="R11" i="10"/>
  <c r="T11" i="10"/>
  <c r="B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3" i="10"/>
  <c r="B14" i="10"/>
  <c r="AN70" i="29"/>
  <c r="R14" i="10"/>
  <c r="T14" i="10"/>
  <c r="B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B51" i="11"/>
  <c r="AN93" i="29"/>
  <c r="R51" i="10"/>
  <c r="T51" i="10"/>
  <c r="B52" i="11"/>
  <c r="AN94" i="29"/>
  <c r="R52" i="10"/>
  <c r="T52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1"/>
  <c r="AN96" i="29"/>
  <c r="R56" i="10"/>
  <c r="T56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D72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S75" i="10"/>
  <c r="S76" i="10"/>
  <c r="A1" i="9"/>
  <c r="A4" i="9"/>
  <c r="P6" i="9"/>
  <c r="AO36" i="29"/>
  <c r="P7" i="9"/>
  <c r="AO37" i="29"/>
  <c r="P8" i="9"/>
  <c r="AO38" i="29"/>
  <c r="P9" i="9"/>
  <c r="P10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P19" i="9"/>
  <c r="AO47" i="29"/>
  <c r="P20" i="9"/>
  <c r="AO48" i="29"/>
  <c r="P22" i="9"/>
  <c r="AO50" i="29"/>
  <c r="M23" i="9"/>
  <c r="P23" i="9"/>
  <c r="AO51" i="29"/>
  <c r="AO52" i="29"/>
  <c r="P26" i="9"/>
  <c r="AO53" i="29"/>
  <c r="P27" i="9"/>
  <c r="AO54" i="29"/>
  <c r="P28" i="9"/>
  <c r="AO55" i="29"/>
  <c r="P30" i="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E7" i="8"/>
  <c r="N7" i="8"/>
  <c r="D8" i="8"/>
  <c r="D9" i="8"/>
  <c r="G8" i="8"/>
  <c r="H8" i="8"/>
  <c r="I8" i="8"/>
  <c r="E10" i="8"/>
  <c r="N10" i="8"/>
  <c r="E13" i="8"/>
  <c r="N13" i="8"/>
  <c r="E14" i="8"/>
  <c r="N14" i="8"/>
  <c r="E15" i="8"/>
  <c r="N15" i="8"/>
  <c r="E19" i="8"/>
  <c r="N19" i="8"/>
  <c r="C20" i="8"/>
  <c r="D20" i="8"/>
  <c r="D17" i="8"/>
  <c r="G20" i="8"/>
  <c r="G17" i="8"/>
  <c r="I20" i="8"/>
  <c r="L20" i="8"/>
  <c r="L17" i="8"/>
  <c r="M20" i="8"/>
  <c r="M17" i="8"/>
  <c r="E24" i="8"/>
  <c r="N24" i="8"/>
  <c r="E25" i="8"/>
  <c r="N25" i="8"/>
  <c r="E26" i="8"/>
  <c r="N26" i="8"/>
  <c r="E27" i="8"/>
  <c r="N27" i="8"/>
  <c r="E30" i="8"/>
  <c r="N30" i="8"/>
  <c r="D35" i="8"/>
  <c r="G35" i="8"/>
  <c r="G35" i="9"/>
  <c r="H35" i="8"/>
  <c r="I35" i="8"/>
  <c r="L35" i="8"/>
  <c r="A1" i="7"/>
  <c r="E5" i="7"/>
  <c r="A25" i="7"/>
  <c r="A26" i="7"/>
  <c r="A27" i="7"/>
  <c r="A28" i="7"/>
  <c r="A29" i="7"/>
  <c r="A30" i="7"/>
  <c r="A31" i="7"/>
  <c r="A32" i="7"/>
  <c r="A1" i="6"/>
  <c r="B4" i="4"/>
  <c r="B56" i="29"/>
  <c r="B5" i="4"/>
  <c r="F197" i="29"/>
  <c r="B8" i="4"/>
  <c r="A4" i="10"/>
  <c r="V13" i="10"/>
  <c r="S26" i="12"/>
  <c r="O267" i="29"/>
  <c r="F18" i="22"/>
  <c r="P159" i="29"/>
  <c r="S25" i="12"/>
  <c r="R25" i="12"/>
  <c r="E10" i="14"/>
  <c r="I8" i="14"/>
  <c r="I8" i="15" s="1"/>
  <c r="T142" i="29" s="1"/>
  <c r="G8" i="14"/>
  <c r="S15" i="33"/>
  <c r="B8" i="14"/>
  <c r="B28" i="8"/>
  <c r="P158" i="29"/>
  <c r="M10" i="14"/>
  <c r="Q23" i="12"/>
  <c r="Q38" i="12"/>
  <c r="V159" i="29"/>
  <c r="Q34" i="12"/>
  <c r="O158" i="29"/>
  <c r="N25" i="15"/>
  <c r="S72" i="10"/>
  <c r="R54" i="10"/>
  <c r="T54" i="10"/>
  <c r="R44" i="10"/>
  <c r="R63" i="10"/>
  <c r="R68" i="10"/>
  <c r="T68" i="10"/>
  <c r="T8" i="10"/>
  <c r="R59" i="10"/>
  <c r="T59" i="10"/>
  <c r="U7" i="10"/>
  <c r="T7" i="10"/>
  <c r="T60" i="10"/>
  <c r="S77" i="10"/>
  <c r="R21" i="10"/>
  <c r="T21" i="10"/>
  <c r="J24" i="10"/>
  <c r="F24" i="10"/>
  <c r="R23" i="10"/>
  <c r="M24" i="10"/>
  <c r="N24" i="10"/>
  <c r="T67" i="10"/>
  <c r="V19" i="10"/>
  <c r="T63" i="10"/>
  <c r="R71" i="10"/>
  <c r="R9" i="10"/>
  <c r="U19" i="10"/>
  <c r="V10" i="10"/>
  <c r="R18" i="10"/>
  <c r="T18" i="10"/>
  <c r="U10" i="10"/>
  <c r="R53" i="10"/>
  <c r="T53" i="10"/>
  <c r="H24" i="10"/>
  <c r="R22" i="10"/>
  <c r="R15" i="10"/>
  <c r="T15" i="10"/>
  <c r="T13" i="10"/>
  <c r="U13" i="10"/>
  <c r="U14" i="10"/>
  <c r="L24" i="10"/>
  <c r="O24" i="10"/>
  <c r="G24" i="10"/>
  <c r="T61" i="10"/>
  <c r="R64" i="10"/>
  <c r="T64" i="10"/>
  <c r="P24" i="10"/>
  <c r="U16" i="10"/>
  <c r="T16" i="10"/>
  <c r="K24" i="10"/>
  <c r="Q24" i="10"/>
  <c r="I24" i="10"/>
  <c r="E24" i="10"/>
  <c r="V16" i="10"/>
  <c r="T57" i="10"/>
  <c r="R12" i="10"/>
  <c r="T12" i="10"/>
  <c r="R58" i="10"/>
  <c r="T58" i="10"/>
  <c r="T45" i="10"/>
  <c r="T44" i="10"/>
  <c r="S18" i="33"/>
  <c r="C24" i="10"/>
  <c r="P157" i="29"/>
  <c r="U20" i="10"/>
  <c r="U11" i="10"/>
  <c r="U17" i="10"/>
  <c r="T23" i="10"/>
  <c r="V22" i="10"/>
  <c r="U22" i="10"/>
  <c r="R24" i="10"/>
  <c r="T24" i="10"/>
  <c r="T22" i="10"/>
  <c r="U23" i="10"/>
  <c r="Q43" i="16"/>
  <c r="J24" i="16"/>
  <c r="M32" i="16"/>
  <c r="H32" i="16"/>
  <c r="I32" i="16"/>
  <c r="O32" i="16"/>
  <c r="L24" i="16"/>
  <c r="J32" i="16"/>
  <c r="L32" i="16"/>
  <c r="N8" i="16"/>
  <c r="I8" i="16"/>
  <c r="M24" i="16"/>
  <c r="P32" i="16"/>
  <c r="P8" i="16"/>
  <c r="F32" i="16"/>
  <c r="K8" i="16"/>
  <c r="M8" i="16"/>
  <c r="K24" i="16"/>
  <c r="L8" i="16"/>
  <c r="H8" i="16"/>
  <c r="H24" i="16"/>
  <c r="F24" i="16"/>
  <c r="N24" i="16"/>
  <c r="J8" i="16"/>
  <c r="G32" i="16"/>
  <c r="Q32" i="16"/>
  <c r="F8" i="16"/>
  <c r="O24" i="16"/>
  <c r="I24" i="16"/>
  <c r="O8" i="16"/>
  <c r="G24" i="16"/>
  <c r="P24" i="16"/>
  <c r="G8" i="16"/>
  <c r="K32" i="16"/>
  <c r="AH207" i="29"/>
  <c r="R16" i="19"/>
  <c r="S16" i="19"/>
  <c r="O220" i="29"/>
  <c r="AO210" i="29"/>
  <c r="AO230" i="29"/>
  <c r="T10" i="19"/>
  <c r="S25" i="19"/>
  <c r="T7" i="19"/>
  <c r="AO229" i="29"/>
  <c r="AO200" i="29"/>
  <c r="AO223" i="29"/>
  <c r="S17" i="18"/>
  <c r="S8" i="19"/>
  <c r="AO207" i="29"/>
  <c r="E19" i="18"/>
  <c r="S10" i="19"/>
  <c r="R12" i="19"/>
  <c r="T12" i="19"/>
  <c r="O219" i="29"/>
  <c r="E11" i="19"/>
  <c r="L222" i="29"/>
  <c r="E26" i="18"/>
  <c r="AO222" i="29"/>
  <c r="S9" i="19"/>
  <c r="T11" i="18"/>
  <c r="S12" i="18"/>
  <c r="T12" i="18"/>
  <c r="S24" i="19"/>
  <c r="AO220" i="29"/>
  <c r="O18" i="19"/>
  <c r="AF211" i="29"/>
  <c r="C19" i="18"/>
  <c r="O234" i="29"/>
  <c r="N18" i="19"/>
  <c r="AE211" i="29"/>
  <c r="T8" i="19"/>
  <c r="O209" i="29"/>
  <c r="AO226" i="29"/>
  <c r="AO215" i="29"/>
  <c r="I18" i="19"/>
  <c r="Z211" i="29"/>
  <c r="K18" i="19"/>
  <c r="AB211" i="29"/>
  <c r="F18" i="19"/>
  <c r="W211" i="29"/>
  <c r="H18" i="19"/>
  <c r="Y211" i="29"/>
  <c r="L218" i="29"/>
  <c r="J18" i="19"/>
  <c r="AA211" i="29"/>
  <c r="G18" i="19"/>
  <c r="X211" i="29"/>
  <c r="L220" i="29"/>
  <c r="T25" i="19"/>
  <c r="D11" i="19"/>
  <c r="L204" i="29"/>
  <c r="R11" i="19"/>
  <c r="S11" i="19"/>
  <c r="E18" i="19"/>
  <c r="E19" i="19"/>
  <c r="L18" i="19"/>
  <c r="AC211" i="29"/>
  <c r="AO213" i="29"/>
  <c r="AO221" i="29"/>
  <c r="D18" i="19"/>
  <c r="C11" i="19"/>
  <c r="K204" i="29"/>
  <c r="AO209" i="29"/>
  <c r="S7" i="19"/>
  <c r="T24" i="19"/>
  <c r="M18" i="19"/>
  <c r="AD211" i="29"/>
  <c r="S16" i="18"/>
  <c r="AO206" i="29"/>
  <c r="Y206" i="29"/>
  <c r="AC205" i="29"/>
  <c r="S21" i="19"/>
  <c r="C18" i="19"/>
  <c r="T17" i="18"/>
  <c r="AO217" i="29"/>
  <c r="O233" i="29"/>
  <c r="Q11" i="19"/>
  <c r="O204" i="29"/>
  <c r="P18" i="19"/>
  <c r="AG211" i="29"/>
  <c r="AO234" i="29"/>
  <c r="Q8" i="16"/>
  <c r="N32" i="16"/>
  <c r="Q24" i="16"/>
  <c r="Q31" i="16"/>
  <c r="D19" i="19"/>
  <c r="L212" i="29"/>
  <c r="T11" i="19"/>
  <c r="L211" i="29"/>
  <c r="L229" i="29"/>
  <c r="O222" i="29"/>
  <c r="N19" i="40"/>
  <c r="E10" i="20"/>
  <c r="D46" i="16"/>
  <c r="D7" i="16"/>
  <c r="N22" i="40"/>
  <c r="C13" i="20"/>
  <c r="C13" i="21"/>
  <c r="I249" i="29"/>
  <c r="F18" i="6"/>
  <c r="F14" i="6"/>
  <c r="F15" i="6"/>
  <c r="D24" i="18"/>
  <c r="F13" i="6"/>
  <c r="G81" i="10"/>
  <c r="G66" i="10"/>
  <c r="H81" i="10"/>
  <c r="H66" i="10"/>
  <c r="I81" i="10"/>
  <c r="I66" i="10"/>
  <c r="P33" i="12"/>
  <c r="I33" i="12"/>
  <c r="F33" i="12"/>
  <c r="P32" i="12"/>
  <c r="F32" i="12"/>
  <c r="G32" i="12"/>
  <c r="D30" i="32"/>
  <c r="C24" i="12"/>
  <c r="S9" i="20"/>
  <c r="D24" i="19"/>
  <c r="L215" i="29"/>
  <c r="H16" i="20"/>
  <c r="H17" i="20"/>
  <c r="F17" i="6"/>
  <c r="G17" i="6"/>
  <c r="B7" i="16"/>
  <c r="G16" i="20"/>
  <c r="E12" i="20"/>
  <c r="E12" i="21"/>
  <c r="L248" i="29"/>
  <c r="S10" i="20"/>
  <c r="T10" i="20"/>
  <c r="K18" i="12"/>
  <c r="D21" i="33"/>
  <c r="D30" i="33"/>
  <c r="H25" i="32"/>
  <c r="Q23" i="33"/>
  <c r="Q26" i="33"/>
  <c r="S26" i="33"/>
  <c r="O14" i="12"/>
  <c r="M10" i="12"/>
  <c r="E20" i="12"/>
  <c r="E18" i="12"/>
  <c r="E19" i="12"/>
  <c r="J13" i="12"/>
  <c r="I19" i="12"/>
  <c r="K20" i="12"/>
  <c r="L20" i="13"/>
  <c r="AD121" i="29"/>
  <c r="J10" i="12"/>
  <c r="O10" i="12"/>
  <c r="N14" i="12"/>
  <c r="I18" i="12"/>
  <c r="N12" i="12"/>
  <c r="N15" i="12"/>
  <c r="K10" i="12"/>
  <c r="N9" i="12"/>
  <c r="G10" i="12"/>
  <c r="O24" i="12"/>
  <c r="F16" i="20"/>
  <c r="F17" i="20"/>
  <c r="M9" i="12"/>
  <c r="N9" i="13"/>
  <c r="AF110" i="29"/>
  <c r="O16" i="12"/>
  <c r="O17" i="12"/>
  <c r="O19" i="12"/>
  <c r="O20" i="12"/>
  <c r="I11" i="12"/>
  <c r="L9" i="12"/>
  <c r="H10" i="12"/>
  <c r="L19" i="12"/>
  <c r="M19" i="13"/>
  <c r="N9" i="20"/>
  <c r="L18" i="12"/>
  <c r="J17" i="12"/>
  <c r="G18" i="12"/>
  <c r="I14" i="12"/>
  <c r="J14" i="13"/>
  <c r="I13" i="12"/>
  <c r="G13" i="12"/>
  <c r="I17" i="12"/>
  <c r="H16" i="12"/>
  <c r="H19" i="12"/>
  <c r="L12" i="12"/>
  <c r="L8" i="12"/>
  <c r="L15" i="12"/>
  <c r="L10" i="12"/>
  <c r="L11" i="12"/>
  <c r="M11" i="13"/>
  <c r="AE112" i="29"/>
  <c r="L13" i="12"/>
  <c r="L14" i="12"/>
  <c r="G17" i="12"/>
  <c r="G16" i="12"/>
  <c r="G19" i="12"/>
  <c r="G14" i="12"/>
  <c r="N18" i="12"/>
  <c r="J14" i="12"/>
  <c r="N8" i="12"/>
  <c r="M20" i="12"/>
  <c r="J20" i="12"/>
  <c r="O12" i="12"/>
  <c r="O13" i="12"/>
  <c r="H11" i="12"/>
  <c r="N11" i="12"/>
  <c r="N13" i="12"/>
  <c r="L7" i="12"/>
  <c r="N20" i="12"/>
  <c r="O20" i="13"/>
  <c r="AG121" i="29"/>
  <c r="M12" i="12"/>
  <c r="M17" i="12"/>
  <c r="M16" i="12"/>
  <c r="M19" i="12"/>
  <c r="I7" i="12"/>
  <c r="K6" i="18"/>
  <c r="K6" i="19"/>
  <c r="AB199" i="29"/>
  <c r="J42" i="12"/>
  <c r="K42" i="13"/>
  <c r="O11" i="12"/>
  <c r="P11" i="13"/>
  <c r="AH112" i="29"/>
  <c r="K14" i="12"/>
  <c r="H12" i="12"/>
  <c r="H9" i="12"/>
  <c r="D19" i="33"/>
  <c r="F20" i="20"/>
  <c r="F18" i="20"/>
  <c r="G80" i="10"/>
  <c r="G37" i="10"/>
  <c r="E46" i="33"/>
  <c r="K11" i="12"/>
  <c r="L11" i="13"/>
  <c r="E24" i="12"/>
  <c r="K9" i="12"/>
  <c r="O8" i="20"/>
  <c r="O8" i="21"/>
  <c r="M8" i="20"/>
  <c r="K7" i="12"/>
  <c r="P8" i="20"/>
  <c r="N7" i="12"/>
  <c r="O8" i="12"/>
  <c r="P8" i="13"/>
  <c r="AH109" i="29"/>
  <c r="M8" i="12"/>
  <c r="J16" i="12"/>
  <c r="F11" i="20"/>
  <c r="E51" i="16"/>
  <c r="H8" i="12"/>
  <c r="H42" i="12"/>
  <c r="I42" i="13"/>
  <c r="I16" i="12"/>
  <c r="I46" i="33"/>
  <c r="F41" i="10"/>
  <c r="D7" i="12"/>
  <c r="F8" i="20"/>
  <c r="D11" i="12"/>
  <c r="Q22" i="33"/>
  <c r="F10" i="20"/>
  <c r="E46" i="16"/>
  <c r="H39" i="32"/>
  <c r="P14" i="12"/>
  <c r="G39" i="32"/>
  <c r="C14" i="12"/>
  <c r="D14" i="12"/>
  <c r="G8" i="12"/>
  <c r="G7" i="12"/>
  <c r="I6" i="18"/>
  <c r="L8" i="20"/>
  <c r="J7" i="12"/>
  <c r="L6" i="18"/>
  <c r="F40" i="33"/>
  <c r="M7" i="12"/>
  <c r="H6" i="18"/>
  <c r="H8" i="20"/>
  <c r="O7" i="12"/>
  <c r="Q8" i="20"/>
  <c r="E53" i="16"/>
  <c r="F13" i="20"/>
  <c r="H35" i="32"/>
  <c r="P10" i="12"/>
  <c r="Q10" i="13"/>
  <c r="G8" i="20"/>
  <c r="G8" i="21"/>
  <c r="X244" i="29"/>
  <c r="E7" i="12"/>
  <c r="G6" i="18"/>
  <c r="D12" i="12"/>
  <c r="J8" i="20"/>
  <c r="H7" i="12"/>
  <c r="F76" i="10"/>
  <c r="H76" i="10"/>
  <c r="N8" i="20"/>
  <c r="K8" i="20"/>
  <c r="D28" i="30"/>
  <c r="D108" i="30"/>
  <c r="E32" i="30"/>
  <c r="G97" i="30"/>
  <c r="E29" i="32"/>
  <c r="D10" i="30"/>
  <c r="E34" i="30"/>
  <c r="G59" i="30"/>
  <c r="G119" i="30"/>
  <c r="H23" i="30"/>
  <c r="H146" i="30"/>
  <c r="I87" i="30"/>
  <c r="E34" i="32"/>
  <c r="E35" i="32"/>
  <c r="E36" i="32"/>
  <c r="E37" i="32"/>
  <c r="E38" i="32"/>
  <c r="E39" i="32"/>
  <c r="E41" i="32"/>
  <c r="E42" i="32"/>
  <c r="E43" i="32"/>
  <c r="E44" i="32"/>
  <c r="E45" i="32"/>
  <c r="D25" i="32"/>
  <c r="D31" i="30"/>
  <c r="F96" i="30"/>
  <c r="H24" i="30"/>
  <c r="H84" i="30"/>
  <c r="I28" i="30"/>
  <c r="I108" i="30"/>
  <c r="H36" i="32"/>
  <c r="P11" i="12"/>
  <c r="S36" i="33"/>
  <c r="G27" i="32"/>
  <c r="D26" i="32"/>
  <c r="D32" i="30"/>
  <c r="E96" i="30"/>
  <c r="F97" i="30"/>
  <c r="G28" i="32"/>
  <c r="E97" i="30"/>
  <c r="F118" i="30"/>
  <c r="F139" i="30"/>
  <c r="G22" i="30"/>
  <c r="G145" i="30"/>
  <c r="H38" i="32"/>
  <c r="P13" i="12"/>
  <c r="G29" i="32"/>
  <c r="D28" i="32"/>
  <c r="D34" i="30"/>
  <c r="E118" i="30"/>
  <c r="E139" i="30"/>
  <c r="F22" i="30"/>
  <c r="F119" i="30"/>
  <c r="G23" i="30"/>
  <c r="G146" i="30"/>
  <c r="H87" i="30"/>
  <c r="D29" i="32"/>
  <c r="E119" i="30"/>
  <c r="F23" i="30"/>
  <c r="G24" i="30"/>
  <c r="G84" i="30"/>
  <c r="H28" i="30"/>
  <c r="H108" i="30"/>
  <c r="I32" i="30"/>
  <c r="H41" i="32"/>
  <c r="Q41" i="33"/>
  <c r="S41" i="33"/>
  <c r="G34" i="32"/>
  <c r="C9" i="12"/>
  <c r="F25" i="32"/>
  <c r="D33" i="32"/>
  <c r="D34" i="32"/>
  <c r="D35" i="32"/>
  <c r="D36" i="32"/>
  <c r="D37" i="32"/>
  <c r="D38" i="32"/>
  <c r="D39" i="32"/>
  <c r="D96" i="30"/>
  <c r="F24" i="30"/>
  <c r="F84" i="30"/>
  <c r="H42" i="32"/>
  <c r="Q42" i="33"/>
  <c r="S42" i="33"/>
  <c r="G35" i="32"/>
  <c r="C10" i="12"/>
  <c r="C10" i="13"/>
  <c r="L111" i="29"/>
  <c r="D97" i="30"/>
  <c r="F145" i="30"/>
  <c r="H10" i="30"/>
  <c r="I34" i="30"/>
  <c r="G36" i="32"/>
  <c r="C11" i="12"/>
  <c r="D118" i="30"/>
  <c r="D139" i="30"/>
  <c r="E22" i="30"/>
  <c r="E145" i="30"/>
  <c r="F146" i="30"/>
  <c r="G87" i="30"/>
  <c r="H31" i="30"/>
  <c r="H44" i="32"/>
  <c r="Q44" i="33"/>
  <c r="S44" i="33"/>
  <c r="P19" i="12"/>
  <c r="Q19" i="13"/>
  <c r="G44" i="32"/>
  <c r="C19" i="12"/>
  <c r="D19" i="13"/>
  <c r="G37" i="32"/>
  <c r="C12" i="12"/>
  <c r="D12" i="13"/>
  <c r="F28" i="32"/>
  <c r="D119" i="30"/>
  <c r="E23" i="30"/>
  <c r="E146" i="30"/>
  <c r="G28" i="30"/>
  <c r="G108" i="30"/>
  <c r="H32" i="30"/>
  <c r="I96" i="30"/>
  <c r="H45" i="32"/>
  <c r="G38" i="32"/>
  <c r="C13" i="12"/>
  <c r="F29" i="32"/>
  <c r="E24" i="30"/>
  <c r="E84" i="30"/>
  <c r="F28" i="30"/>
  <c r="G10" i="30"/>
  <c r="H34" i="30"/>
  <c r="I118" i="30"/>
  <c r="I139" i="30"/>
  <c r="G41" i="32"/>
  <c r="C16" i="12"/>
  <c r="D22" i="30"/>
  <c r="D145" i="30"/>
  <c r="F10" i="30"/>
  <c r="F87" i="30"/>
  <c r="G31" i="30"/>
  <c r="G42" i="32"/>
  <c r="C17" i="12"/>
  <c r="D41" i="32"/>
  <c r="D42" i="32"/>
  <c r="D43" i="32"/>
  <c r="D44" i="32"/>
  <c r="D23" i="30"/>
  <c r="D146" i="30"/>
  <c r="E87" i="30"/>
  <c r="F31" i="30"/>
  <c r="F108" i="30"/>
  <c r="G32" i="30"/>
  <c r="H96" i="30"/>
  <c r="G43" i="32"/>
  <c r="D24" i="30"/>
  <c r="D84" i="30"/>
  <c r="E28" i="30"/>
  <c r="E108" i="30"/>
  <c r="F32" i="30"/>
  <c r="H97" i="30"/>
  <c r="E25" i="32"/>
  <c r="G34" i="30"/>
  <c r="H118" i="30"/>
  <c r="H139" i="30"/>
  <c r="I145" i="30"/>
  <c r="G45" i="32"/>
  <c r="C20" i="12"/>
  <c r="E10" i="30"/>
  <c r="F34" i="30"/>
  <c r="H119" i="30"/>
  <c r="I146" i="30"/>
  <c r="C10" i="6"/>
  <c r="E10" i="33"/>
  <c r="F10" i="33"/>
  <c r="M46" i="33"/>
  <c r="D46" i="33"/>
  <c r="F51" i="16"/>
  <c r="G11" i="12"/>
  <c r="G9" i="12"/>
  <c r="G15" i="12"/>
  <c r="J9" i="12"/>
  <c r="K9" i="13"/>
  <c r="AC110" i="29"/>
  <c r="O40" i="33"/>
  <c r="K19" i="12"/>
  <c r="K46" i="33"/>
  <c r="D9" i="12"/>
  <c r="G32" i="33"/>
  <c r="R15" i="19"/>
  <c r="T15" i="18"/>
  <c r="R18" i="18"/>
  <c r="T18" i="18"/>
  <c r="R19" i="18"/>
  <c r="S19" i="18"/>
  <c r="R13" i="19"/>
  <c r="O206" i="29"/>
  <c r="T13" i="18"/>
  <c r="S13" i="18"/>
  <c r="S12" i="19"/>
  <c r="O223" i="29"/>
  <c r="S15" i="19"/>
  <c r="O226" i="29"/>
  <c r="T15" i="19"/>
  <c r="T13" i="19"/>
  <c r="M157" i="29"/>
  <c r="N26" i="15"/>
  <c r="E18" i="14"/>
  <c r="E24" i="14"/>
  <c r="E24" i="15"/>
  <c r="N157" i="29"/>
  <c r="M31" i="8"/>
  <c r="E8" i="20"/>
  <c r="C18" i="12"/>
  <c r="D18" i="13"/>
  <c r="S17" i="19"/>
  <c r="T17" i="19"/>
  <c r="O228" i="29"/>
  <c r="O224" i="29"/>
  <c r="S13" i="19"/>
  <c r="T16" i="19"/>
  <c r="Q18" i="19"/>
  <c r="AH210" i="29"/>
  <c r="AH208" i="29"/>
  <c r="O227" i="29"/>
  <c r="R14" i="19"/>
  <c r="T14" i="18"/>
  <c r="P31" i="12"/>
  <c r="R81" i="10"/>
  <c r="T81" i="10"/>
  <c r="E16" i="20"/>
  <c r="E17" i="20"/>
  <c r="S23" i="33"/>
  <c r="N76" i="10"/>
  <c r="L17" i="12"/>
  <c r="L40" i="33"/>
  <c r="L46" i="33"/>
  <c r="L32" i="33"/>
  <c r="L76" i="10"/>
  <c r="L41" i="10"/>
  <c r="G13" i="20"/>
  <c r="H18" i="20"/>
  <c r="G18" i="20"/>
  <c r="E19" i="33"/>
  <c r="G20" i="20"/>
  <c r="I82" i="10"/>
  <c r="I38" i="10"/>
  <c r="F21" i="33"/>
  <c r="F30" i="33"/>
  <c r="N21" i="33"/>
  <c r="N30" i="33"/>
  <c r="H21" i="33"/>
  <c r="H30" i="33"/>
  <c r="I8" i="20"/>
  <c r="N46" i="33"/>
  <c r="I21" i="33"/>
  <c r="I30" i="33"/>
  <c r="E52" i="16"/>
  <c r="O42" i="12"/>
  <c r="L42" i="12"/>
  <c r="M42" i="13"/>
  <c r="N40" i="33"/>
  <c r="H46" i="33"/>
  <c r="F9" i="33"/>
  <c r="G11" i="20"/>
  <c r="S14" i="19"/>
  <c r="O225" i="29"/>
  <c r="T14" i="19"/>
  <c r="AH211" i="29"/>
  <c r="Q19" i="19"/>
  <c r="O212" i="29"/>
  <c r="O211" i="29"/>
  <c r="R18" i="19"/>
  <c r="T18" i="19"/>
  <c r="S18" i="19"/>
  <c r="O229" i="29"/>
  <c r="R19" i="19"/>
  <c r="T19" i="19"/>
  <c r="L28" i="8"/>
  <c r="L22" i="8"/>
  <c r="L42" i="8"/>
  <c r="C17" i="8"/>
  <c r="G28" i="8"/>
  <c r="G22" i="8"/>
  <c r="N20" i="8"/>
  <c r="I17" i="8"/>
  <c r="E20" i="8"/>
  <c r="C28" i="45"/>
  <c r="B28" i="45"/>
  <c r="B28" i="46"/>
  <c r="AL35" i="29"/>
  <c r="D5" i="29"/>
  <c r="D226" i="29"/>
  <c r="B38" i="18"/>
  <c r="A11" i="4"/>
  <c r="H16" i="4"/>
  <c r="I14" i="13"/>
  <c r="AA115" i="29"/>
  <c r="F47" i="29"/>
  <c r="E5" i="6"/>
  <c r="B39" i="18"/>
  <c r="F281" i="29"/>
  <c r="C90" i="29"/>
  <c r="D11" i="29"/>
  <c r="D6" i="29"/>
  <c r="C287" i="29"/>
  <c r="D223" i="29"/>
  <c r="D23" i="29"/>
  <c r="C157" i="29"/>
  <c r="C163" i="29"/>
  <c r="D141" i="29"/>
  <c r="C80" i="29"/>
  <c r="C39" i="29"/>
  <c r="C270" i="29"/>
  <c r="C113" i="29"/>
  <c r="D280" i="29"/>
  <c r="D293" i="29"/>
  <c r="D81" i="29"/>
  <c r="D61" i="29"/>
  <c r="D277" i="29"/>
  <c r="D278" i="29"/>
  <c r="F91" i="29"/>
  <c r="D48" i="29"/>
  <c r="D29" i="29"/>
  <c r="D268" i="29"/>
  <c r="D10" i="29"/>
  <c r="D115" i="29"/>
  <c r="D286" i="29"/>
  <c r="D147" i="29"/>
  <c r="D45" i="29"/>
  <c r="D213" i="29"/>
  <c r="D43" i="29"/>
  <c r="D224" i="29"/>
  <c r="C74" i="29"/>
  <c r="F43" i="29"/>
  <c r="D212" i="29"/>
  <c r="D148" i="29"/>
  <c r="C210" i="29"/>
  <c r="C229" i="29"/>
  <c r="C216" i="29"/>
  <c r="C174" i="29"/>
  <c r="C153" i="29"/>
  <c r="C233" i="29"/>
  <c r="C69" i="29"/>
  <c r="C82" i="29"/>
  <c r="F239" i="29"/>
  <c r="D37" i="29"/>
  <c r="D182" i="29"/>
  <c r="D283" i="29"/>
  <c r="C252" i="29"/>
  <c r="C66" i="29"/>
  <c r="F208" i="29"/>
  <c r="D146" i="29"/>
  <c r="D215" i="29"/>
  <c r="D89" i="29"/>
  <c r="D117" i="29"/>
  <c r="C127" i="29"/>
  <c r="C84" i="29"/>
  <c r="F88" i="29"/>
  <c r="D63" i="29"/>
  <c r="D238" i="29"/>
  <c r="D25" i="29"/>
  <c r="C173" i="29"/>
  <c r="C16" i="29"/>
  <c r="C226" i="29"/>
  <c r="C154" i="29"/>
  <c r="C130" i="29"/>
  <c r="D18" i="29"/>
  <c r="D130" i="29"/>
  <c r="D276" i="29"/>
  <c r="C276" i="29"/>
  <c r="C97" i="29"/>
  <c r="C202" i="29"/>
  <c r="C7" i="29"/>
  <c r="D32" i="29"/>
  <c r="C76" i="29"/>
  <c r="D174" i="29"/>
  <c r="D220" i="29"/>
  <c r="D122" i="29"/>
  <c r="C238" i="29"/>
  <c r="C191" i="29"/>
  <c r="C148" i="29"/>
  <c r="C169" i="29"/>
  <c r="C75" i="29"/>
  <c r="C259" i="29"/>
  <c r="C114" i="29"/>
  <c r="C83" i="29"/>
  <c r="C283" i="29"/>
  <c r="C199" i="29"/>
  <c r="C288" i="29"/>
  <c r="C223" i="29"/>
  <c r="D93" i="29"/>
  <c r="C180" i="29"/>
  <c r="C179" i="29"/>
  <c r="C147" i="29"/>
  <c r="C213" i="29"/>
  <c r="C208" i="29"/>
  <c r="F156" i="29"/>
  <c r="D161" i="29"/>
  <c r="C193" i="29"/>
  <c r="C112" i="29"/>
  <c r="C246" i="29"/>
  <c r="C284" i="29"/>
  <c r="D209" i="29"/>
  <c r="D60" i="29"/>
  <c r="D269" i="29"/>
  <c r="D284" i="29"/>
  <c r="C132" i="29"/>
  <c r="D177" i="29"/>
  <c r="D8" i="29"/>
  <c r="D185" i="29"/>
  <c r="D199" i="29"/>
  <c r="C57" i="29"/>
  <c r="C67" i="29"/>
  <c r="C206" i="29"/>
  <c r="D98" i="29"/>
  <c r="D175" i="29"/>
  <c r="D97" i="29"/>
  <c r="C156" i="29"/>
  <c r="C251" i="29"/>
  <c r="C106" i="29"/>
  <c r="D264" i="29"/>
  <c r="B242" i="29"/>
  <c r="B214" i="29"/>
  <c r="B41" i="29"/>
  <c r="B291" i="29"/>
  <c r="B67" i="29"/>
  <c r="B77" i="29"/>
  <c r="B72" i="29"/>
  <c r="B70" i="29"/>
  <c r="B73" i="29"/>
  <c r="B103" i="29"/>
  <c r="B243" i="29"/>
  <c r="B229" i="29"/>
  <c r="B177" i="29"/>
  <c r="B159" i="29"/>
  <c r="B124" i="29"/>
  <c r="B255" i="29"/>
  <c r="B261" i="29"/>
  <c r="B182" i="29"/>
  <c r="B192" i="29"/>
  <c r="B92" i="29"/>
  <c r="B260" i="29"/>
  <c r="B140" i="29"/>
  <c r="B174" i="29"/>
  <c r="B189" i="29"/>
  <c r="B157" i="29"/>
  <c r="B66" i="29"/>
  <c r="B240" i="29"/>
  <c r="B290" i="29"/>
  <c r="B78" i="29"/>
  <c r="B105" i="29"/>
  <c r="B193" i="29"/>
  <c r="B7" i="29"/>
  <c r="B133" i="29"/>
  <c r="B155" i="29"/>
  <c r="B16" i="29"/>
  <c r="B59" i="29"/>
  <c r="B90" i="29"/>
  <c r="B108" i="29"/>
  <c r="B222" i="29"/>
  <c r="B196" i="29"/>
  <c r="B176" i="29"/>
  <c r="B289" i="29"/>
  <c r="B20" i="29"/>
  <c r="B164" i="29"/>
  <c r="H1" i="4"/>
  <c r="B32" i="29"/>
  <c r="B295" i="29"/>
  <c r="B104" i="29"/>
  <c r="B194" i="29"/>
  <c r="B146" i="29"/>
  <c r="B223" i="29"/>
  <c r="B4" i="29"/>
  <c r="B89" i="29"/>
  <c r="B8" i="29"/>
  <c r="B107" i="29"/>
  <c r="B293" i="29"/>
  <c r="B282" i="29"/>
  <c r="B68" i="29"/>
  <c r="B273" i="29"/>
  <c r="B152" i="29"/>
  <c r="B60" i="29"/>
  <c r="B94" i="29"/>
  <c r="B272" i="29"/>
  <c r="B84" i="29"/>
  <c r="B142" i="29"/>
  <c r="B210" i="29"/>
  <c r="B119" i="29"/>
  <c r="B284" i="29"/>
  <c r="B266" i="29"/>
  <c r="B63" i="29"/>
  <c r="B52" i="29"/>
  <c r="B150" i="29"/>
  <c r="B227" i="29"/>
  <c r="B112" i="29"/>
  <c r="B80" i="29"/>
  <c r="B197" i="29"/>
  <c r="B163" i="29"/>
  <c r="B206" i="29"/>
  <c r="B65" i="29"/>
  <c r="B91" i="29"/>
  <c r="B232" i="29"/>
  <c r="B248" i="29"/>
  <c r="B286" i="29"/>
  <c r="B280" i="29"/>
  <c r="B239" i="29"/>
  <c r="B256" i="29"/>
  <c r="B230" i="29"/>
  <c r="B129" i="29"/>
  <c r="B29" i="29"/>
  <c r="B127" i="29"/>
  <c r="B264" i="29"/>
  <c r="B209" i="29"/>
  <c r="B283" i="29"/>
  <c r="B226" i="29"/>
  <c r="B186" i="29"/>
  <c r="B267" i="29"/>
  <c r="B200" i="29"/>
  <c r="B181" i="29"/>
  <c r="B110" i="29"/>
  <c r="B5" i="29"/>
  <c r="B134" i="29"/>
  <c r="B117" i="29"/>
  <c r="B130" i="29"/>
  <c r="B235" i="29"/>
  <c r="B138" i="29"/>
  <c r="B123" i="29"/>
  <c r="B161" i="29"/>
  <c r="B207" i="29"/>
  <c r="B171" i="29"/>
  <c r="B19" i="29"/>
  <c r="B98" i="29"/>
  <c r="B96" i="29"/>
  <c r="B69" i="29"/>
  <c r="B179" i="29"/>
  <c r="B58" i="29"/>
  <c r="B118" i="29"/>
  <c r="B9" i="29"/>
  <c r="B82" i="29"/>
  <c r="B100" i="29"/>
  <c r="B64" i="29"/>
  <c r="B167" i="29"/>
  <c r="B148" i="29"/>
  <c r="B201" i="29"/>
  <c r="B234" i="29"/>
  <c r="B250" i="29"/>
  <c r="B231" i="29"/>
  <c r="B30" i="29"/>
  <c r="B31" i="29"/>
  <c r="B101" i="29"/>
  <c r="B121" i="29"/>
  <c r="B145" i="29"/>
  <c r="B17" i="29"/>
  <c r="B249" i="29"/>
  <c r="B271" i="29"/>
  <c r="B162" i="29"/>
  <c r="B270" i="29"/>
  <c r="B188" i="29"/>
  <c r="B281" i="29"/>
  <c r="B47" i="29"/>
  <c r="B246" i="29"/>
  <c r="B211" i="29"/>
  <c r="B13" i="29"/>
  <c r="B51" i="29"/>
  <c r="B102" i="29"/>
  <c r="B75" i="29"/>
  <c r="B221" i="29"/>
  <c r="B204" i="29"/>
  <c r="B237" i="29"/>
  <c r="B166" i="29"/>
  <c r="B247" i="29"/>
  <c r="B275" i="29"/>
  <c r="B170" i="29"/>
  <c r="B45" i="29"/>
  <c r="B294" i="29"/>
  <c r="B205" i="29"/>
  <c r="B46" i="29"/>
  <c r="B154" i="29"/>
  <c r="B149" i="29"/>
  <c r="B36" i="29"/>
  <c r="B285" i="29"/>
  <c r="B208" i="29"/>
  <c r="B25" i="29"/>
  <c r="B81" i="29"/>
  <c r="B199" i="29"/>
  <c r="B136" i="29"/>
  <c r="B3" i="29"/>
  <c r="B224" i="29"/>
  <c r="B128" i="29"/>
  <c r="B251" i="29"/>
  <c r="B125" i="29"/>
  <c r="B53" i="29"/>
  <c r="B212" i="29"/>
  <c r="B236" i="29"/>
  <c r="B14" i="29"/>
  <c r="B113" i="29"/>
  <c r="B277" i="29"/>
  <c r="B24" i="29"/>
  <c r="B217" i="29"/>
  <c r="B228" i="29"/>
  <c r="B55" i="29"/>
  <c r="B116" i="29"/>
  <c r="B252" i="29"/>
  <c r="B184" i="29"/>
  <c r="B74" i="29"/>
  <c r="B2" i="29"/>
  <c r="B241" i="29"/>
  <c r="B50" i="29"/>
  <c r="B269" i="29"/>
  <c r="B131" i="29"/>
  <c r="B262" i="29"/>
  <c r="B87" i="29"/>
  <c r="B187" i="29"/>
  <c r="B185" i="29"/>
  <c r="B15" i="29"/>
  <c r="B54" i="29"/>
  <c r="B292" i="29"/>
  <c r="B203" i="29"/>
  <c r="B132" i="29"/>
  <c r="B198" i="29"/>
  <c r="B43" i="29"/>
  <c r="B218" i="29"/>
  <c r="B288" i="29"/>
  <c r="B83" i="29"/>
  <c r="B144" i="29"/>
  <c r="B276" i="29"/>
  <c r="B158" i="29"/>
  <c r="B180" i="29"/>
  <c r="B44" i="29"/>
  <c r="B22" i="29"/>
  <c r="B265" i="29"/>
  <c r="B173" i="29"/>
  <c r="B220" i="29"/>
  <c r="B195" i="29"/>
  <c r="B213" i="29"/>
  <c r="B12" i="29"/>
  <c r="B238" i="29"/>
  <c r="B156" i="29"/>
  <c r="B190" i="29"/>
  <c r="B38" i="29"/>
  <c r="B120" i="29"/>
  <c r="B216" i="29"/>
  <c r="B34" i="29"/>
  <c r="B11" i="29"/>
  <c r="B93" i="29"/>
  <c r="B18" i="29"/>
  <c r="B160" i="29"/>
  <c r="B37" i="29"/>
  <c r="B76" i="29"/>
  <c r="B6" i="29"/>
  <c r="B245" i="29"/>
  <c r="B23" i="29"/>
  <c r="B86" i="29"/>
  <c r="B191" i="29"/>
  <c r="B106" i="29"/>
  <c r="B175" i="29"/>
  <c r="B114" i="29"/>
  <c r="B263" i="29"/>
  <c r="B253" i="29"/>
  <c r="B147" i="29"/>
  <c r="B139" i="29"/>
  <c r="B39" i="29"/>
  <c r="B225" i="29"/>
  <c r="B254" i="29"/>
  <c r="B85" i="29"/>
  <c r="B95" i="29"/>
  <c r="B115" i="29"/>
  <c r="B57" i="29"/>
  <c r="B233" i="29"/>
  <c r="B259" i="29"/>
  <c r="B99" i="29"/>
  <c r="B153" i="29"/>
  <c r="B172" i="29"/>
  <c r="B137" i="29"/>
  <c r="B33" i="29"/>
  <c r="B244" i="29"/>
  <c r="B202" i="29"/>
  <c r="B97" i="29"/>
  <c r="B168" i="29"/>
  <c r="B274" i="29"/>
  <c r="B111" i="29"/>
  <c r="B10" i="29"/>
  <c r="B151" i="29"/>
  <c r="B21" i="29"/>
  <c r="B135" i="29"/>
  <c r="B257" i="29"/>
  <c r="B61" i="29"/>
  <c r="B40" i="29"/>
  <c r="B278" i="29"/>
  <c r="B28" i="29"/>
  <c r="B126" i="29"/>
  <c r="B268" i="29"/>
  <c r="B27" i="29"/>
  <c r="B122" i="29"/>
  <c r="B165" i="29"/>
  <c r="B215" i="29"/>
  <c r="B48" i="29"/>
  <c r="B35" i="29"/>
  <c r="B26" i="29"/>
  <c r="B219" i="29"/>
  <c r="B42" i="29"/>
  <c r="B88" i="29"/>
  <c r="B141" i="29"/>
  <c r="B178" i="29"/>
  <c r="B109" i="29"/>
  <c r="B62" i="29"/>
  <c r="B279" i="29"/>
  <c r="B71" i="29"/>
  <c r="B79" i="29"/>
  <c r="B183" i="29"/>
  <c r="B258" i="29"/>
  <c r="B287" i="29"/>
  <c r="B169" i="29"/>
  <c r="E16" i="4"/>
  <c r="C14" i="11"/>
  <c r="K70" i="29"/>
  <c r="D13" i="4"/>
  <c r="E13" i="4"/>
  <c r="C9" i="17"/>
  <c r="K161" i="29"/>
  <c r="F284" i="29"/>
  <c r="D218" i="29"/>
  <c r="D132" i="29"/>
  <c r="D254" i="29"/>
  <c r="D52" i="29"/>
  <c r="D154" i="29"/>
  <c r="D4" i="29"/>
  <c r="C155" i="29"/>
  <c r="C93" i="29"/>
  <c r="C115" i="29"/>
  <c r="C244" i="29"/>
  <c r="C125" i="29"/>
  <c r="C203" i="29"/>
  <c r="C21" i="29"/>
  <c r="C15" i="29"/>
  <c r="C228" i="29"/>
  <c r="D95" i="29"/>
  <c r="F44" i="29"/>
  <c r="A4" i="27"/>
  <c r="F16" i="29"/>
  <c r="F41" i="29"/>
  <c r="F225" i="29"/>
  <c r="F290" i="29"/>
  <c r="C72" i="29"/>
  <c r="D184" i="29"/>
  <c r="D188" i="29"/>
  <c r="D86" i="29"/>
  <c r="D66" i="29"/>
  <c r="D35" i="29"/>
  <c r="D196" i="29"/>
  <c r="C254" i="29"/>
  <c r="C52" i="29"/>
  <c r="C116" i="29"/>
  <c r="C188" i="29"/>
  <c r="C77" i="29"/>
  <c r="C292" i="29"/>
  <c r="D227" i="29"/>
  <c r="F101" i="29"/>
  <c r="A4" i="45"/>
  <c r="F85" i="29"/>
  <c r="F249" i="29"/>
  <c r="F158" i="29"/>
  <c r="F69" i="29"/>
  <c r="F205" i="29"/>
  <c r="F107" i="29"/>
  <c r="D19" i="29"/>
  <c r="D206" i="29"/>
  <c r="D228" i="29"/>
  <c r="D205" i="29"/>
  <c r="D229" i="29"/>
  <c r="D123" i="29"/>
  <c r="D26" i="29"/>
  <c r="C181" i="29"/>
  <c r="C45" i="29"/>
  <c r="C152" i="29"/>
  <c r="C207" i="29"/>
  <c r="C100" i="29"/>
  <c r="C91" i="29"/>
  <c r="D153" i="29"/>
  <c r="D36" i="29"/>
  <c r="B38" i="19"/>
  <c r="F127" i="29"/>
  <c r="F215" i="29"/>
  <c r="A6" i="20"/>
  <c r="F271" i="29"/>
  <c r="D92" i="29"/>
  <c r="D74" i="29"/>
  <c r="D289" i="29"/>
  <c r="D101" i="29"/>
  <c r="D116" i="29"/>
  <c r="D162" i="29"/>
  <c r="D282" i="29"/>
  <c r="D31" i="29"/>
  <c r="C122" i="29"/>
  <c r="C71" i="29"/>
  <c r="C282" i="29"/>
  <c r="C167" i="29"/>
  <c r="C135" i="29"/>
  <c r="C8" i="29"/>
  <c r="C275" i="29"/>
  <c r="B6" i="18"/>
  <c r="A4" i="12"/>
  <c r="D232" i="29"/>
  <c r="B39" i="19"/>
  <c r="A4" i="25"/>
  <c r="F109" i="29"/>
  <c r="D258" i="29"/>
  <c r="D291" i="29"/>
  <c r="D168" i="29"/>
  <c r="D65" i="29"/>
  <c r="D272" i="29"/>
  <c r="D77" i="29"/>
  <c r="D125" i="29"/>
  <c r="C37" i="29"/>
  <c r="C215" i="29"/>
  <c r="C50" i="29"/>
  <c r="C249" i="29"/>
  <c r="C241" i="29"/>
  <c r="C43" i="29"/>
  <c r="C218" i="29"/>
  <c r="C212" i="29"/>
  <c r="C162" i="29"/>
  <c r="D69" i="29"/>
  <c r="F188" i="29"/>
  <c r="A4" i="8"/>
  <c r="F122" i="29"/>
  <c r="F13" i="29"/>
  <c r="F212" i="29"/>
  <c r="F27" i="29"/>
  <c r="D142" i="29"/>
  <c r="D94" i="29"/>
  <c r="D9" i="29"/>
  <c r="D178" i="29"/>
  <c r="D84" i="29"/>
  <c r="D247" i="29"/>
  <c r="C293" i="29"/>
  <c r="D24" i="29"/>
  <c r="C134" i="29"/>
  <c r="C146" i="29"/>
  <c r="C63" i="29"/>
  <c r="C25" i="29"/>
  <c r="C261" i="29"/>
  <c r="C145" i="29"/>
  <c r="A4" i="14"/>
  <c r="F75" i="29"/>
  <c r="F189" i="29"/>
  <c r="F153" i="29"/>
  <c r="C88" i="29"/>
  <c r="F187" i="29"/>
  <c r="F17" i="29"/>
  <c r="F195" i="29"/>
  <c r="F94" i="29"/>
  <c r="D192" i="29"/>
  <c r="D171" i="29"/>
  <c r="D186" i="29"/>
  <c r="D55" i="29"/>
  <c r="D75" i="29"/>
  <c r="D109" i="29"/>
  <c r="C126" i="29"/>
  <c r="C4" i="29"/>
  <c r="C245" i="29"/>
  <c r="C260" i="29"/>
  <c r="C34" i="29"/>
  <c r="C54" i="29"/>
  <c r="C266" i="29"/>
  <c r="C55" i="29"/>
  <c r="C279" i="29"/>
  <c r="B5" i="16"/>
  <c r="F209" i="29"/>
  <c r="D253" i="29"/>
  <c r="D155" i="29"/>
  <c r="D100" i="29"/>
  <c r="D233" i="29"/>
  <c r="D259" i="29"/>
  <c r="D181" i="29"/>
  <c r="D203" i="29"/>
  <c r="D204" i="29"/>
  <c r="C224" i="29"/>
  <c r="C78" i="29"/>
  <c r="C237" i="29"/>
  <c r="C138" i="29"/>
  <c r="C129" i="29"/>
  <c r="C87" i="29"/>
  <c r="C104" i="29"/>
  <c r="C267" i="29"/>
  <c r="C182" i="29"/>
  <c r="D193" i="29"/>
  <c r="F199" i="29"/>
  <c r="F119" i="29"/>
  <c r="F183" i="29"/>
  <c r="F236" i="29"/>
  <c r="F96" i="29"/>
  <c r="F166" i="29"/>
  <c r="F124" i="29"/>
  <c r="F82" i="29"/>
  <c r="C291" i="29"/>
  <c r="D59" i="29"/>
  <c r="D118" i="29"/>
  <c r="D250" i="29"/>
  <c r="D46" i="29"/>
  <c r="D139" i="29"/>
  <c r="D150" i="29"/>
  <c r="D28" i="29"/>
  <c r="C280" i="29"/>
  <c r="C46" i="29"/>
  <c r="C240" i="29"/>
  <c r="C31" i="29"/>
  <c r="C143" i="29"/>
  <c r="C26" i="29"/>
  <c r="C12" i="29"/>
  <c r="C183" i="29"/>
  <c r="C109" i="29"/>
  <c r="D270" i="29"/>
  <c r="C253" i="29"/>
  <c r="F292" i="29"/>
  <c r="F152" i="29"/>
  <c r="F15" i="29"/>
  <c r="C285" i="29"/>
  <c r="D82" i="29"/>
  <c r="D47" i="29"/>
  <c r="D245" i="29"/>
  <c r="D145" i="29"/>
  <c r="D44" i="29"/>
  <c r="D16" i="29"/>
  <c r="D152" i="29"/>
  <c r="D83" i="29"/>
  <c r="D260" i="29"/>
  <c r="C96" i="29"/>
  <c r="C111" i="29"/>
  <c r="C32" i="29"/>
  <c r="C23" i="29"/>
  <c r="C196" i="29"/>
  <c r="C195" i="29"/>
  <c r="C222" i="29"/>
  <c r="C110" i="29"/>
  <c r="C17" i="29"/>
  <c r="C105" i="29"/>
  <c r="C209" i="29"/>
  <c r="F142" i="29"/>
  <c r="F120" i="29"/>
  <c r="D255" i="29"/>
  <c r="F181" i="29"/>
  <c r="F99" i="29"/>
  <c r="D103" i="29"/>
  <c r="D136" i="29"/>
  <c r="D287" i="29"/>
  <c r="D144" i="29"/>
  <c r="D241" i="29"/>
  <c r="D239" i="29"/>
  <c r="D85" i="29"/>
  <c r="D216" i="29"/>
  <c r="D230" i="29"/>
  <c r="D62" i="29"/>
  <c r="D221" i="29"/>
  <c r="C189" i="29"/>
  <c r="C236" i="29"/>
  <c r="C123" i="29"/>
  <c r="C204" i="29"/>
  <c r="C277" i="29"/>
  <c r="C94" i="29"/>
  <c r="C133" i="29"/>
  <c r="C149" i="29"/>
  <c r="C227" i="29"/>
  <c r="C13" i="29"/>
  <c r="C211" i="29"/>
  <c r="C160" i="29"/>
  <c r="F214" i="29"/>
  <c r="Q36" i="19"/>
  <c r="O240" i="29"/>
  <c r="F242" i="29"/>
  <c r="Q37" i="19"/>
  <c r="O241" i="29"/>
  <c r="F28" i="29"/>
  <c r="F174" i="29"/>
  <c r="D138" i="29"/>
  <c r="D266" i="29"/>
  <c r="D252" i="29"/>
  <c r="D110" i="29"/>
  <c r="D13" i="29"/>
  <c r="D120" i="29"/>
  <c r="D201" i="29"/>
  <c r="D79" i="29"/>
  <c r="D194" i="29"/>
  <c r="D58" i="29"/>
  <c r="C198" i="29"/>
  <c r="D219" i="29"/>
  <c r="C239" i="29"/>
  <c r="C197" i="29"/>
  <c r="C20" i="29"/>
  <c r="C190" i="29"/>
  <c r="C107" i="29"/>
  <c r="C184" i="29"/>
  <c r="C271" i="29"/>
  <c r="C64" i="29"/>
  <c r="C60" i="29"/>
  <c r="D12" i="29"/>
  <c r="F147" i="29"/>
  <c r="D143" i="29"/>
  <c r="C214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E28" i="18"/>
  <c r="B13" i="4"/>
  <c r="B16" i="4"/>
  <c r="C13" i="4"/>
  <c r="C16" i="4"/>
  <c r="H13" i="4"/>
  <c r="G16" i="4"/>
  <c r="E29" i="9"/>
  <c r="N56" i="29"/>
  <c r="D16" i="4"/>
  <c r="F13" i="4"/>
  <c r="G13" i="4"/>
  <c r="D43" i="17"/>
  <c r="L195" i="29"/>
  <c r="F16" i="4"/>
  <c r="C34" i="11"/>
  <c r="K83" i="29"/>
  <c r="C44" i="11"/>
  <c r="C47" i="11"/>
  <c r="K91" i="29"/>
  <c r="B15" i="9"/>
  <c r="K44" i="29"/>
  <c r="C65" i="11"/>
  <c r="C46" i="11"/>
  <c r="K90" i="29"/>
  <c r="C37" i="17"/>
  <c r="K189" i="29"/>
  <c r="C16" i="17"/>
  <c r="K168" i="29"/>
  <c r="C27" i="17"/>
  <c r="K179" i="29"/>
  <c r="C20" i="17"/>
  <c r="K172" i="29"/>
  <c r="C12" i="17"/>
  <c r="K164" i="29"/>
  <c r="C39" i="17"/>
  <c r="K191" i="29"/>
  <c r="C22" i="17"/>
  <c r="K174" i="29"/>
  <c r="C24" i="17"/>
  <c r="K176" i="29"/>
  <c r="C41" i="17"/>
  <c r="K193" i="29"/>
  <c r="C14" i="17"/>
  <c r="K166" i="29"/>
  <c r="C13" i="17"/>
  <c r="K165" i="29"/>
  <c r="C10" i="17"/>
  <c r="K162" i="29"/>
  <c r="C45" i="17"/>
  <c r="K196" i="29"/>
  <c r="C42" i="17"/>
  <c r="K194" i="29"/>
  <c r="C36" i="17"/>
  <c r="K188" i="29"/>
  <c r="C17" i="17"/>
  <c r="K169" i="29"/>
  <c r="R1" i="16"/>
  <c r="G1" i="6"/>
  <c r="W1" i="11"/>
  <c r="D1" i="28"/>
  <c r="O1" i="15"/>
  <c r="P1" i="9"/>
  <c r="W1" i="10"/>
  <c r="F1" i="22"/>
  <c r="U1" i="18"/>
  <c r="O1" i="8"/>
  <c r="U1" i="21"/>
  <c r="G1" i="26"/>
  <c r="D1" i="46"/>
  <c r="G1" i="7"/>
  <c r="N1" i="14"/>
  <c r="G1" i="25"/>
  <c r="S1" i="17"/>
  <c r="D1" i="45"/>
  <c r="T1" i="12"/>
  <c r="W1" i="13"/>
  <c r="U1" i="19"/>
  <c r="D1" i="27"/>
  <c r="U1" i="20"/>
  <c r="J57" i="11"/>
  <c r="AA97" i="29"/>
  <c r="S41" i="11"/>
  <c r="F13" i="11"/>
  <c r="N24" i="9"/>
  <c r="M65" i="11"/>
  <c r="R29" i="13"/>
  <c r="P130" i="29"/>
  <c r="J26" i="11"/>
  <c r="AA78" i="29"/>
  <c r="H28" i="11"/>
  <c r="M38" i="9"/>
  <c r="J50" i="11"/>
  <c r="F25" i="13"/>
  <c r="X126" i="29"/>
  <c r="O34" i="11"/>
  <c r="AF83" i="29"/>
  <c r="L32" i="11"/>
  <c r="AC82" i="29"/>
  <c r="M25" i="9"/>
  <c r="P52" i="29"/>
  <c r="G7" i="11"/>
  <c r="O14" i="11"/>
  <c r="AF70" i="29"/>
  <c r="M26" i="11"/>
  <c r="AD78" i="29"/>
  <c r="B10" i="28"/>
  <c r="AI279" i="29"/>
  <c r="P32" i="11"/>
  <c r="L7" i="15"/>
  <c r="P141" i="29"/>
  <c r="M19" i="11"/>
  <c r="N47" i="11"/>
  <c r="AE91" i="29"/>
  <c r="G32" i="11"/>
  <c r="X82" i="29"/>
  <c r="H32" i="11"/>
  <c r="Y82" i="29"/>
  <c r="G26" i="13"/>
  <c r="Y127" i="29"/>
  <c r="P71" i="11"/>
  <c r="AG105" i="29"/>
  <c r="S20" i="11"/>
  <c r="P74" i="29"/>
  <c r="F51" i="11"/>
  <c r="K51" i="11"/>
  <c r="AB93" i="29"/>
  <c r="J13" i="13"/>
  <c r="AB114" i="29"/>
  <c r="N11" i="11"/>
  <c r="AE68" i="29"/>
  <c r="R12" i="13"/>
  <c r="P113" i="29"/>
  <c r="M16" i="9"/>
  <c r="P45" i="29"/>
  <c r="C23" i="28"/>
  <c r="AJ292" i="29"/>
  <c r="K31" i="11"/>
  <c r="H67" i="11"/>
  <c r="Y103" i="29"/>
  <c r="I28" i="13"/>
  <c r="AA129" i="29"/>
  <c r="I65" i="11"/>
  <c r="K7" i="11"/>
  <c r="N14" i="11"/>
  <c r="AE70" i="29"/>
  <c r="C10" i="28"/>
  <c r="AJ279" i="29"/>
  <c r="R13" i="13"/>
  <c r="P114" i="29"/>
  <c r="G17" i="11"/>
  <c r="X72" i="29"/>
  <c r="B18" i="28"/>
  <c r="AI287" i="29"/>
  <c r="D6" i="28"/>
  <c r="H7" i="11"/>
  <c r="H22" i="11"/>
  <c r="B22" i="28"/>
  <c r="AI291" i="29"/>
  <c r="G67" i="11"/>
  <c r="X103" i="29"/>
  <c r="S11" i="11"/>
  <c r="P68" i="29"/>
  <c r="M15" i="15"/>
  <c r="Q61" i="11"/>
  <c r="AH99" i="29"/>
  <c r="K8" i="13"/>
  <c r="AC109" i="29"/>
  <c r="O7" i="11"/>
  <c r="R30" i="19"/>
  <c r="R22" i="13"/>
  <c r="P123" i="29"/>
  <c r="F61" i="11"/>
  <c r="C9" i="46"/>
  <c r="AM16" i="29"/>
  <c r="N19" i="11"/>
  <c r="L71" i="11"/>
  <c r="AC105" i="29"/>
  <c r="D13" i="26"/>
  <c r="O31" i="11"/>
  <c r="B9" i="28"/>
  <c r="AI278" i="29"/>
  <c r="M20" i="11"/>
  <c r="AD74" i="29"/>
  <c r="H60" i="11"/>
  <c r="H19" i="11"/>
  <c r="P57" i="11"/>
  <c r="AG97" i="29"/>
  <c r="Q60" i="11"/>
  <c r="I28" i="11"/>
  <c r="C9" i="26"/>
  <c r="D14" i="26"/>
  <c r="O274" i="29"/>
  <c r="K61" i="11"/>
  <c r="AB99" i="29"/>
  <c r="L13" i="13"/>
  <c r="AD114" i="29"/>
  <c r="P26" i="11"/>
  <c r="AG78" i="29"/>
  <c r="C17" i="28"/>
  <c r="AJ286" i="29"/>
  <c r="M28" i="13"/>
  <c r="AE129" i="29"/>
  <c r="Q8" i="11"/>
  <c r="AH66" i="29"/>
  <c r="I44" i="11"/>
  <c r="H57" i="11"/>
  <c r="S8" i="21"/>
  <c r="N19" i="9"/>
  <c r="L57" i="11"/>
  <c r="AC97" i="29"/>
  <c r="M16" i="11"/>
  <c r="K27" i="13"/>
  <c r="AC128" i="29"/>
  <c r="C7" i="46"/>
  <c r="AM14" i="29"/>
  <c r="D16" i="28"/>
  <c r="N8" i="11"/>
  <c r="AE66" i="29"/>
  <c r="I22" i="11"/>
  <c r="Q20" i="11"/>
  <c r="AH74" i="29"/>
  <c r="J25" i="11"/>
  <c r="I71" i="11"/>
  <c r="Z105" i="29"/>
  <c r="M35" i="9"/>
  <c r="P62" i="29"/>
  <c r="L11" i="11"/>
  <c r="AC68" i="29"/>
  <c r="N45" i="11"/>
  <c r="AE89" i="29"/>
  <c r="N15" i="9"/>
  <c r="P13" i="11"/>
  <c r="H51" i="11"/>
  <c r="Y93" i="29"/>
  <c r="O28" i="13"/>
  <c r="AG129" i="29"/>
  <c r="S60" i="11"/>
  <c r="P98" i="29"/>
  <c r="E25" i="13"/>
  <c r="W126" i="29"/>
  <c r="N22" i="11"/>
  <c r="F62" i="11"/>
  <c r="Q28" i="13"/>
  <c r="M25" i="13"/>
  <c r="AE126" i="29"/>
  <c r="I35" i="11"/>
  <c r="Z84" i="29"/>
  <c r="P62" i="11"/>
  <c r="AG100" i="29"/>
  <c r="P56" i="11"/>
  <c r="AG96" i="29"/>
  <c r="M37" i="9"/>
  <c r="P63" i="29"/>
  <c r="N35" i="11"/>
  <c r="AE84" i="29"/>
  <c r="L35" i="11"/>
  <c r="AC84" i="29"/>
  <c r="M23" i="11"/>
  <c r="AD76" i="29"/>
  <c r="J45" i="11"/>
  <c r="AA89" i="29"/>
  <c r="C6" i="28"/>
  <c r="J23" i="11"/>
  <c r="AA76" i="29"/>
  <c r="M26" i="9"/>
  <c r="P53" i="29"/>
  <c r="Q25" i="11"/>
  <c r="S76" i="11"/>
  <c r="P107" i="29"/>
  <c r="Q62" i="11"/>
  <c r="AH100" i="29"/>
  <c r="R25" i="13"/>
  <c r="P126" i="29"/>
  <c r="Q17" i="11"/>
  <c r="AH72" i="29"/>
  <c r="R20" i="13"/>
  <c r="P121" i="29"/>
  <c r="N28" i="11"/>
  <c r="O8" i="11"/>
  <c r="AF66" i="29"/>
  <c r="N26" i="13"/>
  <c r="AF127" i="29"/>
  <c r="F17" i="13"/>
  <c r="X118" i="29"/>
  <c r="O26" i="11"/>
  <c r="AF78" i="29"/>
  <c r="H61" i="11"/>
  <c r="Y99" i="29"/>
  <c r="D22" i="28"/>
  <c r="AK291" i="29"/>
  <c r="S34" i="11"/>
  <c r="P83" i="29"/>
  <c r="M56" i="11"/>
  <c r="AD96" i="29"/>
  <c r="C13" i="28"/>
  <c r="AJ282" i="29"/>
  <c r="N57" i="11"/>
  <c r="AE97" i="29"/>
  <c r="G19" i="11"/>
  <c r="G27" i="13"/>
  <c r="Y128" i="29"/>
  <c r="M26" i="13"/>
  <c r="AE127" i="29"/>
  <c r="O27" i="13"/>
  <c r="AG128" i="29"/>
  <c r="B12" i="28"/>
  <c r="AI281" i="29"/>
  <c r="D17" i="28"/>
  <c r="AK286" i="29"/>
  <c r="S22" i="11"/>
  <c r="P75" i="29"/>
  <c r="R16" i="13"/>
  <c r="P117" i="29"/>
  <c r="D27" i="13"/>
  <c r="M17" i="15"/>
  <c r="K10" i="11"/>
  <c r="C16" i="46"/>
  <c r="AM23" i="29"/>
  <c r="L55" i="11"/>
  <c r="H44" i="11"/>
  <c r="N27" i="9"/>
  <c r="C8" i="28"/>
  <c r="AJ277" i="29"/>
  <c r="J71" i="11"/>
  <c r="AA105" i="29"/>
  <c r="P20" i="11"/>
  <c r="AG74" i="29"/>
  <c r="Q65" i="11"/>
  <c r="J16" i="11"/>
  <c r="B13" i="28"/>
  <c r="AI282" i="29"/>
  <c r="H26" i="11"/>
  <c r="Y78" i="29"/>
  <c r="M57" i="11"/>
  <c r="AD97" i="29"/>
  <c r="R21" i="13"/>
  <c r="P122" i="29"/>
  <c r="C19" i="46"/>
  <c r="AM26" i="29"/>
  <c r="I47" i="11"/>
  <c r="Z91" i="29"/>
  <c r="G28" i="13"/>
  <c r="Y129" i="29"/>
  <c r="N31" i="11"/>
  <c r="F29" i="11"/>
  <c r="L44" i="11"/>
  <c r="Q47" i="11"/>
  <c r="AH91" i="29"/>
  <c r="Q10" i="11"/>
  <c r="D8" i="28"/>
  <c r="AK277" i="29"/>
  <c r="L16" i="15"/>
  <c r="P149" i="29"/>
  <c r="H31" i="11"/>
  <c r="Y81" i="29"/>
  <c r="G46" i="11"/>
  <c r="X90" i="29"/>
  <c r="K11" i="11"/>
  <c r="AB68" i="29"/>
  <c r="F23" i="11"/>
  <c r="N20" i="9"/>
  <c r="K20" i="11"/>
  <c r="AB74" i="29"/>
  <c r="F71" i="11"/>
  <c r="W105" i="29"/>
  <c r="L51" i="11"/>
  <c r="AC93" i="29"/>
  <c r="C22" i="28"/>
  <c r="AJ291" i="29"/>
  <c r="P28" i="11"/>
  <c r="L22" i="15"/>
  <c r="P155" i="29"/>
  <c r="L14" i="11"/>
  <c r="AC70" i="29"/>
  <c r="J62" i="11"/>
  <c r="AA100" i="29"/>
  <c r="I34" i="11"/>
  <c r="L23" i="15"/>
  <c r="P156" i="29"/>
  <c r="M35" i="11"/>
  <c r="AD84" i="29"/>
  <c r="C11" i="46"/>
  <c r="AM18" i="29"/>
  <c r="L26" i="11"/>
  <c r="AC78" i="29"/>
  <c r="F55" i="11"/>
  <c r="L65" i="11"/>
  <c r="R8" i="13"/>
  <c r="P109" i="29"/>
  <c r="I19" i="11"/>
  <c r="C25" i="46"/>
  <c r="AM32" i="29"/>
  <c r="Q23" i="11"/>
  <c r="AH76" i="29"/>
  <c r="P19" i="11"/>
  <c r="J38" i="11"/>
  <c r="AA86" i="29"/>
  <c r="I11" i="11"/>
  <c r="Z68" i="29"/>
  <c r="L10" i="9"/>
  <c r="V39" i="29"/>
  <c r="Q44" i="11"/>
  <c r="D23" i="28"/>
  <c r="AK292" i="29"/>
  <c r="M62" i="11"/>
  <c r="AD100" i="29"/>
  <c r="K25" i="11"/>
  <c r="AB77" i="29"/>
  <c r="M34" i="11"/>
  <c r="S52" i="11"/>
  <c r="P94" i="29"/>
  <c r="Q51" i="11"/>
  <c r="AH93" i="29"/>
  <c r="I20" i="11"/>
  <c r="Z74" i="29"/>
  <c r="P17" i="13"/>
  <c r="AH118" i="29"/>
  <c r="L22" i="11"/>
  <c r="C12" i="46"/>
  <c r="AM19" i="29"/>
  <c r="J34" i="11"/>
  <c r="P22" i="11"/>
  <c r="I7" i="11"/>
  <c r="I32" i="11"/>
  <c r="Z82" i="29"/>
  <c r="G34" i="11"/>
  <c r="M14" i="11"/>
  <c r="AD70" i="29"/>
  <c r="P12" i="13"/>
  <c r="AH113" i="29"/>
  <c r="M10" i="9"/>
  <c r="P39" i="29"/>
  <c r="Q50" i="11"/>
  <c r="C26" i="46"/>
  <c r="AM33" i="29"/>
  <c r="H8" i="11"/>
  <c r="Y66" i="29"/>
  <c r="O22" i="11"/>
  <c r="L8" i="11"/>
  <c r="AC66" i="29"/>
  <c r="M61" i="11"/>
  <c r="AD99" i="29"/>
  <c r="R17" i="13"/>
  <c r="P118" i="29"/>
  <c r="F52" i="11"/>
  <c r="C23" i="46"/>
  <c r="AM30" i="29"/>
  <c r="P47" i="11"/>
  <c r="AG91" i="29"/>
  <c r="L13" i="11"/>
  <c r="M10" i="15"/>
  <c r="L29" i="11"/>
  <c r="AC80" i="29"/>
  <c r="H56" i="11"/>
  <c r="Y96" i="29"/>
  <c r="P45" i="11"/>
  <c r="AG89" i="29"/>
  <c r="J25" i="13"/>
  <c r="AB126" i="29"/>
  <c r="G51" i="11"/>
  <c r="X93" i="29"/>
  <c r="K45" i="11"/>
  <c r="AB89" i="29"/>
  <c r="H23" i="11"/>
  <c r="Y76" i="29"/>
  <c r="J8" i="11"/>
  <c r="AA66" i="29"/>
  <c r="P46" i="11"/>
  <c r="AG90" i="29"/>
  <c r="D10" i="26"/>
  <c r="K25" i="13"/>
  <c r="AC126" i="29"/>
  <c r="B19" i="28"/>
  <c r="AI288" i="29"/>
  <c r="L17" i="11"/>
  <c r="AC72" i="29"/>
  <c r="G8" i="11"/>
  <c r="X66" i="29"/>
  <c r="O44" i="11"/>
  <c r="O11" i="11"/>
  <c r="AF68" i="29"/>
  <c r="Q29" i="11"/>
  <c r="AH80" i="29"/>
  <c r="N13" i="9"/>
  <c r="O16" i="11"/>
  <c r="N44" i="11"/>
  <c r="S7" i="11"/>
  <c r="P65" i="29"/>
  <c r="S56" i="11"/>
  <c r="P96" i="29"/>
  <c r="S13" i="11"/>
  <c r="P69" i="29"/>
  <c r="S31" i="11"/>
  <c r="P81" i="29"/>
  <c r="S66" i="11"/>
  <c r="P102" i="29"/>
  <c r="Q35" i="11"/>
  <c r="AH84" i="29"/>
  <c r="O35" i="11"/>
  <c r="AF84" i="29"/>
  <c r="J44" i="11"/>
  <c r="S37" i="11"/>
  <c r="P85" i="29"/>
  <c r="M22" i="9"/>
  <c r="P50" i="29"/>
  <c r="P52" i="11"/>
  <c r="AG94" i="29"/>
  <c r="Q11" i="11"/>
  <c r="AH68" i="29"/>
  <c r="M55" i="11"/>
  <c r="L10" i="15"/>
  <c r="P143" i="29"/>
  <c r="C15" i="46"/>
  <c r="AM22" i="29"/>
  <c r="P10" i="11"/>
  <c r="K23" i="11"/>
  <c r="AB76" i="29"/>
  <c r="J29" i="11"/>
  <c r="AA80" i="29"/>
  <c r="H55" i="11"/>
  <c r="L67" i="11"/>
  <c r="AC103" i="29"/>
  <c r="K18" i="13"/>
  <c r="AC119" i="29"/>
  <c r="K28" i="11"/>
  <c r="S35" i="11"/>
  <c r="P84" i="29"/>
  <c r="L11" i="15"/>
  <c r="P144" i="29"/>
  <c r="Q22" i="11"/>
  <c r="S40" i="11"/>
  <c r="C12" i="28"/>
  <c r="AJ281" i="29"/>
  <c r="N29" i="11"/>
  <c r="AE80" i="29"/>
  <c r="Q27" i="13"/>
  <c r="N28" i="13"/>
  <c r="AF129" i="29"/>
  <c r="F35" i="11"/>
  <c r="O56" i="11"/>
  <c r="AF96" i="29"/>
  <c r="J13" i="11"/>
  <c r="B23" i="28"/>
  <c r="AI292" i="29"/>
  <c r="H28" i="13"/>
  <c r="Z129" i="29"/>
  <c r="R14" i="13"/>
  <c r="P115" i="29"/>
  <c r="I14" i="11"/>
  <c r="Z70" i="29"/>
  <c r="O17" i="11"/>
  <c r="AF72" i="29"/>
  <c r="L25" i="11"/>
  <c r="N18" i="13"/>
  <c r="AF119" i="29"/>
  <c r="F65" i="11"/>
  <c r="K57" i="11"/>
  <c r="AB97" i="29"/>
  <c r="M13" i="9"/>
  <c r="P42" i="29"/>
  <c r="R24" i="13"/>
  <c r="P125" i="29"/>
  <c r="I23" i="11"/>
  <c r="Z76" i="29"/>
  <c r="F20" i="11"/>
  <c r="N7" i="11"/>
  <c r="F67" i="11"/>
  <c r="F28" i="11"/>
  <c r="D26" i="13"/>
  <c r="J22" i="11"/>
  <c r="Q57" i="11"/>
  <c r="AH97" i="29"/>
  <c r="Q32" i="11"/>
  <c r="AH82" i="29"/>
  <c r="M6" i="9"/>
  <c r="F57" i="11"/>
  <c r="K29" i="11"/>
  <c r="K30" i="11"/>
  <c r="L50" i="11"/>
  <c r="C27" i="46"/>
  <c r="AM34" i="29"/>
  <c r="J20" i="13"/>
  <c r="AB121" i="29"/>
  <c r="R44" i="11"/>
  <c r="P25" i="11"/>
  <c r="F27" i="13"/>
  <c r="X128" i="29"/>
  <c r="I50" i="11"/>
  <c r="N50" i="11"/>
  <c r="H52" i="11"/>
  <c r="Y94" i="29"/>
  <c r="S65" i="11"/>
  <c r="P101" i="29"/>
  <c r="J28" i="13"/>
  <c r="AB129" i="29"/>
  <c r="F16" i="11"/>
  <c r="G60" i="11"/>
  <c r="H50" i="11"/>
  <c r="M60" i="11"/>
  <c r="J19" i="11"/>
  <c r="S51" i="11"/>
  <c r="P93" i="29"/>
  <c r="I26" i="13"/>
  <c r="AA127" i="29"/>
  <c r="F45" i="11"/>
  <c r="I25" i="13"/>
  <c r="AA126" i="29"/>
  <c r="L19" i="11"/>
  <c r="F31" i="11"/>
  <c r="J27" i="13"/>
  <c r="AB128" i="29"/>
  <c r="F22" i="11"/>
  <c r="C20" i="28"/>
  <c r="AJ289" i="29"/>
  <c r="O46" i="11"/>
  <c r="AF90" i="29"/>
  <c r="Q25" i="13"/>
  <c r="G13" i="11"/>
  <c r="J32" i="11"/>
  <c r="AA82" i="29"/>
  <c r="Q34" i="11"/>
  <c r="L15" i="15"/>
  <c r="P148" i="29"/>
  <c r="G45" i="11"/>
  <c r="F34" i="11"/>
  <c r="M11" i="11"/>
  <c r="AD68" i="29"/>
  <c r="I13" i="11"/>
  <c r="R7" i="13"/>
  <c r="R37" i="13"/>
  <c r="J60" i="11"/>
  <c r="P55" i="11"/>
  <c r="H10" i="11"/>
  <c r="H35" i="11"/>
  <c r="Y84" i="29"/>
  <c r="G28" i="11"/>
  <c r="H34" i="11"/>
  <c r="M28" i="11"/>
  <c r="Q55" i="11"/>
  <c r="P65" i="11"/>
  <c r="D7" i="28"/>
  <c r="AK276" i="29"/>
  <c r="G56" i="11"/>
  <c r="X96" i="29"/>
  <c r="N26" i="11"/>
  <c r="AE78" i="29"/>
  <c r="K67" i="11"/>
  <c r="AB103" i="29"/>
  <c r="M67" i="11"/>
  <c r="AD103" i="29"/>
  <c r="H14" i="11"/>
  <c r="Y70" i="29"/>
  <c r="R23" i="13"/>
  <c r="P124" i="29"/>
  <c r="C19" i="28"/>
  <c r="AJ288" i="29"/>
  <c r="N14" i="9"/>
  <c r="H16" i="11"/>
  <c r="P60" i="11"/>
  <c r="L8" i="15"/>
  <c r="S47" i="11"/>
  <c r="P91" i="29"/>
  <c r="N62" i="11"/>
  <c r="AE100" i="29"/>
  <c r="R29" i="19"/>
  <c r="N60" i="11"/>
  <c r="AE98" i="29"/>
  <c r="I25" i="11"/>
  <c r="M12" i="9"/>
  <c r="P41" i="29"/>
  <c r="I61" i="11"/>
  <c r="Z99" i="29"/>
  <c r="C10" i="46"/>
  <c r="AM17" i="29"/>
  <c r="F46" i="11"/>
  <c r="Q13" i="11"/>
  <c r="Q52" i="11"/>
  <c r="AH94" i="29"/>
  <c r="C18" i="46"/>
  <c r="AM25" i="29"/>
  <c r="O52" i="11"/>
  <c r="AF94" i="29"/>
  <c r="D11" i="28"/>
  <c r="AK280" i="29"/>
  <c r="D19" i="28"/>
  <c r="AK288" i="29"/>
  <c r="G71" i="11"/>
  <c r="X105" i="29"/>
  <c r="I51" i="11"/>
  <c r="Z93" i="29"/>
  <c r="L47" i="11"/>
  <c r="AC91" i="29"/>
  <c r="J10" i="11"/>
  <c r="H25" i="13"/>
  <c r="Z126" i="29"/>
  <c r="D20" i="28"/>
  <c r="AK289" i="29"/>
  <c r="K52" i="11"/>
  <c r="AB94" i="29"/>
  <c r="C18" i="28"/>
  <c r="AJ287" i="29"/>
  <c r="K44" i="11"/>
  <c r="M17" i="9"/>
  <c r="P46" i="29"/>
  <c r="N55" i="11"/>
  <c r="I16" i="11"/>
  <c r="J61" i="11"/>
  <c r="AA99" i="29"/>
  <c r="G10" i="11"/>
  <c r="M12" i="15"/>
  <c r="D21" i="28"/>
  <c r="AK290" i="29"/>
  <c r="I52" i="11"/>
  <c r="Z94" i="29"/>
  <c r="M44" i="11"/>
  <c r="F14" i="11"/>
  <c r="L20" i="11"/>
  <c r="AC74" i="29"/>
  <c r="B16" i="28"/>
  <c r="AI285" i="29"/>
  <c r="G14" i="11"/>
  <c r="X70" i="29"/>
  <c r="P61" i="11"/>
  <c r="AG99" i="29"/>
  <c r="J31" i="11"/>
  <c r="L12" i="15"/>
  <c r="P145" i="29"/>
  <c r="D14" i="28"/>
  <c r="AK283" i="29"/>
  <c r="B14" i="28"/>
  <c r="AI283" i="29"/>
  <c r="N16" i="11"/>
  <c r="R19" i="13"/>
  <c r="P120" i="29"/>
  <c r="I62" i="11"/>
  <c r="Z100" i="29"/>
  <c r="L61" i="11"/>
  <c r="AC99" i="29"/>
  <c r="M19" i="15"/>
  <c r="M21" i="15"/>
  <c r="N71" i="11"/>
  <c r="AE105" i="29"/>
  <c r="M32" i="11"/>
  <c r="AD82" i="29"/>
  <c r="S55" i="11"/>
  <c r="P95" i="29"/>
  <c r="N13" i="13"/>
  <c r="AF114" i="29"/>
  <c r="B11" i="28"/>
  <c r="AI280" i="29"/>
  <c r="I45" i="11"/>
  <c r="Z89" i="29"/>
  <c r="J20" i="11"/>
  <c r="AA74" i="29"/>
  <c r="L16" i="11"/>
  <c r="K50" i="11"/>
  <c r="B6" i="28"/>
  <c r="S45" i="11"/>
  <c r="P89" i="29"/>
  <c r="B21" i="28"/>
  <c r="AI290" i="29"/>
  <c r="F28" i="13"/>
  <c r="X129" i="29"/>
  <c r="L62" i="11"/>
  <c r="AC100" i="29"/>
  <c r="S70" i="11"/>
  <c r="S25" i="11"/>
  <c r="P77" i="29"/>
  <c r="L14" i="15"/>
  <c r="P147" i="29"/>
  <c r="S17" i="11"/>
  <c r="P72" i="29"/>
  <c r="P23" i="11"/>
  <c r="AG76" i="29"/>
  <c r="K62" i="11"/>
  <c r="AB100" i="29"/>
  <c r="G20" i="11"/>
  <c r="X74" i="29"/>
  <c r="S71" i="11"/>
  <c r="P105" i="29"/>
  <c r="M29" i="11"/>
  <c r="AD80" i="29"/>
  <c r="S10" i="11"/>
  <c r="P67" i="29"/>
  <c r="N67" i="11"/>
  <c r="AE103" i="29"/>
  <c r="M14" i="15"/>
  <c r="G50" i="11"/>
  <c r="F56" i="11"/>
  <c r="H47" i="11"/>
  <c r="Y91" i="29"/>
  <c r="R33" i="13"/>
  <c r="P134" i="29"/>
  <c r="G52" i="11"/>
  <c r="X94" i="29"/>
  <c r="M31" i="9"/>
  <c r="P58" i="29"/>
  <c r="N23" i="11"/>
  <c r="AE76" i="29"/>
  <c r="G65" i="11"/>
  <c r="H13" i="13"/>
  <c r="Z114" i="29"/>
  <c r="O25" i="13"/>
  <c r="AG126" i="29"/>
  <c r="R10" i="13"/>
  <c r="P111" i="29"/>
  <c r="Q71" i="11"/>
  <c r="AH105" i="29"/>
  <c r="F60" i="11"/>
  <c r="G11" i="13"/>
  <c r="Y112" i="29"/>
  <c r="S19" i="11"/>
  <c r="P73" i="29"/>
  <c r="E16" i="13"/>
  <c r="W117" i="29"/>
  <c r="N38" i="11"/>
  <c r="AE86" i="29"/>
  <c r="L27" i="13"/>
  <c r="AD128" i="29"/>
  <c r="G22" i="11"/>
  <c r="M13" i="15"/>
  <c r="F32" i="11"/>
  <c r="I31" i="11"/>
  <c r="L25" i="13"/>
  <c r="AD126" i="29"/>
  <c r="G31" i="11"/>
  <c r="P27" i="13"/>
  <c r="AH128" i="29"/>
  <c r="L17" i="15"/>
  <c r="P150" i="29"/>
  <c r="M32" i="9"/>
  <c r="P59" i="29"/>
  <c r="L52" i="11"/>
  <c r="AC94" i="29"/>
  <c r="L28" i="11"/>
  <c r="K32" i="11"/>
  <c r="AB82" i="29"/>
  <c r="Q26" i="11"/>
  <c r="AH78" i="29"/>
  <c r="Q26" i="13"/>
  <c r="F8" i="11"/>
  <c r="C17" i="46"/>
  <c r="AM24" i="29"/>
  <c r="M11" i="15"/>
  <c r="H13" i="11"/>
  <c r="I56" i="11"/>
  <c r="Z96" i="29"/>
  <c r="R31" i="13"/>
  <c r="P132" i="29"/>
  <c r="O25" i="11"/>
  <c r="J52" i="11"/>
  <c r="AA94" i="29"/>
  <c r="R30" i="13"/>
  <c r="P131" i="29"/>
  <c r="S44" i="11"/>
  <c r="K71" i="11"/>
  <c r="AB105" i="29"/>
  <c r="F26" i="13"/>
  <c r="X127" i="29"/>
  <c r="B20" i="28"/>
  <c r="AI289" i="29"/>
  <c r="M7" i="15"/>
  <c r="N7" i="15"/>
  <c r="R71" i="11"/>
  <c r="O105" i="29"/>
  <c r="J55" i="11"/>
  <c r="H29" i="11"/>
  <c r="Y80" i="29"/>
  <c r="M17" i="11"/>
  <c r="AD72" i="29"/>
  <c r="G18" i="13"/>
  <c r="Y119" i="29"/>
  <c r="H25" i="11"/>
  <c r="P8" i="11"/>
  <c r="AG66" i="29"/>
  <c r="S26" i="11"/>
  <c r="P78" i="29"/>
  <c r="M14" i="9"/>
  <c r="P43" i="29"/>
  <c r="N51" i="11"/>
  <c r="AE93" i="29"/>
  <c r="L45" i="11"/>
  <c r="AC89" i="29"/>
  <c r="H26" i="13"/>
  <c r="Z127" i="29"/>
  <c r="M50" i="11"/>
  <c r="F8" i="13"/>
  <c r="X109" i="29"/>
  <c r="O51" i="11"/>
  <c r="AF93" i="29"/>
  <c r="C21" i="46"/>
  <c r="AM28" i="29"/>
  <c r="L20" i="15"/>
  <c r="P153" i="29"/>
  <c r="H16" i="13"/>
  <c r="Z117" i="29"/>
  <c r="S46" i="11"/>
  <c r="P90" i="29"/>
  <c r="P17" i="11"/>
  <c r="AG72" i="29"/>
  <c r="J35" i="11"/>
  <c r="AA84" i="29"/>
  <c r="M8" i="9"/>
  <c r="P38" i="29"/>
  <c r="K47" i="11"/>
  <c r="M27" i="13"/>
  <c r="AE128" i="29"/>
  <c r="R18" i="13"/>
  <c r="P119" i="29"/>
  <c r="C11" i="26"/>
  <c r="F11" i="26"/>
  <c r="L28" i="13"/>
  <c r="AD129" i="29"/>
  <c r="M51" i="11"/>
  <c r="AD93" i="29"/>
  <c r="I60" i="11"/>
  <c r="E12" i="13"/>
  <c r="W113" i="29"/>
  <c r="N10" i="13"/>
  <c r="AF111" i="29"/>
  <c r="O26" i="13"/>
  <c r="AG127" i="29"/>
  <c r="O20" i="11"/>
  <c r="J26" i="13"/>
  <c r="AB127" i="29"/>
  <c r="R32" i="13"/>
  <c r="P133" i="29"/>
  <c r="K34" i="11"/>
  <c r="G11" i="11"/>
  <c r="X68" i="29"/>
  <c r="Q14" i="11"/>
  <c r="AH70" i="29"/>
  <c r="S38" i="11"/>
  <c r="P86" i="29"/>
  <c r="M24" i="9"/>
  <c r="P51" i="29"/>
  <c r="O19" i="11"/>
  <c r="R42" i="13"/>
  <c r="G23" i="11"/>
  <c r="X76" i="29"/>
  <c r="C24" i="46"/>
  <c r="AM31" i="29"/>
  <c r="M13" i="11"/>
  <c r="C6" i="46"/>
  <c r="AM13" i="29"/>
  <c r="O71" i="11"/>
  <c r="AF105" i="29"/>
  <c r="N11" i="13"/>
  <c r="AF112" i="29"/>
  <c r="K19" i="11"/>
  <c r="G62" i="11"/>
  <c r="X100" i="29"/>
  <c r="S14" i="11"/>
  <c r="P70" i="29"/>
  <c r="C20" i="46"/>
  <c r="AM27" i="29"/>
  <c r="C13" i="46"/>
  <c r="AM20" i="29"/>
  <c r="C10" i="26"/>
  <c r="N25" i="13"/>
  <c r="AF126" i="29"/>
  <c r="N27" i="13"/>
  <c r="AF128" i="29"/>
  <c r="R26" i="13"/>
  <c r="P127" i="29"/>
  <c r="O50" i="11"/>
  <c r="C24" i="28"/>
  <c r="AJ293" i="29"/>
  <c r="N32" i="11"/>
  <c r="AE82" i="29"/>
  <c r="K22" i="11"/>
  <c r="K46" i="11"/>
  <c r="AB90" i="29"/>
  <c r="J18" i="13"/>
  <c r="AB119" i="29"/>
  <c r="C7" i="28"/>
  <c r="AJ276" i="29"/>
  <c r="M34" i="9"/>
  <c r="P61" i="29"/>
  <c r="H27" i="13"/>
  <c r="Z128" i="29"/>
  <c r="Q19" i="11"/>
  <c r="M11" i="9"/>
  <c r="P40" i="29"/>
  <c r="S32" i="11"/>
  <c r="P82" i="29"/>
  <c r="I10" i="11"/>
  <c r="K65" i="11"/>
  <c r="R15" i="13"/>
  <c r="P116" i="29"/>
  <c r="N13" i="11"/>
  <c r="K26" i="13"/>
  <c r="AC127" i="29"/>
  <c r="P28" i="13"/>
  <c r="AH129" i="29"/>
  <c r="H45" i="11"/>
  <c r="Y89" i="29"/>
  <c r="P19" i="13"/>
  <c r="AH120" i="29"/>
  <c r="G20" i="13"/>
  <c r="Y121" i="29"/>
  <c r="S28" i="11"/>
  <c r="P79" i="29"/>
  <c r="H38" i="11"/>
  <c r="P29" i="11"/>
  <c r="AG80" i="29"/>
  <c r="I8" i="11"/>
  <c r="Z66" i="29"/>
  <c r="G57" i="11"/>
  <c r="M16" i="15"/>
  <c r="O32" i="11"/>
  <c r="AF82" i="29"/>
  <c r="M46" i="11"/>
  <c r="AD90" i="29"/>
  <c r="C9" i="28"/>
  <c r="AJ278" i="29"/>
  <c r="K56" i="11"/>
  <c r="AB96" i="29"/>
  <c r="P35" i="11"/>
  <c r="AG84" i="29"/>
  <c r="N12" i="13"/>
  <c r="AF113" i="29"/>
  <c r="B8" i="28"/>
  <c r="AI277" i="29"/>
  <c r="G35" i="11"/>
  <c r="X84" i="29"/>
  <c r="K26" i="11"/>
  <c r="AB78" i="29"/>
  <c r="M27" i="9"/>
  <c r="P54" i="29"/>
  <c r="P67" i="11"/>
  <c r="AG103" i="29"/>
  <c r="F11" i="11"/>
  <c r="W68" i="29"/>
  <c r="L31" i="11"/>
  <c r="N30" i="9"/>
  <c r="J28" i="11"/>
  <c r="K16" i="11"/>
  <c r="Q31" i="11"/>
  <c r="H10" i="13"/>
  <c r="Z111" i="29"/>
  <c r="C14" i="28"/>
  <c r="AJ283" i="29"/>
  <c r="G14" i="13"/>
  <c r="Y115" i="29"/>
  <c r="L13" i="15"/>
  <c r="P146" i="29"/>
  <c r="Q28" i="11"/>
  <c r="Q30" i="11"/>
  <c r="M25" i="11"/>
  <c r="M27" i="11"/>
  <c r="D25" i="13"/>
  <c r="P31" i="11"/>
  <c r="H62" i="11"/>
  <c r="Y100" i="29"/>
  <c r="D9" i="26"/>
  <c r="J51" i="11"/>
  <c r="AA93" i="29"/>
  <c r="K35" i="11"/>
  <c r="AB84" i="29"/>
  <c r="P51" i="11"/>
  <c r="AG93" i="29"/>
  <c r="E27" i="13"/>
  <c r="W128" i="29"/>
  <c r="N42" i="12"/>
  <c r="O42" i="13"/>
  <c r="H9" i="13"/>
  <c r="Z110" i="29"/>
  <c r="M33" i="9"/>
  <c r="P60" i="29"/>
  <c r="G44" i="11"/>
  <c r="G26" i="11"/>
  <c r="X78" i="29"/>
  <c r="O13" i="11"/>
  <c r="C12" i="26"/>
  <c r="S67" i="11"/>
  <c r="P103" i="29"/>
  <c r="E28" i="13"/>
  <c r="W129" i="29"/>
  <c r="R11" i="13"/>
  <c r="P112" i="29"/>
  <c r="G16" i="11"/>
  <c r="F7" i="11"/>
  <c r="R9" i="13"/>
  <c r="P110" i="29"/>
  <c r="J7" i="11"/>
  <c r="I67" i="11"/>
  <c r="Z103" i="29"/>
  <c r="I12" i="13"/>
  <c r="AA113" i="29"/>
  <c r="M13" i="13"/>
  <c r="AE114" i="29"/>
  <c r="F17" i="11"/>
  <c r="J11" i="11"/>
  <c r="AA68" i="29"/>
  <c r="N17" i="11"/>
  <c r="AE72" i="29"/>
  <c r="C16" i="28"/>
  <c r="M31" i="11"/>
  <c r="N26" i="9"/>
  <c r="Q67" i="11"/>
  <c r="AH103" i="29"/>
  <c r="O10" i="11"/>
  <c r="J67" i="11"/>
  <c r="AA103" i="29"/>
  <c r="AE120" i="29"/>
  <c r="W114" i="29"/>
  <c r="O13" i="13"/>
  <c r="AG114" i="29"/>
  <c r="K14" i="13"/>
  <c r="AC115" i="29"/>
  <c r="M52" i="11"/>
  <c r="M54" i="11"/>
  <c r="J46" i="11"/>
  <c r="AA90" i="29"/>
  <c r="O23" i="11"/>
  <c r="AF76" i="29"/>
  <c r="Q45" i="11"/>
  <c r="AH89" i="29"/>
  <c r="N46" i="11"/>
  <c r="AE90" i="29"/>
  <c r="D11" i="26"/>
  <c r="K38" i="11"/>
  <c r="AB86" i="29"/>
  <c r="I26" i="11"/>
  <c r="D24" i="28"/>
  <c r="AK293" i="29"/>
  <c r="AB115" i="29"/>
  <c r="M12" i="13"/>
  <c r="AE113" i="29"/>
  <c r="J17" i="11"/>
  <c r="AA72" i="29"/>
  <c r="S75" i="11"/>
  <c r="I29" i="11"/>
  <c r="Z80" i="29"/>
  <c r="M47" i="11"/>
  <c r="AD91" i="29"/>
  <c r="F11" i="13"/>
  <c r="X112" i="29"/>
  <c r="O17" i="13"/>
  <c r="AG118" i="29"/>
  <c r="O67" i="11"/>
  <c r="F13" i="13"/>
  <c r="X114" i="29"/>
  <c r="L10" i="11"/>
  <c r="L19" i="15"/>
  <c r="P152" i="29"/>
  <c r="Q56" i="11"/>
  <c r="AH96" i="29"/>
  <c r="N25" i="9"/>
  <c r="R34" i="13"/>
  <c r="P135" i="29"/>
  <c r="P25" i="13"/>
  <c r="AH126" i="29"/>
  <c r="D18" i="28"/>
  <c r="AK287" i="29"/>
  <c r="M20" i="15"/>
  <c r="D13" i="28"/>
  <c r="AK282" i="29"/>
  <c r="P7" i="11"/>
  <c r="AG65" i="29"/>
  <c r="H20" i="11"/>
  <c r="I10" i="13"/>
  <c r="AA111" i="29"/>
  <c r="M10" i="13"/>
  <c r="AE111" i="29"/>
  <c r="B17" i="28"/>
  <c r="AI286" i="29"/>
  <c r="S23" i="11"/>
  <c r="P76" i="29"/>
  <c r="C8" i="46"/>
  <c r="AM15" i="29"/>
  <c r="K28" i="13"/>
  <c r="AC129" i="29"/>
  <c r="AD112" i="29"/>
  <c r="L23" i="11"/>
  <c r="AC76" i="29"/>
  <c r="F9" i="13"/>
  <c r="X110" i="29"/>
  <c r="S57" i="11"/>
  <c r="P97" i="29"/>
  <c r="C11" i="28"/>
  <c r="AJ280" i="29"/>
  <c r="O47" i="11"/>
  <c r="AF91" i="29"/>
  <c r="M20" i="9"/>
  <c r="P48" i="29"/>
  <c r="O55" i="11"/>
  <c r="N20" i="11"/>
  <c r="AE74" i="29"/>
  <c r="P34" i="11"/>
  <c r="AG83" i="29"/>
  <c r="M45" i="11"/>
  <c r="AD89" i="29"/>
  <c r="M7" i="11"/>
  <c r="O29" i="11"/>
  <c r="AF80" i="29"/>
  <c r="F10" i="11"/>
  <c r="P16" i="11"/>
  <c r="G55" i="11"/>
  <c r="I19" i="13"/>
  <c r="AA120" i="29"/>
  <c r="I20" i="13"/>
  <c r="AA121" i="29"/>
  <c r="S8" i="11"/>
  <c r="P66" i="29"/>
  <c r="P11" i="11"/>
  <c r="AG68" i="29"/>
  <c r="R27" i="13"/>
  <c r="P128" i="29"/>
  <c r="P10" i="13"/>
  <c r="AH111" i="29"/>
  <c r="G19" i="13"/>
  <c r="Y120" i="29"/>
  <c r="H17" i="13"/>
  <c r="Z118" i="29"/>
  <c r="L14" i="13"/>
  <c r="AD115" i="29"/>
  <c r="N61" i="11"/>
  <c r="AE99" i="29"/>
  <c r="L18" i="15"/>
  <c r="P151" i="29"/>
  <c r="R31" i="19"/>
  <c r="O19" i="13"/>
  <c r="AG120" i="29"/>
  <c r="O61" i="11"/>
  <c r="AF99" i="29"/>
  <c r="N65" i="11"/>
  <c r="J65" i="11"/>
  <c r="D12" i="28"/>
  <c r="AK281" i="29"/>
  <c r="W120" i="29"/>
  <c r="E11" i="13"/>
  <c r="W112" i="29"/>
  <c r="I55" i="11"/>
  <c r="N7" i="9"/>
  <c r="F44" i="11"/>
  <c r="P26" i="13"/>
  <c r="AH127" i="29"/>
  <c r="F26" i="11"/>
  <c r="R26" i="11"/>
  <c r="F19" i="11"/>
  <c r="M10" i="11"/>
  <c r="L56" i="11"/>
  <c r="AC96" i="29"/>
  <c r="K14" i="11"/>
  <c r="AB70" i="29"/>
  <c r="G8" i="13"/>
  <c r="Y109" i="29"/>
  <c r="K60" i="11"/>
  <c r="P14" i="11"/>
  <c r="AG70" i="29"/>
  <c r="O60" i="11"/>
  <c r="K13" i="11"/>
  <c r="I57" i="11"/>
  <c r="Z97" i="29"/>
  <c r="N56" i="11"/>
  <c r="AE96" i="29"/>
  <c r="L12" i="13"/>
  <c r="AD113" i="29"/>
  <c r="Q7" i="11"/>
  <c r="L26" i="13"/>
  <c r="AD127" i="29"/>
  <c r="B24" i="28"/>
  <c r="AI293" i="29"/>
  <c r="M8" i="11"/>
  <c r="AD66" i="29"/>
  <c r="C21" i="28"/>
  <c r="AJ290" i="29"/>
  <c r="B7" i="28"/>
  <c r="AI276" i="29"/>
  <c r="C22" i="46"/>
  <c r="AM29" i="29"/>
  <c r="I46" i="11"/>
  <c r="Z90" i="29"/>
  <c r="N20" i="13"/>
  <c r="AF121" i="29"/>
  <c r="Q16" i="11"/>
  <c r="J14" i="11"/>
  <c r="AA70" i="29"/>
  <c r="H65" i="11"/>
  <c r="D10" i="28"/>
  <c r="AK279" i="29"/>
  <c r="F50" i="11"/>
  <c r="F53" i="11"/>
  <c r="P44" i="11"/>
  <c r="J47" i="11"/>
  <c r="AA91" i="29"/>
  <c r="O65" i="11"/>
  <c r="F20" i="13"/>
  <c r="X121" i="29"/>
  <c r="L21" i="15"/>
  <c r="P154" i="29"/>
  <c r="I27" i="13"/>
  <c r="AA128" i="29"/>
  <c r="R38" i="13"/>
  <c r="J56" i="11"/>
  <c r="AA96" i="29"/>
  <c r="M23" i="15"/>
  <c r="S62" i="11"/>
  <c r="P100" i="29"/>
  <c r="M30" i="9"/>
  <c r="P57" i="29"/>
  <c r="H46" i="11"/>
  <c r="Y90" i="29"/>
  <c r="O28" i="11"/>
  <c r="E55" i="11"/>
  <c r="G22" i="9"/>
  <c r="R50" i="29"/>
  <c r="D20" i="15"/>
  <c r="M153" i="29"/>
  <c r="G14" i="9"/>
  <c r="R43" i="29"/>
  <c r="H8" i="9"/>
  <c r="S38" i="29"/>
  <c r="C27" i="13"/>
  <c r="L128" i="29"/>
  <c r="D23" i="15"/>
  <c r="M156" i="29"/>
  <c r="E12" i="15"/>
  <c r="N145" i="29"/>
  <c r="G20" i="9"/>
  <c r="R48" i="29"/>
  <c r="I11" i="9"/>
  <c r="T40" i="29"/>
  <c r="E30" i="19"/>
  <c r="S30" i="19"/>
  <c r="C13" i="15"/>
  <c r="L146" i="29"/>
  <c r="D23" i="11"/>
  <c r="E46" i="11"/>
  <c r="L90" i="29"/>
  <c r="E65" i="11"/>
  <c r="D21" i="15"/>
  <c r="M154" i="29"/>
  <c r="D44" i="11"/>
  <c r="D14" i="11"/>
  <c r="E35" i="11"/>
  <c r="L84" i="29"/>
  <c r="D27" i="9"/>
  <c r="M54" i="29"/>
  <c r="I32" i="9"/>
  <c r="T59" i="29"/>
  <c r="G7" i="9"/>
  <c r="R37" i="29"/>
  <c r="E16" i="15"/>
  <c r="N149" i="29"/>
  <c r="I12" i="9"/>
  <c r="T41" i="29"/>
  <c r="I21" i="15"/>
  <c r="T154" i="29"/>
  <c r="I16" i="9"/>
  <c r="T45" i="29"/>
  <c r="H14" i="9"/>
  <c r="S43" i="29"/>
  <c r="D32" i="11"/>
  <c r="I26" i="9"/>
  <c r="T53" i="29"/>
  <c r="E23" i="15"/>
  <c r="N156" i="29"/>
  <c r="D67" i="11"/>
  <c r="D17" i="11"/>
  <c r="E14" i="9"/>
  <c r="N43" i="29"/>
  <c r="I34" i="9"/>
  <c r="T61" i="29"/>
  <c r="F7" i="15"/>
  <c r="Q141" i="29"/>
  <c r="G18" i="15"/>
  <c r="R151" i="29"/>
  <c r="E31" i="19"/>
  <c r="L237" i="29"/>
  <c r="E17" i="11"/>
  <c r="L72" i="29"/>
  <c r="D61" i="11"/>
  <c r="D6" i="9"/>
  <c r="M36" i="29"/>
  <c r="H13" i="9"/>
  <c r="S42" i="29"/>
  <c r="D6" i="15"/>
  <c r="M140" i="29"/>
  <c r="H7" i="15"/>
  <c r="S141" i="29"/>
  <c r="D34" i="9"/>
  <c r="M61" i="29"/>
  <c r="G10" i="15"/>
  <c r="R143" i="29"/>
  <c r="E21" i="15"/>
  <c r="N154" i="29"/>
  <c r="D60" i="11"/>
  <c r="G31" i="9"/>
  <c r="R58" i="29"/>
  <c r="E57" i="11"/>
  <c r="L97" i="29"/>
  <c r="E50" i="11"/>
  <c r="L92" i="29"/>
  <c r="E7" i="11"/>
  <c r="D71" i="11"/>
  <c r="H25" i="9"/>
  <c r="S52" i="29"/>
  <c r="E32" i="11"/>
  <c r="L82" i="29"/>
  <c r="E20" i="15"/>
  <c r="N153" i="29"/>
  <c r="G19" i="9"/>
  <c r="R47" i="29"/>
  <c r="D46" i="11"/>
  <c r="C25" i="13"/>
  <c r="L126" i="29"/>
  <c r="G8" i="15"/>
  <c r="R142" i="29"/>
  <c r="D10" i="11"/>
  <c r="C20" i="9"/>
  <c r="L48" i="29"/>
  <c r="D24" i="9"/>
  <c r="M51" i="29"/>
  <c r="H7" i="9"/>
  <c r="S37" i="29"/>
  <c r="D26" i="11"/>
  <c r="E28" i="11"/>
  <c r="H13" i="15"/>
  <c r="S146" i="29"/>
  <c r="D14" i="9"/>
  <c r="M43" i="29"/>
  <c r="E24" i="9"/>
  <c r="N51" i="29"/>
  <c r="D15" i="9"/>
  <c r="M44" i="29"/>
  <c r="H6" i="15"/>
  <c r="S140" i="29"/>
  <c r="I10" i="15"/>
  <c r="T143" i="29"/>
  <c r="G6" i="15"/>
  <c r="R140" i="29"/>
  <c r="G11" i="15"/>
  <c r="R144" i="29"/>
  <c r="D62" i="11"/>
  <c r="K7" i="9"/>
  <c r="U37" i="29"/>
  <c r="E62" i="11"/>
  <c r="L100" i="29"/>
  <c r="I6" i="15"/>
  <c r="T140" i="29"/>
  <c r="E14" i="15"/>
  <c r="N147" i="29"/>
  <c r="D11" i="11"/>
  <c r="I11" i="15"/>
  <c r="T144" i="29"/>
  <c r="E52" i="11"/>
  <c r="L94" i="29"/>
  <c r="H11" i="9"/>
  <c r="S40" i="29"/>
  <c r="C14" i="15"/>
  <c r="D25" i="9"/>
  <c r="M52" i="29"/>
  <c r="E26" i="11"/>
  <c r="L78" i="29"/>
  <c r="D22" i="11"/>
  <c r="D24" i="11"/>
  <c r="I8" i="9"/>
  <c r="T38" i="29"/>
  <c r="C14" i="9"/>
  <c r="L43" i="29"/>
  <c r="G12" i="9"/>
  <c r="R41" i="29"/>
  <c r="D65" i="11"/>
  <c r="E15" i="15"/>
  <c r="N148" i="29"/>
  <c r="H15" i="9"/>
  <c r="S44" i="29"/>
  <c r="C12" i="15"/>
  <c r="L145" i="29"/>
  <c r="C7" i="9"/>
  <c r="L37" i="29"/>
  <c r="G19" i="15"/>
  <c r="R152" i="29"/>
  <c r="G27" i="9"/>
  <c r="R54" i="29"/>
  <c r="G22" i="15"/>
  <c r="R155" i="29"/>
  <c r="E8" i="11"/>
  <c r="C26" i="9"/>
  <c r="L53" i="29"/>
  <c r="E20" i="11"/>
  <c r="L74" i="29"/>
  <c r="G24" i="9"/>
  <c r="R51" i="29"/>
  <c r="G17" i="15"/>
  <c r="R150" i="29"/>
  <c r="H14" i="15"/>
  <c r="S147" i="29"/>
  <c r="D11" i="9"/>
  <c r="M40" i="29"/>
  <c r="G12" i="15"/>
  <c r="R145" i="29"/>
  <c r="H10" i="9"/>
  <c r="S39" i="29"/>
  <c r="I10" i="9"/>
  <c r="T39" i="29"/>
  <c r="C25" i="9"/>
  <c r="L52" i="29"/>
  <c r="D35" i="11"/>
  <c r="H26" i="9"/>
  <c r="S53" i="29"/>
  <c r="D19" i="15"/>
  <c r="M152" i="29"/>
  <c r="H6" i="9"/>
  <c r="S36" i="29"/>
  <c r="D50" i="11"/>
  <c r="E51" i="11"/>
  <c r="L93" i="29"/>
  <c r="E7" i="15"/>
  <c r="N141" i="29"/>
  <c r="I27" i="9"/>
  <c r="T54" i="29"/>
  <c r="J7" i="15"/>
  <c r="U141" i="29"/>
  <c r="I33" i="9"/>
  <c r="T60" i="29"/>
  <c r="D7" i="11"/>
  <c r="E11" i="11"/>
  <c r="L68" i="29"/>
  <c r="D33" i="9"/>
  <c r="M60" i="29"/>
  <c r="D35" i="9"/>
  <c r="M62" i="29"/>
  <c r="D57" i="11"/>
  <c r="I19" i="15"/>
  <c r="T152" i="29"/>
  <c r="E18" i="15"/>
  <c r="N151" i="29"/>
  <c r="H17" i="15"/>
  <c r="S150" i="29"/>
  <c r="C23" i="15"/>
  <c r="L156" i="29"/>
  <c r="I12" i="15"/>
  <c r="T145" i="29"/>
  <c r="I17" i="9"/>
  <c r="T46" i="29"/>
  <c r="I31" i="9"/>
  <c r="T58" i="29"/>
  <c r="D45" i="11"/>
  <c r="D19" i="11"/>
  <c r="D14" i="15"/>
  <c r="M147" i="29"/>
  <c r="C13" i="9"/>
  <c r="L42" i="29"/>
  <c r="E26" i="9"/>
  <c r="N53" i="29"/>
  <c r="H24" i="9"/>
  <c r="S51" i="29"/>
  <c r="D13" i="11"/>
  <c r="D16" i="9"/>
  <c r="M45" i="29"/>
  <c r="E10" i="15"/>
  <c r="N143" i="29"/>
  <c r="H12" i="15"/>
  <c r="S145" i="29"/>
  <c r="G10" i="9"/>
  <c r="R39" i="29"/>
  <c r="G7" i="15"/>
  <c r="R141" i="29"/>
  <c r="H27" i="9"/>
  <c r="S54" i="29"/>
  <c r="D8" i="11"/>
  <c r="R62" i="29"/>
  <c r="G20" i="15"/>
  <c r="R153" i="29"/>
  <c r="E67" i="11"/>
  <c r="L103" i="29"/>
  <c r="E45" i="11"/>
  <c r="L89" i="29"/>
  <c r="D56" i="11"/>
  <c r="F6" i="9"/>
  <c r="Q36" i="29"/>
  <c r="E11" i="15"/>
  <c r="N144" i="29"/>
  <c r="C10" i="9"/>
  <c r="L39" i="29"/>
  <c r="D18" i="15"/>
  <c r="M151" i="29"/>
  <c r="E47" i="11"/>
  <c r="L91" i="29"/>
  <c r="E7" i="9"/>
  <c r="N37" i="29"/>
  <c r="E16" i="11"/>
  <c r="L71" i="29"/>
  <c r="G17" i="9"/>
  <c r="R46" i="29"/>
  <c r="C21" i="15"/>
  <c r="L154" i="29"/>
  <c r="G13" i="15"/>
  <c r="R146" i="29"/>
  <c r="E19" i="9"/>
  <c r="N47" i="29"/>
  <c r="C11" i="9"/>
  <c r="L40" i="29"/>
  <c r="H12" i="9"/>
  <c r="S41" i="29"/>
  <c r="C17" i="15"/>
  <c r="L150" i="29"/>
  <c r="D16" i="15"/>
  <c r="M149" i="29"/>
  <c r="D15" i="15"/>
  <c r="M148" i="29"/>
  <c r="H20" i="15"/>
  <c r="S153" i="29"/>
  <c r="H31" i="9"/>
  <c r="S58" i="29"/>
  <c r="G30" i="9"/>
  <c r="R57" i="29"/>
  <c r="C22" i="15"/>
  <c r="L155" i="29"/>
  <c r="E56" i="11"/>
  <c r="L96" i="29"/>
  <c r="D12" i="9"/>
  <c r="M41" i="29"/>
  <c r="I18" i="15"/>
  <c r="T151" i="29" s="1"/>
  <c r="I20" i="15"/>
  <c r="T153" i="29"/>
  <c r="C26" i="13"/>
  <c r="L127" i="29"/>
  <c r="I7" i="9"/>
  <c r="T37" i="29"/>
  <c r="E30" i="9"/>
  <c r="N57" i="29"/>
  <c r="E60" i="11"/>
  <c r="G8" i="9"/>
  <c r="R38" i="29"/>
  <c r="D17" i="15"/>
  <c r="M150" i="29"/>
  <c r="C20" i="15"/>
  <c r="L153" i="29"/>
  <c r="H21" i="15"/>
  <c r="S154" i="29"/>
  <c r="D31" i="9"/>
  <c r="M58" i="29"/>
  <c r="E31" i="17"/>
  <c r="M36" i="17"/>
  <c r="AD188" i="29"/>
  <c r="F35" i="17"/>
  <c r="O22" i="17"/>
  <c r="AF174" i="29"/>
  <c r="N41" i="17"/>
  <c r="AE193" i="29"/>
  <c r="Q30" i="17"/>
  <c r="AH182" i="29"/>
  <c r="N37" i="17"/>
  <c r="AE189" i="29"/>
  <c r="N25" i="17"/>
  <c r="AE177" i="29"/>
  <c r="L27" i="17"/>
  <c r="AC179" i="29"/>
  <c r="J40" i="17"/>
  <c r="AA192" i="29"/>
  <c r="E37" i="17"/>
  <c r="N29" i="17"/>
  <c r="AE181" i="29"/>
  <c r="M27" i="17"/>
  <c r="AD179" i="29"/>
  <c r="E10" i="17"/>
  <c r="F15" i="17"/>
  <c r="L34" i="17"/>
  <c r="AC186" i="29"/>
  <c r="J28" i="17"/>
  <c r="AA180" i="29"/>
  <c r="K26" i="17"/>
  <c r="AB178" i="29"/>
  <c r="J29" i="17"/>
  <c r="AA181" i="29"/>
  <c r="I37" i="17"/>
  <c r="Z189" i="29"/>
  <c r="I7" i="15"/>
  <c r="T141" i="29"/>
  <c r="I20" i="9"/>
  <c r="T48" i="29"/>
  <c r="E13" i="15"/>
  <c r="N146" i="29"/>
  <c r="I23" i="15"/>
  <c r="T156" i="29"/>
  <c r="D25" i="11"/>
  <c r="J8" i="15"/>
  <c r="U142" i="29"/>
  <c r="G28" i="9"/>
  <c r="R55" i="29"/>
  <c r="H16" i="9"/>
  <c r="S45" i="29"/>
  <c r="C24" i="9"/>
  <c r="O24" i="9"/>
  <c r="L51" i="29"/>
  <c r="I17" i="15"/>
  <c r="T150" i="29"/>
  <c r="H30" i="17"/>
  <c r="Y182" i="29"/>
  <c r="J14" i="17"/>
  <c r="AA166" i="29"/>
  <c r="Q22" i="17"/>
  <c r="AH174" i="29"/>
  <c r="D16" i="11"/>
  <c r="F6" i="15"/>
  <c r="Q140" i="29"/>
  <c r="E29" i="19"/>
  <c r="T29" i="19"/>
  <c r="G33" i="9"/>
  <c r="R60" i="29"/>
  <c r="I19" i="9"/>
  <c r="T47" i="29"/>
  <c r="F34" i="9"/>
  <c r="Q61" i="29"/>
  <c r="C18" i="15"/>
  <c r="L151" i="29"/>
  <c r="H16" i="15"/>
  <c r="S149" i="29"/>
  <c r="D51" i="11"/>
  <c r="N11" i="17"/>
  <c r="AE163" i="29"/>
  <c r="D22" i="15"/>
  <c r="M155" i="29"/>
  <c r="G15" i="15"/>
  <c r="R148" i="29"/>
  <c r="C30" i="9"/>
  <c r="L57" i="29"/>
  <c r="H30" i="9"/>
  <c r="S57" i="29"/>
  <c r="D7" i="15"/>
  <c r="M141" i="29"/>
  <c r="C19" i="15"/>
  <c r="L152" i="29"/>
  <c r="E71" i="11"/>
  <c r="L105" i="29"/>
  <c r="I13" i="15"/>
  <c r="T146" i="29"/>
  <c r="D19" i="9"/>
  <c r="M47" i="29"/>
  <c r="D8" i="9"/>
  <c r="D9" i="9"/>
  <c r="D32" i="9"/>
  <c r="M59" i="29"/>
  <c r="O9" i="17"/>
  <c r="AF161" i="29"/>
  <c r="P26" i="17"/>
  <c r="AG178" i="29"/>
  <c r="D13" i="9"/>
  <c r="M42" i="29"/>
  <c r="D7" i="9"/>
  <c r="M37" i="29"/>
  <c r="E19" i="11"/>
  <c r="G25" i="9"/>
  <c r="R52" i="29"/>
  <c r="D10" i="15"/>
  <c r="M143" i="29"/>
  <c r="C27" i="9"/>
  <c r="L54" i="29"/>
  <c r="D13" i="15"/>
  <c r="M146" i="29"/>
  <c r="I14" i="15"/>
  <c r="T147" i="29"/>
  <c r="G23" i="15"/>
  <c r="R156" i="29"/>
  <c r="I22" i="15"/>
  <c r="T155" i="29" s="1"/>
  <c r="H35" i="9"/>
  <c r="S62" i="29"/>
  <c r="E23" i="11"/>
  <c r="L76" i="29"/>
  <c r="F7" i="9"/>
  <c r="Q37" i="29"/>
  <c r="C19" i="9"/>
  <c r="L47" i="29"/>
  <c r="E17" i="15"/>
  <c r="N150" i="29"/>
  <c r="F28" i="17"/>
  <c r="W180" i="29"/>
  <c r="G15" i="17"/>
  <c r="X167" i="29"/>
  <c r="K45" i="17"/>
  <c r="AB196" i="29"/>
  <c r="M31" i="17"/>
  <c r="AD183" i="29"/>
  <c r="E22" i="15"/>
  <c r="N155" i="29"/>
  <c r="E61" i="11"/>
  <c r="L99" i="29"/>
  <c r="D20" i="9"/>
  <c r="M48" i="29"/>
  <c r="D55" i="11"/>
  <c r="D59" i="11"/>
  <c r="D12" i="15"/>
  <c r="M145" i="29"/>
  <c r="I15" i="9"/>
  <c r="T44" i="29"/>
  <c r="E27" i="9"/>
  <c r="N54" i="29"/>
  <c r="E19" i="15"/>
  <c r="N152" i="29"/>
  <c r="D20" i="11"/>
  <c r="E34" i="11"/>
  <c r="L83" i="29"/>
  <c r="D31" i="11"/>
  <c r="I24" i="9"/>
  <c r="T51" i="29"/>
  <c r="C15" i="15"/>
  <c r="L148" i="29"/>
  <c r="D70" i="11"/>
  <c r="C16" i="15"/>
  <c r="L149" i="29"/>
  <c r="I15" i="15"/>
  <c r="T148" i="29"/>
  <c r="D34" i="11"/>
  <c r="D36" i="11"/>
  <c r="D47" i="11"/>
  <c r="G14" i="15"/>
  <c r="R147" i="29"/>
  <c r="G16" i="15"/>
  <c r="R149" i="29"/>
  <c r="G6" i="9"/>
  <c r="R36" i="29"/>
  <c r="G26" i="9"/>
  <c r="R53" i="29"/>
  <c r="H32" i="9"/>
  <c r="S59" i="29"/>
  <c r="I35" i="9"/>
  <c r="T62" i="29"/>
  <c r="D29" i="11"/>
  <c r="C15" i="9"/>
  <c r="L44" i="29"/>
  <c r="I6" i="9"/>
  <c r="T36" i="29"/>
  <c r="E22" i="11"/>
  <c r="L75" i="29"/>
  <c r="G34" i="9"/>
  <c r="R61" i="29"/>
  <c r="E44" i="11"/>
  <c r="E29" i="11"/>
  <c r="L80" i="29"/>
  <c r="C28" i="13"/>
  <c r="L129" i="29"/>
  <c r="D30" i="9"/>
  <c r="M57" i="29"/>
  <c r="H33" i="9"/>
  <c r="S60" i="29"/>
  <c r="D28" i="11"/>
  <c r="I16" i="15"/>
  <c r="T149" i="29"/>
  <c r="E25" i="11"/>
  <c r="E27" i="11"/>
  <c r="E13" i="11"/>
  <c r="I25" i="9"/>
  <c r="T52" i="29"/>
  <c r="E14" i="11"/>
  <c r="L70" i="29"/>
  <c r="C11" i="15"/>
  <c r="L144" i="29"/>
  <c r="E10" i="11"/>
  <c r="E25" i="9"/>
  <c r="N52" i="29"/>
  <c r="H15" i="15"/>
  <c r="S148" i="29"/>
  <c r="H23" i="15"/>
  <c r="S156" i="29"/>
  <c r="D52" i="11"/>
  <c r="D54" i="11"/>
  <c r="G13" i="9"/>
  <c r="R42" i="29"/>
  <c r="G11" i="9"/>
  <c r="R40" i="29"/>
  <c r="C10" i="15"/>
  <c r="L143" i="29"/>
  <c r="E31" i="11"/>
  <c r="E33" i="11"/>
  <c r="E20" i="9"/>
  <c r="N48" i="29"/>
  <c r="I30" i="9"/>
  <c r="T57" i="29"/>
  <c r="G21" i="15"/>
  <c r="R154" i="29"/>
  <c r="F33" i="9"/>
  <c r="Q60" i="29"/>
  <c r="E10" i="9"/>
  <c r="N39" i="29"/>
  <c r="H22" i="15"/>
  <c r="S155" i="29"/>
  <c r="H34" i="9"/>
  <c r="S61" i="29"/>
  <c r="C7" i="15"/>
  <c r="L141" i="29"/>
  <c r="I13" i="9"/>
  <c r="T42" i="29"/>
  <c r="D26" i="9"/>
  <c r="M53" i="29"/>
  <c r="D10" i="9"/>
  <c r="M39" i="29"/>
  <c r="E13" i="9"/>
  <c r="N42" i="29"/>
  <c r="D11" i="15"/>
  <c r="M144" i="29"/>
  <c r="I14" i="9"/>
  <c r="T43" i="29"/>
  <c r="E15" i="9"/>
  <c r="N44" i="29"/>
  <c r="G32" i="9"/>
  <c r="R59" i="29"/>
  <c r="C17" i="9"/>
  <c r="L46" i="29"/>
  <c r="E28" i="19"/>
  <c r="M16" i="17"/>
  <c r="AD168" i="29"/>
  <c r="J9" i="17"/>
  <c r="AA161" i="29"/>
  <c r="F31" i="17"/>
  <c r="W183" i="29"/>
  <c r="H45" i="17"/>
  <c r="Y196" i="29"/>
  <c r="G39" i="17"/>
  <c r="X191" i="29"/>
  <c r="I40" i="17"/>
  <c r="Z192" i="29"/>
  <c r="K19" i="17"/>
  <c r="AB171" i="29"/>
  <c r="K25" i="17"/>
  <c r="AB177" i="29"/>
  <c r="O21" i="17"/>
  <c r="AF173" i="29"/>
  <c r="G33" i="17"/>
  <c r="X185" i="29"/>
  <c r="P34" i="17"/>
  <c r="AG186" i="29"/>
  <c r="Q35" i="17"/>
  <c r="AH187" i="29"/>
  <c r="K11" i="17"/>
  <c r="AB163" i="29"/>
  <c r="O10" i="17"/>
  <c r="L38" i="17"/>
  <c r="AC190" i="29"/>
  <c r="I26" i="17"/>
  <c r="Z178" i="29"/>
  <c r="O25" i="17"/>
  <c r="H39" i="17"/>
  <c r="Y191" i="29"/>
  <c r="I43" i="17"/>
  <c r="Z195" i="29"/>
  <c r="J37" i="17"/>
  <c r="AA189" i="29"/>
  <c r="L9" i="17"/>
  <c r="AC161" i="29"/>
  <c r="Q27" i="17"/>
  <c r="O179" i="29"/>
  <c r="P31" i="17"/>
  <c r="AG183" i="29"/>
  <c r="M18" i="17"/>
  <c r="AD170" i="29"/>
  <c r="F22" i="17"/>
  <c r="W174" i="29"/>
  <c r="E14" i="17"/>
  <c r="J16" i="17"/>
  <c r="AA168" i="29"/>
  <c r="L10" i="17"/>
  <c r="AC162" i="29"/>
  <c r="H12" i="17"/>
  <c r="Y164" i="29"/>
  <c r="D24" i="17"/>
  <c r="L176" i="29"/>
  <c r="L41" i="17"/>
  <c r="AC193" i="29"/>
  <c r="P41" i="17"/>
  <c r="AG193" i="29"/>
  <c r="O43" i="17"/>
  <c r="AF195" i="29"/>
  <c r="I19" i="17"/>
  <c r="Z171" i="29"/>
  <c r="H43" i="17"/>
  <c r="Y195" i="29"/>
  <c r="G38" i="17"/>
  <c r="X190" i="29"/>
  <c r="Q17" i="17"/>
  <c r="O169" i="29"/>
  <c r="M33" i="17"/>
  <c r="I36" i="17"/>
  <c r="Z188" i="29"/>
  <c r="N18" i="17"/>
  <c r="AE170" i="29"/>
  <c r="G19" i="17"/>
  <c r="X171" i="29"/>
  <c r="H20" i="17"/>
  <c r="Y172" i="29"/>
  <c r="L43" i="17"/>
  <c r="AC195" i="29"/>
  <c r="F27" i="17"/>
  <c r="N10" i="17"/>
  <c r="AE162" i="29"/>
  <c r="Q16" i="17"/>
  <c r="AH168" i="29"/>
  <c r="G45" i="17"/>
  <c r="X196" i="29"/>
  <c r="J20" i="17"/>
  <c r="AA172" i="29"/>
  <c r="L36" i="17"/>
  <c r="AC188" i="29"/>
  <c r="N28" i="17"/>
  <c r="AE180" i="29"/>
  <c r="M29" i="17"/>
  <c r="AD181" i="29"/>
  <c r="E45" i="17"/>
  <c r="O34" i="17"/>
  <c r="AF186" i="29"/>
  <c r="P14" i="17"/>
  <c r="AG166" i="29"/>
  <c r="G43" i="17"/>
  <c r="X195" i="29"/>
  <c r="E33" i="17"/>
  <c r="N43" i="17"/>
  <c r="AE195" i="29"/>
  <c r="K31" i="17"/>
  <c r="AB183" i="29"/>
  <c r="G40" i="17"/>
  <c r="X192" i="29"/>
  <c r="F14" i="17"/>
  <c r="W166" i="29"/>
  <c r="L42" i="17"/>
  <c r="AC194" i="29"/>
  <c r="H23" i="17"/>
  <c r="Y175" i="29"/>
  <c r="P43" i="17"/>
  <c r="AG195" i="29"/>
  <c r="L28" i="17"/>
  <c r="AC180" i="29"/>
  <c r="I13" i="17"/>
  <c r="Z165" i="29"/>
  <c r="M25" i="17"/>
  <c r="AD177" i="29"/>
  <c r="O27" i="17"/>
  <c r="AF179" i="29"/>
  <c r="I34" i="17"/>
  <c r="Z186" i="29"/>
  <c r="O28" i="17"/>
  <c r="AF180" i="29"/>
  <c r="K13" i="17"/>
  <c r="AB165" i="29"/>
  <c r="P36" i="17"/>
  <c r="AG188" i="29"/>
  <c r="I30" i="17"/>
  <c r="Z182" i="29"/>
  <c r="K37" i="17"/>
  <c r="AB189" i="29"/>
  <c r="M17" i="17"/>
  <c r="AD169" i="29"/>
  <c r="M35" i="17"/>
  <c r="AD187" i="29"/>
  <c r="P12" i="17"/>
  <c r="AG164" i="29"/>
  <c r="F40" i="17"/>
  <c r="K10" i="17"/>
  <c r="AB162" i="29"/>
  <c r="N22" i="17"/>
  <c r="AE174" i="29"/>
  <c r="Q25" i="17"/>
  <c r="O177" i="29"/>
  <c r="N13" i="17"/>
  <c r="AE165" i="29"/>
  <c r="H41" i="17"/>
  <c r="Y193" i="29"/>
  <c r="M45" i="17"/>
  <c r="AD196" i="29"/>
  <c r="P20" i="17"/>
  <c r="AG172" i="29"/>
  <c r="F36" i="17"/>
  <c r="W188" i="29"/>
  <c r="P9" i="17"/>
  <c r="L35" i="17"/>
  <c r="AC187" i="29"/>
  <c r="L23" i="17"/>
  <c r="AC175" i="29"/>
  <c r="M23" i="17"/>
  <c r="AD175" i="29"/>
  <c r="Q38" i="17"/>
  <c r="O190" i="29"/>
  <c r="H27" i="17"/>
  <c r="Y179" i="29"/>
  <c r="I23" i="17"/>
  <c r="Z175" i="29"/>
  <c r="M38" i="17"/>
  <c r="AD190" i="29"/>
  <c r="H9" i="17"/>
  <c r="Y161" i="29"/>
  <c r="M13" i="17"/>
  <c r="AD165" i="29"/>
  <c r="F23" i="17"/>
  <c r="O45" i="17"/>
  <c r="AF196" i="29"/>
  <c r="L14" i="17"/>
  <c r="AC166" i="29"/>
  <c r="O29" i="17"/>
  <c r="AF181" i="29"/>
  <c r="H38" i="17"/>
  <c r="Y190" i="29"/>
  <c r="K35" i="17"/>
  <c r="AB187" i="29"/>
  <c r="J13" i="17"/>
  <c r="AA165" i="29"/>
  <c r="G13" i="17"/>
  <c r="X165" i="29"/>
  <c r="O14" i="17"/>
  <c r="AF166" i="29"/>
  <c r="H36" i="17"/>
  <c r="Y188" i="29"/>
  <c r="P11" i="17"/>
  <c r="AG163" i="29"/>
  <c r="J31" i="17"/>
  <c r="AA183" i="29"/>
  <c r="Q45" i="17"/>
  <c r="O196" i="29"/>
  <c r="L12" i="17"/>
  <c r="AC164" i="29"/>
  <c r="M15" i="17"/>
  <c r="AD167" i="29"/>
  <c r="I20" i="17"/>
  <c r="Z172" i="29"/>
  <c r="F45" i="17"/>
  <c r="W196" i="29"/>
  <c r="F42" i="17"/>
  <c r="N45" i="17"/>
  <c r="AE196" i="29"/>
  <c r="K33" i="17"/>
  <c r="G28" i="17"/>
  <c r="H19" i="17"/>
  <c r="Y171" i="29"/>
  <c r="Q28" i="17"/>
  <c r="AH180" i="29"/>
  <c r="F44" i="17"/>
  <c r="J15" i="17"/>
  <c r="AA167" i="29"/>
  <c r="P37" i="17"/>
  <c r="AG189" i="29"/>
  <c r="M11" i="17"/>
  <c r="AD163" i="29"/>
  <c r="K28" i="17"/>
  <c r="AB180" i="29"/>
  <c r="AF244" i="29"/>
  <c r="H17" i="17"/>
  <c r="Y169" i="29"/>
  <c r="G30" i="17"/>
  <c r="X182" i="29"/>
  <c r="L21" i="17"/>
  <c r="AC173" i="29"/>
  <c r="F33" i="17"/>
  <c r="W185" i="29"/>
  <c r="E11" i="17"/>
  <c r="P17" i="17"/>
  <c r="AG169" i="29"/>
  <c r="Q21" i="17"/>
  <c r="AH173" i="29"/>
  <c r="Q11" i="17"/>
  <c r="O163" i="29"/>
  <c r="J18" i="17"/>
  <c r="AA170" i="29"/>
  <c r="Q33" i="17"/>
  <c r="O185" i="29"/>
  <c r="F41" i="17"/>
  <c r="W193" i="29"/>
  <c r="L11" i="17"/>
  <c r="AC163" i="29"/>
  <c r="G35" i="17"/>
  <c r="X187" i="29"/>
  <c r="E39" i="17"/>
  <c r="O12" i="17"/>
  <c r="AF164" i="29"/>
  <c r="E15" i="17"/>
  <c r="L17" i="17"/>
  <c r="AC169" i="29"/>
  <c r="H15" i="17"/>
  <c r="Y167" i="29"/>
  <c r="J11" i="17"/>
  <c r="AA163" i="29"/>
  <c r="Q18" i="17"/>
  <c r="O170" i="29"/>
  <c r="O35" i="17"/>
  <c r="AF187" i="29"/>
  <c r="K29" i="17"/>
  <c r="AB181" i="29"/>
  <c r="P27" i="17"/>
  <c r="AG179" i="29"/>
  <c r="O17" i="17"/>
  <c r="AF169" i="29"/>
  <c r="Q44" i="17"/>
  <c r="N31" i="17"/>
  <c r="AE183" i="29"/>
  <c r="O41" i="17"/>
  <c r="AF193" i="29"/>
  <c r="J42" i="17"/>
  <c r="AA194" i="29"/>
  <c r="G34" i="17"/>
  <c r="X186" i="29"/>
  <c r="N21" i="17"/>
  <c r="AE173" i="29"/>
  <c r="G11" i="17"/>
  <c r="X163" i="29"/>
  <c r="G13" i="21"/>
  <c r="X249" i="29"/>
  <c r="D40" i="17"/>
  <c r="L192" i="29"/>
  <c r="D28" i="17"/>
  <c r="L180" i="29"/>
  <c r="D34" i="17"/>
  <c r="L186" i="29"/>
  <c r="D41" i="17"/>
  <c r="L193" i="29"/>
  <c r="D25" i="17"/>
  <c r="L177" i="29"/>
  <c r="D15" i="17"/>
  <c r="L167" i="29"/>
  <c r="I248" i="29"/>
  <c r="D18" i="17"/>
  <c r="L170" i="29"/>
  <c r="D17" i="17"/>
  <c r="L169" i="29"/>
  <c r="D15" i="11"/>
  <c r="I58" i="11"/>
  <c r="Z95" i="29"/>
  <c r="O271" i="29"/>
  <c r="E11" i="26"/>
  <c r="F12" i="26"/>
  <c r="J272" i="29"/>
  <c r="Y83" i="29"/>
  <c r="H36" i="11"/>
  <c r="AC77" i="29"/>
  <c r="L27" i="11"/>
  <c r="AF79" i="29"/>
  <c r="S25" i="13"/>
  <c r="T25" i="13"/>
  <c r="O126" i="29"/>
  <c r="V25" i="13"/>
  <c r="U25" i="13"/>
  <c r="W97" i="29"/>
  <c r="M59" i="11"/>
  <c r="M58" i="11"/>
  <c r="AD95" i="29"/>
  <c r="AA83" i="29"/>
  <c r="J36" i="11"/>
  <c r="L58" i="11"/>
  <c r="L59" i="11"/>
  <c r="AC95" i="29"/>
  <c r="X73" i="29"/>
  <c r="G21" i="11"/>
  <c r="Z79" i="29"/>
  <c r="I30" i="11"/>
  <c r="AK275" i="29"/>
  <c r="H68" i="11"/>
  <c r="K15" i="11"/>
  <c r="AB69" i="29"/>
  <c r="AF92" i="29"/>
  <c r="O53" i="11"/>
  <c r="O54" i="11"/>
  <c r="J58" i="11"/>
  <c r="AA95" i="29"/>
  <c r="J59" i="11"/>
  <c r="I33" i="11"/>
  <c r="Z81" i="29"/>
  <c r="X79" i="29"/>
  <c r="M63" i="11"/>
  <c r="M64" i="11"/>
  <c r="AD98" i="29"/>
  <c r="AB79" i="29"/>
  <c r="AG73" i="29"/>
  <c r="P21" i="11"/>
  <c r="O129" i="29"/>
  <c r="Y79" i="29"/>
  <c r="H30" i="11"/>
  <c r="AF98" i="29"/>
  <c r="AF69" i="29"/>
  <c r="O15" i="11"/>
  <c r="P139" i="29"/>
  <c r="W82" i="29"/>
  <c r="Y92" i="29"/>
  <c r="Q53" i="11"/>
  <c r="AH92" i="29"/>
  <c r="Q54" i="11"/>
  <c r="W100" i="29"/>
  <c r="O269" i="29"/>
  <c r="E9" i="26"/>
  <c r="Q33" i="11"/>
  <c r="AH81" i="29"/>
  <c r="AF73" i="29"/>
  <c r="Y69" i="29"/>
  <c r="H15" i="11"/>
  <c r="N13" i="15"/>
  <c r="K13" i="15"/>
  <c r="V146" i="29"/>
  <c r="O146" i="29"/>
  <c r="X98" i="29"/>
  <c r="G63" i="11"/>
  <c r="AF71" i="29"/>
  <c r="O18" i="11"/>
  <c r="AB67" i="29"/>
  <c r="K12" i="11"/>
  <c r="AE75" i="29"/>
  <c r="Y73" i="29"/>
  <c r="H21" i="11"/>
  <c r="AC75" i="29"/>
  <c r="L24" i="11"/>
  <c r="D21" i="11"/>
  <c r="K63" i="11"/>
  <c r="K64" i="11"/>
  <c r="AB98" i="29"/>
  <c r="AB71" i="29"/>
  <c r="M53" i="11"/>
  <c r="AD92" i="29"/>
  <c r="K11" i="15"/>
  <c r="V144" i="29"/>
  <c r="O144" i="29"/>
  <c r="N11" i="15"/>
  <c r="X75" i="29"/>
  <c r="G24" i="11"/>
  <c r="O154" i="29"/>
  <c r="K21" i="15"/>
  <c r="V154" i="29"/>
  <c r="N21" i="15"/>
  <c r="Z77" i="29"/>
  <c r="F24" i="11"/>
  <c r="W75" i="29"/>
  <c r="F18" i="11"/>
  <c r="R16" i="11"/>
  <c r="O71" i="29"/>
  <c r="W71" i="29"/>
  <c r="O13" i="9"/>
  <c r="O42" i="29"/>
  <c r="L13" i="9"/>
  <c r="V42" i="29"/>
  <c r="I21" i="11"/>
  <c r="Z73" i="29"/>
  <c r="O48" i="29"/>
  <c r="L20" i="9"/>
  <c r="V48" i="29"/>
  <c r="O20" i="9"/>
  <c r="K17" i="15"/>
  <c r="V150" i="29"/>
  <c r="N17" i="15"/>
  <c r="O150" i="29"/>
  <c r="Q27" i="11"/>
  <c r="AH77" i="29"/>
  <c r="L65" i="29"/>
  <c r="E9" i="11"/>
  <c r="AH179" i="29"/>
  <c r="W187" i="29"/>
  <c r="O187" i="29"/>
  <c r="D27" i="11"/>
  <c r="AF95" i="29"/>
  <c r="W72" i="29"/>
  <c r="AG81" i="29"/>
  <c r="P33" i="11"/>
  <c r="AB101" i="29"/>
  <c r="K68" i="11"/>
  <c r="S72" i="11"/>
  <c r="P104" i="29"/>
  <c r="K19" i="15"/>
  <c r="V152" i="29"/>
  <c r="O152" i="29"/>
  <c r="N19" i="15"/>
  <c r="N63" i="11"/>
  <c r="N64" i="11"/>
  <c r="H64" i="11"/>
  <c r="Y98" i="29"/>
  <c r="H63" i="11"/>
  <c r="X65" i="29"/>
  <c r="G9" i="11"/>
  <c r="L79" i="29"/>
  <c r="P106" i="29"/>
  <c r="S77" i="11"/>
  <c r="AA79" i="29"/>
  <c r="F10" i="26"/>
  <c r="J270" i="29"/>
  <c r="W66" i="29"/>
  <c r="W70" i="29"/>
  <c r="R14" i="11"/>
  <c r="O70" i="29"/>
  <c r="L68" i="11"/>
  <c r="AC101" i="29"/>
  <c r="E54" i="11"/>
  <c r="O149" i="29"/>
  <c r="N16" i="15"/>
  <c r="K16" i="15"/>
  <c r="V149" i="29"/>
  <c r="U26" i="13"/>
  <c r="O127" i="29"/>
  <c r="V26" i="13"/>
  <c r="S26" i="13"/>
  <c r="T26" i="13"/>
  <c r="P59" i="11"/>
  <c r="AG95" i="29"/>
  <c r="P58" i="11"/>
  <c r="K10" i="15"/>
  <c r="V143" i="29"/>
  <c r="O143" i="29"/>
  <c r="W95" i="29"/>
  <c r="F58" i="11"/>
  <c r="F59" i="11"/>
  <c r="AB65" i="29"/>
  <c r="P9" i="11"/>
  <c r="Z67" i="29"/>
  <c r="I12" i="11"/>
  <c r="Y67" i="29"/>
  <c r="J24" i="11"/>
  <c r="AA75" i="29"/>
  <c r="E21" i="11"/>
  <c r="L73" i="29"/>
  <c r="D18" i="11"/>
  <c r="D53" i="11"/>
  <c r="D12" i="11"/>
  <c r="K20" i="15"/>
  <c r="V153" i="29"/>
  <c r="N20" i="15"/>
  <c r="O153" i="29"/>
  <c r="O57" i="29"/>
  <c r="L30" i="9"/>
  <c r="V57" i="29"/>
  <c r="W96" i="29"/>
  <c r="AA67" i="29"/>
  <c r="AE92" i="29"/>
  <c r="R28" i="11"/>
  <c r="T28" i="11"/>
  <c r="W79" i="29"/>
  <c r="F30" i="11"/>
  <c r="J15" i="11"/>
  <c r="AA69" i="29"/>
  <c r="AC69" i="29"/>
  <c r="L15" i="11"/>
  <c r="M36" i="11"/>
  <c r="AD83" i="29"/>
  <c r="Z75" i="29"/>
  <c r="I24" i="11"/>
  <c r="AF81" i="29"/>
  <c r="O33" i="11"/>
  <c r="Z101" i="29"/>
  <c r="I68" i="11"/>
  <c r="AD185" i="29"/>
  <c r="AH169" i="29"/>
  <c r="AH73" i="29"/>
  <c r="Q21" i="11"/>
  <c r="X92" i="29"/>
  <c r="G54" i="11"/>
  <c r="G53" i="11"/>
  <c r="F33" i="11"/>
  <c r="Z92" i="29"/>
  <c r="I53" i="11"/>
  <c r="I54" i="11"/>
  <c r="W103" i="29"/>
  <c r="R67" i="11"/>
  <c r="O273" i="29"/>
  <c r="M21" i="11"/>
  <c r="AD73" i="29"/>
  <c r="D68" i="11"/>
  <c r="D69" i="11"/>
  <c r="D33" i="11"/>
  <c r="AD67" i="29"/>
  <c r="M12" i="11"/>
  <c r="AC81" i="29"/>
  <c r="L33" i="11"/>
  <c r="K36" i="11"/>
  <c r="AB83" i="29"/>
  <c r="AC79" i="29"/>
  <c r="L30" i="11"/>
  <c r="K14" i="15"/>
  <c r="V147" i="29"/>
  <c r="O147" i="29"/>
  <c r="AI275" i="29"/>
  <c r="B15" i="28"/>
  <c r="AI284" i="29"/>
  <c r="J64" i="11"/>
  <c r="J63" i="11"/>
  <c r="AA98" i="29"/>
  <c r="W76" i="29"/>
  <c r="R23" i="11"/>
  <c r="V22" i="11"/>
  <c r="AK285" i="29"/>
  <c r="AD101" i="29"/>
  <c r="M68" i="11"/>
  <c r="AE101" i="29"/>
  <c r="N68" i="11"/>
  <c r="E68" i="11"/>
  <c r="L101" i="29"/>
  <c r="L95" i="29"/>
  <c r="E58" i="11"/>
  <c r="E59" i="11"/>
  <c r="O237" i="29"/>
  <c r="T31" i="19"/>
  <c r="S31" i="19"/>
  <c r="J9" i="11"/>
  <c r="AA65" i="29"/>
  <c r="AB92" i="29"/>
  <c r="K53" i="11"/>
  <c r="K54" i="11"/>
  <c r="AC73" i="29"/>
  <c r="L21" i="11"/>
  <c r="AG77" i="29"/>
  <c r="P27" i="11"/>
  <c r="N9" i="11"/>
  <c r="AE65" i="29"/>
  <c r="W84" i="29"/>
  <c r="AA71" i="29"/>
  <c r="AJ275" i="29"/>
  <c r="C15" i="28"/>
  <c r="AJ284" i="29"/>
  <c r="AE73" i="29"/>
  <c r="N21" i="11"/>
  <c r="K33" i="11"/>
  <c r="AB81" i="29"/>
  <c r="L24" i="9"/>
  <c r="V51" i="29"/>
  <c r="O51" i="29"/>
  <c r="K23" i="15"/>
  <c r="V156" i="29"/>
  <c r="O156" i="29"/>
  <c r="N23" i="15"/>
  <c r="F21" i="11"/>
  <c r="W73" i="29"/>
  <c r="R19" i="11"/>
  <c r="T19" i="11"/>
  <c r="G59" i="11"/>
  <c r="X95" i="29"/>
  <c r="G58" i="11"/>
  <c r="AB73" i="29"/>
  <c r="K21" i="11"/>
  <c r="AE71" i="29"/>
  <c r="N18" i="11"/>
  <c r="K12" i="15"/>
  <c r="V145" i="29"/>
  <c r="N12" i="15"/>
  <c r="O145" i="29"/>
  <c r="P142" i="29"/>
  <c r="I15" i="11"/>
  <c r="Z69" i="29"/>
  <c r="Y95" i="29"/>
  <c r="H59" i="11"/>
  <c r="I36" i="11"/>
  <c r="Z83" i="29"/>
  <c r="AH101" i="29"/>
  <c r="Q68" i="11"/>
  <c r="D63" i="11"/>
  <c r="AF101" i="29"/>
  <c r="AG71" i="29"/>
  <c r="P18" i="11"/>
  <c r="O25" i="9"/>
  <c r="O52" i="29"/>
  <c r="L25" i="9"/>
  <c r="V52" i="29"/>
  <c r="O12" i="11"/>
  <c r="AF67" i="29"/>
  <c r="AD77" i="29"/>
  <c r="W98" i="29"/>
  <c r="F63" i="11"/>
  <c r="F64" i="11"/>
  <c r="G12" i="11"/>
  <c r="X67" i="29"/>
  <c r="AG98" i="29"/>
  <c r="P64" i="11"/>
  <c r="P63" i="11"/>
  <c r="W89" i="29"/>
  <c r="W74" i="29"/>
  <c r="T27" i="13"/>
  <c r="V27" i="13"/>
  <c r="U27" i="13"/>
  <c r="O128" i="29"/>
  <c r="O270" i="29"/>
  <c r="E10" i="26"/>
  <c r="H33" i="11"/>
  <c r="W99" i="29"/>
  <c r="O148" i="29"/>
  <c r="N15" i="15"/>
  <c r="K15" i="15"/>
  <c r="V148" i="29"/>
  <c r="P64" i="29"/>
  <c r="W69" i="29"/>
  <c r="F15" i="11"/>
  <c r="D58" i="11"/>
  <c r="E63" i="11"/>
  <c r="E64" i="11"/>
  <c r="L98" i="29"/>
  <c r="D9" i="11"/>
  <c r="L66" i="29"/>
  <c r="W78" i="29"/>
  <c r="W67" i="29"/>
  <c r="F12" i="11"/>
  <c r="F9" i="11"/>
  <c r="W65" i="29"/>
  <c r="AC71" i="29"/>
  <c r="L18" i="11"/>
  <c r="Y71" i="29"/>
  <c r="F36" i="11"/>
  <c r="W83" i="29"/>
  <c r="W94" i="29"/>
  <c r="AE79" i="29"/>
  <c r="N30" i="11"/>
  <c r="M18" i="11"/>
  <c r="AD71" i="29"/>
  <c r="Q9" i="11"/>
  <c r="AH65" i="29"/>
  <c r="X71" i="29"/>
  <c r="G18" i="11"/>
  <c r="Z71" i="29"/>
  <c r="J54" i="11"/>
  <c r="J53" i="11"/>
  <c r="AA92" i="29"/>
  <c r="AF77" i="29"/>
  <c r="O27" i="11"/>
  <c r="N59" i="11"/>
  <c r="AE95" i="29"/>
  <c r="N58" i="11"/>
  <c r="L14" i="9"/>
  <c r="V43" i="29"/>
  <c r="O43" i="29"/>
  <c r="O14" i="9"/>
  <c r="X83" i="29"/>
  <c r="K101" i="29"/>
  <c r="L77" i="29"/>
  <c r="L26" i="9"/>
  <c r="V53" i="29"/>
  <c r="O26" i="9"/>
  <c r="O53" i="29"/>
  <c r="Y77" i="29"/>
  <c r="H27" i="11"/>
  <c r="L54" i="11"/>
  <c r="AC92" i="29"/>
  <c r="L53" i="11"/>
  <c r="P87" i="29"/>
  <c r="AH177" i="29"/>
  <c r="E15" i="11"/>
  <c r="L69" i="29"/>
  <c r="D30" i="11"/>
  <c r="W92" i="29"/>
  <c r="F54" i="11"/>
  <c r="M9" i="11"/>
  <c r="AD65" i="29"/>
  <c r="L12" i="11"/>
  <c r="AC67" i="29"/>
  <c r="AD81" i="29"/>
  <c r="M33" i="11"/>
  <c r="AD69" i="29"/>
  <c r="M15" i="11"/>
  <c r="AH69" i="29"/>
  <c r="Q15" i="11"/>
  <c r="AH83" i="29"/>
  <c r="Q36" i="11"/>
  <c r="AH75" i="29"/>
  <c r="Q24" i="11"/>
  <c r="AG67" i="29"/>
  <c r="P12" i="11"/>
  <c r="P30" i="11"/>
  <c r="AG79" i="29"/>
  <c r="Q12" i="11"/>
  <c r="AH67" i="29"/>
  <c r="W80" i="29"/>
  <c r="AG69" i="29"/>
  <c r="P15" i="11"/>
  <c r="H24" i="11"/>
  <c r="Y75" i="29"/>
  <c r="O37" i="29"/>
  <c r="L7" i="9"/>
  <c r="V37" i="29"/>
  <c r="O7" i="9"/>
  <c r="AJ285" i="29"/>
  <c r="K24" i="11"/>
  <c r="AB75" i="29"/>
  <c r="X81" i="29"/>
  <c r="G33" i="11"/>
  <c r="AA81" i="29"/>
  <c r="J33" i="11"/>
  <c r="W90" i="29"/>
  <c r="AH95" i="29"/>
  <c r="Q58" i="11"/>
  <c r="Q59" i="11"/>
  <c r="J21" i="11"/>
  <c r="AA73" i="29"/>
  <c r="W101" i="29"/>
  <c r="F68" i="11"/>
  <c r="AF75" i="29"/>
  <c r="O24" i="11"/>
  <c r="Z65" i="29"/>
  <c r="I9" i="11"/>
  <c r="N33" i="11"/>
  <c r="AE81" i="29"/>
  <c r="O54" i="29"/>
  <c r="L27" i="9"/>
  <c r="V54" i="29"/>
  <c r="O44" i="29"/>
  <c r="L15" i="9"/>
  <c r="V44" i="29"/>
  <c r="O19" i="9"/>
  <c r="O47" i="29"/>
  <c r="L19" i="9"/>
  <c r="V47" i="29"/>
  <c r="H9" i="11"/>
  <c r="Y65" i="29"/>
  <c r="W93" i="29"/>
  <c r="R51" i="11"/>
  <c r="T51" i="11"/>
  <c r="L67" i="29"/>
  <c r="AG161" i="29"/>
  <c r="I63" i="11"/>
  <c r="I64" i="11"/>
  <c r="Z98" i="29"/>
  <c r="X101" i="29"/>
  <c r="G68" i="11"/>
  <c r="M30" i="11"/>
  <c r="AD79" i="29"/>
  <c r="G15" i="11"/>
  <c r="X69" i="29"/>
  <c r="P24" i="11"/>
  <c r="AG75" i="29"/>
  <c r="J269" i="29"/>
  <c r="F9" i="26"/>
  <c r="O27" i="9"/>
  <c r="M38" i="29"/>
  <c r="O30" i="9"/>
  <c r="T28" i="13"/>
  <c r="L81" i="29"/>
  <c r="E24" i="11"/>
  <c r="E12" i="11"/>
  <c r="S28" i="13"/>
  <c r="O15" i="9"/>
  <c r="N10" i="15"/>
  <c r="E30" i="11"/>
  <c r="O168" i="29"/>
  <c r="AB185" i="29"/>
  <c r="AH196" i="29"/>
  <c r="O79" i="29"/>
  <c r="T14" i="11"/>
  <c r="T67" i="11"/>
  <c r="O103" i="29"/>
  <c r="T16" i="11"/>
  <c r="O76" i="29"/>
  <c r="F206" i="29"/>
  <c r="F277" i="29"/>
  <c r="F238" i="29"/>
  <c r="F276" i="29"/>
  <c r="F213" i="29"/>
  <c r="F130" i="29"/>
  <c r="F262" i="29"/>
  <c r="F269" i="29"/>
  <c r="F194" i="29"/>
  <c r="F121" i="29"/>
  <c r="F268" i="29"/>
  <c r="F115" i="29"/>
  <c r="F251" i="29"/>
  <c r="F241" i="29"/>
  <c r="F37" i="29"/>
  <c r="F50" i="29"/>
  <c r="F186" i="29"/>
  <c r="F79" i="29"/>
  <c r="F10" i="29"/>
  <c r="F164" i="29"/>
  <c r="F81" i="29"/>
  <c r="F31" i="29"/>
  <c r="F64" i="29"/>
  <c r="F191" i="29"/>
  <c r="F135" i="29"/>
  <c r="F210" i="29"/>
  <c r="F159" i="29"/>
  <c r="F139" i="29"/>
  <c r="F67" i="29"/>
  <c r="F202" i="29"/>
  <c r="F20" i="29"/>
  <c r="F265" i="29"/>
  <c r="F18" i="29"/>
  <c r="F235" i="29"/>
  <c r="F54" i="29"/>
  <c r="F286" i="29"/>
  <c r="F168" i="29"/>
  <c r="F240" i="29"/>
  <c r="F118" i="29"/>
  <c r="F42" i="29"/>
  <c r="F93" i="29"/>
  <c r="F100" i="29"/>
  <c r="F234" i="29"/>
  <c r="F46" i="29"/>
  <c r="F29" i="29"/>
  <c r="F250" i="29"/>
  <c r="F267" i="29"/>
  <c r="F103" i="29"/>
  <c r="F117" i="29"/>
  <c r="F182" i="29"/>
  <c r="F151" i="29"/>
  <c r="F275" i="29"/>
  <c r="F113" i="29"/>
  <c r="F51" i="29"/>
  <c r="F175" i="29"/>
  <c r="F274" i="29"/>
  <c r="F211" i="29"/>
  <c r="F48" i="29"/>
  <c r="F52" i="29"/>
  <c r="F230" i="29"/>
  <c r="F224" i="29"/>
  <c r="F60" i="29"/>
  <c r="F254" i="29"/>
  <c r="F179" i="29"/>
  <c r="F110" i="29"/>
  <c r="F140" i="29"/>
  <c r="F62" i="29"/>
  <c r="F177" i="29"/>
  <c r="F108" i="29"/>
  <c r="F270" i="29"/>
  <c r="F126" i="29"/>
  <c r="F133" i="29"/>
  <c r="F167" i="29"/>
  <c r="F58" i="29"/>
  <c r="H2" i="4"/>
  <c r="U2" i="19"/>
  <c r="F161" i="29"/>
  <c r="F144" i="29"/>
  <c r="F170" i="29"/>
  <c r="F128" i="29"/>
  <c r="F203" i="29"/>
  <c r="F57" i="29"/>
  <c r="F190" i="29"/>
  <c r="F40" i="29"/>
  <c r="F252" i="29"/>
  <c r="F149" i="29"/>
  <c r="F244" i="29"/>
  <c r="C294" i="29"/>
  <c r="F21" i="29"/>
  <c r="F169" i="29"/>
  <c r="F283" i="29"/>
  <c r="F258" i="29"/>
  <c r="F294" i="29"/>
  <c r="F248" i="29"/>
  <c r="F232" i="29"/>
  <c r="F3" i="29"/>
  <c r="F162" i="29"/>
  <c r="F14" i="29"/>
  <c r="F278" i="29"/>
  <c r="C33" i="29"/>
  <c r="F76" i="29"/>
  <c r="F146" i="29"/>
  <c r="F293" i="29"/>
  <c r="F220" i="29"/>
  <c r="F71" i="29"/>
  <c r="F264" i="29"/>
  <c r="F87" i="29"/>
  <c r="F291" i="29"/>
  <c r="F237" i="29"/>
  <c r="F229" i="29"/>
  <c r="C86" i="29"/>
  <c r="F180" i="29"/>
  <c r="F8" i="29"/>
  <c r="F198" i="29"/>
  <c r="F200" i="29"/>
  <c r="F6" i="29"/>
  <c r="F227" i="29"/>
  <c r="F184" i="29"/>
  <c r="F23" i="29"/>
  <c r="F98" i="29"/>
  <c r="F289" i="29"/>
  <c r="F24" i="29"/>
  <c r="C242" i="29"/>
  <c r="F49" i="29"/>
  <c r="C256" i="29"/>
  <c r="D251" i="29"/>
  <c r="C120" i="29"/>
  <c r="F123" i="29"/>
  <c r="C44" i="29"/>
  <c r="D172" i="29"/>
  <c r="C178" i="29"/>
  <c r="D163" i="29"/>
  <c r="F255" i="29"/>
  <c r="D80" i="29"/>
  <c r="F266" i="29"/>
  <c r="C158" i="29"/>
  <c r="F33" i="29"/>
  <c r="C40" i="29"/>
  <c r="F279" i="29"/>
  <c r="C144" i="29"/>
  <c r="D104" i="29"/>
  <c r="F138" i="29"/>
  <c r="D33" i="29"/>
  <c r="F253" i="29"/>
  <c r="C24" i="29"/>
  <c r="F68" i="29"/>
  <c r="C200" i="29"/>
  <c r="F11" i="29"/>
  <c r="C231" i="29"/>
  <c r="D167" i="29"/>
  <c r="C58" i="29"/>
  <c r="C28" i="29"/>
  <c r="D234" i="29"/>
  <c r="F78" i="29"/>
  <c r="C136" i="29"/>
  <c r="C263" i="29"/>
  <c r="C295" i="29"/>
  <c r="C62" i="29"/>
  <c r="D126" i="29"/>
  <c r="D262" i="29"/>
  <c r="F114" i="29"/>
  <c r="D99" i="29"/>
  <c r="F260" i="29"/>
  <c r="F61" i="29"/>
  <c r="D237" i="29"/>
  <c r="D78" i="29"/>
  <c r="D102" i="29"/>
  <c r="D2" i="27"/>
  <c r="D242" i="29"/>
  <c r="D49" i="29"/>
  <c r="C49" i="29"/>
  <c r="W2" i="11"/>
  <c r="C137" i="29"/>
  <c r="D197" i="29"/>
  <c r="D187" i="29"/>
  <c r="F141" i="29"/>
  <c r="C225" i="29"/>
  <c r="F53" i="29"/>
  <c r="C273" i="29"/>
  <c r="D88" i="29"/>
  <c r="C176" i="29"/>
  <c r="D267" i="29"/>
  <c r="F134" i="29"/>
  <c r="D90" i="29"/>
  <c r="F256" i="29"/>
  <c r="C243" i="29"/>
  <c r="F173" i="29"/>
  <c r="C159" i="29"/>
  <c r="F26" i="29"/>
  <c r="C51" i="29"/>
  <c r="D135" i="29"/>
  <c r="F207" i="29"/>
  <c r="D198" i="29"/>
  <c r="F45" i="29"/>
  <c r="C61" i="29"/>
  <c r="F148" i="29"/>
  <c r="C141" i="29"/>
  <c r="D96" i="29"/>
  <c r="C14" i="29"/>
  <c r="D151" i="29"/>
  <c r="D189" i="29"/>
  <c r="C11" i="29"/>
  <c r="C38" i="29"/>
  <c r="C278" i="29"/>
  <c r="D157" i="29"/>
  <c r="D67" i="29"/>
  <c r="F287" i="29"/>
  <c r="F9" i="29"/>
  <c r="C186" i="29"/>
  <c r="F22" i="29"/>
  <c r="D200" i="29"/>
  <c r="F263" i="29"/>
  <c r="F228" i="29"/>
  <c r="D107" i="29"/>
  <c r="F35" i="29"/>
  <c r="R2" i="16"/>
  <c r="C286" i="29"/>
  <c r="F295" i="29"/>
  <c r="C255" i="29"/>
  <c r="C35" i="29"/>
  <c r="F73" i="29"/>
  <c r="C10" i="29"/>
  <c r="F217" i="29"/>
  <c r="C5" i="29"/>
  <c r="D248" i="29"/>
  <c r="C262" i="29"/>
  <c r="D273" i="29"/>
  <c r="F222" i="29"/>
  <c r="D131" i="29"/>
  <c r="F245" i="29"/>
  <c r="C165" i="29"/>
  <c r="F171" i="29"/>
  <c r="C168" i="29"/>
  <c r="F2" i="29"/>
  <c r="C2" i="29"/>
  <c r="D106" i="29"/>
  <c r="D244" i="29"/>
  <c r="C234" i="29"/>
  <c r="F185" i="29"/>
  <c r="C235" i="29"/>
  <c r="C289" i="29"/>
  <c r="D127" i="29"/>
  <c r="D295" i="29"/>
  <c r="D240" i="29"/>
  <c r="C131" i="29"/>
  <c r="C119" i="29"/>
  <c r="C65" i="29"/>
  <c r="D195" i="29"/>
  <c r="D263" i="29"/>
  <c r="F221" i="29"/>
  <c r="F4" i="29"/>
  <c r="C81" i="29"/>
  <c r="D217" i="29"/>
  <c r="F219" i="29"/>
  <c r="F257" i="29"/>
  <c r="C248" i="29"/>
  <c r="D290" i="29"/>
  <c r="F77" i="29"/>
  <c r="C22" i="29"/>
  <c r="F56" i="29"/>
  <c r="D53" i="29"/>
  <c r="D265" i="29"/>
  <c r="C101" i="29"/>
  <c r="F143" i="29"/>
  <c r="C41" i="29"/>
  <c r="F178" i="29"/>
  <c r="C217" i="29"/>
  <c r="D176" i="29"/>
  <c r="F55" i="29"/>
  <c r="D208" i="29"/>
  <c r="F273" i="29"/>
  <c r="C118" i="29"/>
  <c r="F104" i="29"/>
  <c r="C30" i="29"/>
  <c r="F7" i="29"/>
  <c r="D112" i="29"/>
  <c r="F92" i="29"/>
  <c r="C79" i="29"/>
  <c r="C281" i="29"/>
  <c r="C205" i="29"/>
  <c r="D72" i="29"/>
  <c r="D42" i="29"/>
  <c r="D210" i="29"/>
  <c r="F84" i="29"/>
  <c r="D179" i="29"/>
  <c r="C142" i="29"/>
  <c r="D54" i="29"/>
  <c r="F95" i="29"/>
  <c r="D156" i="29"/>
  <c r="D133" i="29"/>
  <c r="C264" i="29"/>
  <c r="C124" i="29"/>
  <c r="C192" i="29"/>
  <c r="D56" i="29"/>
  <c r="D2" i="28"/>
  <c r="C56" i="29"/>
  <c r="D2" i="45"/>
  <c r="D50" i="29"/>
  <c r="C48" i="29"/>
  <c r="D57" i="29"/>
  <c r="D288" i="29"/>
  <c r="C220" i="29"/>
  <c r="F116" i="29"/>
  <c r="C269" i="29"/>
  <c r="D140" i="29"/>
  <c r="C3" i="29"/>
  <c r="D292" i="29"/>
  <c r="F38" i="29"/>
  <c r="D34" i="29"/>
  <c r="C89" i="29"/>
  <c r="F176" i="29"/>
  <c r="F63" i="29"/>
  <c r="F223" i="29"/>
  <c r="C128" i="29"/>
  <c r="D121" i="29"/>
  <c r="C98" i="29"/>
  <c r="D285" i="29"/>
  <c r="F125" i="29"/>
  <c r="F83" i="29"/>
  <c r="C92" i="29"/>
  <c r="C117" i="29"/>
  <c r="D20" i="29"/>
  <c r="D51" i="29"/>
  <c r="D105" i="29"/>
  <c r="F192" i="29"/>
  <c r="D30" i="29"/>
  <c r="C272" i="29"/>
  <c r="F280" i="29"/>
  <c r="F193" i="29"/>
  <c r="W2" i="10"/>
  <c r="G2" i="7"/>
  <c r="D249" i="29"/>
  <c r="D191" i="29"/>
  <c r="D3" i="29"/>
  <c r="D14" i="29"/>
  <c r="F285" i="29"/>
  <c r="F218" i="29"/>
  <c r="D129" i="29"/>
  <c r="D111" i="29"/>
  <c r="D202" i="29"/>
  <c r="C85" i="29"/>
  <c r="F282" i="29"/>
  <c r="F65" i="29"/>
  <c r="F145" i="29"/>
  <c r="C265" i="29"/>
  <c r="D274" i="29"/>
  <c r="D70" i="29"/>
  <c r="F196" i="29"/>
  <c r="D243" i="29"/>
  <c r="D134" i="29"/>
  <c r="D7" i="29"/>
  <c r="C274" i="29"/>
  <c r="T2" i="12"/>
  <c r="D21" i="29"/>
  <c r="D38" i="29"/>
  <c r="C164" i="29"/>
  <c r="C151" i="29"/>
  <c r="F90" i="29"/>
  <c r="C177" i="29"/>
  <c r="D64" i="29"/>
  <c r="D159" i="29"/>
  <c r="D173" i="29"/>
  <c r="F131" i="29"/>
  <c r="D165" i="29"/>
  <c r="F32" i="29"/>
  <c r="C250" i="29"/>
  <c r="F150" i="29"/>
  <c r="C103" i="29"/>
  <c r="D257" i="29"/>
  <c r="C47" i="29"/>
  <c r="D169" i="29"/>
  <c r="F155" i="29"/>
  <c r="D236" i="29"/>
  <c r="F89" i="29"/>
  <c r="F261" i="29"/>
  <c r="C99" i="29"/>
  <c r="D166" i="29"/>
  <c r="D222" i="29"/>
  <c r="C201" i="29"/>
  <c r="F5" i="29"/>
  <c r="F59" i="29"/>
  <c r="D183" i="29"/>
  <c r="C139" i="29"/>
  <c r="D71" i="29"/>
  <c r="D68" i="29"/>
  <c r="F39" i="29"/>
  <c r="D246" i="29"/>
  <c r="F66" i="29"/>
  <c r="C59" i="29"/>
  <c r="D91" i="29"/>
  <c r="F226" i="29"/>
  <c r="P2" i="9"/>
  <c r="W2" i="13"/>
  <c r="D214" i="29"/>
  <c r="D279" i="29"/>
  <c r="F12" i="29"/>
  <c r="C18" i="29"/>
  <c r="D40" i="29"/>
  <c r="F36" i="29"/>
  <c r="D15" i="29"/>
  <c r="F172" i="29"/>
  <c r="D39" i="29"/>
  <c r="F105" i="29"/>
  <c r="C42" i="29"/>
  <c r="F247" i="29"/>
  <c r="C102" i="29"/>
  <c r="D180" i="29"/>
  <c r="D160" i="29"/>
  <c r="D124" i="29"/>
  <c r="F72" i="29"/>
  <c r="D87" i="29"/>
  <c r="C161" i="29"/>
  <c r="F86" i="29"/>
  <c r="C73" i="29"/>
  <c r="D22" i="29"/>
  <c r="C166" i="29"/>
  <c r="D17" i="29"/>
  <c r="F136" i="29"/>
  <c r="D76" i="29"/>
  <c r="F97" i="29"/>
  <c r="F157" i="29"/>
  <c r="C29" i="29"/>
  <c r="D164" i="29"/>
  <c r="D211" i="29"/>
  <c r="C68" i="29"/>
  <c r="F288" i="29"/>
  <c r="F216" i="29"/>
  <c r="C170" i="29"/>
  <c r="C6" i="29"/>
  <c r="D2" i="29"/>
  <c r="F34" i="29"/>
  <c r="F163" i="29"/>
  <c r="F19" i="29"/>
  <c r="F129" i="29"/>
  <c r="D271" i="29"/>
  <c r="C185" i="29"/>
  <c r="F111" i="29"/>
  <c r="D2" i="46"/>
  <c r="S2" i="17"/>
  <c r="D119" i="29"/>
  <c r="D225" i="29"/>
  <c r="C70" i="29"/>
  <c r="C230" i="29"/>
  <c r="D27" i="29"/>
  <c r="C140" i="29"/>
  <c r="D170" i="29"/>
  <c r="C232" i="29"/>
  <c r="D294" i="29"/>
  <c r="F112" i="29"/>
  <c r="C258" i="29"/>
  <c r="F233" i="29"/>
  <c r="C108" i="29"/>
  <c r="F74" i="29"/>
  <c r="C95" i="29"/>
  <c r="D114" i="29"/>
  <c r="D231" i="29"/>
  <c r="D158" i="29"/>
  <c r="C150" i="29"/>
  <c r="C194" i="29"/>
  <c r="C172" i="29"/>
  <c r="D261" i="29"/>
  <c r="F106" i="29"/>
  <c r="C187" i="29"/>
  <c r="F30" i="29"/>
  <c r="C257" i="29"/>
  <c r="C36" i="29"/>
  <c r="C219" i="29"/>
  <c r="D149" i="29"/>
  <c r="F272" i="29"/>
  <c r="D113" i="29"/>
  <c r="F25" i="29"/>
  <c r="D73" i="29"/>
  <c r="C171" i="29"/>
  <c r="C27" i="29"/>
  <c r="F102" i="29"/>
  <c r="N2" i="14"/>
  <c r="D108" i="29"/>
  <c r="C247" i="29"/>
  <c r="C53" i="29"/>
  <c r="D281" i="29"/>
  <c r="F165" i="29"/>
  <c r="D275" i="29"/>
  <c r="F259" i="29"/>
  <c r="C121" i="29"/>
  <c r="F201" i="29"/>
  <c r="C290" i="29"/>
  <c r="F70" i="29"/>
  <c r="C175" i="29"/>
  <c r="D207" i="29"/>
  <c r="F204" i="29"/>
  <c r="D235" i="29"/>
  <c r="F160" i="29"/>
  <c r="C221" i="29"/>
  <c r="C268" i="29"/>
  <c r="F80" i="29"/>
  <c r="F243" i="29"/>
  <c r="C9" i="29"/>
  <c r="F246" i="29"/>
  <c r="F231" i="29"/>
  <c r="D190" i="29"/>
  <c r="D256" i="29"/>
  <c r="F132" i="29"/>
  <c r="D128" i="29"/>
  <c r="F154" i="29"/>
  <c r="D41" i="29"/>
  <c r="F137" i="29"/>
  <c r="V25" i="11"/>
  <c r="O78" i="29"/>
  <c r="T26" i="11"/>
  <c r="X89" i="29"/>
  <c r="J30" i="11"/>
  <c r="P36" i="11"/>
  <c r="AF74" i="29"/>
  <c r="O21" i="11"/>
  <c r="AF103" i="29"/>
  <c r="O68" i="11"/>
  <c r="P68" i="11"/>
  <c r="AG101" i="29"/>
  <c r="E18" i="11"/>
  <c r="AA101" i="29"/>
  <c r="J68" i="11"/>
  <c r="X97" i="29"/>
  <c r="R35" i="11"/>
  <c r="P88" i="29"/>
  <c r="S42" i="11"/>
  <c r="E36" i="11"/>
  <c r="T30" i="19"/>
  <c r="O236" i="29"/>
  <c r="O36" i="11"/>
  <c r="K27" i="11"/>
  <c r="Q63" i="11"/>
  <c r="AA77" i="29"/>
  <c r="J27" i="11"/>
  <c r="B21" i="15"/>
  <c r="K154" i="29"/>
  <c r="B19" i="9"/>
  <c r="K47" i="29"/>
  <c r="B26" i="9"/>
  <c r="K53" i="29"/>
  <c r="B15" i="15"/>
  <c r="K148" i="29"/>
  <c r="B10" i="9"/>
  <c r="K39" i="29"/>
  <c r="C19" i="11"/>
  <c r="C21" i="11"/>
  <c r="B10" i="13"/>
  <c r="K111" i="29"/>
  <c r="B21" i="9"/>
  <c r="K49" i="29"/>
  <c r="B27" i="9"/>
  <c r="K54" i="29"/>
  <c r="C26" i="11"/>
  <c r="K78" i="29"/>
  <c r="C17" i="11"/>
  <c r="K72" i="29"/>
  <c r="B29" i="9"/>
  <c r="K56" i="29"/>
  <c r="B8" i="15"/>
  <c r="K142" i="29"/>
  <c r="C25" i="11"/>
  <c r="C51" i="11"/>
  <c r="K93" i="29"/>
  <c r="C35" i="11"/>
  <c r="B20" i="9"/>
  <c r="K48" i="29"/>
  <c r="C22" i="11"/>
  <c r="B25" i="9"/>
  <c r="K52" i="29"/>
  <c r="B22" i="15"/>
  <c r="K155" i="29"/>
  <c r="C61" i="11"/>
  <c r="K99" i="29"/>
  <c r="B7" i="9"/>
  <c r="K37" i="29"/>
  <c r="C11" i="11"/>
  <c r="K68" i="29"/>
  <c r="B27" i="13"/>
  <c r="K128" i="29"/>
  <c r="C16" i="11"/>
  <c r="B13" i="15"/>
  <c r="K146" i="29"/>
  <c r="C7" i="11"/>
  <c r="C31" i="11"/>
  <c r="B19" i="15"/>
  <c r="K152" i="29"/>
  <c r="B11" i="15"/>
  <c r="K144" i="29"/>
  <c r="C10" i="11"/>
  <c r="C60" i="11"/>
  <c r="B17" i="15"/>
  <c r="K150" i="29"/>
  <c r="B14" i="15"/>
  <c r="K147" i="29"/>
  <c r="B12" i="15"/>
  <c r="K145" i="29"/>
  <c r="B18" i="15"/>
  <c r="K151" i="29"/>
  <c r="B24" i="9"/>
  <c r="K51" i="29"/>
  <c r="B28" i="13"/>
  <c r="K129" i="29"/>
  <c r="C71" i="11"/>
  <c r="K105" i="29"/>
  <c r="B26" i="13"/>
  <c r="K127" i="29"/>
  <c r="C57" i="11"/>
  <c r="K97" i="29"/>
  <c r="C67" i="11"/>
  <c r="B7" i="15"/>
  <c r="K141" i="29"/>
  <c r="C55" i="11"/>
  <c r="K95" i="29"/>
  <c r="B30" i="9"/>
  <c r="K57" i="29"/>
  <c r="B16" i="15"/>
  <c r="K149" i="29"/>
  <c r="C28" i="11"/>
  <c r="C50" i="11"/>
  <c r="C45" i="11"/>
  <c r="K89" i="29"/>
  <c r="B13" i="9"/>
  <c r="K42" i="29"/>
  <c r="C20" i="11"/>
  <c r="K74" i="29"/>
  <c r="C52" i="11"/>
  <c r="K94" i="29"/>
  <c r="C23" i="11"/>
  <c r="K76" i="29"/>
  <c r="C13" i="11"/>
  <c r="C8" i="11"/>
  <c r="K66" i="29"/>
  <c r="B14" i="9"/>
  <c r="K43" i="29"/>
  <c r="C56" i="11"/>
  <c r="K96" i="29"/>
  <c r="B10" i="15"/>
  <c r="K143" i="29"/>
  <c r="C29" i="11"/>
  <c r="K80" i="29"/>
  <c r="C32" i="11"/>
  <c r="K82" i="29"/>
  <c r="B23" i="15"/>
  <c r="K156" i="29"/>
  <c r="C62" i="11"/>
  <c r="K100" i="29"/>
  <c r="B20" i="15"/>
  <c r="K153" i="29"/>
  <c r="B25" i="13"/>
  <c r="K126" i="29"/>
  <c r="J12" i="11"/>
  <c r="AH98" i="29"/>
  <c r="H54" i="11"/>
  <c r="R65" i="11"/>
  <c r="Y74" i="29"/>
  <c r="R20" i="11"/>
  <c r="R56" i="11"/>
  <c r="O96" i="29"/>
  <c r="P36" i="29"/>
  <c r="M39" i="9"/>
  <c r="O73" i="29"/>
  <c r="N15" i="11"/>
  <c r="Y101" i="29"/>
  <c r="O235" i="29"/>
  <c r="S29" i="19"/>
  <c r="AE69" i="29"/>
  <c r="I59" i="11"/>
  <c r="AF65" i="29"/>
  <c r="O9" i="11"/>
  <c r="AG82" i="29"/>
  <c r="R32" i="11"/>
  <c r="L147" i="29"/>
  <c r="N14" i="15"/>
  <c r="P137" i="29"/>
  <c r="R39" i="13"/>
  <c r="Q18" i="11"/>
  <c r="AH71" i="29"/>
  <c r="Z78" i="29"/>
  <c r="I27" i="11"/>
  <c r="AB91" i="29"/>
  <c r="T23" i="11"/>
  <c r="E53" i="11"/>
  <c r="W81" i="29"/>
  <c r="R31" i="11"/>
  <c r="N24" i="11"/>
  <c r="H29" i="9"/>
  <c r="S56" i="29"/>
  <c r="O30" i="11"/>
  <c r="E18" i="13"/>
  <c r="W119" i="29"/>
  <c r="G29" i="9"/>
  <c r="R56" i="29"/>
  <c r="M29" i="9"/>
  <c r="P56" i="29"/>
  <c r="E7" i="13"/>
  <c r="K20" i="13"/>
  <c r="AC121" i="29"/>
  <c r="J18" i="11"/>
  <c r="J271" i="29"/>
  <c r="H53" i="11"/>
  <c r="J9" i="13"/>
  <c r="AB110" i="29"/>
  <c r="N29" i="9"/>
  <c r="C28" i="46"/>
  <c r="AM35" i="29"/>
  <c r="J16" i="13"/>
  <c r="AB117" i="29"/>
  <c r="N21" i="9"/>
  <c r="O49" i="29"/>
  <c r="H11" i="13"/>
  <c r="Z112" i="29"/>
  <c r="M21" i="9"/>
  <c r="P49" i="29"/>
  <c r="I21" i="9"/>
  <c r="T49" i="29"/>
  <c r="AB80" i="29"/>
  <c r="H21" i="9"/>
  <c r="S49" i="29"/>
  <c r="G21" i="9"/>
  <c r="R49" i="29"/>
  <c r="E21" i="9"/>
  <c r="N49" i="29"/>
  <c r="AD94" i="29"/>
  <c r="D21" i="9"/>
  <c r="M49" i="29"/>
  <c r="C21" i="9"/>
  <c r="L49" i="29"/>
  <c r="C8" i="26"/>
  <c r="J268" i="29"/>
  <c r="N19" i="13"/>
  <c r="AF120" i="29"/>
  <c r="K12" i="13"/>
  <c r="AC113" i="29"/>
  <c r="C29" i="9"/>
  <c r="L56" i="29"/>
  <c r="D29" i="9"/>
  <c r="M56" i="29"/>
  <c r="X180" i="29"/>
  <c r="AF162" i="29"/>
  <c r="G11" i="21"/>
  <c r="X247" i="29"/>
  <c r="D37" i="17"/>
  <c r="L189" i="29"/>
  <c r="AH190" i="29"/>
  <c r="W194" i="29"/>
  <c r="D8" i="17"/>
  <c r="L160" i="29"/>
  <c r="L13" i="17"/>
  <c r="AC165" i="29"/>
  <c r="G23" i="17"/>
  <c r="X175" i="29"/>
  <c r="G41" i="17"/>
  <c r="X193" i="29"/>
  <c r="H11" i="17"/>
  <c r="Y163" i="29"/>
  <c r="Q37" i="17"/>
  <c r="M34" i="17"/>
  <c r="AD186" i="29"/>
  <c r="E19" i="17"/>
  <c r="K30" i="17"/>
  <c r="AB182" i="29"/>
  <c r="K40" i="17"/>
  <c r="AB192" i="29"/>
  <c r="N30" i="17"/>
  <c r="AE182" i="29"/>
  <c r="O30" i="17"/>
  <c r="AF182" i="29"/>
  <c r="D29" i="17"/>
  <c r="L181" i="29"/>
  <c r="I41" i="17"/>
  <c r="Z193" i="29"/>
  <c r="F21" i="17"/>
  <c r="J10" i="17"/>
  <c r="Q40" i="17"/>
  <c r="M39" i="17"/>
  <c r="AD191" i="29"/>
  <c r="I21" i="17"/>
  <c r="Z173" i="29"/>
  <c r="F30" i="17"/>
  <c r="W182" i="29"/>
  <c r="I45" i="17"/>
  <c r="Z196" i="29"/>
  <c r="J36" i="17"/>
  <c r="AA188" i="29"/>
  <c r="F34" i="17"/>
  <c r="W186" i="29"/>
  <c r="C28" i="17"/>
  <c r="K180" i="29"/>
  <c r="C11" i="17"/>
  <c r="K163" i="29"/>
  <c r="C18" i="17"/>
  <c r="K170" i="29"/>
  <c r="W175" i="29"/>
  <c r="O180" i="29"/>
  <c r="O182" i="29"/>
  <c r="D32" i="17"/>
  <c r="L184" i="29"/>
  <c r="N44" i="17"/>
  <c r="P16" i="17"/>
  <c r="AG168" i="29"/>
  <c r="E40" i="17"/>
  <c r="L37" i="17"/>
  <c r="AC189" i="29"/>
  <c r="N26" i="17"/>
  <c r="AE178" i="29"/>
  <c r="M19" i="17"/>
  <c r="AD171" i="29"/>
  <c r="O13" i="17"/>
  <c r="AF165" i="29"/>
  <c r="P19" i="17"/>
  <c r="AG171" i="29"/>
  <c r="O19" i="17"/>
  <c r="AF171" i="29"/>
  <c r="G29" i="17"/>
  <c r="X181" i="29"/>
  <c r="P22" i="17"/>
  <c r="AG174" i="29"/>
  <c r="J35" i="17"/>
  <c r="AA187" i="29"/>
  <c r="M41" i="17"/>
  <c r="AD193" i="29"/>
  <c r="E16" i="17"/>
  <c r="H33" i="17"/>
  <c r="Y185" i="29"/>
  <c r="R8" i="21"/>
  <c r="P244" i="29"/>
  <c r="G22" i="17"/>
  <c r="R22" i="17"/>
  <c r="M14" i="17"/>
  <c r="AD166" i="29"/>
  <c r="N42" i="17"/>
  <c r="AE194" i="29"/>
  <c r="E21" i="17"/>
  <c r="I38" i="17"/>
  <c r="Z190" i="29"/>
  <c r="O31" i="17"/>
  <c r="AF183" i="29"/>
  <c r="M44" i="17"/>
  <c r="F19" i="17"/>
  <c r="I39" i="17"/>
  <c r="Z191" i="29"/>
  <c r="P39" i="17"/>
  <c r="AG191" i="29"/>
  <c r="C38" i="17"/>
  <c r="K190" i="29"/>
  <c r="W179" i="29"/>
  <c r="D44" i="17"/>
  <c r="D33" i="17"/>
  <c r="L185" i="29"/>
  <c r="E28" i="17"/>
  <c r="I16" i="17"/>
  <c r="Z168" i="29"/>
  <c r="E24" i="17"/>
  <c r="I33" i="17"/>
  <c r="I32" i="17"/>
  <c r="E18" i="17"/>
  <c r="L45" i="17"/>
  <c r="AC196" i="29"/>
  <c r="J44" i="17"/>
  <c r="J25" i="17"/>
  <c r="E35" i="17"/>
  <c r="O36" i="17"/>
  <c r="AF188" i="29"/>
  <c r="I31" i="17"/>
  <c r="Z183" i="29"/>
  <c r="J39" i="17"/>
  <c r="AA191" i="29"/>
  <c r="F16" i="21"/>
  <c r="W252" i="29"/>
  <c r="D13" i="17"/>
  <c r="L165" i="29"/>
  <c r="N14" i="17"/>
  <c r="AE166" i="29"/>
  <c r="P45" i="17"/>
  <c r="AG196" i="29"/>
  <c r="AF177" i="29"/>
  <c r="H40" i="17"/>
  <c r="Y192" i="29"/>
  <c r="P13" i="17"/>
  <c r="AG165" i="29"/>
  <c r="F12" i="17"/>
  <c r="O18" i="17"/>
  <c r="AF170" i="29"/>
  <c r="E44" i="17"/>
  <c r="E32" i="17"/>
  <c r="Q12" i="17"/>
  <c r="C26" i="17"/>
  <c r="K178" i="29"/>
  <c r="C32" i="17"/>
  <c r="K184" i="29"/>
  <c r="C8" i="17"/>
  <c r="K160" i="29"/>
  <c r="W192" i="29"/>
  <c r="D35" i="17"/>
  <c r="L187" i="29"/>
  <c r="D9" i="17"/>
  <c r="L161" i="29"/>
  <c r="N36" i="17"/>
  <c r="AE188" i="29"/>
  <c r="K12" i="17"/>
  <c r="AB164" i="29"/>
  <c r="E27" i="17"/>
  <c r="G26" i="17"/>
  <c r="X178" i="29"/>
  <c r="J30" i="17"/>
  <c r="AA182" i="29"/>
  <c r="E30" i="17"/>
  <c r="O40" i="17"/>
  <c r="AF192" i="29"/>
  <c r="P42" i="17"/>
  <c r="AG194" i="29"/>
  <c r="I42" i="17"/>
  <c r="Z194" i="29"/>
  <c r="Q9" i="17"/>
  <c r="G25" i="17"/>
  <c r="M9" i="17"/>
  <c r="M12" i="17"/>
  <c r="AD164" i="29"/>
  <c r="Q20" i="17"/>
  <c r="K39" i="17"/>
  <c r="AB191" i="29"/>
  <c r="D20" i="17"/>
  <c r="L172" i="29"/>
  <c r="M43" i="17"/>
  <c r="AD195" i="29"/>
  <c r="J33" i="17"/>
  <c r="K18" i="17"/>
  <c r="AB170" i="29"/>
  <c r="L33" i="17"/>
  <c r="L29" i="17"/>
  <c r="AC181" i="29"/>
  <c r="I14" i="17"/>
  <c r="Z166" i="29"/>
  <c r="O37" i="17"/>
  <c r="AF189" i="29"/>
  <c r="G37" i="17"/>
  <c r="X189" i="29"/>
  <c r="K41" i="17"/>
  <c r="AB193" i="29"/>
  <c r="C35" i="17"/>
  <c r="K187" i="29"/>
  <c r="C31" i="17"/>
  <c r="K183" i="29"/>
  <c r="C40" i="17"/>
  <c r="K192" i="29"/>
  <c r="W167" i="29"/>
  <c r="D16" i="17"/>
  <c r="L168" i="29"/>
  <c r="O26" i="17"/>
  <c r="AF178" i="29"/>
  <c r="E9" i="17"/>
  <c r="M20" i="17"/>
  <c r="AD172" i="29"/>
  <c r="M42" i="17"/>
  <c r="AD194" i="29"/>
  <c r="L20" i="17"/>
  <c r="AC172" i="29"/>
  <c r="J12" i="17"/>
  <c r="N20" i="17"/>
  <c r="AE172" i="29"/>
  <c r="H25" i="17"/>
  <c r="K34" i="17"/>
  <c r="AB186" i="29"/>
  <c r="F39" i="17"/>
  <c r="N27" i="17"/>
  <c r="N24" i="17"/>
  <c r="AE176" i="29"/>
  <c r="G31" i="17"/>
  <c r="F16" i="17"/>
  <c r="H26" i="17"/>
  <c r="Y178" i="29"/>
  <c r="K9" i="17"/>
  <c r="AB161" i="29"/>
  <c r="H16" i="17"/>
  <c r="Y168" i="29"/>
  <c r="N34" i="17"/>
  <c r="AE186" i="29"/>
  <c r="H28" i="17"/>
  <c r="Y180" i="29"/>
  <c r="F26" i="17"/>
  <c r="D45" i="17"/>
  <c r="L196" i="29"/>
  <c r="K17" i="17"/>
  <c r="AB169" i="29"/>
  <c r="C15" i="17"/>
  <c r="K167" i="29"/>
  <c r="H18" i="21"/>
  <c r="AH185" i="29"/>
  <c r="F17" i="17"/>
  <c r="H14" i="17"/>
  <c r="Y166" i="29"/>
  <c r="H21" i="17"/>
  <c r="Y173" i="29"/>
  <c r="J45" i="17"/>
  <c r="AA196" i="29"/>
  <c r="I28" i="17"/>
  <c r="Z180" i="29"/>
  <c r="M40" i="17"/>
  <c r="AD192" i="29"/>
  <c r="O44" i="17"/>
  <c r="I29" i="17"/>
  <c r="Z181" i="29"/>
  <c r="E38" i="17"/>
  <c r="H44" i="17"/>
  <c r="F12" i="21"/>
  <c r="W248" i="29"/>
  <c r="N40" i="17"/>
  <c r="AE192" i="29"/>
  <c r="L16" i="17"/>
  <c r="AC168" i="29"/>
  <c r="F37" i="17"/>
  <c r="J19" i="17"/>
  <c r="AA171" i="29"/>
  <c r="F9" i="17"/>
  <c r="G44" i="17"/>
  <c r="H22" i="17"/>
  <c r="Y174" i="29"/>
  <c r="H37" i="17"/>
  <c r="Y189" i="29"/>
  <c r="D31" i="17"/>
  <c r="L183" i="29"/>
  <c r="Q34" i="17"/>
  <c r="AH186" i="29"/>
  <c r="J41" i="17"/>
  <c r="AA193" i="29"/>
  <c r="P38" i="17"/>
  <c r="AG190" i="29"/>
  <c r="E25" i="17"/>
  <c r="O11" i="17"/>
  <c r="D42" i="17"/>
  <c r="L194" i="29"/>
  <c r="L15" i="17"/>
  <c r="AC167" i="29"/>
  <c r="P35" i="17"/>
  <c r="AG187" i="29"/>
  <c r="N17" i="17"/>
  <c r="AE169" i="29"/>
  <c r="C19" i="17"/>
  <c r="K171" i="29"/>
  <c r="C21" i="17"/>
  <c r="K173" i="29"/>
  <c r="AH163" i="29"/>
  <c r="D21" i="17"/>
  <c r="L173" i="29"/>
  <c r="D22" i="17"/>
  <c r="L174" i="29"/>
  <c r="F18" i="17"/>
  <c r="R18" i="17"/>
  <c r="E41" i="17"/>
  <c r="E8" i="17"/>
  <c r="E29" i="17"/>
  <c r="F38" i="17"/>
  <c r="M37" i="17"/>
  <c r="AD189" i="29"/>
  <c r="F11" i="17"/>
  <c r="N35" i="17"/>
  <c r="AE187" i="29"/>
  <c r="J34" i="17"/>
  <c r="AA186" i="29"/>
  <c r="G16" i="17"/>
  <c r="X168" i="29"/>
  <c r="Q43" i="17"/>
  <c r="AH195" i="29"/>
  <c r="N19" i="17"/>
  <c r="AE171" i="29"/>
  <c r="L39" i="17"/>
  <c r="AC191" i="29"/>
  <c r="E17" i="17"/>
  <c r="K22" i="17"/>
  <c r="AB174" i="29"/>
  <c r="J26" i="17"/>
  <c r="AA178" i="29"/>
  <c r="E23" i="17"/>
  <c r="J43" i="17"/>
  <c r="AA195" i="29"/>
  <c r="D14" i="17"/>
  <c r="L166" i="29"/>
  <c r="G18" i="17"/>
  <c r="X170" i="29"/>
  <c r="C23" i="17"/>
  <c r="K175" i="29"/>
  <c r="P21" i="17"/>
  <c r="AG173" i="29"/>
  <c r="E22" i="17"/>
  <c r="O173" i="29"/>
  <c r="M30" i="17"/>
  <c r="AD182" i="29"/>
  <c r="M22" i="17"/>
  <c r="AD174" i="29"/>
  <c r="J27" i="17"/>
  <c r="AA179" i="29"/>
  <c r="L31" i="17"/>
  <c r="AC183" i="29"/>
  <c r="E36" i="17"/>
  <c r="E26" i="17"/>
  <c r="O38" i="17"/>
  <c r="AF190" i="29"/>
  <c r="M28" i="17"/>
  <c r="AD180" i="29"/>
  <c r="I10" i="17"/>
  <c r="Z162" i="29"/>
  <c r="H34" i="17"/>
  <c r="Y186" i="29"/>
  <c r="N16" i="17"/>
  <c r="AE168" i="29"/>
  <c r="D27" i="17"/>
  <c r="L179" i="29"/>
  <c r="I12" i="17"/>
  <c r="Z164" i="29"/>
  <c r="D36" i="17"/>
  <c r="L188" i="29"/>
  <c r="G14" i="17"/>
  <c r="X166" i="29"/>
  <c r="K23" i="17"/>
  <c r="AB175" i="29"/>
  <c r="Q15" i="17"/>
  <c r="O167" i="29"/>
  <c r="F29" i="17"/>
  <c r="I17" i="17"/>
  <c r="Z169" i="29"/>
  <c r="H18" i="17"/>
  <c r="Y170" i="29"/>
  <c r="K42" i="17"/>
  <c r="AB194" i="29"/>
  <c r="H42" i="17"/>
  <c r="Y194" i="29"/>
  <c r="C44" i="17"/>
  <c r="C25" i="17"/>
  <c r="K177" i="29"/>
  <c r="C29" i="17"/>
  <c r="K181" i="29"/>
  <c r="C33" i="17"/>
  <c r="K185" i="29"/>
  <c r="D23" i="17"/>
  <c r="L175" i="29"/>
  <c r="E13" i="17"/>
  <c r="Q41" i="17"/>
  <c r="AH193" i="29"/>
  <c r="P33" i="17"/>
  <c r="D26" i="17"/>
  <c r="L178" i="29"/>
  <c r="O174" i="29"/>
  <c r="D19" i="17"/>
  <c r="L171" i="29"/>
  <c r="H35" i="17"/>
  <c r="R35" i="17"/>
  <c r="K44" i="17"/>
  <c r="O42" i="17"/>
  <c r="AF194" i="29"/>
  <c r="P30" i="17"/>
  <c r="AG182" i="29"/>
  <c r="P29" i="17"/>
  <c r="AG181" i="29"/>
  <c r="L19" i="17"/>
  <c r="AC171" i="29"/>
  <c r="J17" i="17"/>
  <c r="AA169" i="29"/>
  <c r="M10" i="17"/>
  <c r="AD162" i="29"/>
  <c r="L44" i="17"/>
  <c r="R44" i="17"/>
  <c r="M26" i="17"/>
  <c r="AD178" i="29"/>
  <c r="I18" i="17"/>
  <c r="Z170" i="29"/>
  <c r="I35" i="17"/>
  <c r="Z187" i="29"/>
  <c r="L30" i="17"/>
  <c r="AC182" i="29"/>
  <c r="G12" i="17"/>
  <c r="R12" i="17"/>
  <c r="G21" i="17"/>
  <c r="X173" i="29"/>
  <c r="G27" i="17"/>
  <c r="X179" i="29"/>
  <c r="Q13" i="17"/>
  <c r="I9" i="17"/>
  <c r="Z161" i="29"/>
  <c r="D38" i="17"/>
  <c r="L190" i="29"/>
  <c r="H10" i="17"/>
  <c r="Y162" i="29"/>
  <c r="I15" i="17"/>
  <c r="Z167" i="29"/>
  <c r="I44" i="17"/>
  <c r="K43" i="17"/>
  <c r="AB195" i="29"/>
  <c r="F10" i="21"/>
  <c r="W246" i="29"/>
  <c r="P23" i="17"/>
  <c r="AG175" i="29"/>
  <c r="F20" i="17"/>
  <c r="F25" i="17"/>
  <c r="F24" i="17"/>
  <c r="AH170" i="29"/>
  <c r="D39" i="17"/>
  <c r="L191" i="29"/>
  <c r="L40" i="17"/>
  <c r="AC192" i="29"/>
  <c r="N12" i="17"/>
  <c r="AE164" i="29"/>
  <c r="Q23" i="17"/>
  <c r="AH175" i="29"/>
  <c r="E12" i="17"/>
  <c r="N9" i="17"/>
  <c r="J38" i="17"/>
  <c r="AA190" i="29"/>
  <c r="K20" i="17"/>
  <c r="AB172" i="29"/>
  <c r="L18" i="17"/>
  <c r="AC170" i="29"/>
  <c r="K38" i="17"/>
  <c r="AB190" i="29"/>
  <c r="G17" i="17"/>
  <c r="X169" i="29"/>
  <c r="E20" i="17"/>
  <c r="F43" i="17"/>
  <c r="K27" i="17"/>
  <c r="K24" i="17"/>
  <c r="D30" i="17"/>
  <c r="L182" i="29"/>
  <c r="G20" i="17"/>
  <c r="X172" i="29"/>
  <c r="O33" i="17"/>
  <c r="O32" i="17"/>
  <c r="AF184" i="29"/>
  <c r="G36" i="17"/>
  <c r="E34" i="17"/>
  <c r="C30" i="17"/>
  <c r="K182" i="29"/>
  <c r="C34" i="17"/>
  <c r="K186" i="29"/>
  <c r="C43" i="17"/>
  <c r="K195" i="29"/>
  <c r="D11" i="17"/>
  <c r="L163" i="29"/>
  <c r="J22" i="17"/>
  <c r="AA174" i="29"/>
  <c r="H29" i="17"/>
  <c r="Y181" i="29"/>
  <c r="G16" i="21"/>
  <c r="X252" i="29"/>
  <c r="Q19" i="17"/>
  <c r="O171" i="29"/>
  <c r="I25" i="17"/>
  <c r="G42" i="17"/>
  <c r="X194" i="29"/>
  <c r="P18" i="17"/>
  <c r="AG170" i="29"/>
  <c r="P25" i="17"/>
  <c r="P44" i="17"/>
  <c r="I22" i="17"/>
  <c r="Z174" i="29"/>
  <c r="Q31" i="17"/>
  <c r="AH183" i="29"/>
  <c r="N38" i="17"/>
  <c r="AE190" i="29"/>
  <c r="I27" i="17"/>
  <c r="I24" i="17"/>
  <c r="G9" i="17"/>
  <c r="X161" i="29"/>
  <c r="O39" i="17"/>
  <c r="AF191" i="29"/>
  <c r="N33" i="17"/>
  <c r="AE185" i="29"/>
  <c r="Q26" i="17"/>
  <c r="O178" i="29"/>
  <c r="H13" i="17"/>
  <c r="Y165" i="29"/>
  <c r="O16" i="17"/>
  <c r="AF168" i="29"/>
  <c r="O20" i="17"/>
  <c r="AF172" i="29"/>
  <c r="F13" i="21"/>
  <c r="W249" i="29"/>
  <c r="K14" i="17"/>
  <c r="R14" i="17"/>
  <c r="D10" i="17"/>
  <c r="L162" i="29"/>
  <c r="E42" i="17"/>
  <c r="K36" i="17"/>
  <c r="AB188" i="29"/>
  <c r="P15" i="17"/>
  <c r="AG167" i="29"/>
  <c r="K15" i="17"/>
  <c r="AB167" i="29"/>
  <c r="Q36" i="17"/>
  <c r="O188" i="29"/>
  <c r="P40" i="17"/>
  <c r="AG192" i="29"/>
  <c r="O15" i="17"/>
  <c r="AF167" i="29"/>
  <c r="J21" i="17"/>
  <c r="AA173" i="29"/>
  <c r="G10" i="17"/>
  <c r="X162" i="29"/>
  <c r="Q39" i="17"/>
  <c r="AH191" i="29"/>
  <c r="K21" i="17"/>
  <c r="AB173" i="29"/>
  <c r="J23" i="17"/>
  <c r="AA175" i="29"/>
  <c r="Q14" i="17"/>
  <c r="N23" i="17"/>
  <c r="AE175" i="29"/>
  <c r="N15" i="17"/>
  <c r="AE167" i="29"/>
  <c r="P10" i="17"/>
  <c r="AG162" i="29"/>
  <c r="N39" i="17"/>
  <c r="R39" i="17"/>
  <c r="AE191" i="29"/>
  <c r="O23" i="17"/>
  <c r="AF175" i="29"/>
  <c r="Q29" i="17"/>
  <c r="O181" i="29"/>
  <c r="E43" i="17"/>
  <c r="M21" i="17"/>
  <c r="AD173" i="29"/>
  <c r="K16" i="17"/>
  <c r="AB168" i="29"/>
  <c r="P28" i="17"/>
  <c r="P24" i="17"/>
  <c r="AG176" i="29"/>
  <c r="AG180" i="29"/>
  <c r="L22" i="17"/>
  <c r="AC174" i="29"/>
  <c r="L26" i="17"/>
  <c r="AC178" i="29"/>
  <c r="H31" i="17"/>
  <c r="Y183" i="29"/>
  <c r="D12" i="17"/>
  <c r="L164" i="29"/>
  <c r="L25" i="17"/>
  <c r="I11" i="17"/>
  <c r="Z163" i="29"/>
  <c r="Q42" i="17"/>
  <c r="F10" i="17"/>
  <c r="W162" i="29"/>
  <c r="F13" i="17"/>
  <c r="R13" i="17"/>
  <c r="O11" i="13"/>
  <c r="AG112" i="29"/>
  <c r="H43" i="12"/>
  <c r="E8" i="13"/>
  <c r="W109" i="29"/>
  <c r="P75" i="10"/>
  <c r="Q41" i="10"/>
  <c r="Q41" i="11"/>
  <c r="Q76" i="10"/>
  <c r="Q76" i="11"/>
  <c r="I17" i="13"/>
  <c r="AA118" i="29"/>
  <c r="L16" i="13"/>
  <c r="AD117" i="29"/>
  <c r="E40" i="33"/>
  <c r="E32" i="33"/>
  <c r="Q53" i="33"/>
  <c r="S53" i="33"/>
  <c r="G17" i="20"/>
  <c r="Q8" i="31"/>
  <c r="S8" i="31"/>
  <c r="P16" i="12"/>
  <c r="Q16" i="13"/>
  <c r="O117" i="29"/>
  <c r="S11" i="21"/>
  <c r="B7" i="7"/>
  <c r="J2" i="29"/>
  <c r="B8" i="7"/>
  <c r="L33" i="12"/>
  <c r="M33" i="13"/>
  <c r="AE134" i="29"/>
  <c r="M32" i="12"/>
  <c r="N32" i="13"/>
  <c r="AF133" i="29"/>
  <c r="N32" i="12"/>
  <c r="O32" i="13"/>
  <c r="AG133" i="29"/>
  <c r="C14" i="26"/>
  <c r="J274" i="29"/>
  <c r="O2" i="15"/>
  <c r="G2" i="25"/>
  <c r="U2" i="18"/>
  <c r="K73" i="29"/>
  <c r="C53" i="11"/>
  <c r="K92" i="29"/>
  <c r="C54" i="11"/>
  <c r="K79" i="29"/>
  <c r="C30" i="11"/>
  <c r="O84" i="29"/>
  <c r="T35" i="11"/>
  <c r="V34" i="11"/>
  <c r="O21" i="9"/>
  <c r="L21" i="9"/>
  <c r="V49" i="29"/>
  <c r="O56" i="29"/>
  <c r="O29" i="9"/>
  <c r="L29" i="9"/>
  <c r="V56" i="29"/>
  <c r="T20" i="11"/>
  <c r="R21" i="11"/>
  <c r="T21" i="11"/>
  <c r="O74" i="29"/>
  <c r="V19" i="11"/>
  <c r="K98" i="29"/>
  <c r="C63" i="11"/>
  <c r="O101" i="29"/>
  <c r="T65" i="11"/>
  <c r="R68" i="11"/>
  <c r="T68" i="11"/>
  <c r="C58" i="11"/>
  <c r="C59" i="11"/>
  <c r="C12" i="11"/>
  <c r="K67" i="29"/>
  <c r="T31" i="11"/>
  <c r="O81" i="29"/>
  <c r="R33" i="11"/>
  <c r="T33" i="11"/>
  <c r="U31" i="11"/>
  <c r="K75" i="29"/>
  <c r="C24" i="11"/>
  <c r="K103" i="29"/>
  <c r="C68" i="11"/>
  <c r="K81" i="29"/>
  <c r="C33" i="11"/>
  <c r="U19" i="11"/>
  <c r="U20" i="11"/>
  <c r="K65" i="29"/>
  <c r="C9" i="11"/>
  <c r="C27" i="11"/>
  <c r="K77" i="29"/>
  <c r="K84" i="29"/>
  <c r="C36" i="11"/>
  <c r="V31" i="11"/>
  <c r="U32" i="11"/>
  <c r="O82" i="29"/>
  <c r="T32" i="11"/>
  <c r="C15" i="11"/>
  <c r="K69" i="29"/>
  <c r="K71" i="29"/>
  <c r="C18" i="11"/>
  <c r="W170" i="29"/>
  <c r="W169" i="29"/>
  <c r="W195" i="29"/>
  <c r="N32" i="17"/>
  <c r="AE184" i="29"/>
  <c r="O175" i="29"/>
  <c r="R16" i="17"/>
  <c r="W168" i="29"/>
  <c r="W164" i="29"/>
  <c r="W163" i="29"/>
  <c r="R11" i="17"/>
  <c r="AG185" i="29"/>
  <c r="W190" i="29"/>
  <c r="W191" i="29"/>
  <c r="AG177" i="29"/>
  <c r="O186" i="29"/>
  <c r="W171" i="29"/>
  <c r="Y253" i="29"/>
  <c r="R30" i="17"/>
  <c r="R25" i="17"/>
  <c r="W177" i="29"/>
  <c r="O193" i="29"/>
  <c r="H24" i="17"/>
  <c r="Y176" i="29"/>
  <c r="Y177" i="29"/>
  <c r="AH189" i="29"/>
  <c r="O189" i="29"/>
  <c r="AB176" i="29"/>
  <c r="AB179" i="29"/>
  <c r="AH171" i="29"/>
  <c r="X188" i="29"/>
  <c r="O183" i="29"/>
  <c r="R20" i="17"/>
  <c r="W172" i="29"/>
  <c r="G32" i="17"/>
  <c r="X184" i="29"/>
  <c r="AA185" i="29"/>
  <c r="L8" i="17"/>
  <c r="AC160" i="29"/>
  <c r="P8" i="17"/>
  <c r="AG160" i="29"/>
  <c r="AF185" i="29"/>
  <c r="AC185" i="29"/>
  <c r="R34" i="17"/>
  <c r="F32" i="17"/>
  <c r="R41" i="17"/>
  <c r="R15" i="17"/>
  <c r="AH188" i="29"/>
  <c r="M32" i="17"/>
  <c r="AD184" i="29"/>
  <c r="O172" i="29"/>
  <c r="AH172" i="29"/>
  <c r="AA177" i="29"/>
  <c r="AH192" i="29"/>
  <c r="O192" i="29"/>
  <c r="Y187" i="29"/>
  <c r="W178" i="29"/>
  <c r="R26" i="17"/>
  <c r="AA162" i="29"/>
  <c r="R23" i="17"/>
  <c r="W189" i="29"/>
  <c r="O165" i="29"/>
  <c r="AH165" i="29"/>
  <c r="O195" i="29"/>
  <c r="O164" i="29"/>
  <c r="AH164" i="29"/>
  <c r="O194" i="29"/>
  <c r="AH194" i="29"/>
  <c r="N8" i="17"/>
  <c r="AE160" i="29"/>
  <c r="AE161" i="29"/>
  <c r="W181" i="29"/>
  <c r="R29" i="17"/>
  <c r="K8" i="17"/>
  <c r="AB160" i="29"/>
  <c r="K32" i="17"/>
  <c r="AB184" i="29"/>
  <c r="Z177" i="29"/>
  <c r="W165" i="29"/>
  <c r="AH166" i="29"/>
  <c r="O166" i="29"/>
  <c r="M8" i="17"/>
  <c r="AD160" i="29"/>
  <c r="AD161" i="29"/>
  <c r="R21" i="17"/>
  <c r="W173" i="29"/>
  <c r="G24" i="17"/>
  <c r="X176" i="29"/>
  <c r="X177" i="29"/>
  <c r="O24" i="17"/>
  <c r="AF176" i="29"/>
  <c r="AH161" i="29"/>
  <c r="O161" i="29"/>
  <c r="Z185" i="29"/>
  <c r="M24" i="17"/>
  <c r="AD176" i="29"/>
  <c r="AC177" i="29"/>
  <c r="L24" i="17"/>
  <c r="AC176" i="29"/>
  <c r="O191" i="29"/>
  <c r="AH178" i="29"/>
  <c r="AH167" i="29"/>
  <c r="H32" i="17"/>
  <c r="Y184" i="29"/>
  <c r="R28" i="17"/>
  <c r="N43" i="12"/>
  <c r="Q85" i="10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B23" i="12"/>
  <c r="D19" i="6"/>
  <c r="D19" i="7"/>
  <c r="L11" i="29"/>
  <c r="D16" i="7"/>
  <c r="F16" i="6"/>
  <c r="F16" i="7"/>
  <c r="G16" i="7"/>
  <c r="D6" i="18"/>
  <c r="D6" i="19"/>
  <c r="L199" i="29"/>
  <c r="C16" i="6"/>
  <c r="C16" i="7"/>
  <c r="K8" i="29"/>
  <c r="E80" i="10"/>
  <c r="E37" i="10"/>
  <c r="D7" i="17"/>
  <c r="C17" i="6"/>
  <c r="C17" i="7"/>
  <c r="K9" i="29"/>
  <c r="H31" i="12"/>
  <c r="I31" i="13"/>
  <c r="AA132" i="29"/>
  <c r="K33" i="12"/>
  <c r="L33" i="13"/>
  <c r="AD134" i="29"/>
  <c r="G13" i="6"/>
  <c r="J33" i="13"/>
  <c r="AB134" i="29"/>
  <c r="C82" i="10"/>
  <c r="C38" i="10"/>
  <c r="D38" i="10"/>
  <c r="D76" i="10"/>
  <c r="C7" i="6"/>
  <c r="G7" i="6"/>
  <c r="T9" i="20"/>
  <c r="H33" i="12"/>
  <c r="I33" i="13"/>
  <c r="AA134" i="29"/>
  <c r="E33" i="12"/>
  <c r="F33" i="13"/>
  <c r="X134" i="29"/>
  <c r="F13" i="7"/>
  <c r="O6" i="29"/>
  <c r="G33" i="12"/>
  <c r="H33" i="13"/>
  <c r="Z134" i="29"/>
  <c r="E76" i="10"/>
  <c r="E85" i="10"/>
  <c r="N12" i="9"/>
  <c r="O3" i="29"/>
  <c r="G8" i="6"/>
  <c r="J8" i="29"/>
  <c r="N33" i="8"/>
  <c r="B31" i="12"/>
  <c r="B31" i="13"/>
  <c r="K132" i="29"/>
  <c r="N11" i="8"/>
  <c r="A17" i="7"/>
  <c r="I9" i="29"/>
  <c r="E38" i="11"/>
  <c r="E76" i="11"/>
  <c r="L107" i="29"/>
  <c r="R33" i="12"/>
  <c r="M33" i="12"/>
  <c r="N33" i="13"/>
  <c r="AF134" i="29"/>
  <c r="B32" i="12"/>
  <c r="B32" i="13"/>
  <c r="K133" i="29"/>
  <c r="C6" i="14"/>
  <c r="F22" i="14"/>
  <c r="E6" i="14"/>
  <c r="F19" i="14"/>
  <c r="F19" i="15"/>
  <c r="Q152" i="29"/>
  <c r="G29" i="12"/>
  <c r="H29" i="13"/>
  <c r="Z130" i="29"/>
  <c r="F21" i="6"/>
  <c r="C7" i="16"/>
  <c r="C7" i="17"/>
  <c r="D14" i="7"/>
  <c r="B9" i="6"/>
  <c r="O41" i="10"/>
  <c r="O41" i="11"/>
  <c r="O76" i="10"/>
  <c r="O76" i="11"/>
  <c r="O38" i="11"/>
  <c r="AF86" i="29"/>
  <c r="E23" i="12"/>
  <c r="F23" i="13"/>
  <c r="X124" i="29"/>
  <c r="Q32" i="31"/>
  <c r="S32" i="31"/>
  <c r="S96" i="31"/>
  <c r="J23" i="12"/>
  <c r="K23" i="13"/>
  <c r="AC124" i="29"/>
  <c r="S22" i="31"/>
  <c r="H85" i="10"/>
  <c r="N70" i="10"/>
  <c r="N72" i="10"/>
  <c r="N66" i="11"/>
  <c r="AE102" i="29"/>
  <c r="N69" i="10"/>
  <c r="S38" i="31"/>
  <c r="N6" i="18"/>
  <c r="N6" i="19"/>
  <c r="AE199" i="29"/>
  <c r="F23" i="12"/>
  <c r="M7" i="13"/>
  <c r="AE108" i="29"/>
  <c r="M6" i="18"/>
  <c r="M6" i="19"/>
  <c r="AD199" i="29"/>
  <c r="Q57" i="31"/>
  <c r="S57" i="31"/>
  <c r="I23" i="13"/>
  <c r="AA124" i="29"/>
  <c r="Q80" i="31"/>
  <c r="S80" i="31"/>
  <c r="Q53" i="31"/>
  <c r="S53" i="31"/>
  <c r="Q9" i="31"/>
  <c r="S9" i="31"/>
  <c r="Q97" i="31"/>
  <c r="S97" i="31"/>
  <c r="Q50" i="31"/>
  <c r="S50" i="31"/>
  <c r="Q47" i="31"/>
  <c r="S47" i="31"/>
  <c r="Q145" i="31"/>
  <c r="S145" i="31"/>
  <c r="Q29" i="31"/>
  <c r="S29" i="31"/>
  <c r="N85" i="10"/>
  <c r="N76" i="11"/>
  <c r="AE107" i="29"/>
  <c r="Q30" i="31"/>
  <c r="S30" i="31"/>
  <c r="Q74" i="31"/>
  <c r="S74" i="31"/>
  <c r="Q132" i="31"/>
  <c r="S132" i="31"/>
  <c r="Q113" i="31"/>
  <c r="S113" i="31"/>
  <c r="S135" i="31"/>
  <c r="S139" i="31"/>
  <c r="S102" i="31"/>
  <c r="S39" i="31"/>
  <c r="Q46" i="31"/>
  <c r="S46" i="31"/>
  <c r="G75" i="10"/>
  <c r="G75" i="11"/>
  <c r="G39" i="10"/>
  <c r="M66" i="11"/>
  <c r="M70" i="10"/>
  <c r="M69" i="10"/>
  <c r="F6" i="18"/>
  <c r="F6" i="19"/>
  <c r="W199" i="29"/>
  <c r="D23" i="12"/>
  <c r="Q121" i="31"/>
  <c r="S121" i="31"/>
  <c r="K41" i="10"/>
  <c r="K41" i="11"/>
  <c r="K85" i="10"/>
  <c r="I23" i="12"/>
  <c r="M76" i="10"/>
  <c r="M76" i="11"/>
  <c r="AD107" i="29"/>
  <c r="M41" i="10"/>
  <c r="M41" i="11"/>
  <c r="F85" i="10"/>
  <c r="F76" i="11"/>
  <c r="W107" i="29"/>
  <c r="Q129" i="31"/>
  <c r="S129" i="31"/>
  <c r="P39" i="10"/>
  <c r="R38" i="10"/>
  <c r="T38" i="10"/>
  <c r="T76" i="10"/>
  <c r="T82" i="10"/>
  <c r="G7" i="13"/>
  <c r="Y108" i="29"/>
  <c r="S118" i="31"/>
  <c r="S66" i="31"/>
  <c r="K7" i="13"/>
  <c r="AC108" i="29"/>
  <c r="L85" i="10"/>
  <c r="Q131" i="31"/>
  <c r="S131" i="31"/>
  <c r="W108" i="29"/>
  <c r="J7" i="13"/>
  <c r="AB108" i="29"/>
  <c r="Q130" i="31"/>
  <c r="S130" i="31"/>
  <c r="P38" i="11"/>
  <c r="AG86" i="29"/>
  <c r="P76" i="10"/>
  <c r="P41" i="10"/>
  <c r="P41" i="11"/>
  <c r="Q127" i="31"/>
  <c r="S127" i="31"/>
  <c r="Q85" i="31"/>
  <c r="S85" i="31"/>
  <c r="Q124" i="31"/>
  <c r="S124" i="31"/>
  <c r="Q20" i="31"/>
  <c r="S20" i="31"/>
  <c r="H37" i="11"/>
  <c r="H39" i="11"/>
  <c r="S144" i="31"/>
  <c r="C30" i="12"/>
  <c r="D32" i="13"/>
  <c r="C32" i="13"/>
  <c r="L133" i="29"/>
  <c r="S33" i="12"/>
  <c r="C33" i="13"/>
  <c r="L134" i="29"/>
  <c r="B16" i="8"/>
  <c r="B16" i="9"/>
  <c r="K45" i="29"/>
  <c r="C12" i="6"/>
  <c r="C12" i="7"/>
  <c r="K5" i="29"/>
  <c r="B24" i="12"/>
  <c r="B24" i="13"/>
  <c r="K125" i="29"/>
  <c r="C31" i="9"/>
  <c r="L58" i="29"/>
  <c r="N31" i="8"/>
  <c r="E31" i="8"/>
  <c r="B23" i="13"/>
  <c r="K124" i="29"/>
  <c r="D24" i="13"/>
  <c r="G31" i="12"/>
  <c r="H31" i="13"/>
  <c r="Z132" i="29"/>
  <c r="B17" i="6"/>
  <c r="B17" i="7"/>
  <c r="J9" i="29"/>
  <c r="D32" i="12"/>
  <c r="E32" i="13"/>
  <c r="W133" i="29"/>
  <c r="S32" i="12"/>
  <c r="J32" i="12"/>
  <c r="K32" i="13"/>
  <c r="AC133" i="29"/>
  <c r="E32" i="12"/>
  <c r="F32" i="13"/>
  <c r="X133" i="29"/>
  <c r="L32" i="12"/>
  <c r="M32" i="13"/>
  <c r="AE133" i="29"/>
  <c r="C6" i="15"/>
  <c r="L140" i="29"/>
  <c r="F21" i="14"/>
  <c r="J21" i="14"/>
  <c r="N6" i="9"/>
  <c r="R6" i="18"/>
  <c r="I32" i="12"/>
  <c r="J32" i="13"/>
  <c r="AB133" i="29"/>
  <c r="K32" i="12"/>
  <c r="L32" i="13"/>
  <c r="AD133" i="29"/>
  <c r="F12" i="6"/>
  <c r="F12" i="7"/>
  <c r="O5" i="29"/>
  <c r="P24" i="12"/>
  <c r="H32" i="12"/>
  <c r="I32" i="13"/>
  <c r="AA133" i="29"/>
  <c r="Q33" i="13"/>
  <c r="O134" i="29"/>
  <c r="C80" i="10"/>
  <c r="C37" i="10"/>
  <c r="D37" i="10"/>
  <c r="D40" i="10"/>
  <c r="H19" i="20"/>
  <c r="L6" i="14"/>
  <c r="O33" i="12"/>
  <c r="P33" i="13"/>
  <c r="AH134" i="29"/>
  <c r="R32" i="12"/>
  <c r="D33" i="12"/>
  <c r="E33" i="13"/>
  <c r="W134" i="29"/>
  <c r="G32" i="13"/>
  <c r="Y133" i="29"/>
  <c r="N33" i="12"/>
  <c r="O33" i="13"/>
  <c r="AG134" i="29"/>
  <c r="J33" i="12"/>
  <c r="K33" i="13"/>
  <c r="AC134" i="29"/>
  <c r="Q32" i="13"/>
  <c r="T32" i="13"/>
  <c r="B11" i="9"/>
  <c r="K40" i="29"/>
  <c r="O244" i="29"/>
  <c r="C8" i="8"/>
  <c r="C8" i="9"/>
  <c r="E8" i="8"/>
  <c r="O32" i="12"/>
  <c r="P32" i="13"/>
  <c r="AH133" i="29"/>
  <c r="L12" i="9"/>
  <c r="V41" i="29"/>
  <c r="O41" i="29"/>
  <c r="F15" i="14"/>
  <c r="F20" i="14"/>
  <c r="E14" i="20"/>
  <c r="T8" i="20"/>
  <c r="E8" i="21"/>
  <c r="L244" i="29"/>
  <c r="O29" i="12"/>
  <c r="O30" i="12"/>
  <c r="H29" i="12"/>
  <c r="I29" i="13"/>
  <c r="AA130" i="29"/>
  <c r="M39" i="10"/>
  <c r="M75" i="11"/>
  <c r="AD106" i="29"/>
  <c r="P85" i="10"/>
  <c r="P76" i="11"/>
  <c r="AG107" i="29"/>
  <c r="K76" i="11"/>
  <c r="M85" i="10"/>
  <c r="J21" i="15"/>
  <c r="U154" i="29"/>
  <c r="F21" i="15"/>
  <c r="Q154" i="29"/>
  <c r="O36" i="29"/>
  <c r="L6" i="9"/>
  <c r="V36" i="29"/>
  <c r="J3" i="29"/>
  <c r="Q7" i="13"/>
  <c r="C29" i="12"/>
  <c r="S29" i="12"/>
  <c r="N16" i="9"/>
  <c r="L16" i="9"/>
  <c r="V45" i="29"/>
  <c r="A7" i="7"/>
  <c r="I2" i="29"/>
  <c r="F19" i="7"/>
  <c r="O11" i="29"/>
  <c r="E12" i="8"/>
  <c r="C16" i="8"/>
  <c r="C16" i="9"/>
  <c r="AB107" i="29"/>
  <c r="Q13" i="13"/>
  <c r="B18" i="6"/>
  <c r="B18" i="7"/>
  <c r="J10" i="29"/>
  <c r="B19" i="6"/>
  <c r="B19" i="7"/>
  <c r="J11" i="29"/>
  <c r="C31" i="12"/>
  <c r="C12" i="9"/>
  <c r="L41" i="29"/>
  <c r="N12" i="8"/>
  <c r="G14" i="6"/>
  <c r="D15" i="6"/>
  <c r="A15" i="6"/>
  <c r="A14" i="7"/>
  <c r="E31" i="9"/>
  <c r="N58" i="29"/>
  <c r="C37" i="9"/>
  <c r="L63" i="29"/>
  <c r="B6" i="9"/>
  <c r="K36" i="29"/>
  <c r="B7" i="12"/>
  <c r="B7" i="13"/>
  <c r="K108" i="29"/>
  <c r="C6" i="18"/>
  <c r="C6" i="19"/>
  <c r="K199" i="29"/>
  <c r="D8" i="7"/>
  <c r="D9" i="6"/>
  <c r="D21" i="6"/>
  <c r="G21" i="6"/>
  <c r="L2" i="29"/>
  <c r="B7" i="17"/>
  <c r="D8" i="21"/>
  <c r="P23" i="12"/>
  <c r="F10" i="6"/>
  <c r="F11" i="6"/>
  <c r="F10" i="7"/>
  <c r="O4" i="29"/>
  <c r="S10" i="21"/>
  <c r="O246" i="29"/>
  <c r="B14" i="7"/>
  <c r="J7" i="29"/>
  <c r="B15" i="6"/>
  <c r="B29" i="12"/>
  <c r="B29" i="13"/>
  <c r="K130" i="29"/>
  <c r="T80" i="10"/>
  <c r="J29" i="12"/>
  <c r="J30" i="12"/>
  <c r="F14" i="7"/>
  <c r="G14" i="7"/>
  <c r="B6" i="14"/>
  <c r="G20" i="6"/>
  <c r="F9" i="6"/>
  <c r="G9" i="6"/>
  <c r="A16" i="6"/>
  <c r="A16" i="7"/>
  <c r="I8" i="29"/>
  <c r="D12" i="6"/>
  <c r="S37" i="31"/>
  <c r="S147" i="31"/>
  <c r="P70" i="10"/>
  <c r="P72" i="10"/>
  <c r="P69" i="10"/>
  <c r="P66" i="11"/>
  <c r="P69" i="11"/>
  <c r="N17" i="13"/>
  <c r="AF118" i="29"/>
  <c r="I69" i="10"/>
  <c r="I70" i="10"/>
  <c r="I84" i="10"/>
  <c r="O46" i="33"/>
  <c r="O32" i="33"/>
  <c r="O18" i="12"/>
  <c r="P18" i="13"/>
  <c r="AH119" i="29"/>
  <c r="Q43" i="33"/>
  <c r="G20" i="12"/>
  <c r="H20" i="13"/>
  <c r="Z121" i="29"/>
  <c r="Q45" i="33"/>
  <c r="Q70" i="10"/>
  <c r="Y86" i="29"/>
  <c r="N84" i="10"/>
  <c r="L66" i="11"/>
  <c r="AC102" i="29"/>
  <c r="L70" i="10"/>
  <c r="L84" i="10"/>
  <c r="L72" i="10"/>
  <c r="Q58" i="31"/>
  <c r="S58" i="31"/>
  <c r="G69" i="10"/>
  <c r="G66" i="11"/>
  <c r="X102" i="29"/>
  <c r="G70" i="10"/>
  <c r="G70" i="11"/>
  <c r="M14" i="12"/>
  <c r="M15" i="12"/>
  <c r="M70" i="11"/>
  <c r="AD104" i="29"/>
  <c r="AD102" i="29"/>
  <c r="M69" i="11"/>
  <c r="I18" i="20"/>
  <c r="I18" i="21"/>
  <c r="Z253" i="29"/>
  <c r="H13" i="12"/>
  <c r="I13" i="13"/>
  <c r="AA114" i="29"/>
  <c r="Q38" i="33"/>
  <c r="S38" i="33"/>
  <c r="H40" i="33"/>
  <c r="H32" i="33"/>
  <c r="J69" i="10"/>
  <c r="J66" i="11"/>
  <c r="J69" i="11"/>
  <c r="J70" i="10"/>
  <c r="J84" i="10"/>
  <c r="N70" i="11"/>
  <c r="AE104" i="29"/>
  <c r="H21" i="12"/>
  <c r="I21" i="13"/>
  <c r="AA122" i="29"/>
  <c r="I16" i="13"/>
  <c r="AA117" i="29"/>
  <c r="I80" i="10"/>
  <c r="I37" i="10"/>
  <c r="I37" i="11"/>
  <c r="I75" i="10"/>
  <c r="Q44" i="31"/>
  <c r="S44" i="31"/>
  <c r="F16" i="13"/>
  <c r="X117" i="29"/>
  <c r="F66" i="11"/>
  <c r="F69" i="10"/>
  <c r="J11" i="12"/>
  <c r="K11" i="13"/>
  <c r="AC112" i="29"/>
  <c r="J40" i="33"/>
  <c r="E23" i="13"/>
  <c r="W124" i="29"/>
  <c r="D10" i="12"/>
  <c r="E10" i="13"/>
  <c r="D40" i="33"/>
  <c r="D32" i="33"/>
  <c r="Q35" i="33"/>
  <c r="S35" i="33"/>
  <c r="P7" i="13"/>
  <c r="AH108" i="29"/>
  <c r="Q6" i="18"/>
  <c r="Q6" i="19"/>
  <c r="AH199" i="29"/>
  <c r="F46" i="17"/>
  <c r="W197" i="29"/>
  <c r="E47" i="16"/>
  <c r="F47" i="17"/>
  <c r="W198" i="29"/>
  <c r="E49" i="16"/>
  <c r="K8" i="12"/>
  <c r="K40" i="33"/>
  <c r="K32" i="33"/>
  <c r="N21" i="12"/>
  <c r="O21" i="13"/>
  <c r="J23" i="13"/>
  <c r="AB124" i="29"/>
  <c r="O40" i="10"/>
  <c r="O40" i="11"/>
  <c r="H70" i="10"/>
  <c r="H84" i="10"/>
  <c r="Q54" i="33"/>
  <c r="S54" i="33"/>
  <c r="O21" i="12"/>
  <c r="G42" i="12"/>
  <c r="G43" i="12"/>
  <c r="F7" i="13"/>
  <c r="Q34" i="33"/>
  <c r="Q93" i="31"/>
  <c r="S93" i="31"/>
  <c r="Q87" i="31"/>
  <c r="S87" i="31"/>
  <c r="F52" i="16"/>
  <c r="L16" i="12"/>
  <c r="L21" i="12"/>
  <c r="G12" i="20"/>
  <c r="G12" i="21"/>
  <c r="X248" i="29"/>
  <c r="Q41" i="31"/>
  <c r="S41" i="31"/>
  <c r="Q134" i="31"/>
  <c r="S134" i="31"/>
  <c r="J244" i="29"/>
  <c r="O12" i="9"/>
  <c r="C31" i="13"/>
  <c r="R31" i="12"/>
  <c r="D31" i="13"/>
  <c r="S31" i="12"/>
  <c r="Q23" i="13"/>
  <c r="O7" i="29"/>
  <c r="D12" i="7"/>
  <c r="L5" i="29"/>
  <c r="G12" i="6"/>
  <c r="I19" i="20"/>
  <c r="J18" i="20"/>
  <c r="J18" i="21"/>
  <c r="J19" i="21"/>
  <c r="G17" i="13"/>
  <c r="Y118" i="29"/>
  <c r="P21" i="13"/>
  <c r="AH122" i="29"/>
  <c r="AG122" i="29"/>
  <c r="N22" i="12"/>
  <c r="O22" i="13"/>
  <c r="AG123" i="29"/>
  <c r="X108" i="29"/>
  <c r="G69" i="11"/>
  <c r="L70" i="11"/>
  <c r="L72" i="11"/>
  <c r="X104" i="29"/>
  <c r="G84" i="10"/>
  <c r="W111" i="29"/>
  <c r="L69" i="11"/>
  <c r="N36" i="12"/>
  <c r="O36" i="13"/>
  <c r="O15" i="13"/>
  <c r="AG116" i="29"/>
  <c r="Z85" i="29"/>
  <c r="P70" i="11"/>
  <c r="G12" i="7"/>
  <c r="J19" i="20"/>
  <c r="I19" i="21"/>
  <c r="N37" i="12"/>
  <c r="U2" i="21"/>
  <c r="U2" i="20"/>
  <c r="G2" i="26"/>
  <c r="O2" i="8"/>
  <c r="G2" i="6"/>
  <c r="F2" i="22"/>
  <c r="U32" i="13"/>
  <c r="AH181" i="29"/>
  <c r="B9" i="7"/>
  <c r="R31" i="17"/>
  <c r="AA164" i="29"/>
  <c r="X174" i="29"/>
  <c r="L32" i="17"/>
  <c r="AC184" i="29"/>
  <c r="W184" i="29"/>
  <c r="R38" i="17"/>
  <c r="R17" i="17"/>
  <c r="R33" i="17"/>
  <c r="R19" i="17"/>
  <c r="H8" i="17"/>
  <c r="Y160" i="29"/>
  <c r="AA102" i="29"/>
  <c r="S32" i="13"/>
  <c r="R42" i="17"/>
  <c r="R37" i="17"/>
  <c r="I8" i="17"/>
  <c r="Z160" i="29"/>
  <c r="J8" i="17"/>
  <c r="AA160" i="29"/>
  <c r="J24" i="17"/>
  <c r="AA176" i="29"/>
  <c r="R45" i="17"/>
  <c r="J32" i="17"/>
  <c r="AA184" i="29"/>
  <c r="Q32" i="17"/>
  <c r="X183" i="29"/>
  <c r="R43" i="17"/>
  <c r="T56" i="11"/>
  <c r="R27" i="17"/>
  <c r="P32" i="17"/>
  <c r="AG184" i="29"/>
  <c r="O8" i="17"/>
  <c r="AF160" i="29"/>
  <c r="AF163" i="29"/>
  <c r="V13" i="11"/>
  <c r="L235" i="29"/>
  <c r="R13" i="11"/>
  <c r="AH79" i="29"/>
  <c r="G36" i="11"/>
  <c r="H19" i="15"/>
  <c r="S152" i="29"/>
  <c r="H18" i="14"/>
  <c r="H18" i="15"/>
  <c r="S151" i="29"/>
  <c r="F10" i="13"/>
  <c r="X111" i="29"/>
  <c r="J10" i="13"/>
  <c r="AB111" i="29"/>
  <c r="P20" i="13"/>
  <c r="AH121" i="29"/>
  <c r="P13" i="13"/>
  <c r="AH114" i="29"/>
  <c r="H41" i="11"/>
  <c r="Y88" i="29"/>
  <c r="N31" i="9"/>
  <c r="P23" i="13"/>
  <c r="AH124" i="29"/>
  <c r="D8" i="26"/>
  <c r="L46" i="11"/>
  <c r="H11" i="11"/>
  <c r="S29" i="11"/>
  <c r="P80" i="29"/>
  <c r="F47" i="11"/>
  <c r="M28" i="9"/>
  <c r="P55" i="29"/>
  <c r="K24" i="13"/>
  <c r="AC125" i="29"/>
  <c r="H32" i="13"/>
  <c r="Z133" i="29"/>
  <c r="E14" i="13"/>
  <c r="W115" i="29"/>
  <c r="H7" i="13"/>
  <c r="Z108" i="29"/>
  <c r="L76" i="11"/>
  <c r="AC107" i="29"/>
  <c r="N10" i="11"/>
  <c r="S61" i="11"/>
  <c r="P99" i="29"/>
  <c r="M15" i="9"/>
  <c r="K8" i="11"/>
  <c r="K9" i="11"/>
  <c r="M17" i="13"/>
  <c r="AE118" i="29"/>
  <c r="G25" i="13"/>
  <c r="Y126" i="29"/>
  <c r="M71" i="11"/>
  <c r="AD105" i="29"/>
  <c r="M22" i="11"/>
  <c r="L60" i="11"/>
  <c r="S16" i="11"/>
  <c r="P71" i="29"/>
  <c r="G29" i="11"/>
  <c r="M22" i="15"/>
  <c r="O155" i="29" s="1"/>
  <c r="G47" i="11"/>
  <c r="X91" i="29"/>
  <c r="O62" i="11"/>
  <c r="P50" i="11"/>
  <c r="I24" i="13"/>
  <c r="AA125" i="29"/>
  <c r="G24" i="13"/>
  <c r="Y125" i="29"/>
  <c r="I11" i="13"/>
  <c r="AA112" i="29"/>
  <c r="L17" i="13"/>
  <c r="AD118" i="29"/>
  <c r="F41" i="11"/>
  <c r="W88" i="29"/>
  <c r="H76" i="11"/>
  <c r="Y107" i="29"/>
  <c r="D28" i="13"/>
  <c r="C13" i="26"/>
  <c r="S50" i="11"/>
  <c r="P92" i="29"/>
  <c r="Q46" i="11"/>
  <c r="AH90" i="29"/>
  <c r="D12" i="26"/>
  <c r="N25" i="11"/>
  <c r="L7" i="11"/>
  <c r="AC65" i="29"/>
  <c r="O57" i="11"/>
  <c r="E26" i="13"/>
  <c r="W127" i="29"/>
  <c r="R28" i="13"/>
  <c r="P129" i="29"/>
  <c r="F25" i="11"/>
  <c r="L34" i="11"/>
  <c r="M7" i="9"/>
  <c r="P37" i="29"/>
  <c r="G61" i="11"/>
  <c r="H17" i="11"/>
  <c r="F14" i="13"/>
  <c r="X115" i="29"/>
  <c r="H8" i="13"/>
  <c r="Z109" i="29"/>
  <c r="C14" i="46"/>
  <c r="AM21" i="29"/>
  <c r="N34" i="11"/>
  <c r="K55" i="11"/>
  <c r="D9" i="28"/>
  <c r="N52" i="11"/>
  <c r="O45" i="11"/>
  <c r="I17" i="11"/>
  <c r="M19" i="9"/>
  <c r="P47" i="29"/>
  <c r="K17" i="11"/>
  <c r="G25" i="11"/>
  <c r="H71" i="11"/>
  <c r="Y105" i="29"/>
  <c r="I8" i="21"/>
  <c r="Z244" i="29"/>
  <c r="L41" i="11"/>
  <c r="AC88" i="29"/>
  <c r="H6" i="19"/>
  <c r="Y199" i="29"/>
  <c r="L6" i="19"/>
  <c r="AC199" i="29"/>
  <c r="F11" i="21"/>
  <c r="W247" i="29"/>
  <c r="E20" i="13"/>
  <c r="W121" i="29"/>
  <c r="L9" i="13"/>
  <c r="AD110" i="29"/>
  <c r="I9" i="13"/>
  <c r="AA110" i="29"/>
  <c r="M14" i="13"/>
  <c r="AE115" i="29"/>
  <c r="O8" i="13"/>
  <c r="AG109" i="29"/>
  <c r="H19" i="13"/>
  <c r="Z120" i="29"/>
  <c r="M18" i="13"/>
  <c r="AE119" i="29"/>
  <c r="M9" i="13"/>
  <c r="AE110" i="29"/>
  <c r="O9" i="13"/>
  <c r="AG110" i="29"/>
  <c r="O14" i="13"/>
  <c r="AG115" i="29"/>
  <c r="S9" i="21"/>
  <c r="G33" i="13"/>
  <c r="Y134" i="29"/>
  <c r="F18" i="7"/>
  <c r="C9" i="21"/>
  <c r="I245" i="29"/>
  <c r="A13" i="7"/>
  <c r="I6" i="29"/>
  <c r="A19" i="7"/>
  <c r="I11" i="29"/>
  <c r="A20" i="7"/>
  <c r="B12" i="9"/>
  <c r="K41" i="29"/>
  <c r="C18" i="7"/>
  <c r="K10" i="29"/>
  <c r="D13" i="7"/>
  <c r="D33" i="13"/>
  <c r="V33" i="13"/>
  <c r="D18" i="7"/>
  <c r="L10" i="29"/>
  <c r="I9" i="21"/>
  <c r="Z245" i="29"/>
  <c r="O23" i="13"/>
  <c r="AG124" i="29"/>
  <c r="J24" i="13"/>
  <c r="AB125" i="29"/>
  <c r="G10" i="13"/>
  <c r="Y111" i="29"/>
  <c r="G12" i="13"/>
  <c r="Y113" i="29"/>
  <c r="E17" i="13"/>
  <c r="W118" i="29"/>
  <c r="K19" i="13"/>
  <c r="AC120" i="29"/>
  <c r="M20" i="13"/>
  <c r="AE121" i="29"/>
  <c r="I29" i="9"/>
  <c r="T56" i="29"/>
  <c r="L19" i="13"/>
  <c r="AD120" i="29"/>
  <c r="C10" i="7"/>
  <c r="C11" i="7"/>
  <c r="N8" i="21"/>
  <c r="AE244" i="29"/>
  <c r="G6" i="19"/>
  <c r="X199" i="29"/>
  <c r="L8" i="21"/>
  <c r="AC244" i="29"/>
  <c r="M8" i="21"/>
  <c r="AD244" i="29"/>
  <c r="N9" i="21"/>
  <c r="AE245" i="29"/>
  <c r="J11" i="13"/>
  <c r="AB112" i="29"/>
  <c r="I18" i="13"/>
  <c r="AA119" i="29"/>
  <c r="L10" i="13"/>
  <c r="AD111" i="29"/>
  <c r="K13" i="13"/>
  <c r="AC114" i="29"/>
  <c r="H16" i="21"/>
  <c r="Y252" i="29"/>
  <c r="I66" i="11"/>
  <c r="Z102" i="29"/>
  <c r="R36" i="18"/>
  <c r="D9" i="21"/>
  <c r="J245" i="29"/>
  <c r="B13" i="7"/>
  <c r="J6" i="29"/>
  <c r="C13" i="7"/>
  <c r="K6" i="29"/>
  <c r="B33" i="13"/>
  <c r="K134" i="29"/>
  <c r="E9" i="21"/>
  <c r="L245" i="29"/>
  <c r="D17" i="7"/>
  <c r="G17" i="7"/>
  <c r="L9" i="29"/>
  <c r="F20" i="7"/>
  <c r="O12" i="29"/>
  <c r="E24" i="13"/>
  <c r="W125" i="29"/>
  <c r="L24" i="13"/>
  <c r="AD125" i="29"/>
  <c r="N24" i="13"/>
  <c r="AF125" i="29"/>
  <c r="M38" i="11"/>
  <c r="AD86" i="29"/>
  <c r="H11" i="14"/>
  <c r="Q8" i="21"/>
  <c r="AH244" i="29"/>
  <c r="H8" i="21"/>
  <c r="Y244" i="29"/>
  <c r="I8" i="13"/>
  <c r="AA109" i="29"/>
  <c r="P8" i="21"/>
  <c r="AG244" i="29"/>
  <c r="O9" i="21"/>
  <c r="AF245" i="29"/>
  <c r="O18" i="13"/>
  <c r="AG119" i="29"/>
  <c r="J17" i="13"/>
  <c r="AB118" i="29"/>
  <c r="O12" i="13"/>
  <c r="AG113" i="29"/>
  <c r="K10" i="13"/>
  <c r="AC111" i="29"/>
  <c r="F19" i="13"/>
  <c r="X120" i="29"/>
  <c r="P14" i="13"/>
  <c r="AH115" i="29"/>
  <c r="B143" i="29"/>
  <c r="A18" i="7"/>
  <c r="I10" i="29"/>
  <c r="B33" i="9"/>
  <c r="K60" i="29"/>
  <c r="B32" i="9"/>
  <c r="K59" i="29"/>
  <c r="C19" i="7"/>
  <c r="K11" i="29"/>
  <c r="D20" i="7"/>
  <c r="G9" i="21"/>
  <c r="X245" i="29"/>
  <c r="L9" i="21"/>
  <c r="AC245" i="29"/>
  <c r="P9" i="21"/>
  <c r="AG245" i="29"/>
  <c r="P9" i="13"/>
  <c r="AH110" i="29"/>
  <c r="O10" i="13"/>
  <c r="AG111" i="29"/>
  <c r="H12" i="13"/>
  <c r="Z113" i="29"/>
  <c r="O16" i="13"/>
  <c r="AG117" i="29"/>
  <c r="Q38" i="11"/>
  <c r="AH86" i="29"/>
  <c r="L38" i="11"/>
  <c r="AC86" i="29"/>
  <c r="H19" i="8"/>
  <c r="Q10" i="17"/>
  <c r="E9" i="13"/>
  <c r="W110" i="29"/>
  <c r="K8" i="21"/>
  <c r="AB244" i="29"/>
  <c r="N41" i="11"/>
  <c r="AE88" i="29"/>
  <c r="J8" i="21"/>
  <c r="AA244" i="29"/>
  <c r="I6" i="19"/>
  <c r="Z199" i="29"/>
  <c r="F8" i="21"/>
  <c r="W244" i="29"/>
  <c r="L7" i="13"/>
  <c r="AD108" i="29"/>
  <c r="F24" i="13"/>
  <c r="X125" i="29"/>
  <c r="M8" i="13"/>
  <c r="AE109" i="29"/>
  <c r="H14" i="13"/>
  <c r="Z115" i="29"/>
  <c r="K17" i="13"/>
  <c r="AC118" i="29"/>
  <c r="P16" i="13"/>
  <c r="AH117" i="29"/>
  <c r="P24" i="13"/>
  <c r="AH125" i="29"/>
  <c r="L18" i="13"/>
  <c r="AD119" i="29"/>
  <c r="C24" i="13"/>
  <c r="L125" i="29"/>
  <c r="N11" i="9"/>
  <c r="O11" i="9"/>
  <c r="Q30" i="13"/>
  <c r="A12" i="7"/>
  <c r="I5" i="29"/>
  <c r="B12" i="7"/>
  <c r="J5" i="29"/>
  <c r="B20" i="7"/>
  <c r="J12" i="29"/>
  <c r="F9" i="21"/>
  <c r="W245" i="29"/>
  <c r="H9" i="21"/>
  <c r="Y245" i="29"/>
  <c r="J9" i="21"/>
  <c r="AA245" i="29"/>
  <c r="M9" i="21"/>
  <c r="AD245" i="29"/>
  <c r="N32" i="9"/>
  <c r="H24" i="13"/>
  <c r="Z125" i="29"/>
  <c r="M24" i="13"/>
  <c r="AE125" i="29"/>
  <c r="O24" i="13"/>
  <c r="AG125" i="29"/>
  <c r="F12" i="13"/>
  <c r="X113" i="29"/>
  <c r="G13" i="13"/>
  <c r="Y114" i="29"/>
  <c r="F38" i="11"/>
  <c r="W86" i="29"/>
  <c r="B49" i="29"/>
  <c r="N16" i="13"/>
  <c r="AF117" i="29"/>
  <c r="M21" i="12"/>
  <c r="Q12" i="31"/>
  <c r="S12" i="31"/>
  <c r="J37" i="11"/>
  <c r="J40" i="10"/>
  <c r="J40" i="11"/>
  <c r="J39" i="10"/>
  <c r="J75" i="10"/>
  <c r="J83" i="10"/>
  <c r="H70" i="11"/>
  <c r="Q72" i="10"/>
  <c r="Q70" i="11"/>
  <c r="K39" i="10"/>
  <c r="K40" i="10"/>
  <c r="K37" i="11"/>
  <c r="K39" i="11"/>
  <c r="K75" i="10"/>
  <c r="O66" i="11"/>
  <c r="O69" i="10"/>
  <c r="O70" i="10"/>
  <c r="H72" i="10"/>
  <c r="L40" i="10"/>
  <c r="L40" i="11"/>
  <c r="L37" i="11"/>
  <c r="AC85" i="29"/>
  <c r="L75" i="10"/>
  <c r="L83" i="10"/>
  <c r="L39" i="10"/>
  <c r="K18" i="20"/>
  <c r="I21" i="12"/>
  <c r="P37" i="11"/>
  <c r="P40" i="10"/>
  <c r="P42" i="10"/>
  <c r="J19" i="13"/>
  <c r="AB120" i="29"/>
  <c r="N39" i="10"/>
  <c r="N37" i="11"/>
  <c r="N40" i="10"/>
  <c r="N40" i="11"/>
  <c r="N75" i="10"/>
  <c r="N75" i="11"/>
  <c r="Q43" i="31"/>
  <c r="S43" i="31"/>
  <c r="Q84" i="10"/>
  <c r="G40" i="10"/>
  <c r="G37" i="11"/>
  <c r="G9" i="13"/>
  <c r="Y110" i="29"/>
  <c r="M15" i="13"/>
  <c r="AE116" i="29"/>
  <c r="L36" i="12"/>
  <c r="F18" i="13"/>
  <c r="X119" i="29"/>
  <c r="E21" i="12"/>
  <c r="E22" i="12"/>
  <c r="F22" i="13"/>
  <c r="R76" i="10"/>
  <c r="K70" i="10"/>
  <c r="K66" i="11"/>
  <c r="K69" i="11"/>
  <c r="K69" i="10"/>
  <c r="I70" i="11"/>
  <c r="I72" i="11"/>
  <c r="I72" i="10"/>
  <c r="F20" i="21"/>
  <c r="F21" i="20"/>
  <c r="N72" i="11"/>
  <c r="J70" i="11"/>
  <c r="J72" i="10"/>
  <c r="G21" i="12"/>
  <c r="H18" i="13"/>
  <c r="Z119" i="29"/>
  <c r="F37" i="11"/>
  <c r="M37" i="11"/>
  <c r="E37" i="11"/>
  <c r="F75" i="10"/>
  <c r="F83" i="10"/>
  <c r="F40" i="10"/>
  <c r="F40" i="11"/>
  <c r="F39" i="10"/>
  <c r="D15" i="12"/>
  <c r="AF87" i="29"/>
  <c r="O199" i="29"/>
  <c r="R41" i="10"/>
  <c r="M84" i="10"/>
  <c r="M72" i="10"/>
  <c r="R66" i="10"/>
  <c r="R70" i="10"/>
  <c r="I42" i="12"/>
  <c r="I43" i="12"/>
  <c r="J8" i="13"/>
  <c r="AB109" i="29"/>
  <c r="G23" i="13"/>
  <c r="Y124" i="29"/>
  <c r="M72" i="11"/>
  <c r="N38" i="12"/>
  <c r="I76" i="10"/>
  <c r="I85" i="10"/>
  <c r="I38" i="11"/>
  <c r="I41" i="10"/>
  <c r="I41" i="11"/>
  <c r="H69" i="10"/>
  <c r="H66" i="11"/>
  <c r="J15" i="12"/>
  <c r="W102" i="29"/>
  <c r="F69" i="11"/>
  <c r="F70" i="11"/>
  <c r="F72" i="10"/>
  <c r="F84" i="10"/>
  <c r="G83" i="10"/>
  <c r="E42" i="13"/>
  <c r="W139" i="29"/>
  <c r="D43" i="12"/>
  <c r="G20" i="21"/>
  <c r="X254" i="29"/>
  <c r="G21" i="20"/>
  <c r="Q92" i="31"/>
  <c r="S92" i="31"/>
  <c r="Q95" i="31"/>
  <c r="S95" i="31"/>
  <c r="Q98" i="31"/>
  <c r="S98" i="31"/>
  <c r="P42" i="13"/>
  <c r="O43" i="12"/>
  <c r="S112" i="31"/>
  <c r="Q137" i="31"/>
  <c r="S137" i="31"/>
  <c r="G10" i="20"/>
  <c r="F46" i="16"/>
  <c r="F47" i="16"/>
  <c r="G47" i="17"/>
  <c r="F8" i="33"/>
  <c r="F19" i="33"/>
  <c r="M42" i="12"/>
  <c r="M43" i="12"/>
  <c r="N8" i="13"/>
  <c r="AF109" i="29"/>
  <c r="O15" i="12"/>
  <c r="O36" i="12"/>
  <c r="S33" i="31"/>
  <c r="Q60" i="31"/>
  <c r="S60" i="31"/>
  <c r="S78" i="31"/>
  <c r="S81" i="31"/>
  <c r="Q116" i="31"/>
  <c r="S116" i="31"/>
  <c r="E42" i="12"/>
  <c r="F42" i="13"/>
  <c r="F43" i="13"/>
  <c r="E15" i="12"/>
  <c r="F15" i="13"/>
  <c r="AD85" i="29"/>
  <c r="M40" i="10"/>
  <c r="M40" i="11"/>
  <c r="AD87" i="29"/>
  <c r="K23" i="12"/>
  <c r="N7" i="13"/>
  <c r="AF108" i="29"/>
  <c r="O6" i="18"/>
  <c r="O6" i="19"/>
  <c r="AF199" i="29"/>
  <c r="Q73" i="31"/>
  <c r="S73" i="31"/>
  <c r="F18" i="21"/>
  <c r="F19" i="21"/>
  <c r="F19" i="20"/>
  <c r="Q52" i="31"/>
  <c r="S52" i="31"/>
  <c r="N69" i="11"/>
  <c r="Q76" i="31"/>
  <c r="S76" i="31"/>
  <c r="Q79" i="31"/>
  <c r="S79" i="31"/>
  <c r="Q91" i="31"/>
  <c r="S91" i="31"/>
  <c r="M40" i="33"/>
  <c r="M32" i="33"/>
  <c r="Q42" i="31"/>
  <c r="S42" i="31"/>
  <c r="Q68" i="31"/>
  <c r="S68" i="31"/>
  <c r="Q146" i="31"/>
  <c r="S146" i="31"/>
  <c r="M16" i="13"/>
  <c r="AE117" i="29"/>
  <c r="H39" i="10"/>
  <c r="H40" i="10"/>
  <c r="H40" i="11"/>
  <c r="Y87" i="29"/>
  <c r="H75" i="10"/>
  <c r="Q114" i="31"/>
  <c r="S114" i="31"/>
  <c r="Q138" i="31"/>
  <c r="S138" i="31"/>
  <c r="Q26" i="31"/>
  <c r="S26" i="31"/>
  <c r="S64" i="31"/>
  <c r="F16" i="12"/>
  <c r="F46" i="33"/>
  <c r="Q39" i="33"/>
  <c r="S39" i="33"/>
  <c r="S67" i="31"/>
  <c r="G21" i="21"/>
  <c r="Q61" i="31"/>
  <c r="S61" i="31"/>
  <c r="Q120" i="31"/>
  <c r="S120" i="31"/>
  <c r="K21" i="12"/>
  <c r="S103" i="31"/>
  <c r="S117" i="31"/>
  <c r="O16" i="9"/>
  <c r="L45" i="29"/>
  <c r="A8" i="7"/>
  <c r="A9" i="7"/>
  <c r="A9" i="6"/>
  <c r="C15" i="6"/>
  <c r="C14" i="7"/>
  <c r="K7" i="29"/>
  <c r="N6" i="8"/>
  <c r="E66" i="11"/>
  <c r="E69" i="11"/>
  <c r="E70" i="10"/>
  <c r="E69" i="10"/>
  <c r="E46" i="17"/>
  <c r="E47" i="17"/>
  <c r="B38" i="8"/>
  <c r="B37" i="9"/>
  <c r="K63" i="29"/>
  <c r="B31" i="9"/>
  <c r="K58" i="29"/>
  <c r="C7" i="13"/>
  <c r="S7" i="13"/>
  <c r="N16" i="8"/>
  <c r="R30" i="12"/>
  <c r="S30" i="12"/>
  <c r="D30" i="13"/>
  <c r="U30" i="13"/>
  <c r="E39" i="10"/>
  <c r="E40" i="10"/>
  <c r="U42" i="10"/>
  <c r="E75" i="10"/>
  <c r="E77" i="10"/>
  <c r="V37" i="10"/>
  <c r="C11" i="6"/>
  <c r="C7" i="7"/>
  <c r="M6" i="15"/>
  <c r="M6" i="14"/>
  <c r="C8" i="21"/>
  <c r="I244" i="29"/>
  <c r="C69" i="10"/>
  <c r="C70" i="10"/>
  <c r="C84" i="10"/>
  <c r="C66" i="11"/>
  <c r="C6" i="9"/>
  <c r="C18" i="8"/>
  <c r="E6" i="18"/>
  <c r="S6" i="18"/>
  <c r="E16" i="8"/>
  <c r="C9" i="8"/>
  <c r="L11" i="9"/>
  <c r="V40" i="29"/>
  <c r="A21" i="7"/>
  <c r="I12" i="29"/>
  <c r="G16" i="6"/>
  <c r="O245" i="29"/>
  <c r="T9" i="21"/>
  <c r="E11" i="9"/>
  <c r="N40" i="29"/>
  <c r="O124" i="29"/>
  <c r="C41" i="10"/>
  <c r="C41" i="11"/>
  <c r="K88" i="29"/>
  <c r="C76" i="10"/>
  <c r="C38" i="11"/>
  <c r="K86" i="29"/>
  <c r="P20" i="12"/>
  <c r="R20" i="12"/>
  <c r="O31" i="9"/>
  <c r="O131" i="29"/>
  <c r="B9" i="14"/>
  <c r="B6" i="15"/>
  <c r="S33" i="13"/>
  <c r="U33" i="13"/>
  <c r="T33" i="13"/>
  <c r="Q14" i="13"/>
  <c r="C20" i="7"/>
  <c r="C21" i="7"/>
  <c r="C21" i="6"/>
  <c r="H30" i="12"/>
  <c r="I30" i="13"/>
  <c r="AA131" i="29"/>
  <c r="B10" i="7"/>
  <c r="B11" i="6"/>
  <c r="C9" i="6"/>
  <c r="C8" i="7"/>
  <c r="C75" i="10"/>
  <c r="C40" i="10"/>
  <c r="C40" i="11"/>
  <c r="K87" i="29"/>
  <c r="C39" i="10"/>
  <c r="C37" i="11"/>
  <c r="K85" i="29"/>
  <c r="G15" i="6"/>
  <c r="B21" i="7"/>
  <c r="O10" i="29"/>
  <c r="G18" i="7"/>
  <c r="O40" i="29"/>
  <c r="E12" i="9"/>
  <c r="N41" i="29"/>
  <c r="C30" i="13"/>
  <c r="L132" i="29"/>
  <c r="C38" i="8"/>
  <c r="A15" i="7"/>
  <c r="I7" i="29"/>
  <c r="K29" i="13"/>
  <c r="AC130" i="29"/>
  <c r="L3" i="29"/>
  <c r="G8" i="7"/>
  <c r="D9" i="7"/>
  <c r="O108" i="29"/>
  <c r="B34" i="12"/>
  <c r="B34" i="13"/>
  <c r="K135" i="29"/>
  <c r="B30" i="13"/>
  <c r="K131" i="29"/>
  <c r="R6" i="19"/>
  <c r="G20" i="7"/>
  <c r="H17" i="21"/>
  <c r="J19" i="14"/>
  <c r="J19" i="15"/>
  <c r="L31" i="9"/>
  <c r="V58" i="29"/>
  <c r="O58" i="29"/>
  <c r="T8" i="21"/>
  <c r="G17" i="21"/>
  <c r="M8" i="8"/>
  <c r="M9" i="8"/>
  <c r="M37" i="8"/>
  <c r="B15" i="7"/>
  <c r="O133" i="29"/>
  <c r="S45" i="33"/>
  <c r="V32" i="13"/>
  <c r="F17" i="7"/>
  <c r="L86" i="29"/>
  <c r="G19" i="7"/>
  <c r="H19" i="9"/>
  <c r="S47" i="29"/>
  <c r="O60" i="29"/>
  <c r="L33" i="9"/>
  <c r="V60" i="29"/>
  <c r="L12" i="29"/>
  <c r="D21" i="7"/>
  <c r="R36" i="19"/>
  <c r="AH240" i="29"/>
  <c r="X77" i="29"/>
  <c r="G27" i="11"/>
  <c r="Z72" i="29"/>
  <c r="I18" i="11"/>
  <c r="K58" i="11"/>
  <c r="K59" i="11"/>
  <c r="R55" i="11"/>
  <c r="AB95" i="29"/>
  <c r="X99" i="29"/>
  <c r="R61" i="11"/>
  <c r="G64" i="11"/>
  <c r="AF100" i="29"/>
  <c r="O64" i="11"/>
  <c r="O63" i="11"/>
  <c r="R62" i="11"/>
  <c r="AC90" i="29"/>
  <c r="R46" i="11"/>
  <c r="I69" i="11"/>
  <c r="L6" i="29"/>
  <c r="G13" i="7"/>
  <c r="AB72" i="29"/>
  <c r="K18" i="11"/>
  <c r="AF89" i="29"/>
  <c r="R45" i="11"/>
  <c r="AE83" i="29"/>
  <c r="N36" i="11"/>
  <c r="AE77" i="29"/>
  <c r="N27" i="11"/>
  <c r="L64" i="11"/>
  <c r="AC98" i="29"/>
  <c r="R60" i="11"/>
  <c r="R64" i="11"/>
  <c r="T64" i="11"/>
  <c r="L63" i="11"/>
  <c r="R10" i="11"/>
  <c r="N12" i="11"/>
  <c r="AE67" i="29"/>
  <c r="W91" i="29"/>
  <c r="R47" i="11"/>
  <c r="O184" i="29"/>
  <c r="AH184" i="29"/>
  <c r="AE94" i="29"/>
  <c r="R52" i="11"/>
  <c r="N54" i="11"/>
  <c r="N53" i="11"/>
  <c r="L36" i="11"/>
  <c r="R34" i="11"/>
  <c r="AC83" i="29"/>
  <c r="AF97" i="29"/>
  <c r="R57" i="11"/>
  <c r="O59" i="11"/>
  <c r="O58" i="11"/>
  <c r="E12" i="26"/>
  <c r="O272" i="29"/>
  <c r="F13" i="26"/>
  <c r="J273" i="29"/>
  <c r="E13" i="26"/>
  <c r="AD75" i="29"/>
  <c r="R22" i="11"/>
  <c r="M24" i="11"/>
  <c r="AB66" i="29"/>
  <c r="R8" i="11"/>
  <c r="O268" i="29"/>
  <c r="E8" i="26"/>
  <c r="F8" i="26"/>
  <c r="L32" i="9"/>
  <c r="V59" i="29"/>
  <c r="O59" i="29"/>
  <c r="AH162" i="29"/>
  <c r="O162" i="29"/>
  <c r="R10" i="17"/>
  <c r="Q8" i="17"/>
  <c r="AH160" i="29"/>
  <c r="H20" i="8"/>
  <c r="H20" i="9"/>
  <c r="S48" i="29"/>
  <c r="H10" i="14"/>
  <c r="H11" i="15"/>
  <c r="S144" i="29"/>
  <c r="AK278" i="29"/>
  <c r="D15" i="28"/>
  <c r="AK284" i="29"/>
  <c r="Y72" i="29"/>
  <c r="H18" i="11"/>
  <c r="R17" i="11"/>
  <c r="R25" i="11"/>
  <c r="W77" i="29"/>
  <c r="F27" i="11"/>
  <c r="L9" i="11"/>
  <c r="U28" i="13"/>
  <c r="V28" i="13"/>
  <c r="AG92" i="29"/>
  <c r="R50" i="11"/>
  <c r="P54" i="11"/>
  <c r="P53" i="11"/>
  <c r="X80" i="29"/>
  <c r="G30" i="11"/>
  <c r="R29" i="11"/>
  <c r="P44" i="29"/>
  <c r="M9" i="9"/>
  <c r="Y68" i="29"/>
  <c r="H12" i="11"/>
  <c r="R11" i="11"/>
  <c r="T13" i="11"/>
  <c r="U13" i="11"/>
  <c r="U14" i="11"/>
  <c r="R15" i="11"/>
  <c r="T15" i="11"/>
  <c r="O69" i="29"/>
  <c r="E43" i="12"/>
  <c r="G22" i="12"/>
  <c r="H22" i="13"/>
  <c r="Z123" i="29"/>
  <c r="H21" i="13"/>
  <c r="Z122" i="29"/>
  <c r="AH139" i="29"/>
  <c r="P43" i="13"/>
  <c r="N21" i="13"/>
  <c r="AF122" i="29"/>
  <c r="Z86" i="29"/>
  <c r="R41" i="11"/>
  <c r="N77" i="10"/>
  <c r="N83" i="10"/>
  <c r="N42" i="10"/>
  <c r="AE85" i="29"/>
  <c r="N39" i="11"/>
  <c r="O70" i="11"/>
  <c r="O72" i="11"/>
  <c r="O72" i="10"/>
  <c r="O84" i="10"/>
  <c r="M36" i="13"/>
  <c r="M37" i="13"/>
  <c r="L37" i="12"/>
  <c r="J21" i="13"/>
  <c r="AB122" i="29"/>
  <c r="R69" i="10"/>
  <c r="T69" i="10"/>
  <c r="X123" i="29"/>
  <c r="W253" i="29"/>
  <c r="F21" i="21"/>
  <c r="W254" i="29"/>
  <c r="O69" i="11"/>
  <c r="AF102" i="29"/>
  <c r="G16" i="13"/>
  <c r="Y117" i="29"/>
  <c r="F21" i="12"/>
  <c r="N40" i="12"/>
  <c r="O38" i="13"/>
  <c r="N39" i="12"/>
  <c r="F32" i="33"/>
  <c r="K75" i="11"/>
  <c r="K77" i="11"/>
  <c r="K83" i="10"/>
  <c r="K77" i="10"/>
  <c r="J72" i="11"/>
  <c r="AA104" i="29"/>
  <c r="P39" i="11"/>
  <c r="AG85" i="29"/>
  <c r="AB85" i="29"/>
  <c r="D36" i="12"/>
  <c r="E36" i="13"/>
  <c r="W136" i="29"/>
  <c r="E15" i="13"/>
  <c r="W116" i="29"/>
  <c r="K40" i="11"/>
  <c r="L21" i="13"/>
  <c r="AD122" i="29"/>
  <c r="H42" i="10"/>
  <c r="G8" i="33"/>
  <c r="H10" i="20"/>
  <c r="H20" i="20"/>
  <c r="H20" i="21"/>
  <c r="Y254" i="29"/>
  <c r="F72" i="11"/>
  <c r="W104" i="29"/>
  <c r="AH104" i="29"/>
  <c r="Q72" i="11"/>
  <c r="Z104" i="29"/>
  <c r="L23" i="13"/>
  <c r="AD124" i="29"/>
  <c r="Y104" i="29"/>
  <c r="H72" i="11"/>
  <c r="J36" i="12"/>
  <c r="K15" i="13"/>
  <c r="AC116" i="29"/>
  <c r="J42" i="13"/>
  <c r="J43" i="13"/>
  <c r="F42" i="10"/>
  <c r="AB102" i="29"/>
  <c r="H69" i="11"/>
  <c r="Y102" i="29"/>
  <c r="F77" i="10"/>
  <c r="K84" i="10"/>
  <c r="K72" i="10"/>
  <c r="K70" i="11"/>
  <c r="G40" i="11"/>
  <c r="X87" i="29"/>
  <c r="K18" i="21"/>
  <c r="K19" i="20"/>
  <c r="I76" i="11"/>
  <c r="W85" i="29"/>
  <c r="R85" i="10"/>
  <c r="R76" i="11"/>
  <c r="O107" i="29"/>
  <c r="L18" i="20"/>
  <c r="I16" i="20"/>
  <c r="X116" i="29"/>
  <c r="E36" i="12"/>
  <c r="F36" i="13"/>
  <c r="J39" i="11"/>
  <c r="AA85" i="29"/>
  <c r="C75" i="11"/>
  <c r="K106" i="29"/>
  <c r="C83" i="10"/>
  <c r="K3" i="29"/>
  <c r="C9" i="7"/>
  <c r="E84" i="10"/>
  <c r="E70" i="11"/>
  <c r="L104" i="29"/>
  <c r="E72" i="10"/>
  <c r="T72" i="10"/>
  <c r="D7" i="13"/>
  <c r="S7" i="12"/>
  <c r="C18" i="9"/>
  <c r="L36" i="29"/>
  <c r="K140" i="29"/>
  <c r="B9" i="15"/>
  <c r="K2" i="29"/>
  <c r="O9" i="29"/>
  <c r="C39" i="11"/>
  <c r="C69" i="11"/>
  <c r="K102" i="29"/>
  <c r="K12" i="29"/>
  <c r="J4" i="29"/>
  <c r="B11" i="7"/>
  <c r="C70" i="11"/>
  <c r="C72" i="11"/>
  <c r="E16" i="9"/>
  <c r="N45" i="29"/>
  <c r="E37" i="8"/>
  <c r="V30" i="13"/>
  <c r="O6" i="9"/>
  <c r="C15" i="7"/>
  <c r="T30" i="13"/>
  <c r="E75" i="11"/>
  <c r="E77" i="11"/>
  <c r="E39" i="11"/>
  <c r="L85" i="29"/>
  <c r="O8" i="29"/>
  <c r="E40" i="11"/>
  <c r="T6" i="18"/>
  <c r="E6" i="19"/>
  <c r="L217" i="29"/>
  <c r="C39" i="8"/>
  <c r="C38" i="9"/>
  <c r="L64" i="29"/>
  <c r="M38" i="8"/>
  <c r="N37" i="8"/>
  <c r="N37" i="9"/>
  <c r="O63" i="29"/>
  <c r="O217" i="29"/>
  <c r="C76" i="11"/>
  <c r="K107" i="29"/>
  <c r="C85" i="10"/>
  <c r="I3" i="29"/>
  <c r="K6" i="15"/>
  <c r="V140" i="29"/>
  <c r="N6" i="15"/>
  <c r="O140" i="29"/>
  <c r="B39" i="8"/>
  <c r="B38" i="9"/>
  <c r="K64" i="29"/>
  <c r="U152" i="29"/>
  <c r="O68" i="29"/>
  <c r="T11" i="11"/>
  <c r="V10" i="11"/>
  <c r="V16" i="11"/>
  <c r="R18" i="11"/>
  <c r="T18" i="11"/>
  <c r="T17" i="11"/>
  <c r="O72" i="29"/>
  <c r="U16" i="11"/>
  <c r="U17" i="11"/>
  <c r="U34" i="11"/>
  <c r="U35" i="11"/>
  <c r="O83" i="29"/>
  <c r="T34" i="11"/>
  <c r="R36" i="11"/>
  <c r="T36" i="11"/>
  <c r="O94" i="29"/>
  <c r="T52" i="11"/>
  <c r="T60" i="11"/>
  <c r="T61" i="11"/>
  <c r="O99" i="29"/>
  <c r="R30" i="11"/>
  <c r="T30" i="11"/>
  <c r="V28" i="11"/>
  <c r="T29" i="11"/>
  <c r="U28" i="11"/>
  <c r="U29" i="11"/>
  <c r="O80" i="29"/>
  <c r="O160" i="29"/>
  <c r="O75" i="29"/>
  <c r="T22" i="11"/>
  <c r="U22" i="11"/>
  <c r="U23" i="11"/>
  <c r="R24" i="11"/>
  <c r="T24" i="11"/>
  <c r="T57" i="11"/>
  <c r="O97" i="29"/>
  <c r="T46" i="11"/>
  <c r="O90" i="29"/>
  <c r="T50" i="11"/>
  <c r="R53" i="11"/>
  <c r="T53" i="11"/>
  <c r="R54" i="11"/>
  <c r="T54" i="11"/>
  <c r="O92" i="29"/>
  <c r="V7" i="11"/>
  <c r="O66" i="29"/>
  <c r="T8" i="11"/>
  <c r="O91" i="29"/>
  <c r="T47" i="11"/>
  <c r="U10" i="11"/>
  <c r="U11" i="11"/>
  <c r="O67" i="29"/>
  <c r="T10" i="11"/>
  <c r="R12" i="11"/>
  <c r="T12" i="11"/>
  <c r="T45" i="11"/>
  <c r="O89" i="29"/>
  <c r="H17" i="8"/>
  <c r="T25" i="11"/>
  <c r="U25" i="11"/>
  <c r="U26" i="11"/>
  <c r="R27" i="11"/>
  <c r="T27" i="11"/>
  <c r="O77" i="29"/>
  <c r="H10" i="15"/>
  <c r="S143" i="29"/>
  <c r="H8" i="14"/>
  <c r="T62" i="11"/>
  <c r="O100" i="29"/>
  <c r="T55" i="11"/>
  <c r="O95" i="29"/>
  <c r="R59" i="11"/>
  <c r="T59" i="11"/>
  <c r="R58" i="11"/>
  <c r="T58" i="11"/>
  <c r="AB104" i="29"/>
  <c r="K72" i="11"/>
  <c r="I16" i="21"/>
  <c r="I17" i="20"/>
  <c r="AB87" i="29"/>
  <c r="AB253" i="29"/>
  <c r="K19" i="21"/>
  <c r="L18" i="21"/>
  <c r="L19" i="20"/>
  <c r="F49" i="16"/>
  <c r="G46" i="17"/>
  <c r="X198" i="29"/>
  <c r="D37" i="12"/>
  <c r="K36" i="13"/>
  <c r="AC136" i="29"/>
  <c r="J37" i="12"/>
  <c r="Z88" i="29"/>
  <c r="J16" i="20"/>
  <c r="J16" i="21"/>
  <c r="O37" i="12"/>
  <c r="P36" i="13"/>
  <c r="E38" i="12"/>
  <c r="E39" i="12"/>
  <c r="AG137" i="29"/>
  <c r="N41" i="12"/>
  <c r="O40" i="13"/>
  <c r="N46" i="12"/>
  <c r="G46" i="16"/>
  <c r="H46" i="17"/>
  <c r="H10" i="21"/>
  <c r="Y246" i="29"/>
  <c r="G21" i="13"/>
  <c r="Y122" i="29"/>
  <c r="AE136" i="29"/>
  <c r="M18" i="20"/>
  <c r="Z107" i="29"/>
  <c r="O88" i="29"/>
  <c r="G38" i="12"/>
  <c r="H8" i="33"/>
  <c r="G19" i="33"/>
  <c r="I20" i="20"/>
  <c r="I21" i="20"/>
  <c r="I10" i="20"/>
  <c r="E37" i="12"/>
  <c r="L108" i="29"/>
  <c r="T7" i="13"/>
  <c r="L37" i="9"/>
  <c r="V63" i="29"/>
  <c r="O37" i="9"/>
  <c r="L87" i="29"/>
  <c r="U7" i="13"/>
  <c r="V7" i="13"/>
  <c r="M39" i="8"/>
  <c r="N38" i="8"/>
  <c r="N38" i="9"/>
  <c r="O38" i="9"/>
  <c r="T6" i="19"/>
  <c r="B39" i="9"/>
  <c r="S6" i="19"/>
  <c r="C39" i="9"/>
  <c r="H17" i="9"/>
  <c r="S46" i="29"/>
  <c r="T71" i="11"/>
  <c r="H8" i="15"/>
  <c r="S142" i="29"/>
  <c r="H28" i="8"/>
  <c r="T44" i="11"/>
  <c r="K37" i="13"/>
  <c r="H21" i="21"/>
  <c r="Y197" i="29"/>
  <c r="G47" i="16"/>
  <c r="H47" i="17"/>
  <c r="Y198" i="29"/>
  <c r="K16" i="20"/>
  <c r="K16" i="21"/>
  <c r="AB252" i="29"/>
  <c r="O46" i="13"/>
  <c r="AG138" i="29"/>
  <c r="Z252" i="29"/>
  <c r="I17" i="21"/>
  <c r="E37" i="13"/>
  <c r="X197" i="29"/>
  <c r="M18" i="21"/>
  <c r="M19" i="20"/>
  <c r="AC253" i="29"/>
  <c r="L19" i="21"/>
  <c r="N18" i="20"/>
  <c r="H46" i="16"/>
  <c r="H49" i="16"/>
  <c r="I10" i="21"/>
  <c r="Z246" i="29"/>
  <c r="I20" i="21"/>
  <c r="I21" i="21"/>
  <c r="P37" i="13"/>
  <c r="AH136" i="29"/>
  <c r="H38" i="13"/>
  <c r="G39" i="12"/>
  <c r="F38" i="13"/>
  <c r="F39" i="13"/>
  <c r="N39" i="9"/>
  <c r="O39" i="9"/>
  <c r="O64" i="29"/>
  <c r="H28" i="9"/>
  <c r="S55" i="29"/>
  <c r="H22" i="8"/>
  <c r="H22" i="9"/>
  <c r="S50" i="29"/>
  <c r="O18" i="20"/>
  <c r="X137" i="29"/>
  <c r="H39" i="13"/>
  <c r="Z137" i="29"/>
  <c r="H47" i="16"/>
  <c r="I47" i="17"/>
  <c r="Z198" i="29"/>
  <c r="M19" i="21"/>
  <c r="AD253" i="29"/>
  <c r="K17" i="20"/>
  <c r="L16" i="20"/>
  <c r="M16" i="20"/>
  <c r="M17" i="20"/>
  <c r="P18" i="20"/>
  <c r="P18" i="21"/>
  <c r="P19" i="21"/>
  <c r="K17" i="21"/>
  <c r="L17" i="20"/>
  <c r="L16" i="21"/>
  <c r="AC252" i="29"/>
  <c r="O19" i="20"/>
  <c r="O18" i="21"/>
  <c r="O19" i="21"/>
  <c r="AF253" i="29"/>
  <c r="N16" i="20"/>
  <c r="Q18" i="20"/>
  <c r="O16" i="20"/>
  <c r="AG253" i="29"/>
  <c r="Q18" i="21"/>
  <c r="Q19" i="20"/>
  <c r="P16" i="20"/>
  <c r="P16" i="21"/>
  <c r="AH253" i="29"/>
  <c r="Q19" i="21"/>
  <c r="O16" i="21"/>
  <c r="O17" i="20"/>
  <c r="P17" i="20"/>
  <c r="Q16" i="20"/>
  <c r="P17" i="21"/>
  <c r="AG252" i="29"/>
  <c r="Q17" i="20"/>
  <c r="Q16" i="21"/>
  <c r="Q17" i="21"/>
  <c r="AH252" i="29"/>
  <c r="N42" i="13"/>
  <c r="AF139" i="29"/>
  <c r="P29" i="13"/>
  <c r="AH130" i="29"/>
  <c r="S27" i="13"/>
  <c r="Q40" i="12"/>
  <c r="Q37" i="12"/>
  <c r="R36" i="13"/>
  <c r="M24" i="14"/>
  <c r="M18" i="8"/>
  <c r="Q38" i="18"/>
  <c r="Q38" i="19"/>
  <c r="O242" i="29"/>
  <c r="N17" i="9"/>
  <c r="R38" i="18"/>
  <c r="R38" i="19"/>
  <c r="AH242" i="29"/>
  <c r="N17" i="8"/>
  <c r="N24" i="15"/>
  <c r="L157" i="29"/>
  <c r="B22" i="8"/>
  <c r="B28" i="9"/>
  <c r="K55" i="29"/>
  <c r="D17" i="9"/>
  <c r="D18" i="8"/>
  <c r="D28" i="8"/>
  <c r="D8" i="15"/>
  <c r="M142" i="29"/>
  <c r="E8" i="14"/>
  <c r="C8" i="15"/>
  <c r="C9" i="14"/>
  <c r="C28" i="8"/>
  <c r="B17" i="9"/>
  <c r="B18" i="8"/>
  <c r="B22" i="9"/>
  <c r="C22" i="8"/>
  <c r="C34" i="8"/>
  <c r="C34" i="9"/>
  <c r="L61" i="29"/>
  <c r="E34" i="8"/>
  <c r="C28" i="9"/>
  <c r="E17" i="8"/>
  <c r="L236" i="29"/>
  <c r="O214" i="29"/>
  <c r="AH231" i="29"/>
  <c r="O213" i="29"/>
  <c r="L230" i="29"/>
  <c r="S19" i="19"/>
  <c r="T19" i="18"/>
  <c r="C19" i="19"/>
  <c r="K212" i="29"/>
  <c r="O230" i="29"/>
  <c r="K211" i="29"/>
  <c r="R26" i="19"/>
  <c r="R26" i="18"/>
  <c r="S18" i="18"/>
  <c r="S11" i="18"/>
  <c r="E14" i="26"/>
  <c r="F14" i="26"/>
  <c r="P136" i="29"/>
  <c r="R40" i="13"/>
  <c r="Q41" i="12"/>
  <c r="Q46" i="12"/>
  <c r="O46" i="29"/>
  <c r="O17" i="9"/>
  <c r="N18" i="9"/>
  <c r="L17" i="9"/>
  <c r="V46" i="29"/>
  <c r="T28" i="18"/>
  <c r="S28" i="18"/>
  <c r="R28" i="19"/>
  <c r="S28" i="19"/>
  <c r="L142" i="29"/>
  <c r="C9" i="15"/>
  <c r="E8" i="15"/>
  <c r="E28" i="8"/>
  <c r="E9" i="14"/>
  <c r="F8" i="14"/>
  <c r="M46" i="29"/>
  <c r="D18" i="9"/>
  <c r="D22" i="8"/>
  <c r="D28" i="9"/>
  <c r="M55" i="29"/>
  <c r="E17" i="9"/>
  <c r="N46" i="29"/>
  <c r="B23" i="9"/>
  <c r="K50" i="29"/>
  <c r="L55" i="29"/>
  <c r="K46" i="29"/>
  <c r="B18" i="9"/>
  <c r="P138" i="29"/>
  <c r="R41" i="13"/>
  <c r="R46" i="13"/>
  <c r="T28" i="19"/>
  <c r="N142" i="29"/>
  <c r="F9" i="14"/>
  <c r="F8" i="15"/>
  <c r="D37" i="8"/>
  <c r="D38" i="8"/>
  <c r="D22" i="9"/>
  <c r="D23" i="8"/>
  <c r="E28" i="9"/>
  <c r="N55" i="29"/>
  <c r="M50" i="29"/>
  <c r="D23" i="9"/>
  <c r="D42" i="8"/>
  <c r="W176" i="29"/>
  <c r="R9" i="17"/>
  <c r="F8" i="17"/>
  <c r="G8" i="17"/>
  <c r="X160" i="29"/>
  <c r="W161" i="29"/>
  <c r="D38" i="9"/>
  <c r="D39" i="8"/>
  <c r="D37" i="9"/>
  <c r="M63" i="29"/>
  <c r="D26" i="27"/>
  <c r="P77" i="10"/>
  <c r="P83" i="10"/>
  <c r="P75" i="11"/>
  <c r="AC87" i="29"/>
  <c r="L42" i="11"/>
  <c r="W87" i="29"/>
  <c r="F42" i="11"/>
  <c r="N77" i="11"/>
  <c r="AE106" i="29"/>
  <c r="R63" i="11"/>
  <c r="T63" i="11"/>
  <c r="J75" i="11"/>
  <c r="M42" i="10"/>
  <c r="O98" i="29"/>
  <c r="AB106" i="29"/>
  <c r="I39" i="11"/>
  <c r="R37" i="10"/>
  <c r="T37" i="10"/>
  <c r="AA87" i="29"/>
  <c r="I75" i="11"/>
  <c r="I77" i="11"/>
  <c r="I83" i="10"/>
  <c r="X106" i="29"/>
  <c r="I77" i="10"/>
  <c r="M77" i="10"/>
  <c r="I40" i="10"/>
  <c r="I40" i="11"/>
  <c r="X85" i="29"/>
  <c r="P40" i="11"/>
  <c r="AG87" i="29"/>
  <c r="L39" i="11"/>
  <c r="T75" i="10"/>
  <c r="T77" i="10"/>
  <c r="Y85" i="29"/>
  <c r="I39" i="10"/>
  <c r="H58" i="11"/>
  <c r="M83" i="10"/>
  <c r="N42" i="11"/>
  <c r="AE87" i="29"/>
  <c r="H75" i="11"/>
  <c r="Y106" i="29"/>
  <c r="R7" i="11"/>
  <c r="F75" i="11"/>
  <c r="W106" i="29"/>
  <c r="Q64" i="11"/>
  <c r="Z106" i="29"/>
  <c r="O93" i="29"/>
  <c r="G72" i="11"/>
  <c r="AG88" i="29"/>
  <c r="Y97" i="29"/>
  <c r="O85" i="10"/>
  <c r="AH88" i="29"/>
  <c r="AF107" i="29"/>
  <c r="AH107" i="29"/>
  <c r="AB88" i="29"/>
  <c r="K42" i="11"/>
  <c r="M42" i="11"/>
  <c r="AD88" i="29"/>
  <c r="O42" i="11"/>
  <c r="AF88" i="29"/>
  <c r="T9" i="10"/>
  <c r="M77" i="11"/>
  <c r="U8" i="10"/>
  <c r="F39" i="11"/>
  <c r="M39" i="11"/>
  <c r="K42" i="10"/>
  <c r="D64" i="11"/>
  <c r="T71" i="10"/>
  <c r="D72" i="11"/>
  <c r="E41" i="11"/>
  <c r="E42" i="10"/>
  <c r="T41" i="10"/>
  <c r="V40" i="10"/>
  <c r="L106" i="29"/>
  <c r="E83" i="10"/>
  <c r="C77" i="10"/>
  <c r="D41" i="10"/>
  <c r="D41" i="11"/>
  <c r="D38" i="11"/>
  <c r="D76" i="11"/>
  <c r="C72" i="10"/>
  <c r="K104" i="29"/>
  <c r="C64" i="11"/>
  <c r="U41" i="10"/>
  <c r="D40" i="11"/>
  <c r="D39" i="10"/>
  <c r="D75" i="10"/>
  <c r="D77" i="10"/>
  <c r="D37" i="11"/>
  <c r="D39" i="11"/>
  <c r="C42" i="11"/>
  <c r="E8" i="9"/>
  <c r="N38" i="29"/>
  <c r="H37" i="8"/>
  <c r="H37" i="9"/>
  <c r="S63" i="29"/>
  <c r="C23" i="8"/>
  <c r="E22" i="8"/>
  <c r="B23" i="8"/>
  <c r="C22" i="9"/>
  <c r="C35" i="8"/>
  <c r="C35" i="9"/>
  <c r="R8" i="17"/>
  <c r="W160" i="29"/>
  <c r="E37" i="9"/>
  <c r="N63" i="29"/>
  <c r="D39" i="9"/>
  <c r="M64" i="29"/>
  <c r="AA106" i="29"/>
  <c r="P77" i="11"/>
  <c r="AG106" i="29"/>
  <c r="R75" i="10"/>
  <c r="R83" i="10"/>
  <c r="U37" i="10"/>
  <c r="U38" i="10"/>
  <c r="R39" i="10"/>
  <c r="T39" i="10"/>
  <c r="P42" i="11"/>
  <c r="I42" i="10"/>
  <c r="H77" i="11"/>
  <c r="F77" i="11"/>
  <c r="T7" i="11"/>
  <c r="O65" i="29"/>
  <c r="R9" i="11"/>
  <c r="T9" i="11"/>
  <c r="U7" i="11"/>
  <c r="U8" i="11"/>
  <c r="D42" i="10"/>
  <c r="D42" i="11"/>
  <c r="L88" i="29"/>
  <c r="T41" i="11"/>
  <c r="E42" i="11"/>
  <c r="V40" i="11"/>
  <c r="C42" i="8"/>
  <c r="C23" i="9"/>
  <c r="L50" i="29"/>
  <c r="E22" i="9"/>
  <c r="R75" i="11"/>
  <c r="N50" i="29"/>
  <c r="C9" i="9"/>
  <c r="L38" i="29"/>
  <c r="L62" i="29"/>
  <c r="J34" i="8"/>
  <c r="J34" i="9"/>
  <c r="Z176" i="29"/>
  <c r="Z184" i="29"/>
  <c r="R32" i="17"/>
  <c r="R36" i="17"/>
  <c r="X164" i="29"/>
  <c r="R40" i="17"/>
  <c r="Q24" i="17"/>
  <c r="AE179" i="29"/>
  <c r="AB166" i="29"/>
  <c r="Z179" i="29"/>
  <c r="H38" i="8"/>
  <c r="H38" i="9"/>
  <c r="S64" i="29"/>
  <c r="H42" i="8"/>
  <c r="O176" i="29"/>
  <c r="AH176" i="29"/>
  <c r="R24" i="17"/>
  <c r="D25" i="28"/>
  <c r="D26" i="28"/>
  <c r="AK295" i="29"/>
  <c r="O45" i="29"/>
  <c r="O39" i="29"/>
  <c r="O10" i="9"/>
  <c r="N8" i="9"/>
  <c r="N8" i="8"/>
  <c r="C25" i="28"/>
  <c r="S22" i="19"/>
  <c r="AH232" i="29"/>
  <c r="T21" i="19"/>
  <c r="Q9" i="13"/>
  <c r="T9" i="13"/>
  <c r="S9" i="12"/>
  <c r="D14" i="20"/>
  <c r="D10" i="21"/>
  <c r="D14" i="13"/>
  <c r="U14" i="13"/>
  <c r="C14" i="13"/>
  <c r="L115" i="29"/>
  <c r="C11" i="13"/>
  <c r="L112" i="29"/>
  <c r="D11" i="13"/>
  <c r="D9" i="13"/>
  <c r="C9" i="13"/>
  <c r="L110" i="29"/>
  <c r="I253" i="29"/>
  <c r="C19" i="21"/>
  <c r="C19" i="20"/>
  <c r="D46" i="32"/>
  <c r="Q39" i="18"/>
  <c r="Q39" i="19"/>
  <c r="O243" i="29"/>
  <c r="E40" i="32"/>
  <c r="E32" i="32"/>
  <c r="H19" i="32"/>
  <c r="E46" i="32"/>
  <c r="E19" i="32"/>
  <c r="S14" i="13"/>
  <c r="R39" i="18"/>
  <c r="R39" i="19"/>
  <c r="AH243" i="29"/>
  <c r="F46" i="32"/>
  <c r="F32" i="32"/>
  <c r="G40" i="32"/>
  <c r="D40" i="32"/>
  <c r="P8" i="12"/>
  <c r="R8" i="12"/>
  <c r="R42" i="12"/>
  <c r="R43" i="12"/>
  <c r="Q8" i="13"/>
  <c r="D19" i="32"/>
  <c r="S11" i="12"/>
  <c r="S14" i="12"/>
  <c r="D26" i="19"/>
  <c r="R16" i="12"/>
  <c r="D25" i="18"/>
  <c r="D26" i="18"/>
  <c r="G49" i="32"/>
  <c r="E22" i="20"/>
  <c r="E22" i="21"/>
  <c r="G21" i="32"/>
  <c r="G30" i="32"/>
  <c r="D49" i="32"/>
  <c r="C22" i="20"/>
  <c r="F49" i="32"/>
  <c r="S34" i="33"/>
  <c r="S20" i="12"/>
  <c r="R10" i="12"/>
  <c r="S10" i="12"/>
  <c r="D17" i="20"/>
  <c r="D16" i="13"/>
  <c r="V16" i="13"/>
  <c r="C12" i="13"/>
  <c r="T12" i="13"/>
  <c r="L113" i="29"/>
  <c r="D10" i="13"/>
  <c r="U10" i="13"/>
  <c r="R14" i="12"/>
  <c r="E49" i="32"/>
  <c r="D22" i="20"/>
  <c r="D23" i="20"/>
  <c r="C18" i="13"/>
  <c r="L119" i="29"/>
  <c r="S16" i="12"/>
  <c r="S18" i="21"/>
  <c r="S20" i="21"/>
  <c r="S21" i="21"/>
  <c r="S17" i="20"/>
  <c r="T17" i="20"/>
  <c r="C19" i="13"/>
  <c r="L120" i="29"/>
  <c r="V19" i="13"/>
  <c r="O120" i="29"/>
  <c r="U19" i="13"/>
  <c r="H30" i="32"/>
  <c r="S12" i="12"/>
  <c r="Q12" i="13"/>
  <c r="V12" i="13"/>
  <c r="R12" i="12"/>
  <c r="R18" i="12"/>
  <c r="Q18" i="13"/>
  <c r="S18" i="12"/>
  <c r="T12" i="21"/>
  <c r="O248" i="29"/>
  <c r="J252" i="29"/>
  <c r="D17" i="21"/>
  <c r="S13" i="21"/>
  <c r="S17" i="21"/>
  <c r="O252" i="29"/>
  <c r="D17" i="13"/>
  <c r="C17" i="13"/>
  <c r="L118" i="29"/>
  <c r="C21" i="12"/>
  <c r="C21" i="13"/>
  <c r="L122" i="29"/>
  <c r="C17" i="20"/>
  <c r="C16" i="21"/>
  <c r="C20" i="13"/>
  <c r="L121" i="29"/>
  <c r="D20" i="13"/>
  <c r="S13" i="12"/>
  <c r="C13" i="13"/>
  <c r="S13" i="13"/>
  <c r="L114" i="29"/>
  <c r="D13" i="13"/>
  <c r="V9" i="13"/>
  <c r="S9" i="13"/>
  <c r="O111" i="29"/>
  <c r="S10" i="13"/>
  <c r="T10" i="13"/>
  <c r="V10" i="13"/>
  <c r="C49" i="16"/>
  <c r="C46" i="17"/>
  <c r="K197" i="29"/>
  <c r="R13" i="12"/>
  <c r="T18" i="20"/>
  <c r="E18" i="21"/>
  <c r="E20" i="20"/>
  <c r="E21" i="20"/>
  <c r="E19" i="20"/>
  <c r="T19" i="20"/>
  <c r="D8" i="13"/>
  <c r="U8" i="13"/>
  <c r="U42" i="13"/>
  <c r="U43" i="13"/>
  <c r="C15" i="12"/>
  <c r="D15" i="13"/>
  <c r="H40" i="32"/>
  <c r="H32" i="32"/>
  <c r="E16" i="21"/>
  <c r="T16" i="21"/>
  <c r="B21" i="12"/>
  <c r="G46" i="32"/>
  <c r="G32" i="32"/>
  <c r="T16" i="20"/>
  <c r="D46" i="17"/>
  <c r="L197" i="29"/>
  <c r="O114" i="29"/>
  <c r="T12" i="20"/>
  <c r="P17" i="12"/>
  <c r="S19" i="12"/>
  <c r="R9" i="12"/>
  <c r="S20" i="20"/>
  <c r="S21" i="20"/>
  <c r="T21" i="20"/>
  <c r="H49" i="32"/>
  <c r="D49" i="16"/>
  <c r="Q24" i="18"/>
  <c r="Q26" i="18"/>
  <c r="S22" i="33"/>
  <c r="E13" i="20"/>
  <c r="E13" i="21"/>
  <c r="V8" i="13"/>
  <c r="C10" i="20"/>
  <c r="C10" i="21"/>
  <c r="Q24" i="19"/>
  <c r="O247" i="29"/>
  <c r="D18" i="20"/>
  <c r="D20" i="20"/>
  <c r="D21" i="20"/>
  <c r="C16" i="13"/>
  <c r="T16" i="13"/>
  <c r="G19" i="32"/>
  <c r="E11" i="20"/>
  <c r="E11" i="21"/>
  <c r="O115" i="29"/>
  <c r="Q11" i="13"/>
  <c r="S11" i="13"/>
  <c r="R11" i="12"/>
  <c r="C24" i="19"/>
  <c r="K215" i="29"/>
  <c r="V14" i="13"/>
  <c r="R19" i="12"/>
  <c r="S8" i="12"/>
  <c r="U16" i="13"/>
  <c r="T14" i="13"/>
  <c r="Q20" i="13"/>
  <c r="T8" i="13"/>
  <c r="H46" i="32"/>
  <c r="S43" i="33"/>
  <c r="C42" i="12"/>
  <c r="C43" i="12"/>
  <c r="B25" i="28"/>
  <c r="AK294" i="29"/>
  <c r="N9" i="9"/>
  <c r="L8" i="9"/>
  <c r="V38" i="29"/>
  <c r="O38" i="29"/>
  <c r="O8" i="9"/>
  <c r="C26" i="28"/>
  <c r="AJ295" i="29"/>
  <c r="AJ294" i="29"/>
  <c r="T19" i="13"/>
  <c r="D32" i="32"/>
  <c r="J246" i="29"/>
  <c r="P42" i="12"/>
  <c r="Q42" i="13"/>
  <c r="E19" i="21"/>
  <c r="T13" i="13"/>
  <c r="S19" i="13"/>
  <c r="B21" i="13"/>
  <c r="K122" i="29"/>
  <c r="C36" i="12"/>
  <c r="C36" i="13"/>
  <c r="C15" i="13"/>
  <c r="L116" i="29"/>
  <c r="L253" i="29"/>
  <c r="C14" i="20"/>
  <c r="C20" i="20"/>
  <c r="C21" i="20"/>
  <c r="U18" i="13"/>
  <c r="O119" i="29"/>
  <c r="V18" i="13"/>
  <c r="C26" i="19"/>
  <c r="T20" i="20"/>
  <c r="S12" i="13"/>
  <c r="U12" i="13"/>
  <c r="O113" i="29"/>
  <c r="O215" i="29"/>
  <c r="Q26" i="19"/>
  <c r="O121" i="29"/>
  <c r="T20" i="13"/>
  <c r="U20" i="13"/>
  <c r="V13" i="13"/>
  <c r="U13" i="13"/>
  <c r="O249" i="29"/>
  <c r="C17" i="21"/>
  <c r="I252" i="29"/>
  <c r="S16" i="13"/>
  <c r="O254" i="29"/>
  <c r="D19" i="20"/>
  <c r="L252" i="29"/>
  <c r="E17" i="21"/>
  <c r="T17" i="21"/>
  <c r="S22" i="20"/>
  <c r="S22" i="21"/>
  <c r="O255" i="29"/>
  <c r="T11" i="20"/>
  <c r="C38" i="12"/>
  <c r="C38" i="13"/>
  <c r="S17" i="12"/>
  <c r="P21" i="12"/>
  <c r="AI294" i="29"/>
  <c r="B26" i="28"/>
  <c r="AI295" i="29"/>
  <c r="L9" i="9"/>
  <c r="T22" i="20"/>
  <c r="D36" i="13"/>
  <c r="D37" i="13"/>
  <c r="C37" i="12"/>
  <c r="S23" i="21"/>
  <c r="K7" i="15"/>
  <c r="V141" i="29"/>
  <c r="O141" i="29"/>
  <c r="P140" i="29"/>
  <c r="L9" i="15"/>
  <c r="R43" i="13"/>
  <c r="P108" i="29"/>
  <c r="L8" i="29"/>
  <c r="T13" i="21"/>
  <c r="L249" i="29"/>
  <c r="C22" i="21"/>
  <c r="C23" i="20"/>
  <c r="D20" i="21"/>
  <c r="L137" i="29"/>
  <c r="C39" i="13"/>
  <c r="C20" i="21"/>
  <c r="I246" i="29"/>
  <c r="C14" i="21"/>
  <c r="I250" i="29"/>
  <c r="T11" i="21"/>
  <c r="L247" i="29"/>
  <c r="L255" i="29"/>
  <c r="E23" i="21"/>
  <c r="T23" i="21"/>
  <c r="L136" i="29"/>
  <c r="C37" i="13"/>
  <c r="I42" i="11"/>
  <c r="Z87" i="29"/>
  <c r="S8" i="13"/>
  <c r="S42" i="13"/>
  <c r="S43" i="13"/>
  <c r="O109" i="29"/>
  <c r="F9" i="15"/>
  <c r="Q142" i="29"/>
  <c r="L117" i="29"/>
  <c r="O112" i="29"/>
  <c r="T22" i="21"/>
  <c r="U11" i="13"/>
  <c r="T18" i="13"/>
  <c r="H42" i="11"/>
  <c r="E34" i="9"/>
  <c r="N61" i="29"/>
  <c r="O17" i="21"/>
  <c r="AF252" i="29"/>
  <c r="L17" i="21"/>
  <c r="J17" i="21"/>
  <c r="AA252" i="29"/>
  <c r="S21" i="12"/>
  <c r="R21" i="12"/>
  <c r="R38" i="12"/>
  <c r="R39" i="12"/>
  <c r="T11" i="13"/>
  <c r="C40" i="12"/>
  <c r="Q21" i="13"/>
  <c r="V11" i="13"/>
  <c r="O253" i="29"/>
  <c r="E23" i="20"/>
  <c r="T83" i="10"/>
  <c r="C39" i="12"/>
  <c r="S23" i="20"/>
  <c r="T23" i="20"/>
  <c r="T13" i="20"/>
  <c r="S18" i="13"/>
  <c r="D14" i="21"/>
  <c r="J250" i="29"/>
  <c r="O110" i="29"/>
  <c r="R77" i="10"/>
  <c r="O106" i="29"/>
  <c r="R77" i="11"/>
  <c r="T77" i="11"/>
  <c r="X136" i="29"/>
  <c r="F37" i="13"/>
  <c r="R70" i="11"/>
  <c r="R84" i="10"/>
  <c r="R72" i="10"/>
  <c r="D38" i="13"/>
  <c r="D39" i="13"/>
  <c r="R17" i="12"/>
  <c r="Q17" i="13"/>
  <c r="U9" i="13"/>
  <c r="D21" i="13"/>
  <c r="I8" i="33"/>
  <c r="J10" i="20"/>
  <c r="H19" i="33"/>
  <c r="J20" i="20"/>
  <c r="D18" i="21"/>
  <c r="D22" i="21"/>
  <c r="M16" i="21"/>
  <c r="T18" i="21"/>
  <c r="S19" i="21"/>
  <c r="T19" i="21"/>
  <c r="S20" i="13"/>
  <c r="V20" i="13"/>
  <c r="P15" i="12"/>
  <c r="N18" i="21"/>
  <c r="N19" i="20"/>
  <c r="N16" i="21"/>
  <c r="N17" i="20"/>
  <c r="Z254" i="29"/>
  <c r="J17" i="20"/>
  <c r="T66" i="10"/>
  <c r="T70" i="10"/>
  <c r="T84" i="10"/>
  <c r="AA253" i="29"/>
  <c r="N15" i="13"/>
  <c r="AF116" i="29"/>
  <c r="M36" i="12"/>
  <c r="L102" i="29"/>
  <c r="S30" i="13"/>
  <c r="L131" i="29"/>
  <c r="AF104" i="29"/>
  <c r="K42" i="12"/>
  <c r="K15" i="12"/>
  <c r="L8" i="13"/>
  <c r="AD109" i="29"/>
  <c r="L38" i="9"/>
  <c r="C42" i="10"/>
  <c r="O22" i="12"/>
  <c r="K4" i="29"/>
  <c r="R66" i="11"/>
  <c r="H21" i="20"/>
  <c r="P15" i="13"/>
  <c r="AH116" i="29"/>
  <c r="L42" i="10"/>
  <c r="G39" i="11"/>
  <c r="AG136" i="29"/>
  <c r="P19" i="20"/>
  <c r="R40" i="10"/>
  <c r="C77" i="11"/>
  <c r="E72" i="11"/>
  <c r="G49" i="16"/>
  <c r="E40" i="12"/>
  <c r="D75" i="11"/>
  <c r="D77" i="11"/>
  <c r="N43" i="13"/>
  <c r="I46" i="17"/>
  <c r="Z197" i="29"/>
  <c r="G10" i="21"/>
  <c r="X246" i="29"/>
  <c r="F21" i="13"/>
  <c r="X122" i="29"/>
  <c r="H83" i="10"/>
  <c r="H77" i="10"/>
  <c r="L22" i="12"/>
  <c r="M22" i="13"/>
  <c r="AE123" i="29"/>
  <c r="L38" i="12"/>
  <c r="M21" i="13"/>
  <c r="AE122" i="29"/>
  <c r="P72" i="11"/>
  <c r="AG104" i="29"/>
  <c r="S24" i="12"/>
  <c r="R24" i="12"/>
  <c r="Q24" i="13"/>
  <c r="P34" i="12"/>
  <c r="L77" i="10"/>
  <c r="L75" i="11"/>
  <c r="J15" i="14"/>
  <c r="J15" i="15"/>
  <c r="U148" i="29"/>
  <c r="F15" i="15"/>
  <c r="Q148" i="29"/>
  <c r="Q39" i="10"/>
  <c r="Q37" i="11"/>
  <c r="Q40" i="10"/>
  <c r="Q75" i="10"/>
  <c r="Q69" i="10"/>
  <c r="Q66" i="11"/>
  <c r="Q89" i="31"/>
  <c r="S89" i="31"/>
  <c r="Q106" i="31"/>
  <c r="S106" i="31"/>
  <c r="Q133" i="31"/>
  <c r="S133" i="31"/>
  <c r="H15" i="12"/>
  <c r="H12" i="20"/>
  <c r="H12" i="21"/>
  <c r="Y248" i="29"/>
  <c r="G10" i="33"/>
  <c r="G52" i="16"/>
  <c r="Q14" i="31"/>
  <c r="S14" i="31"/>
  <c r="Q15" i="31"/>
  <c r="S15" i="31"/>
  <c r="Q83" i="31"/>
  <c r="S83" i="31"/>
  <c r="L7" i="29"/>
  <c r="D15" i="7"/>
  <c r="G51" i="16"/>
  <c r="H11" i="20"/>
  <c r="H11" i="21"/>
  <c r="Y247" i="29"/>
  <c r="G9" i="33"/>
  <c r="Q24" i="31"/>
  <c r="S24" i="31"/>
  <c r="Q100" i="31"/>
  <c r="S100" i="31"/>
  <c r="O42" i="10"/>
  <c r="AC104" i="29"/>
  <c r="T85" i="10"/>
  <c r="F17" i="21"/>
  <c r="H19" i="21"/>
  <c r="E33" i="8"/>
  <c r="C33" i="9"/>
  <c r="N32" i="33"/>
  <c r="A11" i="6"/>
  <c r="A10" i="7"/>
  <c r="Q140" i="31"/>
  <c r="S140" i="31"/>
  <c r="AG102" i="29"/>
  <c r="AA139" i="29"/>
  <c r="Q35" i="31"/>
  <c r="S35" i="31"/>
  <c r="N32" i="8"/>
  <c r="Q99" i="31"/>
  <c r="S99" i="31"/>
  <c r="C23" i="12"/>
  <c r="D10" i="6"/>
  <c r="Q9" i="20"/>
  <c r="Q9" i="21"/>
  <c r="AH245" i="29"/>
  <c r="Q13" i="31"/>
  <c r="S13" i="31"/>
  <c r="F22" i="15"/>
  <c r="Q155" i="29"/>
  <c r="J22" i="14"/>
  <c r="J22" i="15" s="1"/>
  <c r="U155" i="29" s="1"/>
  <c r="G36" i="12"/>
  <c r="H15" i="13"/>
  <c r="Z116" i="29"/>
  <c r="S107" i="31"/>
  <c r="I7" i="13"/>
  <c r="AA108" i="29"/>
  <c r="J6" i="18"/>
  <c r="J6" i="19"/>
  <c r="AA199" i="29"/>
  <c r="Q55" i="31"/>
  <c r="S55" i="31"/>
  <c r="M23" i="12"/>
  <c r="N14" i="13"/>
  <c r="AF115" i="29"/>
  <c r="F20" i="15"/>
  <c r="Q153" i="29"/>
  <c r="J20" i="14"/>
  <c r="G18" i="21"/>
  <c r="G19" i="20"/>
  <c r="I31" i="12"/>
  <c r="J31" i="13"/>
  <c r="AB132" i="29"/>
  <c r="N31" i="12"/>
  <c r="O31" i="13"/>
  <c r="AG132" i="29"/>
  <c r="K31" i="12"/>
  <c r="L31" i="13"/>
  <c r="AD132" i="29"/>
  <c r="Q31" i="13"/>
  <c r="D31" i="12"/>
  <c r="E31" i="13"/>
  <c r="W132" i="29"/>
  <c r="E31" i="12"/>
  <c r="F31" i="13"/>
  <c r="X132" i="29"/>
  <c r="M31" i="12"/>
  <c r="N31" i="13"/>
  <c r="AF132" i="29"/>
  <c r="O31" i="12"/>
  <c r="P31" i="13"/>
  <c r="AH132" i="29"/>
  <c r="L31" i="12"/>
  <c r="M31" i="13"/>
  <c r="AE132" i="29"/>
  <c r="J31" i="12"/>
  <c r="K31" i="13"/>
  <c r="AC132" i="29"/>
  <c r="F31" i="12"/>
  <c r="G31" i="13"/>
  <c r="Y132" i="29"/>
  <c r="B8" i="8"/>
  <c r="C32" i="9"/>
  <c r="E32" i="8"/>
  <c r="Q34" i="31"/>
  <c r="S34" i="31"/>
  <c r="P84" i="10"/>
  <c r="G72" i="10"/>
  <c r="D29" i="12"/>
  <c r="E29" i="13"/>
  <c r="W130" i="29"/>
  <c r="Q29" i="13"/>
  <c r="O130" i="29"/>
  <c r="N29" i="12"/>
  <c r="O29" i="13"/>
  <c r="AG130" i="29"/>
  <c r="M29" i="12"/>
  <c r="F29" i="12"/>
  <c r="F30" i="12"/>
  <c r="E29" i="12"/>
  <c r="F29" i="13"/>
  <c r="X130" i="29"/>
  <c r="I29" i="12"/>
  <c r="J29" i="13"/>
  <c r="AB130" i="29"/>
  <c r="L29" i="12"/>
  <c r="M29" i="13"/>
  <c r="AE130" i="29"/>
  <c r="K29" i="12"/>
  <c r="O37" i="11"/>
  <c r="O39" i="10"/>
  <c r="O75" i="10"/>
  <c r="Q71" i="31"/>
  <c r="S71" i="31"/>
  <c r="F14" i="14"/>
  <c r="F11" i="14"/>
  <c r="Q18" i="31"/>
  <c r="S18" i="31"/>
  <c r="Q75" i="31"/>
  <c r="S75" i="31"/>
  <c r="Q88" i="31"/>
  <c r="S88" i="31"/>
  <c r="Q108" i="31"/>
  <c r="S108" i="31"/>
  <c r="J46" i="33"/>
  <c r="Q46" i="33"/>
  <c r="S46" i="33"/>
  <c r="F23" i="14"/>
  <c r="F17" i="14"/>
  <c r="Q19" i="31"/>
  <c r="S19" i="31"/>
  <c r="Q49" i="31"/>
  <c r="S49" i="31"/>
  <c r="Q72" i="31"/>
  <c r="S72" i="31"/>
  <c r="S25" i="33"/>
  <c r="F15" i="12"/>
  <c r="F22" i="12"/>
  <c r="F42" i="12"/>
  <c r="Q21" i="33"/>
  <c r="S21" i="33"/>
  <c r="O30" i="33"/>
  <c r="Q30" i="33"/>
  <c r="S30" i="33"/>
  <c r="E6" i="15"/>
  <c r="D47" i="16"/>
  <c r="D47" i="17"/>
  <c r="L198" i="29"/>
  <c r="Q17" i="31"/>
  <c r="S17" i="31"/>
  <c r="Q25" i="31"/>
  <c r="S25" i="31"/>
  <c r="Q65" i="31"/>
  <c r="S65" i="31"/>
  <c r="Q123" i="31"/>
  <c r="S123" i="31"/>
  <c r="J41" i="10"/>
  <c r="J76" i="10"/>
  <c r="F12" i="14"/>
  <c r="E10" i="21"/>
  <c r="Q54" i="31"/>
  <c r="S54" i="31"/>
  <c r="Q59" i="31"/>
  <c r="S59" i="31"/>
  <c r="Q63" i="31"/>
  <c r="S63" i="31"/>
  <c r="Q70" i="31"/>
  <c r="S70" i="31"/>
  <c r="Q82" i="31"/>
  <c r="S82" i="31"/>
  <c r="Q37" i="33"/>
  <c r="S37" i="33"/>
  <c r="I40" i="33"/>
  <c r="I12" i="12"/>
  <c r="L79" i="30"/>
  <c r="K16" i="13"/>
  <c r="AC117" i="29"/>
  <c r="J21" i="12"/>
  <c r="Q21" i="31"/>
  <c r="S21" i="31"/>
  <c r="Q36" i="31"/>
  <c r="S36" i="31"/>
  <c r="Q109" i="31"/>
  <c r="S109" i="31"/>
  <c r="D21" i="12"/>
  <c r="C24" i="18"/>
  <c r="C26" i="18"/>
  <c r="F21" i="32"/>
  <c r="F30" i="32"/>
  <c r="Q23" i="31"/>
  <c r="S23" i="31"/>
  <c r="Q27" i="31"/>
  <c r="S27" i="31"/>
  <c r="Q40" i="31"/>
  <c r="S40" i="31"/>
  <c r="Q126" i="31"/>
  <c r="S126" i="31"/>
  <c r="H7" i="6"/>
  <c r="F7" i="7"/>
  <c r="G41" i="10"/>
  <c r="G38" i="11"/>
  <c r="G76" i="10"/>
  <c r="F25" i="8"/>
  <c r="P6" i="18"/>
  <c r="P6" i="19"/>
  <c r="AG199" i="29"/>
  <c r="O7" i="13"/>
  <c r="O43" i="13"/>
  <c r="Q69" i="31"/>
  <c r="S69" i="31"/>
  <c r="Q84" i="31"/>
  <c r="S84" i="31"/>
  <c r="F16" i="14"/>
  <c r="Q62" i="31"/>
  <c r="S62" i="31"/>
  <c r="Q101" i="31"/>
  <c r="S101" i="31"/>
  <c r="Q122" i="31"/>
  <c r="S122" i="31"/>
  <c r="F12" i="33"/>
  <c r="F53" i="16"/>
  <c r="F13" i="14"/>
  <c r="J50" i="33"/>
  <c r="H52" i="33"/>
  <c r="G55" i="33"/>
  <c r="F56" i="33"/>
  <c r="F58" i="33"/>
  <c r="E59" i="33"/>
  <c r="G136" i="31"/>
  <c r="B10" i="31"/>
  <c r="F142" i="31"/>
  <c r="E6" i="8"/>
  <c r="K50" i="33"/>
  <c r="I52" i="33"/>
  <c r="H55" i="33"/>
  <c r="G56" i="33"/>
  <c r="G58" i="33"/>
  <c r="F59" i="33"/>
  <c r="Q59" i="33"/>
  <c r="S59" i="33"/>
  <c r="F136" i="31"/>
  <c r="E142" i="31"/>
  <c r="L50" i="33"/>
  <c r="J52" i="33"/>
  <c r="I55" i="33"/>
  <c r="H56" i="33"/>
  <c r="H58" i="33"/>
  <c r="G59" i="33"/>
  <c r="E136" i="31"/>
  <c r="D142" i="31"/>
  <c r="Q142" i="31"/>
  <c r="S142" i="31"/>
  <c r="E141" i="31"/>
  <c r="B136" i="31"/>
  <c r="D136" i="31"/>
  <c r="B19" i="31"/>
  <c r="O142" i="31"/>
  <c r="D141" i="31"/>
  <c r="N50" i="33"/>
  <c r="N49" i="33"/>
  <c r="P22" i="20"/>
  <c r="P22" i="21"/>
  <c r="AG255" i="29"/>
  <c r="L52" i="33"/>
  <c r="K55" i="33"/>
  <c r="J56" i="33"/>
  <c r="J58" i="33"/>
  <c r="I59" i="33"/>
  <c r="O136" i="31"/>
  <c r="N142" i="31"/>
  <c r="O141" i="31"/>
  <c r="B8" i="12"/>
  <c r="O50" i="33"/>
  <c r="M52" i="33"/>
  <c r="L55" i="33"/>
  <c r="K56" i="33"/>
  <c r="K58" i="33"/>
  <c r="J59" i="33"/>
  <c r="N136" i="31"/>
  <c r="B142" i="31"/>
  <c r="M142" i="31"/>
  <c r="N141" i="31"/>
  <c r="M136" i="31"/>
  <c r="B141" i="31"/>
  <c r="B16" i="31"/>
  <c r="E50" i="33"/>
  <c r="O52" i="33"/>
  <c r="N55" i="33"/>
  <c r="M56" i="33"/>
  <c r="M58" i="33"/>
  <c r="L59" i="33"/>
  <c r="L136" i="31"/>
  <c r="H142" i="30"/>
  <c r="B8" i="31"/>
  <c r="B15" i="31"/>
  <c r="K142" i="31"/>
  <c r="L141" i="31"/>
  <c r="K136" i="31"/>
  <c r="B26" i="31"/>
  <c r="B14" i="31"/>
  <c r="J142" i="31"/>
  <c r="K141" i="31"/>
  <c r="G50" i="33"/>
  <c r="E52" i="33"/>
  <c r="Q52" i="33"/>
  <c r="S52" i="33"/>
  <c r="D55" i="33"/>
  <c r="O56" i="33"/>
  <c r="O58" i="33"/>
  <c r="N59" i="33"/>
  <c r="I136" i="30"/>
  <c r="J136" i="31"/>
  <c r="F142" i="30"/>
  <c r="B25" i="31"/>
  <c r="B13" i="31"/>
  <c r="I142" i="31"/>
  <c r="J141" i="31"/>
  <c r="H50" i="33"/>
  <c r="H49" i="33"/>
  <c r="J22" i="20"/>
  <c r="J22" i="21"/>
  <c r="AA255" i="29"/>
  <c r="F52" i="33"/>
  <c r="E55" i="33"/>
  <c r="D56" i="33"/>
  <c r="D58" i="33"/>
  <c r="O59" i="33"/>
  <c r="B24" i="31"/>
  <c r="I50" i="33"/>
  <c r="G52" i="33"/>
  <c r="F55" i="33"/>
  <c r="E56" i="33"/>
  <c r="E58" i="33"/>
  <c r="G136" i="30"/>
  <c r="H136" i="31"/>
  <c r="B23" i="31"/>
  <c r="B11" i="31"/>
  <c r="G142" i="31"/>
  <c r="N30" i="12"/>
  <c r="O30" i="13"/>
  <c r="AG131" i="29"/>
  <c r="G30" i="13"/>
  <c r="Y131" i="29"/>
  <c r="F34" i="12"/>
  <c r="G34" i="13"/>
  <c r="Y135" i="29"/>
  <c r="G29" i="13"/>
  <c r="Y130" i="29"/>
  <c r="C29" i="13"/>
  <c r="L130" i="29"/>
  <c r="R29" i="12"/>
  <c r="D29" i="13"/>
  <c r="V29" i="13"/>
  <c r="M43" i="13"/>
  <c r="AE139" i="29"/>
  <c r="K43" i="13"/>
  <c r="AC139" i="29"/>
  <c r="H34" i="12"/>
  <c r="I34" i="13"/>
  <c r="AA135" i="29"/>
  <c r="AB139" i="29"/>
  <c r="J43" i="12"/>
  <c r="L43" i="12"/>
  <c r="S42" i="12"/>
  <c r="G30" i="12"/>
  <c r="H30" i="13"/>
  <c r="Z131" i="29"/>
  <c r="E30" i="12"/>
  <c r="O34" i="12"/>
  <c r="P34" i="13"/>
  <c r="AH135" i="29"/>
  <c r="P30" i="13"/>
  <c r="AH131" i="29"/>
  <c r="AG139" i="29"/>
  <c r="H42" i="13"/>
  <c r="L30" i="12"/>
  <c r="T42" i="13"/>
  <c r="Q43" i="13"/>
  <c r="O139" i="29"/>
  <c r="J34" i="12"/>
  <c r="K34" i="13"/>
  <c r="AC135" i="29"/>
  <c r="K30" i="13"/>
  <c r="AC131" i="29"/>
  <c r="D42" i="13"/>
  <c r="D43" i="13"/>
  <c r="I30" i="12"/>
  <c r="P43" i="12"/>
  <c r="D30" i="12"/>
  <c r="E43" i="13"/>
  <c r="C42" i="13"/>
  <c r="X139" i="29"/>
  <c r="G22" i="13"/>
  <c r="Y123" i="29"/>
  <c r="F38" i="12"/>
  <c r="Q40" i="11"/>
  <c r="Q42" i="10"/>
  <c r="F19" i="8"/>
  <c r="F32" i="8"/>
  <c r="F32" i="9"/>
  <c r="Q59" i="29"/>
  <c r="F12" i="8"/>
  <c r="F31" i="8"/>
  <c r="F29" i="8"/>
  <c r="F26" i="8"/>
  <c r="F27" i="8"/>
  <c r="F28" i="8"/>
  <c r="F20" i="8"/>
  <c r="F24" i="8"/>
  <c r="F13" i="8"/>
  <c r="F30" i="8"/>
  <c r="E18" i="8"/>
  <c r="F16" i="8"/>
  <c r="F14" i="8"/>
  <c r="F15" i="8"/>
  <c r="K6" i="8"/>
  <c r="F21" i="8"/>
  <c r="E6" i="9"/>
  <c r="F10" i="8"/>
  <c r="F11" i="8"/>
  <c r="E9" i="8"/>
  <c r="E23" i="8"/>
  <c r="E38" i="8"/>
  <c r="X86" i="29"/>
  <c r="R38" i="11"/>
  <c r="N140" i="29"/>
  <c r="E9" i="15"/>
  <c r="L59" i="29"/>
  <c r="O32" i="9"/>
  <c r="G37" i="12"/>
  <c r="G40" i="12"/>
  <c r="H36" i="13"/>
  <c r="H52" i="16"/>
  <c r="H10" i="33"/>
  <c r="I12" i="20"/>
  <c r="I12" i="21"/>
  <c r="Z248" i="29"/>
  <c r="J32" i="33"/>
  <c r="O37" i="13"/>
  <c r="G41" i="11"/>
  <c r="G42" i="10"/>
  <c r="J21" i="20"/>
  <c r="J20" i="21"/>
  <c r="M49" i="33"/>
  <c r="O22" i="20"/>
  <c r="O22" i="21"/>
  <c r="AF255" i="29"/>
  <c r="Q141" i="31"/>
  <c r="S141" i="31"/>
  <c r="H7" i="7"/>
  <c r="G7" i="7"/>
  <c r="F9" i="7"/>
  <c r="G9" i="7"/>
  <c r="F21" i="7"/>
  <c r="G21" i="7"/>
  <c r="O2" i="29"/>
  <c r="F11" i="7"/>
  <c r="K21" i="13"/>
  <c r="AC122" i="29"/>
  <c r="J38" i="12"/>
  <c r="J22" i="12"/>
  <c r="K22" i="13"/>
  <c r="AC123" i="29"/>
  <c r="L246" i="29"/>
  <c r="E20" i="21"/>
  <c r="T10" i="21"/>
  <c r="E14" i="21"/>
  <c r="L250" i="29"/>
  <c r="X253" i="29"/>
  <c r="G19" i="21"/>
  <c r="A11" i="7"/>
  <c r="I4" i="29"/>
  <c r="H51" i="16"/>
  <c r="I11" i="20"/>
  <c r="I11" i="21"/>
  <c r="Z247" i="29"/>
  <c r="H9" i="33"/>
  <c r="I15" i="13"/>
  <c r="AA116" i="29"/>
  <c r="H36" i="12"/>
  <c r="H22" i="12"/>
  <c r="L77" i="11"/>
  <c r="AC106" i="29"/>
  <c r="R42" i="10"/>
  <c r="T42" i="10"/>
  <c r="U40" i="10"/>
  <c r="T40" i="10"/>
  <c r="R40" i="11"/>
  <c r="R15" i="12"/>
  <c r="R36" i="12"/>
  <c r="S15" i="12"/>
  <c r="P36" i="12"/>
  <c r="Q15" i="13"/>
  <c r="P22" i="12"/>
  <c r="I46" i="16"/>
  <c r="J10" i="21"/>
  <c r="AA246" i="29"/>
  <c r="I254" i="29"/>
  <c r="C21" i="21"/>
  <c r="H13" i="20"/>
  <c r="H13" i="21"/>
  <c r="Y249" i="29"/>
  <c r="G12" i="33"/>
  <c r="G53" i="16"/>
  <c r="R69" i="11"/>
  <c r="T69" i="11"/>
  <c r="T66" i="11"/>
  <c r="T70" i="11"/>
  <c r="O102" i="29"/>
  <c r="J12" i="14"/>
  <c r="J12" i="15"/>
  <c r="U145" i="29"/>
  <c r="F12" i="15"/>
  <c r="Q145" i="29"/>
  <c r="F43" i="12"/>
  <c r="G42" i="13"/>
  <c r="J20" i="15"/>
  <c r="U153" i="29"/>
  <c r="I19" i="33"/>
  <c r="K20" i="20"/>
  <c r="K10" i="20"/>
  <c r="J8" i="33"/>
  <c r="I49" i="33"/>
  <c r="K22" i="20"/>
  <c r="K22" i="21"/>
  <c r="AB255" i="29"/>
  <c r="L39" i="12"/>
  <c r="M38" i="13"/>
  <c r="L40" i="12"/>
  <c r="E49" i="33"/>
  <c r="G22" i="20"/>
  <c r="G22" i="21"/>
  <c r="X255" i="29"/>
  <c r="O49" i="33"/>
  <c r="Q22" i="20"/>
  <c r="Q22" i="21"/>
  <c r="AH255" i="29"/>
  <c r="Q58" i="33"/>
  <c r="S58" i="33"/>
  <c r="B15" i="12"/>
  <c r="B8" i="13"/>
  <c r="K109" i="29"/>
  <c r="B42" i="12"/>
  <c r="J85" i="10"/>
  <c r="J76" i="11"/>
  <c r="J77" i="10"/>
  <c r="F36" i="12"/>
  <c r="G15" i="13"/>
  <c r="Y116" i="29"/>
  <c r="M30" i="12"/>
  <c r="N30" i="13"/>
  <c r="AF131" i="29"/>
  <c r="N29" i="13"/>
  <c r="AF130" i="29"/>
  <c r="R34" i="12"/>
  <c r="Q34" i="13"/>
  <c r="P22" i="13"/>
  <c r="AH123" i="29"/>
  <c r="O38" i="12"/>
  <c r="N36" i="13"/>
  <c r="M37" i="12"/>
  <c r="B9" i="8"/>
  <c r="B8" i="9"/>
  <c r="B34" i="8"/>
  <c r="AE253" i="29"/>
  <c r="N19" i="21"/>
  <c r="G34" i="12"/>
  <c r="H34" i="13"/>
  <c r="Z135" i="29"/>
  <c r="L49" i="33"/>
  <c r="N22" i="20"/>
  <c r="N22" i="21"/>
  <c r="AE255" i="29"/>
  <c r="N34" i="12"/>
  <c r="O34" i="13"/>
  <c r="AG135" i="29"/>
  <c r="Q56" i="33"/>
  <c r="S56" i="33"/>
  <c r="Q136" i="31"/>
  <c r="S136" i="31"/>
  <c r="F16" i="15"/>
  <c r="Q149" i="29"/>
  <c r="J16" i="14"/>
  <c r="J16" i="15"/>
  <c r="U149" i="29"/>
  <c r="J41" i="11"/>
  <c r="J42" i="10"/>
  <c r="F11" i="15"/>
  <c r="Q144" i="29"/>
  <c r="F10" i="14"/>
  <c r="F10" i="15"/>
  <c r="Q143" i="29"/>
  <c r="J11" i="14"/>
  <c r="D11" i="6"/>
  <c r="G11" i="6"/>
  <c r="G10" i="6"/>
  <c r="D10" i="7"/>
  <c r="L60" i="29"/>
  <c r="O33" i="9"/>
  <c r="V24" i="13"/>
  <c r="U24" i="13"/>
  <c r="S24" i="13"/>
  <c r="T24" i="13"/>
  <c r="O125" i="29"/>
  <c r="O122" i="29"/>
  <c r="S21" i="13"/>
  <c r="S38" i="13"/>
  <c r="S39" i="13"/>
  <c r="V21" i="13"/>
  <c r="T21" i="13"/>
  <c r="U21" i="13"/>
  <c r="O75" i="11"/>
  <c r="O83" i="10"/>
  <c r="O77" i="10"/>
  <c r="G49" i="33"/>
  <c r="I22" i="20"/>
  <c r="I22" i="21"/>
  <c r="Z255" i="29"/>
  <c r="I15" i="12"/>
  <c r="J12" i="13"/>
  <c r="AB113" i="29"/>
  <c r="F14" i="15"/>
  <c r="Q147" i="29"/>
  <c r="J14" i="14"/>
  <c r="J14" i="15"/>
  <c r="U147" i="29"/>
  <c r="N23" i="13"/>
  <c r="AF124" i="29"/>
  <c r="M34" i="12"/>
  <c r="N34" i="13"/>
  <c r="AF135" i="29"/>
  <c r="M22" i="12"/>
  <c r="D23" i="13"/>
  <c r="C23" i="13"/>
  <c r="R23" i="12"/>
  <c r="C34" i="12"/>
  <c r="S34" i="12"/>
  <c r="S23" i="12"/>
  <c r="C22" i="12"/>
  <c r="E33" i="9"/>
  <c r="N60" i="29"/>
  <c r="J33" i="8"/>
  <c r="J33" i="9"/>
  <c r="K33" i="8"/>
  <c r="K33" i="9"/>
  <c r="U60" i="29"/>
  <c r="AH102" i="29"/>
  <c r="Q69" i="11"/>
  <c r="L39" i="9"/>
  <c r="V64" i="29"/>
  <c r="U17" i="13"/>
  <c r="V17" i="13"/>
  <c r="S17" i="13"/>
  <c r="T17" i="13"/>
  <c r="O118" i="29"/>
  <c r="C40" i="13"/>
  <c r="C46" i="12"/>
  <c r="D40" i="13"/>
  <c r="C41" i="12"/>
  <c r="D21" i="21"/>
  <c r="J254" i="29"/>
  <c r="U29" i="13"/>
  <c r="F49" i="33"/>
  <c r="H22" i="20"/>
  <c r="H22" i="21"/>
  <c r="Y255" i="29"/>
  <c r="D49" i="33"/>
  <c r="Q55" i="33"/>
  <c r="S55" i="33"/>
  <c r="I32" i="33"/>
  <c r="Q32" i="33"/>
  <c r="S32" i="33"/>
  <c r="Q40" i="33"/>
  <c r="S40" i="33"/>
  <c r="F15" i="7"/>
  <c r="G15" i="7"/>
  <c r="M17" i="21"/>
  <c r="AD252" i="29"/>
  <c r="Q83" i="10"/>
  <c r="Q75" i="11"/>
  <c r="Q77" i="10"/>
  <c r="K36" i="12"/>
  <c r="L15" i="13"/>
  <c r="AD116" i="29"/>
  <c r="K22" i="12"/>
  <c r="C23" i="21"/>
  <c r="I255" i="29"/>
  <c r="AG108" i="29"/>
  <c r="O41" i="13"/>
  <c r="O39" i="13"/>
  <c r="J49" i="33"/>
  <c r="L22" i="20"/>
  <c r="L22" i="21"/>
  <c r="AC255" i="29"/>
  <c r="F17" i="15"/>
  <c r="Q150" i="29"/>
  <c r="J17" i="14"/>
  <c r="J17" i="15"/>
  <c r="U150" i="29"/>
  <c r="O132" i="29"/>
  <c r="T31" i="13"/>
  <c r="S31" i="13"/>
  <c r="V31" i="13"/>
  <c r="U31" i="13"/>
  <c r="L42" i="13"/>
  <c r="K43" i="12"/>
  <c r="J255" i="29"/>
  <c r="D23" i="21"/>
  <c r="K25" i="8"/>
  <c r="K25" i="9"/>
  <c r="U52" i="29"/>
  <c r="F25" i="9"/>
  <c r="Q52" i="29"/>
  <c r="J25" i="8"/>
  <c r="J25" i="9"/>
  <c r="D38" i="12"/>
  <c r="E21" i="13"/>
  <c r="W122" i="29"/>
  <c r="D22" i="12"/>
  <c r="E22" i="13"/>
  <c r="W123" i="29"/>
  <c r="F23" i="15"/>
  <c r="Q156" i="29"/>
  <c r="F18" i="14"/>
  <c r="F18" i="15"/>
  <c r="Q151" i="29"/>
  <c r="J23" i="14"/>
  <c r="J23" i="15"/>
  <c r="U156" i="29"/>
  <c r="O39" i="11"/>
  <c r="R37" i="11"/>
  <c r="AF85" i="29"/>
  <c r="AH85" i="29"/>
  <c r="Q39" i="11"/>
  <c r="E41" i="12"/>
  <c r="E46" i="12"/>
  <c r="F40" i="13"/>
  <c r="V42" i="13"/>
  <c r="K49" i="33"/>
  <c r="M22" i="20"/>
  <c r="M22" i="21"/>
  <c r="AD255" i="29"/>
  <c r="J13" i="14"/>
  <c r="J13" i="15"/>
  <c r="U146" i="29"/>
  <c r="F13" i="15"/>
  <c r="Q146" i="29"/>
  <c r="G85" i="10"/>
  <c r="G76" i="11"/>
  <c r="G77" i="10"/>
  <c r="Q50" i="33"/>
  <c r="S50" i="33"/>
  <c r="L29" i="13"/>
  <c r="AD130" i="29"/>
  <c r="K30" i="12"/>
  <c r="K32" i="8"/>
  <c r="K32" i="9"/>
  <c r="U59" i="29"/>
  <c r="E32" i="9"/>
  <c r="N59" i="29"/>
  <c r="E35" i="8"/>
  <c r="J32" i="8"/>
  <c r="J32" i="9"/>
  <c r="I43" i="13"/>
  <c r="AE252" i="29"/>
  <c r="N17" i="21"/>
  <c r="D19" i="21"/>
  <c r="J253" i="29"/>
  <c r="R72" i="11"/>
  <c r="T72" i="11"/>
  <c r="O104" i="29"/>
  <c r="S29" i="13"/>
  <c r="T29" i="13"/>
  <c r="E34" i="12"/>
  <c r="F34" i="13"/>
  <c r="X135" i="29"/>
  <c r="F30" i="13"/>
  <c r="X131" i="29"/>
  <c r="L34" i="12"/>
  <c r="M34" i="13"/>
  <c r="AE135" i="29"/>
  <c r="M30" i="13"/>
  <c r="AE131" i="29"/>
  <c r="Z139" i="29"/>
  <c r="H43" i="13"/>
  <c r="I34" i="12"/>
  <c r="J34" i="13"/>
  <c r="AB135" i="29"/>
  <c r="J30" i="13"/>
  <c r="AB131" i="29"/>
  <c r="E30" i="13"/>
  <c r="W131" i="29"/>
  <c r="D34" i="12"/>
  <c r="E34" i="13"/>
  <c r="W135" i="29"/>
  <c r="C43" i="13"/>
  <c r="L139" i="29"/>
  <c r="L138" i="29"/>
  <c r="C46" i="13"/>
  <c r="C41" i="13"/>
  <c r="F35" i="8"/>
  <c r="K31" i="8"/>
  <c r="F31" i="9"/>
  <c r="Q58" i="29"/>
  <c r="J31" i="8"/>
  <c r="J31" i="9"/>
  <c r="H12" i="33"/>
  <c r="I13" i="20"/>
  <c r="I13" i="21"/>
  <c r="Z249" i="29"/>
  <c r="H53" i="16"/>
  <c r="AH106" i="29"/>
  <c r="Q77" i="11"/>
  <c r="G43" i="13"/>
  <c r="Y139" i="29"/>
  <c r="H40" i="13"/>
  <c r="G46" i="12"/>
  <c r="G41" i="12"/>
  <c r="K10" i="8"/>
  <c r="F10" i="9"/>
  <c r="Q39" i="29"/>
  <c r="F8" i="8"/>
  <c r="F28" i="9"/>
  <c r="Q55" i="29"/>
  <c r="M39" i="13"/>
  <c r="AE137" i="29"/>
  <c r="J11" i="15"/>
  <c r="U144" i="29"/>
  <c r="J10" i="14"/>
  <c r="J10" i="15"/>
  <c r="U143" i="29"/>
  <c r="J46" i="17"/>
  <c r="I49" i="16"/>
  <c r="I47" i="16"/>
  <c r="J47" i="17"/>
  <c r="AA198" i="29"/>
  <c r="L254" i="29"/>
  <c r="E21" i="21"/>
  <c r="T21" i="21"/>
  <c r="T20" i="21"/>
  <c r="N36" i="29"/>
  <c r="E23" i="9"/>
  <c r="E18" i="9"/>
  <c r="E9" i="9"/>
  <c r="K27" i="8"/>
  <c r="K27" i="9"/>
  <c r="U54" i="29"/>
  <c r="J27" i="8"/>
  <c r="J27" i="9"/>
  <c r="F27" i="9"/>
  <c r="Q54" i="29"/>
  <c r="B9" i="9"/>
  <c r="K38" i="29"/>
  <c r="Q36" i="13"/>
  <c r="S36" i="12"/>
  <c r="P37" i="12"/>
  <c r="R39" i="11"/>
  <c r="T39" i="11"/>
  <c r="T37" i="11"/>
  <c r="T75" i="11"/>
  <c r="O85" i="29"/>
  <c r="U37" i="11"/>
  <c r="I22" i="13"/>
  <c r="AA123" i="29"/>
  <c r="H38" i="12"/>
  <c r="D46" i="13"/>
  <c r="D41" i="13"/>
  <c r="Q22" i="13"/>
  <c r="P38" i="12"/>
  <c r="P40" i="12"/>
  <c r="I36" i="13"/>
  <c r="H37" i="12"/>
  <c r="H40" i="12"/>
  <c r="AA254" i="29"/>
  <c r="J21" i="21"/>
  <c r="J21" i="8"/>
  <c r="J21" i="9"/>
  <c r="F21" i="9"/>
  <c r="Q49" i="29"/>
  <c r="K21" i="8"/>
  <c r="K21" i="9"/>
  <c r="U49" i="29"/>
  <c r="F26" i="9"/>
  <c r="Q53" i="29"/>
  <c r="K26" i="8"/>
  <c r="K26" i="9"/>
  <c r="U53" i="29"/>
  <c r="J26" i="8"/>
  <c r="J26" i="9"/>
  <c r="D39" i="12"/>
  <c r="D40" i="12"/>
  <c r="E38" i="13"/>
  <c r="X107" i="29"/>
  <c r="G77" i="11"/>
  <c r="L43" i="13"/>
  <c r="AD139" i="29"/>
  <c r="B34" i="9"/>
  <c r="K61" i="29"/>
  <c r="B35" i="8"/>
  <c r="L41" i="12"/>
  <c r="M40" i="13"/>
  <c r="L46" i="12"/>
  <c r="U15" i="13"/>
  <c r="U36" i="13"/>
  <c r="S15" i="13"/>
  <c r="S36" i="13"/>
  <c r="O116" i="29"/>
  <c r="V15" i="13"/>
  <c r="T15" i="13"/>
  <c r="K6" i="9"/>
  <c r="U36" i="29"/>
  <c r="J6" i="14"/>
  <c r="J6" i="15"/>
  <c r="U140" i="29"/>
  <c r="K29" i="8"/>
  <c r="K29" i="9"/>
  <c r="U56" i="29"/>
  <c r="F29" i="9"/>
  <c r="Q56" i="29"/>
  <c r="J29" i="8"/>
  <c r="J29" i="9"/>
  <c r="D22" i="13"/>
  <c r="C22" i="13"/>
  <c r="L123" i="29"/>
  <c r="F37" i="12"/>
  <c r="G36" i="13"/>
  <c r="F40" i="12"/>
  <c r="X88" i="29"/>
  <c r="G42" i="11"/>
  <c r="F12" i="9"/>
  <c r="Q41" i="29"/>
  <c r="K12" i="8"/>
  <c r="K12" i="9"/>
  <c r="U41" i="29"/>
  <c r="J35" i="8"/>
  <c r="J35" i="9"/>
  <c r="E35" i="9"/>
  <c r="N62" i="29"/>
  <c r="E42" i="8"/>
  <c r="R37" i="12"/>
  <c r="R40" i="12"/>
  <c r="R41" i="12"/>
  <c r="V37" i="11"/>
  <c r="V41" i="11"/>
  <c r="O86" i="29"/>
  <c r="T38" i="11"/>
  <c r="T76" i="11"/>
  <c r="F16" i="9"/>
  <c r="Q45" i="29"/>
  <c r="G16" i="8"/>
  <c r="G16" i="9"/>
  <c r="R45" i="29"/>
  <c r="K38" i="13"/>
  <c r="J39" i="12"/>
  <c r="J40" i="12"/>
  <c r="I36" i="12"/>
  <c r="J15" i="13"/>
  <c r="AB116" i="29"/>
  <c r="I22" i="12"/>
  <c r="K14" i="8"/>
  <c r="K14" i="9"/>
  <c r="U43" i="29"/>
  <c r="F14" i="9"/>
  <c r="Q43" i="29"/>
  <c r="X138" i="29"/>
  <c r="F46" i="13"/>
  <c r="F41" i="13"/>
  <c r="D34" i="13"/>
  <c r="C34" i="13"/>
  <c r="L135" i="29"/>
  <c r="AA107" i="29"/>
  <c r="J77" i="11"/>
  <c r="L10" i="20"/>
  <c r="J19" i="33"/>
  <c r="L20" i="20"/>
  <c r="K8" i="33"/>
  <c r="R42" i="11"/>
  <c r="T42" i="11"/>
  <c r="T40" i="11"/>
  <c r="U40" i="11"/>
  <c r="O87" i="29"/>
  <c r="F19" i="9"/>
  <c r="Q47" i="29"/>
  <c r="J19" i="8"/>
  <c r="J19" i="9"/>
  <c r="K19" i="8"/>
  <c r="F17" i="8"/>
  <c r="J11" i="20"/>
  <c r="J11" i="21"/>
  <c r="AA247" i="29"/>
  <c r="I9" i="33"/>
  <c r="I51" i="16"/>
  <c r="F22" i="20"/>
  <c r="F22" i="21"/>
  <c r="W255" i="29"/>
  <c r="Q49" i="33"/>
  <c r="S49" i="33"/>
  <c r="B42" i="13"/>
  <c r="B43" i="12"/>
  <c r="K20" i="21"/>
  <c r="K21" i="20"/>
  <c r="J12" i="20"/>
  <c r="J12" i="21"/>
  <c r="AA248" i="29"/>
  <c r="I10" i="33"/>
  <c r="I52" i="16"/>
  <c r="K13" i="8"/>
  <c r="K13" i="9"/>
  <c r="U42" i="29"/>
  <c r="F13" i="9"/>
  <c r="Q42" i="29"/>
  <c r="AH87" i="29"/>
  <c r="Q42" i="11"/>
  <c r="G15" i="8"/>
  <c r="K15" i="8"/>
  <c r="K15" i="9"/>
  <c r="U44" i="29"/>
  <c r="F15" i="9"/>
  <c r="Q44" i="29"/>
  <c r="AA88" i="29"/>
  <c r="J42" i="11"/>
  <c r="E39" i="8"/>
  <c r="E38" i="9"/>
  <c r="L30" i="13"/>
  <c r="AD131" i="29"/>
  <c r="K34" i="12"/>
  <c r="L34" i="13"/>
  <c r="AD135" i="29"/>
  <c r="L124" i="29"/>
  <c r="T23" i="13"/>
  <c r="S23" i="13"/>
  <c r="AF106" i="29"/>
  <c r="O77" i="11"/>
  <c r="P38" i="13"/>
  <c r="O39" i="12"/>
  <c r="O40" i="12"/>
  <c r="K37" i="12"/>
  <c r="L36" i="13"/>
  <c r="U23" i="13"/>
  <c r="V23" i="13"/>
  <c r="D11" i="7"/>
  <c r="G11" i="7"/>
  <c r="G10" i="7"/>
  <c r="L4" i="29"/>
  <c r="J18" i="14"/>
  <c r="J18" i="15" s="1"/>
  <c r="U151" i="29" s="1"/>
  <c r="F22" i="8"/>
  <c r="K24" i="8"/>
  <c r="F24" i="9"/>
  <c r="Q51" i="29"/>
  <c r="J24" i="8"/>
  <c r="J24" i="9"/>
  <c r="F39" i="12"/>
  <c r="G38" i="13"/>
  <c r="L22" i="13"/>
  <c r="AD123" i="29"/>
  <c r="K38" i="12"/>
  <c r="N37" i="13"/>
  <c r="AF136" i="29"/>
  <c r="K10" i="21"/>
  <c r="AB246" i="29"/>
  <c r="J46" i="16"/>
  <c r="F30" i="9"/>
  <c r="Q57" i="29"/>
  <c r="J30" i="8"/>
  <c r="J30" i="9"/>
  <c r="K30" i="8"/>
  <c r="K30" i="9"/>
  <c r="U57" i="29"/>
  <c r="M38" i="12"/>
  <c r="N22" i="13"/>
  <c r="AF123" i="29"/>
  <c r="O135" i="29"/>
  <c r="U34" i="13"/>
  <c r="V34" i="13"/>
  <c r="B36" i="12"/>
  <c r="B22" i="12"/>
  <c r="B15" i="13"/>
  <c r="K116" i="29"/>
  <c r="Z136" i="29"/>
  <c r="H37" i="13"/>
  <c r="F11" i="9"/>
  <c r="Q40" i="29"/>
  <c r="K11" i="8"/>
  <c r="K11" i="9"/>
  <c r="U40" i="29"/>
  <c r="J20" i="8"/>
  <c r="J20" i="9"/>
  <c r="K20" i="8"/>
  <c r="K20" i="9"/>
  <c r="U48" i="29"/>
  <c r="F20" i="9"/>
  <c r="Q48" i="29"/>
  <c r="P41" i="12"/>
  <c r="P46" i="12"/>
  <c r="S40" i="12"/>
  <c r="Q40" i="13"/>
  <c r="H46" i="12"/>
  <c r="I40" i="13"/>
  <c r="H41" i="12"/>
  <c r="G37" i="8"/>
  <c r="G42" i="8"/>
  <c r="G15" i="9"/>
  <c r="R44" i="29"/>
  <c r="Y136" i="29"/>
  <c r="G37" i="13"/>
  <c r="E39" i="13"/>
  <c r="W137" i="29"/>
  <c r="K46" i="17"/>
  <c r="AB197" i="29"/>
  <c r="J49" i="16"/>
  <c r="J47" i="16"/>
  <c r="K47" i="17"/>
  <c r="AB198" i="29"/>
  <c r="B40" i="12"/>
  <c r="B37" i="12"/>
  <c r="B36" i="13"/>
  <c r="B43" i="13"/>
  <c r="K139" i="29"/>
  <c r="T34" i="13"/>
  <c r="K19" i="33"/>
  <c r="M20" i="20"/>
  <c r="L8" i="33"/>
  <c r="M10" i="20"/>
  <c r="I38" i="12"/>
  <c r="J22" i="13"/>
  <c r="AB123" i="29"/>
  <c r="S37" i="13"/>
  <c r="S40" i="13"/>
  <c r="S41" i="13"/>
  <c r="D46" i="12"/>
  <c r="D41" i="12"/>
  <c r="E40" i="13"/>
  <c r="AA136" i="29"/>
  <c r="I37" i="13"/>
  <c r="I40" i="12"/>
  <c r="I37" i="12"/>
  <c r="J36" i="13"/>
  <c r="B38" i="12"/>
  <c r="B22" i="13"/>
  <c r="K123" i="29"/>
  <c r="AH137" i="29"/>
  <c r="P39" i="13"/>
  <c r="G40" i="13"/>
  <c r="F41" i="12"/>
  <c r="F46" i="12"/>
  <c r="S34" i="13"/>
  <c r="L38" i="13"/>
  <c r="K39" i="12"/>
  <c r="L21" i="20"/>
  <c r="L20" i="21"/>
  <c r="U37" i="13"/>
  <c r="S38" i="12"/>
  <c r="P39" i="12"/>
  <c r="Q38" i="13"/>
  <c r="I12" i="33"/>
  <c r="I53" i="16"/>
  <c r="J13" i="20"/>
  <c r="J13" i="21"/>
  <c r="AA249" i="29"/>
  <c r="G39" i="13"/>
  <c r="Y137" i="29"/>
  <c r="J46" i="12"/>
  <c r="K40" i="13"/>
  <c r="J41" i="12"/>
  <c r="M46" i="13"/>
  <c r="AE138" i="29"/>
  <c r="M41" i="13"/>
  <c r="L37" i="13"/>
  <c r="AD136" i="29"/>
  <c r="F17" i="9"/>
  <c r="J17" i="8"/>
  <c r="J17" i="9"/>
  <c r="F18" i="8"/>
  <c r="K10" i="9"/>
  <c r="U39" i="29"/>
  <c r="K8" i="8"/>
  <c r="K8" i="9"/>
  <c r="K46" i="16"/>
  <c r="L10" i="21"/>
  <c r="AC246" i="29"/>
  <c r="U22" i="13"/>
  <c r="U38" i="13"/>
  <c r="U39" i="13"/>
  <c r="V22" i="13"/>
  <c r="O123" i="29"/>
  <c r="F37" i="8"/>
  <c r="F42" i="8"/>
  <c r="F9" i="8"/>
  <c r="F8" i="9"/>
  <c r="N38" i="13"/>
  <c r="M39" i="12"/>
  <c r="M40" i="12"/>
  <c r="N64" i="29"/>
  <c r="E39" i="9"/>
  <c r="K19" i="9"/>
  <c r="U47" i="29"/>
  <c r="K17" i="8"/>
  <c r="K17" i="9"/>
  <c r="U46" i="29"/>
  <c r="I38" i="13"/>
  <c r="H39" i="12"/>
  <c r="K40" i="12"/>
  <c r="AA197" i="29"/>
  <c r="P40" i="13"/>
  <c r="O41" i="12"/>
  <c r="O46" i="12"/>
  <c r="U41" i="11"/>
  <c r="U42" i="11"/>
  <c r="U38" i="11"/>
  <c r="Z138" i="29"/>
  <c r="H46" i="13"/>
  <c r="H41" i="13"/>
  <c r="J51" i="16"/>
  <c r="J9" i="33"/>
  <c r="K11" i="20"/>
  <c r="K11" i="21"/>
  <c r="AB247" i="29"/>
  <c r="O136" i="29"/>
  <c r="Q37" i="13"/>
  <c r="V36" i="13"/>
  <c r="T36" i="13"/>
  <c r="J52" i="16"/>
  <c r="J10" i="33"/>
  <c r="K12" i="20"/>
  <c r="K12" i="21"/>
  <c r="AB248" i="29"/>
  <c r="AC137" i="29"/>
  <c r="K39" i="13"/>
  <c r="B42" i="8"/>
  <c r="B35" i="9"/>
  <c r="K62" i="29"/>
  <c r="K31" i="9"/>
  <c r="U58" i="29"/>
  <c r="F35" i="9"/>
  <c r="Q62" i="29"/>
  <c r="K24" i="9"/>
  <c r="U51" i="29"/>
  <c r="K16" i="8"/>
  <c r="K16" i="9"/>
  <c r="U45" i="29"/>
  <c r="F23" i="8"/>
  <c r="F22" i="9"/>
  <c r="K21" i="21"/>
  <c r="AB254" i="29"/>
  <c r="M8" i="33"/>
  <c r="N10" i="20"/>
  <c r="L19" i="33"/>
  <c r="N20" i="20"/>
  <c r="M20" i="21"/>
  <c r="M21" i="20"/>
  <c r="AH138" i="29"/>
  <c r="P41" i="13"/>
  <c r="P46" i="13"/>
  <c r="AF137" i="29"/>
  <c r="N39" i="13"/>
  <c r="AD137" i="29"/>
  <c r="L39" i="13"/>
  <c r="Q38" i="29"/>
  <c r="F9" i="9"/>
  <c r="F18" i="9"/>
  <c r="Q46" i="29"/>
  <c r="K41" i="12"/>
  <c r="L40" i="13"/>
  <c r="K46" i="12"/>
  <c r="N40" i="13"/>
  <c r="M46" i="12"/>
  <c r="M41" i="12"/>
  <c r="J40" i="13"/>
  <c r="I41" i="12"/>
  <c r="I46" i="12"/>
  <c r="E41" i="13"/>
  <c r="E46" i="13"/>
  <c r="W138" i="29"/>
  <c r="J53" i="16"/>
  <c r="K13" i="20"/>
  <c r="K13" i="21"/>
  <c r="AB249" i="29"/>
  <c r="J12" i="33"/>
  <c r="K136" i="29"/>
  <c r="B37" i="13"/>
  <c r="G38" i="8"/>
  <c r="G38" i="9"/>
  <c r="R64" i="29"/>
  <c r="G37" i="9"/>
  <c r="R63" i="29"/>
  <c r="Q39" i="13"/>
  <c r="V38" i="13"/>
  <c r="T38" i="13"/>
  <c r="O137" i="29"/>
  <c r="Y138" i="29"/>
  <c r="G41" i="13"/>
  <c r="G46" i="13"/>
  <c r="Q50" i="29"/>
  <c r="F23" i="9"/>
  <c r="AA137" i="29"/>
  <c r="I39" i="13"/>
  <c r="B40" i="13"/>
  <c r="B46" i="12"/>
  <c r="B41" i="12"/>
  <c r="AA138" i="29"/>
  <c r="I46" i="13"/>
  <c r="I41" i="13"/>
  <c r="K51" i="16"/>
  <c r="K9" i="33"/>
  <c r="L11" i="20"/>
  <c r="L11" i="21"/>
  <c r="AC247" i="29"/>
  <c r="K10" i="33"/>
  <c r="K52" i="16"/>
  <c r="L12" i="20"/>
  <c r="L12" i="21"/>
  <c r="AC248" i="29"/>
  <c r="K49" i="16"/>
  <c r="L46" i="17"/>
  <c r="K47" i="16"/>
  <c r="L47" i="17"/>
  <c r="AC198" i="29"/>
  <c r="U40" i="13"/>
  <c r="U41" i="13"/>
  <c r="B38" i="13"/>
  <c r="B39" i="12"/>
  <c r="J38" i="13"/>
  <c r="I39" i="12"/>
  <c r="F37" i="9"/>
  <c r="Q63" i="29"/>
  <c r="F38" i="8"/>
  <c r="V40" i="13"/>
  <c r="T40" i="13"/>
  <c r="Q46" i="13"/>
  <c r="O138" i="29"/>
  <c r="Q41" i="13"/>
  <c r="U38" i="29"/>
  <c r="K9" i="9"/>
  <c r="K46" i="13"/>
  <c r="K41" i="13"/>
  <c r="AC138" i="29"/>
  <c r="L21" i="21"/>
  <c r="AC254" i="29"/>
  <c r="AB136" i="29"/>
  <c r="J37" i="13"/>
  <c r="M10" i="21"/>
  <c r="AD246" i="29"/>
  <c r="L46" i="16"/>
  <c r="M19" i="33"/>
  <c r="O20" i="20"/>
  <c r="N8" i="33"/>
  <c r="O10" i="20"/>
  <c r="F39" i="8"/>
  <c r="F38" i="9"/>
  <c r="J46" i="13"/>
  <c r="J41" i="13"/>
  <c r="AB138" i="29"/>
  <c r="M12" i="20"/>
  <c r="M12" i="21"/>
  <c r="AD248" i="29"/>
  <c r="L10" i="33"/>
  <c r="L52" i="16"/>
  <c r="K53" i="16"/>
  <c r="L13" i="20"/>
  <c r="L13" i="21"/>
  <c r="AC249" i="29"/>
  <c r="K12" i="33"/>
  <c r="N46" i="13"/>
  <c r="N41" i="13"/>
  <c r="AF138" i="29"/>
  <c r="AD138" i="29"/>
  <c r="L41" i="13"/>
  <c r="L46" i="13"/>
  <c r="K137" i="29"/>
  <c r="B39" i="13"/>
  <c r="L9" i="33"/>
  <c r="M11" i="20"/>
  <c r="M11" i="21"/>
  <c r="AD247" i="29"/>
  <c r="L51" i="16"/>
  <c r="J39" i="13"/>
  <c r="AB137" i="29"/>
  <c r="N21" i="20"/>
  <c r="N20" i="21"/>
  <c r="K138" i="29"/>
  <c r="B46" i="13"/>
  <c r="B41" i="13"/>
  <c r="M21" i="21"/>
  <c r="AD254" i="29"/>
  <c r="M46" i="17"/>
  <c r="AD197" i="29"/>
  <c r="L47" i="16"/>
  <c r="M47" i="17"/>
  <c r="AD198" i="29"/>
  <c r="L49" i="16"/>
  <c r="AC197" i="29"/>
  <c r="M46" i="16"/>
  <c r="N10" i="21"/>
  <c r="AE246" i="29"/>
  <c r="M10" i="33"/>
  <c r="N12" i="20"/>
  <c r="N12" i="21"/>
  <c r="AE248" i="29"/>
  <c r="M52" i="16"/>
  <c r="M49" i="16"/>
  <c r="M47" i="16"/>
  <c r="N47" i="17"/>
  <c r="AE198" i="29"/>
  <c r="N46" i="17"/>
  <c r="AE197" i="29"/>
  <c r="AE254" i="29"/>
  <c r="N21" i="21"/>
  <c r="Q64" i="29"/>
  <c r="F39" i="9"/>
  <c r="N46" i="16"/>
  <c r="O10" i="21"/>
  <c r="AF246" i="29"/>
  <c r="L12" i="33"/>
  <c r="L53" i="16"/>
  <c r="M13" i="20"/>
  <c r="M13" i="21"/>
  <c r="AD249" i="29"/>
  <c r="O8" i="33"/>
  <c r="P10" i="20"/>
  <c r="N19" i="33"/>
  <c r="P20" i="20"/>
  <c r="M9" i="33"/>
  <c r="N11" i="20"/>
  <c r="N11" i="21"/>
  <c r="AE247" i="29"/>
  <c r="M51" i="16"/>
  <c r="O20" i="21"/>
  <c r="O21" i="20"/>
  <c r="AF254" i="29"/>
  <c r="O21" i="21"/>
  <c r="O19" i="33"/>
  <c r="Q10" i="20"/>
  <c r="Q8" i="33"/>
  <c r="S8" i="33"/>
  <c r="N49" i="16"/>
  <c r="O46" i="17"/>
  <c r="AF197" i="29"/>
  <c r="N47" i="16"/>
  <c r="O47" i="17"/>
  <c r="AF198" i="29"/>
  <c r="O46" i="16"/>
  <c r="P10" i="21"/>
  <c r="AG246" i="29"/>
  <c r="N51" i="16"/>
  <c r="N9" i="33"/>
  <c r="O11" i="20"/>
  <c r="O11" i="21"/>
  <c r="AF247" i="29"/>
  <c r="P21" i="20"/>
  <c r="P20" i="21"/>
  <c r="N13" i="20"/>
  <c r="N13" i="21"/>
  <c r="AE249" i="29"/>
  <c r="M12" i="33"/>
  <c r="M53" i="16"/>
  <c r="N10" i="33"/>
  <c r="O12" i="20"/>
  <c r="O12" i="21"/>
  <c r="AF248" i="29"/>
  <c r="N52" i="16"/>
  <c r="O9" i="33"/>
  <c r="O51" i="16"/>
  <c r="P11" i="20"/>
  <c r="P11" i="21"/>
  <c r="AG247" i="29"/>
  <c r="O49" i="16"/>
  <c r="O47" i="16"/>
  <c r="P47" i="17"/>
  <c r="AG198" i="29"/>
  <c r="P46" i="17"/>
  <c r="AG197" i="29"/>
  <c r="N12" i="33"/>
  <c r="N53" i="16"/>
  <c r="O13" i="20"/>
  <c r="O13" i="21"/>
  <c r="AF249" i="29"/>
  <c r="O10" i="33"/>
  <c r="P12" i="20"/>
  <c r="P12" i="21"/>
  <c r="AG248" i="29"/>
  <c r="O52" i="16"/>
  <c r="Q10" i="21"/>
  <c r="AH246" i="29"/>
  <c r="P46" i="16"/>
  <c r="P21" i="21"/>
  <c r="AG254" i="29"/>
  <c r="Q19" i="33"/>
  <c r="S19" i="33"/>
  <c r="Q20" i="20"/>
  <c r="Q10" i="33"/>
  <c r="S10" i="33"/>
  <c r="P52" i="16"/>
  <c r="Q12" i="20"/>
  <c r="Q12" i="21"/>
  <c r="AH248" i="29"/>
  <c r="O12" i="33"/>
  <c r="O53" i="16"/>
  <c r="P13" i="20"/>
  <c r="P13" i="21"/>
  <c r="AG249" i="29"/>
  <c r="Q20" i="21"/>
  <c r="Q21" i="20"/>
  <c r="P49" i="16"/>
  <c r="P47" i="16"/>
  <c r="Q46" i="17"/>
  <c r="Q46" i="16"/>
  <c r="Q47" i="16"/>
  <c r="P51" i="16"/>
  <c r="Q9" i="33"/>
  <c r="S9" i="33"/>
  <c r="Q11" i="20"/>
  <c r="Q11" i="21"/>
  <c r="AH247" i="29"/>
  <c r="AH197" i="29"/>
  <c r="O197" i="29"/>
  <c r="R46" i="17"/>
  <c r="AH254" i="29"/>
  <c r="Q21" i="21"/>
  <c r="S15" i="20"/>
  <c r="R47" i="17"/>
  <c r="Q47" i="17"/>
  <c r="Q14" i="20"/>
  <c r="Q14" i="21"/>
  <c r="AH250" i="29"/>
  <c r="S14" i="20"/>
  <c r="Q12" i="33"/>
  <c r="S12" i="33"/>
  <c r="Q13" i="20"/>
  <c r="Q13" i="21"/>
  <c r="AH249" i="29"/>
  <c r="P53" i="16"/>
  <c r="T14" i="20"/>
  <c r="S14" i="21"/>
  <c r="AH198" i="29"/>
  <c r="O198" i="29"/>
  <c r="T15" i="20"/>
  <c r="S15" i="21"/>
  <c r="T15" i="21"/>
  <c r="O251" i="29"/>
  <c r="O250" i="29"/>
  <c r="T14" i="21"/>
  <c r="M18" i="14" l="1"/>
  <c r="M18" i="15"/>
  <c r="K22" i="15"/>
  <c r="V155" i="29" s="1"/>
  <c r="N22" i="15"/>
  <c r="O142" i="29"/>
  <c r="K8" i="15"/>
  <c r="V142" i="29" s="1"/>
  <c r="M9" i="15"/>
  <c r="N8" i="15"/>
  <c r="L9" i="14"/>
  <c r="M28" i="8"/>
  <c r="M8" i="14"/>
  <c r="I28" i="8"/>
  <c r="L231" i="29"/>
  <c r="N18" i="15" l="1"/>
  <c r="O151" i="29"/>
  <c r="K18" i="15"/>
  <c r="V151" i="29" s="1"/>
  <c r="N28" i="9"/>
  <c r="M22" i="8"/>
  <c r="N28" i="8"/>
  <c r="I28" i="9"/>
  <c r="T55" i="29" s="1"/>
  <c r="I22" i="8"/>
  <c r="K28" i="8"/>
  <c r="J28" i="8"/>
  <c r="J28" i="9" s="1"/>
  <c r="M34" i="8" l="1"/>
  <c r="M23" i="8"/>
  <c r="N22" i="9"/>
  <c r="N22" i="8"/>
  <c r="L28" i="9"/>
  <c r="V55" i="29" s="1"/>
  <c r="O28" i="9"/>
  <c r="O55" i="29"/>
  <c r="K28" i="9"/>
  <c r="U55" i="29" s="1"/>
  <c r="K22" i="8"/>
  <c r="J22" i="8"/>
  <c r="J22" i="9" s="1"/>
  <c r="I37" i="8"/>
  <c r="I42" i="8" s="1"/>
  <c r="I22" i="9"/>
  <c r="T50" i="29" s="1"/>
  <c r="N23" i="9" l="1"/>
  <c r="O22" i="9"/>
  <c r="O50" i="29"/>
  <c r="L22" i="9"/>
  <c r="V50" i="29" s="1"/>
  <c r="N34" i="8"/>
  <c r="N34" i="9"/>
  <c r="M35" i="8"/>
  <c r="K34" i="8"/>
  <c r="I38" i="8"/>
  <c r="I38" i="9" s="1"/>
  <c r="T64" i="29" s="1"/>
  <c r="I37" i="9"/>
  <c r="T63" i="29" s="1"/>
  <c r="K37" i="8"/>
  <c r="K22" i="9"/>
  <c r="U50" i="29" s="1"/>
  <c r="O34" i="9" l="1"/>
  <c r="L34" i="9"/>
  <c r="V61" i="29" s="1"/>
  <c r="O61" i="29"/>
  <c r="N35" i="8"/>
  <c r="M42" i="8"/>
  <c r="N35" i="9"/>
  <c r="K35" i="8"/>
  <c r="K34" i="9"/>
  <c r="U61" i="29" s="1"/>
  <c r="K37" i="9"/>
  <c r="U63" i="29" s="1"/>
  <c r="K38" i="8"/>
  <c r="K38" i="9" s="1"/>
  <c r="U64" i="29" s="1"/>
  <c r="K35" i="9" l="1"/>
  <c r="U62" i="29" s="1"/>
  <c r="K42" i="8"/>
  <c r="O35" i="9"/>
  <c r="O62" i="29"/>
  <c r="L35" i="9"/>
  <c r="V62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tc={A4062738-182B-4DB3-9C4F-2710F9370C30}</author>
  </authors>
  <commentList>
    <comment ref="B7" authorId="0" shapeId="0" xr:uid="{A4062738-182B-4DB3-9C4F-2710F937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<sst xmlns="http://schemas.openxmlformats.org/spreadsheetml/2006/main" count="5921" uniqueCount="1584">
  <si>
    <t>V1</t>
  </si>
  <si>
    <t>Version History</t>
  </si>
  <si>
    <t>CNY</t>
  </si>
  <si>
    <t>Shanghai Vitesco (761)</t>
  </si>
  <si>
    <t>INR</t>
  </si>
  <si>
    <t>Pune 3 (729)</t>
  </si>
  <si>
    <t>HUF</t>
  </si>
  <si>
    <t>Debrecen (705)</t>
  </si>
  <si>
    <t>MXN</t>
  </si>
  <si>
    <t>SLP HBS Plant (668)</t>
  </si>
  <si>
    <t>PNE Pune (599)</t>
  </si>
  <si>
    <t>EUR</t>
  </si>
  <si>
    <t>LOH Lohmar (597)</t>
  </si>
  <si>
    <t>ESN Eisenach (593)</t>
  </si>
  <si>
    <t>RON</t>
  </si>
  <si>
    <t>Brasov 2 (549)</t>
  </si>
  <si>
    <t>USD</t>
  </si>
  <si>
    <t>Sta. Theresa 2 (526)</t>
  </si>
  <si>
    <t>Pune (519)</t>
  </si>
  <si>
    <t>Juarez 2 (517)</t>
  </si>
  <si>
    <t>BRL</t>
  </si>
  <si>
    <t>Salto (516)</t>
  </si>
  <si>
    <t>Bebra/Muehlhausen2 (296)</t>
  </si>
  <si>
    <t>WHU1 Wuhu Yinhu (290)</t>
  </si>
  <si>
    <t>CZK</t>
  </si>
  <si>
    <t>TRU Trutnov (282)</t>
  </si>
  <si>
    <t>7851 PL eMotor Controls</t>
  </si>
  <si>
    <t>7851</t>
  </si>
  <si>
    <t>THB</t>
  </si>
  <si>
    <t>AmataCity (278)</t>
  </si>
  <si>
    <t>7841 PL Charging &amp; Energy Controls</t>
  </si>
  <si>
    <t>7841</t>
  </si>
  <si>
    <t>ROG Roding (265)</t>
  </si>
  <si>
    <t>7831 PL Vehicle &amp; Battery Controls</t>
  </si>
  <si>
    <t>7831</t>
  </si>
  <si>
    <t>RBG Regensburg (262)</t>
  </si>
  <si>
    <t>PSA Pisa (261)</t>
  </si>
  <si>
    <t>7811 PL Engine Controls</t>
  </si>
  <si>
    <t>7811</t>
  </si>
  <si>
    <t>NPN Newport News (255)</t>
  </si>
  <si>
    <t>7731 PL Thermal Management</t>
  </si>
  <si>
    <t>7731</t>
  </si>
  <si>
    <t>LBO Limbach (246)</t>
  </si>
  <si>
    <t>7721 PL High Voltage Drives</t>
  </si>
  <si>
    <t>7721</t>
  </si>
  <si>
    <t>RUB</t>
  </si>
  <si>
    <t>KAL Kaluga (244)</t>
  </si>
  <si>
    <t>7711 PL Mild Hybrid Drives</t>
  </si>
  <si>
    <t>7711</t>
  </si>
  <si>
    <t>KRW</t>
  </si>
  <si>
    <t>ICH Icheon (242)</t>
  </si>
  <si>
    <t>Guadalaj. Tijera (233)</t>
  </si>
  <si>
    <t>7613 PL AMT Independent Aftermarket</t>
  </si>
  <si>
    <t>7613</t>
  </si>
  <si>
    <t>FST Frenstat (231)</t>
  </si>
  <si>
    <t>7612 PL AMT Electrification Solutions</t>
  </si>
  <si>
    <t>7612</t>
  </si>
  <si>
    <t>FOX Foix (230)</t>
  </si>
  <si>
    <t>7611 PL AMT Powertrain Solutions</t>
  </si>
  <si>
    <t>7611</t>
  </si>
  <si>
    <t>ELP Santa Teresa (228)</t>
  </si>
  <si>
    <t>SGD</t>
  </si>
  <si>
    <t>DTM Dortmund (225)</t>
  </si>
  <si>
    <t>Juarez (220)</t>
  </si>
  <si>
    <t>Sejong (219)</t>
  </si>
  <si>
    <t>7511 PL Emission &amp; Exhaust Sensors</t>
  </si>
  <si>
    <t>7511</t>
  </si>
  <si>
    <t>Changchun I (218)</t>
  </si>
  <si>
    <t>7436 PL CM PSS</t>
  </si>
  <si>
    <t>7436</t>
  </si>
  <si>
    <t>BOU Boussens (214)</t>
  </si>
  <si>
    <t>JPY</t>
  </si>
  <si>
    <t>7435 PL CM ADAS</t>
  </si>
  <si>
    <t>7435</t>
  </si>
  <si>
    <t>BLR Bangalore (212)</t>
  </si>
  <si>
    <t>7434 PL CM Suspension</t>
  </si>
  <si>
    <t>7434</t>
  </si>
  <si>
    <t>BDY Brandys (210)</t>
  </si>
  <si>
    <t>7433 PL CM Electronic Brake Systems</t>
  </si>
  <si>
    <t>7433</t>
  </si>
  <si>
    <t>Bebra/Muehlhausen1 (208)</t>
  </si>
  <si>
    <t>GBP</t>
  </si>
  <si>
    <t>7432 PL CM Commercial Vehicles &amp; Services</t>
  </si>
  <si>
    <t>7432</t>
  </si>
  <si>
    <t>Tianjin / PRC (156)</t>
  </si>
  <si>
    <t>DKK</t>
  </si>
  <si>
    <t>7431 PL CM Connected Car Networking</t>
  </si>
  <si>
    <t>7431</t>
  </si>
  <si>
    <t>Seguin / USA (145)</t>
  </si>
  <si>
    <t>7421 PL Turbocharger</t>
  </si>
  <si>
    <t>7421</t>
  </si>
  <si>
    <t>780 BU Controls</t>
  </si>
  <si>
    <t>Tucson / USA (143)</t>
  </si>
  <si>
    <t>7411 PL Hydraulics</t>
  </si>
  <si>
    <t>7411</t>
  </si>
  <si>
    <t>770 BU Electric Drive Systems</t>
  </si>
  <si>
    <t>Sibiu (114)</t>
  </si>
  <si>
    <t>CHF</t>
  </si>
  <si>
    <t>7341 PL Catalysts &amp; Filters</t>
  </si>
  <si>
    <t>7341</t>
  </si>
  <si>
    <t>760 BU Aftermarket &amp; Non-Automotive</t>
  </si>
  <si>
    <t>Shanghai (72)</t>
  </si>
  <si>
    <t>CAD</t>
  </si>
  <si>
    <t>7331 PL Fluid Management Modules</t>
  </si>
  <si>
    <t>7331</t>
  </si>
  <si>
    <t>750 BU Sensorics &amp; Controls</t>
  </si>
  <si>
    <t>Budapest (71)</t>
  </si>
  <si>
    <t>722 Electrification Solutions</t>
  </si>
  <si>
    <t>740 BU Hydraulics &amp; Turbo</t>
  </si>
  <si>
    <t>Cuautla (70)</t>
  </si>
  <si>
    <t>721 Powertrain Solutions</t>
  </si>
  <si>
    <t>730 BU Actuation</t>
  </si>
  <si>
    <t>730</t>
  </si>
  <si>
    <t>Nürnberg (64)</t>
  </si>
  <si>
    <t>Budget</t>
  </si>
  <si>
    <t>FC 7+5</t>
  </si>
  <si>
    <t>FC 6+6</t>
  </si>
  <si>
    <t xml:space="preserve">Budget </t>
  </si>
  <si>
    <t xml:space="preserve">Actual </t>
  </si>
  <si>
    <t>Division Name (Number)</t>
  </si>
  <si>
    <t>Division</t>
  </si>
  <si>
    <t>Outlet Name (Number)</t>
  </si>
  <si>
    <t>Outlet</t>
  </si>
  <si>
    <t>Currency</t>
  </si>
  <si>
    <t>Plant Name</t>
  </si>
  <si>
    <t>Plant Nr</t>
  </si>
  <si>
    <t>DIV, BU &amp; Outlet Codes</t>
  </si>
  <si>
    <t>Plant Selections</t>
  </si>
  <si>
    <t>(P&amp;L)</t>
  </si>
  <si>
    <t>Average FX Rate</t>
  </si>
  <si>
    <t>(BS)</t>
  </si>
  <si>
    <t>Current FX Rate</t>
  </si>
  <si>
    <t>Budget Booklets have to be filled on Plant-Outlet level</t>
  </si>
  <si>
    <t>June</t>
  </si>
  <si>
    <t>Currency:</t>
  </si>
  <si>
    <t>All Euro sheets are calculated automatically.</t>
  </si>
  <si>
    <t>Local Currency:</t>
  </si>
  <si>
    <t>Division:</t>
  </si>
  <si>
    <t>Business Unit:</t>
  </si>
  <si>
    <t>Outlet:</t>
  </si>
  <si>
    <t>Plant:</t>
  </si>
  <si>
    <t>RACE codes</t>
  </si>
  <si>
    <t>Yellow fields are input fields</t>
  </si>
  <si>
    <t>1. Input / FX Rates</t>
  </si>
  <si>
    <t>Documentation</t>
  </si>
  <si>
    <t>Each Worksheet contains a Documentation area, providing additional information and references for filling the Booklet</t>
  </si>
  <si>
    <t xml:space="preserve">General: </t>
  </si>
  <si>
    <t>0. Instructions</t>
  </si>
  <si>
    <t>Budget 2023</t>
  </si>
  <si>
    <t>- Wage increase / Inflation rate</t>
  </si>
  <si>
    <t>- APR / SPC</t>
  </si>
  <si>
    <t>- Volumes / Mix impacts</t>
  </si>
  <si>
    <t>The following points should be mentioned in case of significant impact on Budget results:</t>
  </si>
  <si>
    <t>Major projects, project ramp ups, investments, cost drivers</t>
  </si>
  <si>
    <t>Comments</t>
  </si>
  <si>
    <t>% of Sales</t>
  </si>
  <si>
    <t>EBIT</t>
  </si>
  <si>
    <t>Other Non-Oper. Income &amp; Expenses</t>
  </si>
  <si>
    <t>Restructuring</t>
  </si>
  <si>
    <t>Other Income &amp; Expenses /Subs.</t>
  </si>
  <si>
    <t>R,D&amp;E / Sales&amp;Distr. / FG&amp;A expenses</t>
  </si>
  <si>
    <t>Gross Margin</t>
  </si>
  <si>
    <t>Gross Margin Adjustments</t>
  </si>
  <si>
    <t>PE ICO</t>
  </si>
  <si>
    <t>PMME</t>
  </si>
  <si>
    <t>Margin after Variations</t>
  </si>
  <si>
    <t xml:space="preserve">Sales = Total Sales unconsolidated </t>
  </si>
  <si>
    <t>Sales</t>
  </si>
  <si>
    <t>All figures are taken automatically from the P&amp;L (RACE)</t>
  </si>
  <si>
    <t>YTD June</t>
  </si>
  <si>
    <t>Actual</t>
  </si>
  <si>
    <t xml:space="preserve">∆ </t>
  </si>
  <si>
    <t>1. Main Issues</t>
  </si>
  <si>
    <t>Check</t>
  </si>
  <si>
    <t>in % of Sales</t>
  </si>
  <si>
    <t>Marginal Contribution after Variations</t>
  </si>
  <si>
    <t>Total variable cost</t>
  </si>
  <si>
    <t>Direct Debits / Credits to P&amp;L</t>
  </si>
  <si>
    <t>Others</t>
  </si>
  <si>
    <t xml:space="preserve">RACE FS 309504100 </t>
  </si>
  <si>
    <t>Variations due to start up cost</t>
  </si>
  <si>
    <t>RACE FS 310003100</t>
  </si>
  <si>
    <t>Replacement and adjustment of general warranty</t>
  </si>
  <si>
    <t>RACE FS 309503100</t>
  </si>
  <si>
    <t>Variations rework/spoilage/scrap</t>
  </si>
  <si>
    <t xml:space="preserve">   thereof others</t>
  </si>
  <si>
    <t xml:space="preserve">   thereof Logistic cost variable w/o compensation</t>
  </si>
  <si>
    <t>O-node K-accounts E01-375</t>
  </si>
  <si>
    <t xml:space="preserve">   thereof utility</t>
  </si>
  <si>
    <t xml:space="preserve">   thereof variable maintenance (w/o labour cost)</t>
  </si>
  <si>
    <t>O-node K-accounts E01-310 and E01-305</t>
  </si>
  <si>
    <t xml:space="preserve">   thereof operating supplies</t>
  </si>
  <si>
    <t>O-node K-accounts E01-300</t>
  </si>
  <si>
    <t xml:space="preserve">   thereof consumable tools</t>
  </si>
  <si>
    <t>Variable Cost Center Cost w/o Labour cost</t>
  </si>
  <si>
    <t>O-node K-accounts E01-299 Log Handling MGK /VK</t>
  </si>
  <si>
    <t>Variable Labour cost (MGK/VK)</t>
  </si>
  <si>
    <t>O-node K-accounts E01-299  (FGK-P and FGK-S)</t>
  </si>
  <si>
    <t>Variable Labour cost (Production)</t>
  </si>
  <si>
    <t>Total Variable Labour cost</t>
  </si>
  <si>
    <t>PE ICO: FC and Budget Source = RACE FS 310503100</t>
  </si>
  <si>
    <t xml:space="preserve">   thereof PE ICO</t>
  </si>
  <si>
    <t>ICO cost (Purchases) incl. Value add sender</t>
  </si>
  <si>
    <t>Embedded software licences build into a product (K-account K5922 on a outbound (VK) cost center)</t>
  </si>
  <si>
    <t xml:space="preserve">   thereof OVC licences for embedded software</t>
  </si>
  <si>
    <t xml:space="preserve">   thereof Standard Supplier tooling</t>
  </si>
  <si>
    <t xml:space="preserve">   thereof Variances in Material</t>
  </si>
  <si>
    <t>Material 3rd. Parties</t>
  </si>
  <si>
    <t xml:space="preserve">Production Sales </t>
  </si>
  <si>
    <t xml:space="preserve"> Delta to FC
in %</t>
  </si>
  <si>
    <t>Target</t>
  </si>
  <si>
    <t xml:space="preserve">All Others </t>
  </si>
  <si>
    <t>CIP (gross) in %</t>
  </si>
  <si>
    <t>Cost
Improvem.</t>
  </si>
  <si>
    <t xml:space="preserve"> Price
Effects </t>
  </si>
  <si>
    <t>Product
Mix</t>
  </si>
  <si>
    <t xml:space="preserve">Sales
Volumes </t>
  </si>
  <si>
    <t xml:space="preserve">FC 7+5
w/o
special impacts </t>
  </si>
  <si>
    <t xml:space="preserve">therein special
impacts </t>
  </si>
  <si>
    <t>2. Variable Cost</t>
  </si>
  <si>
    <t>FC= Standard cost (costing line 20 of YPC1) * FC volumes ,  All Others: e.g. depreciation K432 and maintenance for tooling</t>
  </si>
  <si>
    <t xml:space="preserve">   thereof Standard material incl. Subcontr./Cash discount (w/o ICO)</t>
  </si>
  <si>
    <t>Production Sales</t>
  </si>
  <si>
    <t xml:space="preserve"> Delta to FC
in %
</t>
  </si>
  <si>
    <t xml:space="preserve">FC 7+5 
w/o
special impacts </t>
  </si>
  <si>
    <t>FX Translation</t>
  </si>
  <si>
    <t>check</t>
  </si>
  <si>
    <t>Total - Scrap in % of Sales</t>
  </si>
  <si>
    <t>Total - Sales</t>
  </si>
  <si>
    <t>Total - Variations rework/spoilage/scrap</t>
  </si>
  <si>
    <t>Total - Start up in % of Sales</t>
  </si>
  <si>
    <t>Total - Start up</t>
  </si>
  <si>
    <t>All Other</t>
  </si>
  <si>
    <t>Area 4 - Scrap&amp;Start-up in % of Sales</t>
  </si>
  <si>
    <t>Area 4 - Scrap in % of Sales</t>
  </si>
  <si>
    <t>Area 4 - Sales</t>
  </si>
  <si>
    <t>Area 4 - Start-up (only scrap-related)</t>
  </si>
  <si>
    <t>Area 4 - Variations rework/spoilage/scrap</t>
  </si>
  <si>
    <t>Area 3 - Scrap&amp;Start-up in % of Sales</t>
  </si>
  <si>
    <t>Area 3 - Scrap in % of Sales</t>
  </si>
  <si>
    <t>Area 3 - Sales</t>
  </si>
  <si>
    <t>Area 3 - Start-up (only scrap-related)</t>
  </si>
  <si>
    <t>Area 3</t>
  </si>
  <si>
    <t>Area 3 - Variations rework/spoilage/scrap</t>
  </si>
  <si>
    <t>Area 2 - Scrap&amp;Start-up in % of Sales</t>
  </si>
  <si>
    <t>Area 2 - Scrap in % of Sales</t>
  </si>
  <si>
    <t>Area 2 - Sales</t>
  </si>
  <si>
    <t>Area 2 - Start-up (only scrap-related)</t>
  </si>
  <si>
    <t>Area 2</t>
  </si>
  <si>
    <t>Area 2 - Variations rework/spoilage/scrap</t>
  </si>
  <si>
    <t>Area 1 - Scrap&amp;Start-up in % of Sales</t>
  </si>
  <si>
    <t>Area 1 - Scrap in % of Sales</t>
  </si>
  <si>
    <t>Area 1 - Sales</t>
  </si>
  <si>
    <t>Write focus area name in column B</t>
  </si>
  <si>
    <t>Area 1 - Start-up (only scrap-related)</t>
  </si>
  <si>
    <t>Area 1 - Variations rework/spoilage/scrap</t>
  </si>
  <si>
    <t>Scrap &amp; start-up- Ramp-up / Launch</t>
  </si>
  <si>
    <t>xxx</t>
  </si>
  <si>
    <t>Sales of Scrap</t>
  </si>
  <si>
    <t>Reimbursement</t>
  </si>
  <si>
    <t>Variations rework/spoilage/scrap - Special topics</t>
  </si>
  <si>
    <t>all other - Scrap in % of Sales</t>
  </si>
  <si>
    <t>all other - Sales</t>
  </si>
  <si>
    <t>all other - Variations rework/spoilage/scrap</t>
  </si>
  <si>
    <t>Area 5- Scrap in % of Sales</t>
  </si>
  <si>
    <t>Area 5 - Sales</t>
  </si>
  <si>
    <t>Area 5</t>
  </si>
  <si>
    <t>Area 5 - Variations rework/spoilage/scrap</t>
  </si>
  <si>
    <t>Area 4- Scrap in % of Sales</t>
  </si>
  <si>
    <t>Area 4</t>
  </si>
  <si>
    <t>Area 3- Scrap in % of Sales</t>
  </si>
  <si>
    <t>Area 2- Scrap in % of Sales</t>
  </si>
  <si>
    <t>Rework/spoilage/scrap - Serial business</t>
  </si>
  <si>
    <t>∆
Sales</t>
  </si>
  <si>
    <t>∆
perform. abs
&amp; in %</t>
  </si>
  <si>
    <t>∆ 
vs. FC 7+5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</si>
  <si>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</si>
  <si>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</si>
  <si>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</si>
  <si>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</si>
  <si>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</si>
  <si>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</si>
  <si>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</si>
  <si>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</si>
  <si>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</si>
  <si>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</si>
  <si>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</si>
  <si>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</si>
  <si>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Roadmap 
YE Dec</t>
  </si>
  <si>
    <t>3. Seasonal Scrap &amp; Start-up planning</t>
  </si>
  <si>
    <t>% of Total Sales</t>
  </si>
  <si>
    <t>CF assessments</t>
  </si>
  <si>
    <t>PMME Total</t>
  </si>
  <si>
    <t>PMME others (Depr, NPF, SHS)</t>
  </si>
  <si>
    <t>Plant Orignated PMME</t>
  </si>
  <si>
    <t>RACE FS 310500000 + 311500000 + 312000000 + 312201100</t>
  </si>
  <si>
    <t>Total Period Expenses</t>
  </si>
  <si>
    <t>Finance, general &amp; administration expenses</t>
  </si>
  <si>
    <t>RACE FS 311500000</t>
  </si>
  <si>
    <t>R, D &amp; E  expenses</t>
  </si>
  <si>
    <t>Sales &amp; distribution expenses w/o PE distribution</t>
  </si>
  <si>
    <t>RACE FS 312002100</t>
  </si>
  <si>
    <t>PE distribution</t>
  </si>
  <si>
    <t>Remaining cost (calculated)</t>
  </si>
  <si>
    <t>Others (remaining)</t>
  </si>
  <si>
    <t>NSHS Allocations in PE MGK &amp; PE FGK</t>
  </si>
  <si>
    <t>Cost element group  535 w/o allocation K66274  w/o IT Transfers IN  (is part of Central Function assessment)</t>
  </si>
  <si>
    <t>NSHS Services in PE MGK &amp; PE FGK</t>
  </si>
  <si>
    <t>Cost element group  520</t>
  </si>
  <si>
    <t>Assessment from Central Functions</t>
  </si>
  <si>
    <t>Cost element group  299 in general: S87x3x, S87490, S87491, S87294, S87295, S87296, S87431</t>
  </si>
  <si>
    <t>Compensation</t>
  </si>
  <si>
    <t>RACE FS 310503100</t>
  </si>
  <si>
    <t>Period expenses ICO</t>
  </si>
  <si>
    <t xml:space="preserve">RACE FS 310501100, FS 310501600, FS 31052100 </t>
  </si>
  <si>
    <t>Delta RACE vs. RACE CTL</t>
  </si>
  <si>
    <t>PMME Others</t>
  </si>
  <si>
    <t>PMME Depreciation w/o intangible</t>
  </si>
  <si>
    <t>RACE FS 122132000 only Movementtype 210 / in general part of K403</t>
  </si>
  <si>
    <t>PMME Depreciation intangible development assets</t>
  </si>
  <si>
    <t>Shared equipment "K662x" accounts</t>
  </si>
  <si>
    <t>Plant Originated PMME</t>
  </si>
  <si>
    <t>Related project expenses (RPE)</t>
  </si>
  <si>
    <t>In general: K5305 for external laboratory cost, K6626 for internal cost (or hourly recording S99116 from Q-Lab)</t>
  </si>
  <si>
    <t>Product Validation / Requalification after G60</t>
  </si>
  <si>
    <t>Maintenance (E01-320)</t>
  </si>
  <si>
    <t>Compensation (E01-299)</t>
  </si>
  <si>
    <t>Assessment from FF (520)</t>
  </si>
  <si>
    <t>Cost element group 520 - in general: S87x1x, S87490, S87491, S87294, S87295, S87296</t>
  </si>
  <si>
    <t>Assessment from Central Functions (520)</t>
  </si>
  <si>
    <t>in %</t>
  </si>
  <si>
    <t>Exception: PE distribution - manual input required</t>
  </si>
  <si>
    <t>vs. FC 7+5</t>
  </si>
  <si>
    <t xml:space="preserve">Seasonalization is automatically updated from RACE Controllers Letter </t>
  </si>
  <si>
    <t>∆</t>
  </si>
  <si>
    <t>4. BU Fix Cost</t>
  </si>
  <si>
    <t xml:space="preserve">   thereof Log Fix HC</t>
  </si>
  <si>
    <t xml:space="preserve">   thereof Log Var HC</t>
  </si>
  <si>
    <t>Total Logistic HC</t>
  </si>
  <si>
    <t xml:space="preserve"> in % of Sales</t>
  </si>
  <si>
    <t>K-accounts Outbound K6120, K61071 + O-node E01-435 (only variable)</t>
  </si>
  <si>
    <t xml:space="preserve">   thereof Var Logistic cost: outbound service Cost</t>
  </si>
  <si>
    <t xml:space="preserve">   thereof Var Logistic cost: outbound packaging</t>
  </si>
  <si>
    <t>K-accounts K6106 + Reimbursements account N09068</t>
  </si>
  <si>
    <t xml:space="preserve">   thereof Var Logistic cost: outbound premium freight </t>
  </si>
  <si>
    <t xml:space="preserve">   thereof Var Logistic cost: outbound freight </t>
  </si>
  <si>
    <t xml:space="preserve">Cost element group E01-299 for Outbound (VK) </t>
  </si>
  <si>
    <t xml:space="preserve">   thereof Var Labour Cost Outbound (VK)</t>
  </si>
  <si>
    <t xml:space="preserve">Variable Cost Outbound </t>
  </si>
  <si>
    <t>K-accounts Inbound K5609, K56041 + O-node E01-435 (only variable)</t>
  </si>
  <si>
    <t xml:space="preserve">   thereof Var Logistic cost: inbound service Cost</t>
  </si>
  <si>
    <t xml:space="preserve">   thereof Var Logistic cost: inbound packaging</t>
  </si>
  <si>
    <t>K-account K5602 + Reimbursements account N09067</t>
  </si>
  <si>
    <t xml:space="preserve">   thereof Var Logistic cost: inbound premium freight</t>
  </si>
  <si>
    <t xml:space="preserve">   thereof Var Logistic cost: inbound freight</t>
  </si>
  <si>
    <t>Cost element group E01-299 for Inbound (MGK)</t>
  </si>
  <si>
    <t xml:space="preserve">   thereof Var Labour Cost Inbound (MGK)</t>
  </si>
  <si>
    <t xml:space="preserve">Variable Cost Inbound </t>
  </si>
  <si>
    <t>Total Variable Logistic Cost</t>
  </si>
  <si>
    <t xml:space="preserve">Product Sales </t>
  </si>
  <si>
    <t xml:space="preserve">FC 7+5
w/o special impacts </t>
  </si>
  <si>
    <t xml:space="preserve">therein
special impacts </t>
  </si>
  <si>
    <t>5. Logistic Cost</t>
  </si>
  <si>
    <t xml:space="preserve">   thereof Var Logistic cost: outbound service cost</t>
  </si>
  <si>
    <t xml:space="preserve">   thereof Var Labour cost Outbound (VK)</t>
  </si>
  <si>
    <t xml:space="preserve">   thereof Var Logistic cost: inbound service cost</t>
  </si>
  <si>
    <t xml:space="preserve">   thereof Var Labour cost Inbound (MGK)</t>
  </si>
  <si>
    <t>Turnrate (TR)</t>
  </si>
  <si>
    <t xml:space="preserve">INVENTORIES total  </t>
  </si>
  <si>
    <t>Additional Target BU and/or Division</t>
  </si>
  <si>
    <t xml:space="preserve">thereof Merchandise / Trading </t>
  </si>
  <si>
    <t>FIN in transit and/or in consignment</t>
  </si>
  <si>
    <t>Agreed Security Stock OEM</t>
  </si>
  <si>
    <t>Phase out</t>
  </si>
  <si>
    <t>Ramp up</t>
  </si>
  <si>
    <t>Bank build</t>
  </si>
  <si>
    <t>Blocked Stock (Quality)</t>
  </si>
  <si>
    <t>Fin Non-Consignment (normal operation)</t>
  </si>
  <si>
    <t xml:space="preserve">FIN total </t>
  </si>
  <si>
    <t>WIP (normal operation)</t>
  </si>
  <si>
    <t xml:space="preserve">WIP total  </t>
  </si>
  <si>
    <t>Raw in transit ICO (normal operation)</t>
  </si>
  <si>
    <t>Raw (normal operation)</t>
  </si>
  <si>
    <t xml:space="preserve">RAW total  </t>
  </si>
  <si>
    <t>Budget Sales YE</t>
  </si>
  <si>
    <t>5.1 Inventory Details</t>
  </si>
  <si>
    <t>Compensation average Fix per Employee (Manual)</t>
  </si>
  <si>
    <t>Variable compensation cost E01-299 from O-node related to HEF and leasing auxiliary heads</t>
  </si>
  <si>
    <t>Compensation average variable per HEF Employee (manual)</t>
  </si>
  <si>
    <t>Variable compensation cost E01-299 from O-node related to DEF and leasing operators heads</t>
  </si>
  <si>
    <t>Compensation average variable per DEF Employee (manual)</t>
  </si>
  <si>
    <t>Compensation average variable per Employee (calc)</t>
  </si>
  <si>
    <t>RACE FS CO-010106000</t>
  </si>
  <si>
    <t>RACE fix</t>
  </si>
  <si>
    <t>RACE FS CO-010101000</t>
  </si>
  <si>
    <t>RACE variable</t>
  </si>
  <si>
    <t>Total employees (own and leasing)</t>
  </si>
  <si>
    <t>Total fix</t>
  </si>
  <si>
    <t>Central Management MGK/FGK/VK/FG&amp;A</t>
  </si>
  <si>
    <t>Fix</t>
  </si>
  <si>
    <t>VK costcenter node (NEF)</t>
  </si>
  <si>
    <t>Sales &amp; Distribution</t>
  </si>
  <si>
    <t>WVK costcenter node (NEF)</t>
  </si>
  <si>
    <t>Plant Administration</t>
  </si>
  <si>
    <t>MGK costcenter node (NEF)</t>
  </si>
  <si>
    <t>Material Management</t>
  </si>
  <si>
    <t>Production</t>
  </si>
  <si>
    <t>Total variable</t>
  </si>
  <si>
    <t xml:space="preserve">VK costcenter node (HEF Material handler for Logistic Outbound) </t>
  </si>
  <si>
    <t>Variable</t>
  </si>
  <si>
    <t xml:space="preserve">MGK costcenter node (HEF Material handler for Logistic Inbound) </t>
  </si>
  <si>
    <t>FGK-P/FGK-S costcenter node (HEF and leasing auxiliary heads in Production)</t>
  </si>
  <si>
    <t>Manufacturing auxiliary heads</t>
  </si>
  <si>
    <t>FGK-P/FGK-S costcenter node (DEF and leasing operators heads in Production)</t>
  </si>
  <si>
    <t>Manufacturing operators</t>
  </si>
  <si>
    <t>Employees (own and leasing):</t>
  </si>
  <si>
    <t>Avg ∆ 
vs. FC 7+5 (in %)</t>
  </si>
  <si>
    <t>Avg ∆
vs. FC 7+5</t>
  </si>
  <si>
    <t>Headcount 2023</t>
  </si>
  <si>
    <t>6. Headcount</t>
  </si>
  <si>
    <t>% of sales</t>
  </si>
  <si>
    <t>Working capital average - manual input required:</t>
  </si>
  <si>
    <t>Working Capital</t>
  </si>
  <si>
    <t>Accounts payable operating</t>
  </si>
  <si>
    <t>% of external sales</t>
  </si>
  <si>
    <t>Accounts receivable operating</t>
  </si>
  <si>
    <t>Average Turnrate</t>
  </si>
  <si>
    <t>YE Turnrate (Sales / Inventory)</t>
  </si>
  <si>
    <t>therein Finished goods and merchandise</t>
  </si>
  <si>
    <t>therein Work in progress</t>
  </si>
  <si>
    <t>therein Raw materials</t>
  </si>
  <si>
    <t>Inventories</t>
  </si>
  <si>
    <t>External Sales</t>
  </si>
  <si>
    <t>therein external sales</t>
  </si>
  <si>
    <t>Total Sales</t>
  </si>
  <si>
    <t>7. Balance Sheet - Key Figures</t>
  </si>
  <si>
    <t>External / ICO Volumes (TOP Projects)</t>
  </si>
  <si>
    <t>Overview should show only the top projects</t>
  </si>
  <si>
    <t>Budget
Volume
(in '000 Units)</t>
  </si>
  <si>
    <t>Product Group</t>
  </si>
  <si>
    <t>FC 7+5 
Volume
(in '000 Units)</t>
  </si>
  <si>
    <t>YPC1
Contribution Margin</t>
  </si>
  <si>
    <t>∆
vs. FC 7+5</t>
  </si>
  <si>
    <t>8. Volumes (TOP Projects)</t>
  </si>
  <si>
    <t>Marginal contribution after variations</t>
  </si>
  <si>
    <t>Info: Subcontracting is part of official Modias value.</t>
  </si>
  <si>
    <t>Outside material and subcontracting w/o discount, tooling, customs</t>
  </si>
  <si>
    <t>Specifiy deviation to Modias 5</t>
  </si>
  <si>
    <t>If major deviations to MODIAS PVO, please calculate effect and explain (e.g. volume or price for Material or product group)</t>
  </si>
  <si>
    <t>Specifiy deviation to Modias 4</t>
  </si>
  <si>
    <t>Specifiy deviation to Modias 3</t>
  </si>
  <si>
    <t>Specifiy deviation to Modias 2</t>
  </si>
  <si>
    <t>Specifiy deviation to Modias 1</t>
  </si>
  <si>
    <t>Official Modias status as of (date: dd/mm):</t>
  </si>
  <si>
    <t>Annual Price Reduction (Purchasing), positive = favourable / negative = unfavourable</t>
  </si>
  <si>
    <t>absolute</t>
  </si>
  <si>
    <t>Comment</t>
  </si>
  <si>
    <t>Annual Price Reduction</t>
  </si>
  <si>
    <t>Material Budget Value</t>
  </si>
  <si>
    <t>Total Risks &amp; Opportunities</t>
  </si>
  <si>
    <t>Total Opportunities</t>
  </si>
  <si>
    <t>Opportunity 9</t>
  </si>
  <si>
    <t>Opportunity 8</t>
  </si>
  <si>
    <t>Opportunity 7</t>
  </si>
  <si>
    <t>Opportunity 6</t>
  </si>
  <si>
    <t>Opportunity 5</t>
  </si>
  <si>
    <t>Opportunity 4</t>
  </si>
  <si>
    <t>Opportunity 3</t>
  </si>
  <si>
    <t>Opportunity 2</t>
  </si>
  <si>
    <t>Opportunity 1</t>
  </si>
  <si>
    <t>Total Risks</t>
  </si>
  <si>
    <t>Risk 9</t>
  </si>
  <si>
    <t>Risk 8</t>
  </si>
  <si>
    <t>Risk 7</t>
  </si>
  <si>
    <t>Risk 6</t>
  </si>
  <si>
    <t>Risk 5</t>
  </si>
  <si>
    <t>Risk 4</t>
  </si>
  <si>
    <t>Risk 3</t>
  </si>
  <si>
    <t>Risk 2</t>
  </si>
  <si>
    <t>Risk 1</t>
  </si>
  <si>
    <t>Working capital EOP</t>
  </si>
  <si>
    <t>11. Risks and Opportunities</t>
  </si>
  <si>
    <t>11. R&amp;O</t>
  </si>
  <si>
    <t>10. Purchasing</t>
  </si>
  <si>
    <t>Deviation to Modias 5</t>
  </si>
  <si>
    <t>Deviation to Modias 4</t>
  </si>
  <si>
    <t>Deviation to Modias 3</t>
  </si>
  <si>
    <t>Deviation to Modias 2</t>
  </si>
  <si>
    <t>Deviation to Modias 1</t>
  </si>
  <si>
    <t>Total</t>
  </si>
  <si>
    <t>8. Volumes</t>
  </si>
  <si>
    <t>Product Group 11</t>
  </si>
  <si>
    <t>Product Group 10</t>
  </si>
  <si>
    <t>Product Group 9</t>
  </si>
  <si>
    <t>Product Group 8</t>
  </si>
  <si>
    <t>Product Group 7</t>
  </si>
  <si>
    <t>Product Group 6</t>
  </si>
  <si>
    <t>Product Group 5</t>
  </si>
  <si>
    <t>Product Group 4</t>
  </si>
  <si>
    <t>Product Group 3</t>
  </si>
  <si>
    <t>Product Group 2</t>
  </si>
  <si>
    <t>Product Group 1</t>
  </si>
  <si>
    <t>7. BS Key Figures</t>
  </si>
  <si>
    <t>6. HC</t>
  </si>
  <si>
    <t>HC Avg - RACE fix</t>
  </si>
  <si>
    <t>HC Avg - RACE variable</t>
  </si>
  <si>
    <t>HC Avg - Total emploAvges (own and leasing)</t>
  </si>
  <si>
    <t>HC Avg fix - Total fix</t>
  </si>
  <si>
    <t>HC Avg fix - Central Management MGK/FGK/VK/FG&amp;A</t>
  </si>
  <si>
    <t>HC Avg - R, D &amp; E Expenses</t>
  </si>
  <si>
    <t>HC Avg fix - Sales &amp; Distribution</t>
  </si>
  <si>
    <t>HC Avg fix - Plant Administration</t>
  </si>
  <si>
    <t>HC Avg fix - Material Management</t>
  </si>
  <si>
    <t>HC Avg fix - Production</t>
  </si>
  <si>
    <t>HC Avg var - Total variable</t>
  </si>
  <si>
    <t>HC Avg var - Sales &amp; Distribution</t>
  </si>
  <si>
    <t>HC Avg var - Material Management</t>
  </si>
  <si>
    <t>HC Avg var - Manufacturing auxiliary heads</t>
  </si>
  <si>
    <t>HC Avg var - Manufacturing operators</t>
  </si>
  <si>
    <t>Avg Sales</t>
  </si>
  <si>
    <t>HC YE - RACE fix</t>
  </si>
  <si>
    <t>HC YE - RACE variable</t>
  </si>
  <si>
    <t>HC YE - Total employees (own and leasing)</t>
  </si>
  <si>
    <t>HC YE fix - Total fix</t>
  </si>
  <si>
    <t>HC YE fix - Central Management MGK/FGK/VK/FG&amp;A</t>
  </si>
  <si>
    <t>HC YE - R, D &amp; E Expenses</t>
  </si>
  <si>
    <t>HC YE fix - Sales &amp; Distribution</t>
  </si>
  <si>
    <t>HC YE fix - Plant Administration</t>
  </si>
  <si>
    <t>HC YE fix - Material Management</t>
  </si>
  <si>
    <t>HC YE fix - Production</t>
  </si>
  <si>
    <t>HC YE var - Total variable</t>
  </si>
  <si>
    <t>HC YE var - Sales &amp; Distribution</t>
  </si>
  <si>
    <t>HC YE var - Material Management</t>
  </si>
  <si>
    <t>HC YE var - Manufacturing auxiliary heads</t>
  </si>
  <si>
    <t>HC YE var - Manufacturing operators</t>
  </si>
  <si>
    <t>YE Sales</t>
  </si>
  <si>
    <t>5.1 Inventory</t>
  </si>
  <si>
    <t>5. Logistics Cost</t>
  </si>
  <si>
    <t>4. Fix Cost</t>
  </si>
  <si>
    <t>3. Scrap</t>
  </si>
  <si>
    <t>Total - Sales (Start-up)</t>
  </si>
  <si>
    <t>Total - Start-up</t>
  </si>
  <si>
    <t>Start-up - All Other - Sales</t>
  </si>
  <si>
    <t>Start-up - All Other - Start-up (only scrap-related)</t>
  </si>
  <si>
    <t>Start-up - All Other - Variations rework/spoilage/scrap</t>
  </si>
  <si>
    <t>Start-up - Area 3 - Sales</t>
  </si>
  <si>
    <t>Start-up - Area 3 - Start-up (only scrap-related)</t>
  </si>
  <si>
    <t>Start-up - Area 3 - Variations rework/spoilage/scrap</t>
  </si>
  <si>
    <t>Start-up - Area 2 - Sales</t>
  </si>
  <si>
    <t>Start-up - Area 2 - Start-up (only scrap-related)</t>
  </si>
  <si>
    <t>Start-up - Area 2 - Variations rework/spoilage/scrap</t>
  </si>
  <si>
    <t>Start-up - Area 1 - Sales</t>
  </si>
  <si>
    <t>Start-up - Area 1 - Start-up (only scrap-related)</t>
  </si>
  <si>
    <t>Start-up - Area 1 - Variations rework/spoilage/scrap</t>
  </si>
  <si>
    <t>Total - Sales (Scrap)</t>
  </si>
  <si>
    <t>Total - Variations rework/spoilage/scrap (Scrap)</t>
  </si>
  <si>
    <t>2. Variable</t>
  </si>
  <si>
    <t xml:space="preserve">   thereof variable maintenance  (w/o labour cost)</t>
  </si>
  <si>
    <t>Version</t>
  </si>
  <si>
    <t>Key</t>
  </si>
  <si>
    <t>Area</t>
  </si>
  <si>
    <t>R&amp;O WC EOP</t>
  </si>
  <si>
    <t>R&amp;O EBIT</t>
  </si>
  <si>
    <t>R&amp;O Sales</t>
  </si>
  <si>
    <t>December</t>
  </si>
  <si>
    <t>November</t>
  </si>
  <si>
    <t>October</t>
  </si>
  <si>
    <t>September</t>
  </si>
  <si>
    <t>August</t>
  </si>
  <si>
    <t>July</t>
  </si>
  <si>
    <t>April</t>
  </si>
  <si>
    <t>March</t>
  </si>
  <si>
    <t>February</t>
  </si>
  <si>
    <t xml:space="preserve">January </t>
  </si>
  <si>
    <t>All Others</t>
  </si>
  <si>
    <t>Costimprovement</t>
  </si>
  <si>
    <t>Price Effects</t>
  </si>
  <si>
    <t>Product Mix</t>
  </si>
  <si>
    <t>Sales Volume</t>
  </si>
  <si>
    <t>FC 7+5 w/o Special Effects</t>
  </si>
  <si>
    <t>FC 7+5 Special Effects</t>
  </si>
  <si>
    <t>Key Figure</t>
  </si>
  <si>
    <t>Sheet</t>
  </si>
  <si>
    <t>Outlet Name</t>
  </si>
  <si>
    <t>Outlet Number</t>
  </si>
  <si>
    <t>BU Name</t>
  </si>
  <si>
    <t>BU Number</t>
  </si>
  <si>
    <t>Plant Number</t>
  </si>
  <si>
    <t>Earnings before interest and tax (EBIT)</t>
  </si>
  <si>
    <t>Service mark-up related parties - income</t>
  </si>
  <si>
    <t>Service mark-up related parties - expenses</t>
  </si>
  <si>
    <t>Service mark-up ICO</t>
  </si>
  <si>
    <t>Disinvestment external</t>
  </si>
  <si>
    <t>Non-operating income/expenses</t>
  </si>
  <si>
    <t>Net operating profit</t>
  </si>
  <si>
    <t>Proportion. share in earn. in/imp. on equity acc. investees</t>
  </si>
  <si>
    <t>External income from subsidiaries &amp; affiliated companies</t>
  </si>
  <si>
    <t>Other operational income - related parties</t>
  </si>
  <si>
    <t>Other operational income - internal</t>
  </si>
  <si>
    <t>Other operational income - external</t>
  </si>
  <si>
    <t>Other operational expenses - related parties</t>
  </si>
  <si>
    <t>Other operational expenses - internal</t>
  </si>
  <si>
    <t>Other operational expenses - external</t>
  </si>
  <si>
    <t>Other operational income and expenses</t>
  </si>
  <si>
    <t>Other non income taxes and charges</t>
  </si>
  <si>
    <t>Impairment</t>
  </si>
  <si>
    <t>Environmental reserves</t>
  </si>
  <si>
    <t>Litigations: product liability, patents &amp; other</t>
  </si>
  <si>
    <t>Recalls &amp; other specific warranty</t>
  </si>
  <si>
    <t>Equalization prior year related parties - income</t>
  </si>
  <si>
    <t>Equalization prior year related parties - expense</t>
  </si>
  <si>
    <t>Equalization prior year ICO</t>
  </si>
  <si>
    <t>Equalization PY ICO</t>
  </si>
  <si>
    <t>Equalization prior year total</t>
  </si>
  <si>
    <t>PPE disp. ext. gains</t>
  </si>
  <si>
    <t>PPE disp.ext. losses</t>
  </si>
  <si>
    <t>PPE disposal int.</t>
  </si>
  <si>
    <t>PPE scrap expenses</t>
  </si>
  <si>
    <t>PPE disposal</t>
  </si>
  <si>
    <t>FX operational hedging external</t>
  </si>
  <si>
    <t>FX operational hedging internal</t>
  </si>
  <si>
    <t>FX - trading</t>
  </si>
  <si>
    <t>FX operational total</t>
  </si>
  <si>
    <t>Application engineering reimbursements related parties</t>
  </si>
  <si>
    <t>Application engineering reimbursements</t>
  </si>
  <si>
    <t>Generic R &amp; D reimbursements related parties</t>
  </si>
  <si>
    <t>Generic R &amp; D reimbursements ICO</t>
  </si>
  <si>
    <t>Generic R &amp; D reimbursements</t>
  </si>
  <si>
    <t>R, D &amp; E reimbursements</t>
  </si>
  <si>
    <t>Reimbursements of tooling costs</t>
  </si>
  <si>
    <t>Tooling costs</t>
  </si>
  <si>
    <t>Governmental grants</t>
  </si>
  <si>
    <t>Provisions for doubtful accounts</t>
  </si>
  <si>
    <t>Termination payments</t>
  </si>
  <si>
    <t>Other operational income/expenses total</t>
  </si>
  <si>
    <t>Finance, general &amp; administration exp. allocation out</t>
  </si>
  <si>
    <t>Sales &amp; distribution expenses allocation out</t>
  </si>
  <si>
    <t>PE communication</t>
  </si>
  <si>
    <t>PE selling</t>
  </si>
  <si>
    <t>Sales &amp; distribution expenses</t>
  </si>
  <si>
    <t>R, D &amp; E prior year</t>
  </si>
  <si>
    <t>R, D &amp; E allocation out</t>
  </si>
  <si>
    <t>R, D &amp; E allocation in</t>
  </si>
  <si>
    <t>R &amp; D licenses expenses</t>
  </si>
  <si>
    <t>R, D &amp; E licences expenses Total</t>
  </si>
  <si>
    <t>Application engineering licenses income</t>
  </si>
  <si>
    <t>R &amp; D licenses income</t>
  </si>
  <si>
    <t>R, D &amp; E licences income Total</t>
  </si>
  <si>
    <t>Governmental grants for application engineering</t>
  </si>
  <si>
    <t>Governmental grants for generic R &amp; D</t>
  </si>
  <si>
    <t>Governmental grants for R, D &amp; E</t>
  </si>
  <si>
    <t>Application engineering</t>
  </si>
  <si>
    <t>R &amp; D</t>
  </si>
  <si>
    <t>Primary R, D &amp; E costs Total</t>
  </si>
  <si>
    <t>R, D &amp; E expenses</t>
  </si>
  <si>
    <t>Gross margin</t>
  </si>
  <si>
    <t>Inventory valuation allowance (finished goods &amp; wip)</t>
  </si>
  <si>
    <t>Inventory variations (finished goods)</t>
  </si>
  <si>
    <t>Gross margin adjustments</t>
  </si>
  <si>
    <t>Production &amp; materials management expenses allocation out</t>
  </si>
  <si>
    <t>PE plant administration</t>
  </si>
  <si>
    <t>PE materials management</t>
  </si>
  <si>
    <t>PE production</t>
  </si>
  <si>
    <t>Production &amp; materials management expenses</t>
  </si>
  <si>
    <t>Other cost variations</t>
  </si>
  <si>
    <t>Variations to freight</t>
  </si>
  <si>
    <t>Variations to handling</t>
  </si>
  <si>
    <t>Replacement and adjustment and general warranty</t>
  </si>
  <si>
    <t>Other cost variations total</t>
  </si>
  <si>
    <t>Variations due to start up costs</t>
  </si>
  <si>
    <t>Variations material usage</t>
  </si>
  <si>
    <t>Variations to labor cost (tariff increase)</t>
  </si>
  <si>
    <t>Variations in cost centers</t>
  </si>
  <si>
    <t>Variations to manufacturing other (input)</t>
  </si>
  <si>
    <t>Variations in manufacturing total</t>
  </si>
  <si>
    <t>Variations to material price - FX</t>
  </si>
  <si>
    <t>Variations to material price - PPV other</t>
  </si>
  <si>
    <t>Inventory variations (raw material &amp; supply)</t>
  </si>
  <si>
    <t>Inventory valuation allowance (raw material &amp; supply)</t>
  </si>
  <si>
    <t>Var. to raw material price</t>
  </si>
  <si>
    <t>Var. to raw material total</t>
  </si>
  <si>
    <t>Cost variations</t>
  </si>
  <si>
    <t>OVC duty</t>
  </si>
  <si>
    <t>OVC freight</t>
  </si>
  <si>
    <t>OVC handling</t>
  </si>
  <si>
    <t>Other variable costs</t>
  </si>
  <si>
    <t>Variable manufacturing costs</t>
  </si>
  <si>
    <t>Variable costs ICO</t>
  </si>
  <si>
    <t>Variable costs over standard</t>
  </si>
  <si>
    <t>Variable costs</t>
  </si>
  <si>
    <t>Equalization</t>
  </si>
  <si>
    <t>Variations to net sales related parties</t>
  </si>
  <si>
    <t>Sales variations</t>
  </si>
  <si>
    <t>Net sales external</t>
  </si>
  <si>
    <t>Net sales related parties</t>
  </si>
  <si>
    <t>Net sales ICO</t>
  </si>
  <si>
    <t>Net sales internal</t>
  </si>
  <si>
    <t>Net sales</t>
  </si>
  <si>
    <t>FC PY</t>
  </si>
  <si>
    <t>YTD PY</t>
  </si>
  <si>
    <t/>
  </si>
  <si>
    <t>RACE
↓</t>
  </si>
  <si>
    <t>Extract from RACE FS Item Report</t>
  </si>
  <si>
    <t>Plan 12</t>
  </si>
  <si>
    <t>Plan 11</t>
  </si>
  <si>
    <t>Plan 10</t>
  </si>
  <si>
    <t>Plan 9</t>
  </si>
  <si>
    <t>Plan 8</t>
  </si>
  <si>
    <t>Plan 7</t>
  </si>
  <si>
    <t>Plan 6</t>
  </si>
  <si>
    <t>Plan 5</t>
  </si>
  <si>
    <t>Plan 4</t>
  </si>
  <si>
    <t>Plan 3</t>
  </si>
  <si>
    <t>Plan 2</t>
  </si>
  <si>
    <t>Plan 1</t>
  </si>
  <si>
    <t>Employees total</t>
  </si>
  <si>
    <t>Apprentices</t>
  </si>
  <si>
    <t>Working students</t>
  </si>
  <si>
    <t>Own employees fix</t>
  </si>
  <si>
    <t>Own employees var.</t>
  </si>
  <si>
    <t>Leas. employees fix</t>
  </si>
  <si>
    <t>Leas. employees var.</t>
  </si>
  <si>
    <t>Employees fix</t>
  </si>
  <si>
    <t>Employees var.</t>
  </si>
  <si>
    <t>Number of Employees Total</t>
  </si>
  <si>
    <t>Plan</t>
  </si>
  <si>
    <t>Trade acc. Payable</t>
  </si>
  <si>
    <t>Trade A/R</t>
  </si>
  <si>
    <t>Fin goods &amp; merch</t>
  </si>
  <si>
    <t>WiP - appl. eng.</t>
  </si>
  <si>
    <t>Work in Progress</t>
  </si>
  <si>
    <t>Raw Materials</t>
  </si>
  <si>
    <t>Plan-1</t>
  </si>
  <si>
    <t>Year-2</t>
  </si>
  <si>
    <t>312508100</t>
  </si>
  <si>
    <t>312507600</t>
  </si>
  <si>
    <t>312507000</t>
  </si>
  <si>
    <t>312503400</t>
  </si>
  <si>
    <t>Oth.op. inc./exp.tot</t>
  </si>
  <si>
    <t>312500000</t>
  </si>
  <si>
    <t>F,G&amp;A expenses</t>
  </si>
  <si>
    <t>312201100</t>
  </si>
  <si>
    <t>F,G and A expenses</t>
  </si>
  <si>
    <t>312200000</t>
  </si>
  <si>
    <t>312002100</t>
  </si>
  <si>
    <t>312001600</t>
  </si>
  <si>
    <t>312001100</t>
  </si>
  <si>
    <t>Sales&amp;distrib.exp.</t>
  </si>
  <si>
    <t>312000000</t>
  </si>
  <si>
    <t>R,D&amp;E alloc. in</t>
  </si>
  <si>
    <t>311503100</t>
  </si>
  <si>
    <t>311500000</t>
  </si>
  <si>
    <t>310503100</t>
  </si>
  <si>
    <t>PE plant admin.</t>
  </si>
  <si>
    <t>310502100</t>
  </si>
  <si>
    <t>PE mat. management</t>
  </si>
  <si>
    <t>310501600</t>
  </si>
  <si>
    <t>310501100</t>
  </si>
  <si>
    <t>Prod.&amp;mat.mgmt.exp.</t>
  </si>
  <si>
    <t>310500000</t>
  </si>
  <si>
    <t>R&amp;A and gen.warr.</t>
  </si>
  <si>
    <t>310003100</t>
  </si>
  <si>
    <t>Other cost var. tot</t>
  </si>
  <si>
    <t>310000000</t>
  </si>
  <si>
    <t>309503600</t>
  </si>
  <si>
    <t>Var.rew/spoil/scrap</t>
  </si>
  <si>
    <t>309503100</t>
  </si>
  <si>
    <t>Var.to mfg oth. tot</t>
  </si>
  <si>
    <t>309500000</t>
  </si>
  <si>
    <t>Var. in manuf. tot</t>
  </si>
  <si>
    <t>308500000</t>
  </si>
  <si>
    <t>Var.to raw mat price</t>
  </si>
  <si>
    <t>Var.to raw mat total</t>
  </si>
  <si>
    <t>308000000</t>
  </si>
  <si>
    <t>307500000</t>
  </si>
  <si>
    <t>307002100</t>
  </si>
  <si>
    <t>307001600</t>
  </si>
  <si>
    <t>Other var. costs</t>
  </si>
  <si>
    <t>307000000</t>
  </si>
  <si>
    <t>Var. manuf. costs</t>
  </si>
  <si>
    <t>306501600</t>
  </si>
  <si>
    <t>306501100</t>
  </si>
  <si>
    <t>Var costs over stand</t>
  </si>
  <si>
    <t>306500000</t>
  </si>
  <si>
    <t>306000000</t>
  </si>
  <si>
    <t>305002100</t>
  </si>
  <si>
    <t>Net sales rel. par.</t>
  </si>
  <si>
    <t>305001700</t>
  </si>
  <si>
    <t>305001600</t>
  </si>
  <si>
    <t>305000000</t>
  </si>
  <si>
    <t>304500000</t>
  </si>
  <si>
    <t>MC after variations</t>
  </si>
  <si>
    <t>304000000</t>
  </si>
  <si>
    <t>303500000</t>
  </si>
  <si>
    <t>NOP</t>
  </si>
  <si>
    <t>303000000</t>
  </si>
  <si>
    <t>302500000</t>
  </si>
  <si>
    <t>Financial Statement Item</t>
  </si>
  <si>
    <t>312504500</t>
  </si>
  <si>
    <t>Equal. PY total</t>
  </si>
  <si>
    <t>312504000</t>
  </si>
  <si>
    <t>PPE RoU dis.ext.gain</t>
  </si>
  <si>
    <t>PPE RoU dis.ext.loss</t>
  </si>
  <si>
    <t>PPE RoU disp.rp.gain</t>
  </si>
  <si>
    <t>PPE disp. re.pa.gain</t>
  </si>
  <si>
    <t>PPE disp. re.pa.loss</t>
  </si>
  <si>
    <t>PPE RoU disp. int.</t>
  </si>
  <si>
    <t>312503311</t>
  </si>
  <si>
    <t>FX op. total</t>
  </si>
  <si>
    <t>312503300</t>
  </si>
  <si>
    <t>311001700</t>
  </si>
  <si>
    <t>311001600</t>
  </si>
  <si>
    <t>311000000</t>
  </si>
  <si>
    <t>310004100</t>
  </si>
  <si>
    <t>Var. to handling</t>
  </si>
  <si>
    <t>310003600</t>
  </si>
  <si>
    <t>Var.to lab.C.T.incr.</t>
  </si>
  <si>
    <t>309502100</t>
  </si>
  <si>
    <t>308002100</t>
  </si>
  <si>
    <t>Inv.val.allo RM&amp;supp</t>
  </si>
  <si>
    <t>308001600</t>
  </si>
  <si>
    <t>Plan 2023</t>
  </si>
  <si>
    <t>NSHS Allocations</t>
  </si>
  <si>
    <t>CO-210000310</t>
  </si>
  <si>
    <t>NSHS Services</t>
  </si>
  <si>
    <t>CO-210000311</t>
  </si>
  <si>
    <t>Ass. f. Central Func</t>
  </si>
  <si>
    <t>CO-210000312</t>
  </si>
  <si>
    <t>CO-210000314</t>
  </si>
  <si>
    <t>Comp. (E01-299)</t>
  </si>
  <si>
    <t>CO-210000320</t>
  </si>
  <si>
    <t>Maintenance E01-320</t>
  </si>
  <si>
    <t>CO-210000321</t>
  </si>
  <si>
    <t>CO-210000322</t>
  </si>
  <si>
    <t>PMME Dep.w/o intang</t>
  </si>
  <si>
    <t>CO-210000323</t>
  </si>
  <si>
    <t>CO-210000325</t>
  </si>
  <si>
    <t>CO-210000326</t>
  </si>
  <si>
    <t>CO-210000329</t>
  </si>
  <si>
    <t>CTL Upload</t>
  </si>
  <si>
    <t>CO-210000000</t>
  </si>
  <si>
    <t>CO-010106600</t>
  </si>
  <si>
    <t>CO-010106100</t>
  </si>
  <si>
    <t>CO-010106000</t>
  </si>
  <si>
    <t>CO-010101100</t>
  </si>
  <si>
    <t>CO-010101000</t>
  </si>
  <si>
    <t>CO-010100000</t>
  </si>
  <si>
    <t>HR-reporting items</t>
  </si>
  <si>
    <t>CO-010000000</t>
  </si>
  <si>
    <t>Goods/Invoice receiv</t>
  </si>
  <si>
    <t>231121000</t>
  </si>
  <si>
    <t>231117000</t>
  </si>
  <si>
    <t>Tr A/P 3rd-nonprod.</t>
  </si>
  <si>
    <t>231116000</t>
  </si>
  <si>
    <t>Tr A/P 3rd-prod. mat</t>
  </si>
  <si>
    <t>231111000</t>
  </si>
  <si>
    <t>Trade acc. payable</t>
  </si>
  <si>
    <t>231100000</t>
  </si>
  <si>
    <t>A/R rel. part. op.</t>
  </si>
  <si>
    <t>131611900</t>
  </si>
  <si>
    <t>Tr A/R 3rd inc doubt</t>
  </si>
  <si>
    <t>131611110</t>
  </si>
  <si>
    <t>131611000</t>
  </si>
  <si>
    <t>131600000</t>
  </si>
  <si>
    <t>Manufactured goods</t>
  </si>
  <si>
    <t>131121100</t>
  </si>
  <si>
    <t>131121000</t>
  </si>
  <si>
    <t>Work in progress</t>
  </si>
  <si>
    <t>131116000</t>
  </si>
  <si>
    <t>Raw mat.-3rd parties</t>
  </si>
  <si>
    <t>131111100</t>
  </si>
  <si>
    <t>Raw materials</t>
  </si>
  <si>
    <t>131111000</t>
  </si>
  <si>
    <t>131100000</t>
  </si>
  <si>
    <t>Actual 2021</t>
  </si>
  <si>
    <t>308001200</t>
  </si>
  <si>
    <t>308001210</t>
  </si>
  <si>
    <t>Material Price Var</t>
  </si>
  <si>
    <t>308001250</t>
  </si>
  <si>
    <t>FX Material</t>
  </si>
  <si>
    <t>309501110</t>
  </si>
  <si>
    <t>309501120</t>
  </si>
  <si>
    <t>309501610</t>
  </si>
  <si>
    <t>Var.in Pr.Labor dep.</t>
  </si>
  <si>
    <t>309501620</t>
  </si>
  <si>
    <t>Var.in Pro.Machine d</t>
  </si>
  <si>
    <t>309501640</t>
  </si>
  <si>
    <t>CO-210000210</t>
  </si>
  <si>
    <t>EBIT volume</t>
  </si>
  <si>
    <t>CO-210000211</t>
  </si>
  <si>
    <t>EBIT mix</t>
  </si>
  <si>
    <t>CO-210000112</t>
  </si>
  <si>
    <t>Sales Price incr./de</t>
  </si>
  <si>
    <t>CO-210000110</t>
  </si>
  <si>
    <t>Plan 2023
↓</t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</si>
  <si>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</si>
  <si>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</si>
  <si>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</si>
  <si>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t>Race entry - Variations rework/spoilage/scrap</t>
  </si>
  <si>
    <t>Race entry - Sales</t>
  </si>
  <si>
    <t>Race entry - Start up</t>
  </si>
  <si>
    <t>Roadmap YE Dec</t>
  </si>
  <si>
    <t>Area 1 - Start-up</t>
  </si>
  <si>
    <t xml:space="preserve">Area 2 - Start-up </t>
  </si>
  <si>
    <t xml:space="preserve">Area 3 - Start-up </t>
  </si>
  <si>
    <t>Area 4 - Start-up</t>
  </si>
  <si>
    <t>check Scrap</t>
  </si>
  <si>
    <t>check Start-up</t>
  </si>
  <si>
    <t>check Sales</t>
  </si>
  <si>
    <t>CHECK vs RACE Download</t>
  </si>
  <si>
    <t>Check vs Race entry</t>
  </si>
  <si>
    <t xml:space="preserve">   thereof Var Logistic cost: inbound customs/duty external</t>
  </si>
  <si>
    <t xml:space="preserve">   thereof Var Logistic cost: inbound customs/duty ICO</t>
  </si>
  <si>
    <t>K-accounts Inbound K56051</t>
  </si>
  <si>
    <t>K-accounts Inbound K5605</t>
  </si>
  <si>
    <t>Cost effect</t>
  </si>
  <si>
    <t>Total structural changes</t>
  </si>
  <si>
    <t>Structural change 2</t>
  </si>
  <si>
    <t>Structural change 3</t>
  </si>
  <si>
    <t>Structural change 4</t>
  </si>
  <si>
    <t>Structural change 5</t>
  </si>
  <si>
    <t>Var. to social cost</t>
  </si>
  <si>
    <t>Variations to manufacturing other input - LDC</t>
  </si>
  <si>
    <t>Variations to manufacturing other input - MDC</t>
  </si>
  <si>
    <t>Variation in Production CC - Labor depending</t>
  </si>
  <si>
    <t>Variation in Production CC - Machine depending</t>
  </si>
  <si>
    <t>Variation actual to standard production order</t>
  </si>
  <si>
    <t>Variation Inbound freight / var. Material Mgmt</t>
  </si>
  <si>
    <t>Variation to ICO customs &amp; Duty</t>
  </si>
  <si>
    <t>ICO licenses/trademarks</t>
  </si>
  <si>
    <t>Disinvestment internal</t>
  </si>
  <si>
    <t>Disinvestment to related party</t>
  </si>
  <si>
    <t>Other non-operating income/expenses</t>
  </si>
  <si>
    <t>Var. to raw material price - until 2021</t>
  </si>
  <si>
    <t>Yes</t>
  </si>
  <si>
    <t>No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</si>
  <si>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</si>
  <si>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1.1 Structural changes</t>
  </si>
  <si>
    <t xml:space="preserve">YTD June </t>
  </si>
  <si>
    <t>Material usage FS 309503600, CIP e.g. RE-DTC measures not included in new Standard BOM</t>
  </si>
  <si>
    <t>Variations to raw material price FS 308000000</t>
  </si>
  <si>
    <t xml:space="preserve">   thereof Material Usage</t>
  </si>
  <si>
    <t>@Avg FX June</t>
  </si>
  <si>
    <t>@Avg FX July</t>
  </si>
  <si>
    <t>Wage increase (var)</t>
  </si>
  <si>
    <t>Wage increase (fix)</t>
  </si>
  <si>
    <t>HC effect</t>
  </si>
  <si>
    <t>Structural change 6</t>
  </si>
  <si>
    <t>Structural change 7</t>
  </si>
  <si>
    <t>Structural change 8</t>
  </si>
  <si>
    <t>Structural change 9</t>
  </si>
  <si>
    <t>Structural change 10</t>
  </si>
  <si>
    <t>Please explain significant structural changes vs FC</t>
  </si>
  <si>
    <t>Examples:</t>
  </si>
  <si>
    <t>Only organizational movement with +/- effects in different profitcenter or between fix and variable should be listed</t>
  </si>
  <si>
    <t>Please do not mentioned one-time effects here</t>
  </si>
  <si>
    <t>Sign logic for Cost: Savings (+) Cost (-)</t>
  </si>
  <si>
    <t>Sign logic for HC: Reduction (-) Increase (+)</t>
  </si>
  <si>
    <t>Info: Subcontracting is part of Material 3rd. Parties (Row 10)</t>
  </si>
  <si>
    <t>FGK-P cost center remaining variable cost (e.g. K4705, K5306, K5404)</t>
  </si>
  <si>
    <t>https://confluence.vitesco.io/pages/viewpage.action?pageId=136846844</t>
  </si>
  <si>
    <t>Total SCM Headcount (Inbound and Outbound, variable and fix)</t>
  </si>
  <si>
    <t>LTB (Last Time Build)</t>
  </si>
  <si>
    <t>ATB (All Time Buy)</t>
  </si>
  <si>
    <t>Raw in transit ext. Supplier</t>
  </si>
  <si>
    <t>In General: figures are taken automatically from RACE except Working Capital (avg.) &amp; Average Turnrate</t>
  </si>
  <si>
    <t>RACE FS 131111000</t>
  </si>
  <si>
    <t>RACE FS 131121000</t>
  </si>
  <si>
    <t>RACE FS 131116000 &amp; 131118000 (WiP appl. eng.)</t>
  </si>
  <si>
    <t>EXT Own production = volumes produced in shop floor and sold to EXT customer -&gt; EXT Volume
ICO Own production = volumes produced in shop floor and sold to ICO customer -&gt; ICO Volume</t>
  </si>
  <si>
    <t>In case that impact is not yet defined, please keep Sales/EBIT/WCAP effect empty instead of typing any text</t>
  </si>
  <si>
    <t>Structual Change HC</t>
  </si>
  <si>
    <t>Structual Change Cost</t>
  </si>
  <si>
    <t>1.1 Structual Changes</t>
  </si>
  <si>
    <t>Cost element groups according to GOA E01-XXX (based on Operations Costcenter node) per line:</t>
  </si>
  <si>
    <t>Cost element group 535 incl. BU Production SERV K66280 w/o allocation account K66271,  w/o PV/Requalification, w/o IT Transfers IN (part of Central Function assessment)</t>
  </si>
  <si>
    <t>Cost element group 345 w/o Depreciation of intangible development assets depreciation</t>
  </si>
  <si>
    <t>RACE FS 312201100 - starting from Budget 2023 incl FSC charges</t>
  </si>
  <si>
    <t>RACE FS 312001100 &amp; FS 312001600</t>
  </si>
  <si>
    <t>Data linked to 5. Logisitc Cost sheet</t>
  </si>
  <si>
    <t>Important: needs to be zero on plant level, please align with your partner outlet - Detailed information here: https://confluence.vitesco.io/pages/viewpage.action?pageId=167612785</t>
  </si>
  <si>
    <t>NSHS Services in PE VK</t>
  </si>
  <si>
    <t>NSHS Allocations in PE VK</t>
  </si>
  <si>
    <t>Expected Layout:</t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</si>
  <si>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</si>
  <si>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t>manual Input
Plant &amp; Outlet
↓</t>
  </si>
  <si>
    <t xml:space="preserve">   thereof utility / energy</t>
  </si>
  <si>
    <t>Account K66271 / K66270</t>
  </si>
  <si>
    <t>Account K66274</t>
  </si>
  <si>
    <t>Gross margin adj.</t>
  </si>
  <si>
    <t>Inv.val.allow.fin.g.</t>
  </si>
  <si>
    <t>312501600</t>
  </si>
  <si>
    <t>Prov.f.dbtful acc.</t>
  </si>
  <si>
    <t>309501650</t>
  </si>
  <si>
    <t>CO-011100000</t>
  </si>
  <si>
    <t>CO-011101000</t>
  </si>
  <si>
    <t>CO-011101100</t>
  </si>
  <si>
    <t>CO-011101110</t>
  </si>
  <si>
    <t>Paid time var.</t>
  </si>
  <si>
    <t>CO-011101120</t>
  </si>
  <si>
    <t>Unpaid time var.</t>
  </si>
  <si>
    <t>CO-011106000</t>
  </si>
  <si>
    <t>CO-011106100</t>
  </si>
  <si>
    <t>CO-011106110</t>
  </si>
  <si>
    <t>Paid time fix</t>
  </si>
  <si>
    <t>CO-011106120</t>
  </si>
  <si>
    <t>Unpaid time fix</t>
  </si>
  <si>
    <t>∆ vs FC 7+5</t>
  </si>
  <si>
    <t>@ Avg FX</t>
  </si>
  <si>
    <t>Effective attendance time/year (minutes)</t>
  </si>
  <si>
    <t>TE minutes based on Budget Volume</t>
  </si>
  <si>
    <t>According definition Plant Cost Structure</t>
  </si>
  <si>
    <t>TE minutes based on Budget Volume from FGK-P costcenter node</t>
  </si>
  <si>
    <t>Area 6 - Variations rework/spoilage/scrap</t>
  </si>
  <si>
    <t>Area 6 - Sales</t>
  </si>
  <si>
    <t>Area 6- Scrap in % of Sales</t>
  </si>
  <si>
    <t>Area 7 - Variations rework/spoilage/scrap</t>
  </si>
  <si>
    <t>Area 7 - Sales</t>
  </si>
  <si>
    <t>Area 8 - Variations rework/spoilage/scrap</t>
  </si>
  <si>
    <t>Area 8 - Sales</t>
  </si>
  <si>
    <t>Area 9 - Variations rework/spoilage/scrap</t>
  </si>
  <si>
    <t>Area 9 - Sales</t>
  </si>
  <si>
    <t>Area 7 - Scrap in % of Sales</t>
  </si>
  <si>
    <t>Area 8 - Scrap in % of Sales</t>
  </si>
  <si>
    <t>Area 9 - Scrap in % of Sales</t>
  </si>
  <si>
    <t>Area 10 - Sales</t>
  </si>
  <si>
    <t>Area 10 - Scrap in % of Sales</t>
  </si>
  <si>
    <t>Area 10 - Variations rework/spoilage/scrap</t>
  </si>
  <si>
    <t>Area 6</t>
  </si>
  <si>
    <t>Area 7</t>
  </si>
  <si>
    <t>Area 8</t>
  </si>
  <si>
    <t>Area 9</t>
  </si>
  <si>
    <t>Area 10</t>
  </si>
  <si>
    <t>Delavan (706)</t>
  </si>
  <si>
    <t>TYO Tokyo (285)</t>
  </si>
  <si>
    <t>Toulouse Srv&amp;Trading (538)</t>
  </si>
  <si>
    <t>Currency Rates BS (Cur FX)</t>
  </si>
  <si>
    <t>Currency Rates P&amp;L (Avg FX)</t>
  </si>
  <si>
    <t>Avgerage FX (P&amp;L)</t>
  </si>
  <si>
    <t>Current FX 
(BS)</t>
  </si>
  <si>
    <t>Budget 2024</t>
  </si>
  <si>
    <t>Variances Budget 2024 vs. FC 7+5 2023</t>
  </si>
  <si>
    <t>2023 vs. 2024</t>
  </si>
  <si>
    <t>@ Bud FX 24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</si>
  <si>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</si>
  <si>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</si>
  <si>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</si>
  <si>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</si>
  <si>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</si>
  <si>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</si>
  <si>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</si>
  <si>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</si>
  <si>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</si>
  <si>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</si>
  <si>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</si>
  <si>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</si>
  <si>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</si>
  <si>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</si>
  <si>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</si>
  <si>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2023
INV FC 7+5</t>
  </si>
  <si>
    <t>Headcount 2024</t>
  </si>
  <si>
    <t>2024
Dec YE</t>
  </si>
  <si>
    <t>2024
Avg. Budget</t>
  </si>
  <si>
    <t>2023
June</t>
  </si>
  <si>
    <t>2023
FC 7+5 (YE Dec)</t>
  </si>
  <si>
    <t>2023
FC 7+5 (Avg)</t>
  </si>
  <si>
    <t>∆
vs. FC 7+5 2023
in %</t>
  </si>
  <si>
    <t>2024 Budget Price</t>
  </si>
  <si>
    <t>2023 Baseline Price</t>
  </si>
  <si>
    <t>BU -&gt; filled in automatically based on outlet selection</t>
  </si>
  <si>
    <t>DIV -&gt; filled in automatically based on outlet selection</t>
  </si>
  <si>
    <t>Local currency -&gt; Filled in automatically based on plant selection</t>
  </si>
  <si>
    <t>A/P rel. part. op.</t>
  </si>
  <si>
    <t>Inv.var.(RM&amp;supp)</t>
  </si>
  <si>
    <t>Var.to mfg oth.inp.</t>
  </si>
  <si>
    <t>Var.Inbound freight</t>
  </si>
  <si>
    <t>Var. ICO Cus. &amp; Duty</t>
  </si>
  <si>
    <t>Var. material usage</t>
  </si>
  <si>
    <t>Var. to freight</t>
  </si>
  <si>
    <t>Other op. inc./ exp.</t>
  </si>
  <si>
    <t>Other op. exp. ext.</t>
  </si>
  <si>
    <t>Other op. inc. ext.</t>
  </si>
  <si>
    <t>Contr. worktime</t>
  </si>
  <si>
    <t>Contr. worktime var.</t>
  </si>
  <si>
    <t>Workt. &amp; absent. var</t>
  </si>
  <si>
    <t>Contr. worktime fix</t>
  </si>
  <si>
    <t>Workt. &amp; absent. fix</t>
  </si>
  <si>
    <t>Posting period</t>
  </si>
  <si>
    <t>000</t>
  </si>
  <si>
    <t>January</t>
  </si>
  <si>
    <t>131111300</t>
  </si>
  <si>
    <t>Supplies</t>
  </si>
  <si>
    <t>131111320</t>
  </si>
  <si>
    <t>Other supplies</t>
  </si>
  <si>
    <t>131121300</t>
  </si>
  <si>
    <t>Merchand. - 3rd part</t>
  </si>
  <si>
    <t>131611500</t>
  </si>
  <si>
    <t>Other amounts rec.</t>
  </si>
  <si>
    <t>311504100</t>
  </si>
  <si>
    <t>312503434</t>
  </si>
  <si>
    <t>CO-011101130</t>
  </si>
  <si>
    <t>Overtime var.</t>
  </si>
  <si>
    <t>CO-011106600</t>
  </si>
  <si>
    <t>Overtime fix</t>
  </si>
  <si>
    <t>CO-012600000</t>
  </si>
  <si>
    <t>Unf/Forc Fluctuation</t>
  </si>
  <si>
    <t>CO-012601000</t>
  </si>
  <si>
    <t>Unf Fluct Total</t>
  </si>
  <si>
    <t>CO-012601100</t>
  </si>
  <si>
    <t>Unf Fluct Variable</t>
  </si>
  <si>
    <t>CO-012601600</t>
  </si>
  <si>
    <t>Unf Fluct Fix</t>
  </si>
  <si>
    <t>Rel. proj. expe. RPE</t>
  </si>
  <si>
    <t>Prod.Val./Req af.G60</t>
  </si>
  <si>
    <t>PMME Dep. int. asset</t>
  </si>
  <si>
    <t>Shared equip. K662x</t>
  </si>
  <si>
    <t>CO-210000113</t>
  </si>
  <si>
    <t>Sales Price - Other</t>
  </si>
  <si>
    <t>none (9)</t>
  </si>
  <si>
    <t>Select RACE outlet number</t>
  </si>
  <si>
    <t>Select RACE plant number</t>
  </si>
  <si>
    <t>FC 2023</t>
  </si>
  <si>
    <t>@Bud FX 24</t>
  </si>
  <si>
    <t>OES</t>
  </si>
  <si>
    <t>Allocation/Backlog</t>
  </si>
  <si>
    <t>MOU</t>
  </si>
  <si>
    <t>Supplier Pulls In</t>
  </si>
  <si>
    <t>one timer</t>
  </si>
  <si>
    <t>regular</t>
  </si>
  <si>
    <t>Check TOTAL</t>
  </si>
  <si>
    <t>Check RAW</t>
  </si>
  <si>
    <t>Check WIP</t>
  </si>
  <si>
    <t>Check FIN</t>
  </si>
  <si>
    <t>@Current FX</t>
  </si>
  <si>
    <t>@Plan FX 24</t>
  </si>
  <si>
    <t>Central Functions (assessed)</t>
  </si>
  <si>
    <t>Wage increase</t>
  </si>
  <si>
    <t>var</t>
  </si>
  <si>
    <t>fix</t>
  </si>
  <si>
    <t xml:space="preserve"> in %</t>
  </si>
  <si>
    <t>External Factors</t>
  </si>
  <si>
    <t>Please comment in case you considered a different wage increase in the cost budget</t>
  </si>
  <si>
    <t>distributed</t>
  </si>
  <si>
    <t>Compensation average fix per Employee (manual)</t>
  </si>
  <si>
    <t>SMD Pool centralization</t>
  </si>
  <si>
    <t>Maintenance harmonization</t>
  </si>
  <si>
    <t>YE 2022
↓</t>
  </si>
  <si>
    <t>YTD June 2023
↓</t>
  </si>
  <si>
    <t>FC 6+6 2023
↓</t>
  </si>
  <si>
    <t>FC 7+5 2023
↓</t>
  </si>
  <si>
    <t>Plan 2024
↓</t>
  </si>
  <si>
    <t>MoveType</t>
  </si>
  <si>
    <t>300</t>
  </si>
  <si>
    <t>OB</t>
  </si>
  <si>
    <t>310</t>
  </si>
  <si>
    <t>Movements</t>
  </si>
  <si>
    <t>Transf. btw. outlets</t>
  </si>
  <si>
    <t>400</t>
  </si>
  <si>
    <t>410</t>
  </si>
  <si>
    <t>Allowance movements</t>
  </si>
  <si>
    <t>Result</t>
  </si>
  <si>
    <t>430</t>
  </si>
  <si>
    <t>Add. to allowance</t>
  </si>
  <si>
    <t>435</t>
  </si>
  <si>
    <t>Rev. of allowance</t>
  </si>
  <si>
    <t>700</t>
  </si>
  <si>
    <t>710</t>
  </si>
  <si>
    <t>#</t>
  </si>
  <si>
    <t>Not assigned</t>
  </si>
  <si>
    <t>122600000</t>
  </si>
  <si>
    <t>PP&amp;E</t>
  </si>
  <si>
    <t>100</t>
  </si>
  <si>
    <t>110</t>
  </si>
  <si>
    <t>Capitalization</t>
  </si>
  <si>
    <t>120</t>
  </si>
  <si>
    <t>Disposals</t>
  </si>
  <si>
    <t>122</t>
  </si>
  <si>
    <t>Scrap</t>
  </si>
  <si>
    <t>130</t>
  </si>
  <si>
    <t>Transf. btw. items</t>
  </si>
  <si>
    <t>135</t>
  </si>
  <si>
    <t>200</t>
  </si>
  <si>
    <t>210</t>
  </si>
  <si>
    <t>Depr./amortiz.</t>
  </si>
  <si>
    <t>211</t>
  </si>
  <si>
    <t>Depr. of tools</t>
  </si>
  <si>
    <t>220</t>
  </si>
  <si>
    <t>Disposals depr.</t>
  </si>
  <si>
    <t>222</t>
  </si>
  <si>
    <t>Scrap depr.</t>
  </si>
  <si>
    <t>235</t>
  </si>
  <si>
    <t>Transf.btw.outl depr</t>
  </si>
  <si>
    <t>122613000</t>
  </si>
  <si>
    <t>Land RoU</t>
  </si>
  <si>
    <t>122617100</t>
  </si>
  <si>
    <t>Buildings&amp;land right</t>
  </si>
  <si>
    <t>122617200</t>
  </si>
  <si>
    <t>Buildings RoU</t>
  </si>
  <si>
    <t>122622000</t>
  </si>
  <si>
    <t>Techn.equip.&amp;machin.</t>
  </si>
  <si>
    <t>122627000</t>
  </si>
  <si>
    <t>Other equipment</t>
  </si>
  <si>
    <t>122628000</t>
  </si>
  <si>
    <t>Other equipment RoU</t>
  </si>
  <si>
    <t>122632000</t>
  </si>
  <si>
    <t>AuC/Advances</t>
  </si>
  <si>
    <t>122637000</t>
  </si>
  <si>
    <t>Molds/cont./tooling</t>
  </si>
  <si>
    <t>304500000_Result</t>
  </si>
  <si>
    <t>305000000_Result</t>
  </si>
  <si>
    <t>305001100_Result</t>
  </si>
  <si>
    <t>305001600_Result</t>
  </si>
  <si>
    <t>305001700_Result</t>
  </si>
  <si>
    <t>305002100_Result</t>
  </si>
  <si>
    <t>305500000_Result</t>
  </si>
  <si>
    <t>305501700_Result</t>
  </si>
  <si>
    <t>305502200_Result</t>
  </si>
  <si>
    <t>306000000_Result</t>
  </si>
  <si>
    <t>306500000_Result</t>
  </si>
  <si>
    <t>306501100_Result</t>
  </si>
  <si>
    <t>306501600_Result</t>
  </si>
  <si>
    <t>307000000_Result</t>
  </si>
  <si>
    <t>307001600_Result</t>
  </si>
  <si>
    <t>307002100_Result</t>
  </si>
  <si>
    <t>307003100_Result</t>
  </si>
  <si>
    <t>307500000_Result</t>
  </si>
  <si>
    <t>308000000_Result</t>
  </si>
  <si>
    <t>308001200_Result</t>
  </si>
  <si>
    <t>308001100_Result</t>
  </si>
  <si>
    <t>308001600_Result</t>
  </si>
  <si>
    <t>308002100_Result</t>
  </si>
  <si>
    <t>308002600_Result</t>
  </si>
  <si>
    <t>308003100_Result</t>
  </si>
  <si>
    <t>308500000_Result</t>
  </si>
  <si>
    <t>309501100_Result</t>
  </si>
  <si>
    <t>309501110_Result</t>
  </si>
  <si>
    <t>309501120_Result</t>
  </si>
  <si>
    <t>309501600_Result</t>
  </si>
  <si>
    <t>309501610_Result</t>
  </si>
  <si>
    <t>309501620_Result</t>
  </si>
  <si>
    <t>309501630_Result</t>
  </si>
  <si>
    <t>309501640_Result</t>
  </si>
  <si>
    <t>309501650_Result</t>
  </si>
  <si>
    <t>309502100_Result</t>
  </si>
  <si>
    <t>309503100_Result</t>
  </si>
  <si>
    <t>309503600_Result</t>
  </si>
  <si>
    <t>309504100_Result</t>
  </si>
  <si>
    <t>310000000_Result</t>
  </si>
  <si>
    <t>310001100_Result</t>
  </si>
  <si>
    <t>310003100_Result</t>
  </si>
  <si>
    <t>310003600_Result</t>
  </si>
  <si>
    <t>310004100_Result</t>
  </si>
  <si>
    <t>310006600_Result</t>
  </si>
  <si>
    <t>304000000_Result</t>
  </si>
  <si>
    <t>310500000_Result</t>
  </si>
  <si>
    <t>310501100_Result</t>
  </si>
  <si>
    <t>310501600_Result</t>
  </si>
  <si>
    <t>310502100_Result</t>
  </si>
  <si>
    <t>310503100_Result</t>
  </si>
  <si>
    <t>310504100_Result</t>
  </si>
  <si>
    <t>311000000_Result</t>
  </si>
  <si>
    <t>311001100_Result</t>
  </si>
  <si>
    <t>311001600_Result</t>
  </si>
  <si>
    <t>311001700_Result</t>
  </si>
  <si>
    <t>303500000_Result</t>
  </si>
  <si>
    <t>311500000_Result</t>
  </si>
  <si>
    <t>311500600_Result</t>
  </si>
  <si>
    <t>311500610_Result</t>
  </si>
  <si>
    <t>311500620_Result</t>
  </si>
  <si>
    <t>311501900_Result</t>
  </si>
  <si>
    <t>311501910_Result</t>
  </si>
  <si>
    <t>311501920_Result</t>
  </si>
  <si>
    <t>311502000_Result</t>
  </si>
  <si>
    <t>311502200_Result</t>
  </si>
  <si>
    <t>311502300_Result</t>
  </si>
  <si>
    <t>311502500_Result</t>
  </si>
  <si>
    <t>311502700_Result</t>
  </si>
  <si>
    <t>311503100_Result</t>
  </si>
  <si>
    <t>311503600_Result</t>
  </si>
  <si>
    <t>311504100_Result</t>
  </si>
  <si>
    <t>312000000_Result</t>
  </si>
  <si>
    <t>312001100_Result</t>
  </si>
  <si>
    <t>312001600_Result</t>
  </si>
  <si>
    <t>312002100_Result</t>
  </si>
  <si>
    <t>312003600_Result</t>
  </si>
  <si>
    <t>312200000_Result</t>
  </si>
  <si>
    <t>312201100_Result</t>
  </si>
  <si>
    <t>312202100_Result</t>
  </si>
  <si>
    <t>312500000_Result</t>
  </si>
  <si>
    <t>312501100_Result</t>
  </si>
  <si>
    <t>312501600_Result</t>
  </si>
  <si>
    <t>312502100_Result</t>
  </si>
  <si>
    <t>312502610_Result</t>
  </si>
  <si>
    <t>312502620_Result</t>
  </si>
  <si>
    <t>312502700_Result</t>
  </si>
  <si>
    <t>312502710_Result</t>
  </si>
  <si>
    <t>312502711_Result</t>
  </si>
  <si>
    <t>312502712_Result</t>
  </si>
  <si>
    <t>312502720_Result</t>
  </si>
  <si>
    <t>312502722_Result</t>
  </si>
  <si>
    <t>312503200_Result</t>
  </si>
  <si>
    <t>312503300_Result</t>
  </si>
  <si>
    <t>312503311_Result</t>
  </si>
  <si>
    <t>312503316_Result</t>
  </si>
  <si>
    <t>312503321_Result</t>
  </si>
  <si>
    <t>312503400_Result</t>
  </si>
  <si>
    <t>312503421_Result</t>
  </si>
  <si>
    <t>312503425_Result</t>
  </si>
  <si>
    <t>312503426_Result</t>
  </si>
  <si>
    <t>312503427_Result</t>
  </si>
  <si>
    <t>312503429_Result</t>
  </si>
  <si>
    <t>312503430_Result</t>
  </si>
  <si>
    <t>312503431_Result</t>
  </si>
  <si>
    <t>312503432_Result</t>
  </si>
  <si>
    <t>312503433_Result</t>
  </si>
  <si>
    <t>312503434_Result</t>
  </si>
  <si>
    <t>312504000_Result</t>
  </si>
  <si>
    <t>312504500_Result</t>
  </si>
  <si>
    <t>312504310_Result</t>
  </si>
  <si>
    <t>312504320_Result</t>
  </si>
  <si>
    <t>312505100_Result</t>
  </si>
  <si>
    <t>312505600_Result</t>
  </si>
  <si>
    <t>312506100_Result</t>
  </si>
  <si>
    <t>312506600_Result</t>
  </si>
  <si>
    <t>312506800_Result</t>
  </si>
  <si>
    <t>312507000_Result</t>
  </si>
  <si>
    <t>312507600_Result</t>
  </si>
  <si>
    <t>312507700_Result</t>
  </si>
  <si>
    <t>312507800_Result</t>
  </si>
  <si>
    <t>312508100_Result</t>
  </si>
  <si>
    <t>312508200_Result</t>
  </si>
  <si>
    <t>312508300_Result</t>
  </si>
  <si>
    <t>314000000_Result</t>
  </si>
  <si>
    <t>314001600_Result</t>
  </si>
  <si>
    <t>303000000_Result</t>
  </si>
  <si>
    <t>315000000_Result</t>
  </si>
  <si>
    <t>315001600_Result</t>
  </si>
  <si>
    <t>315002100_Result</t>
  </si>
  <si>
    <t>315002500_Result</t>
  </si>
  <si>
    <t>315002600_Result</t>
  </si>
  <si>
    <t>315003600_Result</t>
  </si>
  <si>
    <t>315004100_Result</t>
  </si>
  <si>
    <t>315004200_Result</t>
  </si>
  <si>
    <t>315004300_Result</t>
  </si>
  <si>
    <t>302500000_Result</t>
  </si>
  <si>
    <t>131100000_Result</t>
  </si>
  <si>
    <t>131111000_Result</t>
  </si>
  <si>
    <t>131116000_Result</t>
  </si>
  <si>
    <t>131118000_Result</t>
  </si>
  <si>
    <t>131121000_Result</t>
  </si>
  <si>
    <t>131600000_Result</t>
  </si>
  <si>
    <t>231100000_Result</t>
  </si>
  <si>
    <t>CO-010101000_Result</t>
  </si>
  <si>
    <t>CO-010106000_Result</t>
  </si>
  <si>
    <t>CO-010101600_Result</t>
  </si>
  <si>
    <t>CO-010106600_Result</t>
  </si>
  <si>
    <t>CO-010101100_Result</t>
  </si>
  <si>
    <t>CO-010106100_Result</t>
  </si>
  <si>
    <t>CO-010604000_Result</t>
  </si>
  <si>
    <t>CO-010601000_Result</t>
  </si>
  <si>
    <t>CO-010100000_Result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</si>
  <si>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</si>
  <si>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</si>
  <si>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</si>
  <si>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</si>
  <si>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</si>
  <si>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</si>
  <si>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</si>
  <si>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</si>
  <si>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</si>
  <si>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</si>
  <si>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</si>
  <si>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</si>
  <si>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</si>
  <si>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</si>
  <si>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</si>
  <si>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122142000_110</t>
  </si>
  <si>
    <t>122100000</t>
  </si>
  <si>
    <t>Other intang. assets</t>
  </si>
  <si>
    <t>122133000</t>
  </si>
  <si>
    <t>Intang devel. assets</t>
  </si>
  <si>
    <t>122133100</t>
  </si>
  <si>
    <t>R&amp;D devel. assets</t>
  </si>
  <si>
    <t>122142000</t>
  </si>
  <si>
    <t>Softw f int purp</t>
  </si>
  <si>
    <t>Please explain significant risks and opportunities, which are not considered in Budget 2024</t>
  </si>
  <si>
    <t>2023 Baseline Price = Budget volume 2024 * Baseline prices 2023 from MODIAS</t>
  </si>
  <si>
    <t>2024 Budget Price = Budget volume 2024 * Baseline prices 2024 from MODIAS</t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</si>
  <si>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</si>
  <si>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applied in budget</t>
  </si>
  <si>
    <t>122142000_115</t>
  </si>
  <si>
    <t>122617100_110</t>
  </si>
  <si>
    <t>122622000_110</t>
  </si>
  <si>
    <t>122622000_115</t>
  </si>
  <si>
    <t>122622000_117</t>
  </si>
  <si>
    <t>122627000_110</t>
  </si>
  <si>
    <t>122627000_115</t>
  </si>
  <si>
    <t>122632000_110</t>
  </si>
  <si>
    <t>122637000_110</t>
  </si>
  <si>
    <t>Adv.to suppl.intang. (Capitalization)</t>
  </si>
  <si>
    <t>Softw f int purp (Capitalization)</t>
  </si>
  <si>
    <t>Softw f int purp (Invest.grants)</t>
  </si>
  <si>
    <t>Buildings&amp;land right (Capitalization)</t>
  </si>
  <si>
    <t>Techn.equip.&amp;machin. (Capitalization)</t>
  </si>
  <si>
    <t>Techn.equip.&amp;machin. (Invest.grants)</t>
  </si>
  <si>
    <t>Techn.equip.&amp;machin. (Cap. spare parts)</t>
  </si>
  <si>
    <t>Other equipment (Capitalization)</t>
  </si>
  <si>
    <t>Other equipment (Invest.grants)</t>
  </si>
  <si>
    <t>AuC/Advances (Capitalization)</t>
  </si>
  <si>
    <t>Molds/cont./tooling (Capitalization)</t>
  </si>
  <si>
    <t>Wage increase (calc fix own HC)</t>
  </si>
  <si>
    <t>Wage increase (calc var own HC)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</si>
  <si>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</si>
  <si>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>FC: FC volumes * Transfer-price 2023 ; Budget: BUD volumes * preliminary Transfer-Price 2024 received from ICO sending partner (= ICO Sales in RACE from sender)</t>
  </si>
  <si>
    <t>Please show the top scrap focus areas concerning stable serial production (eg. lines, product groups, projects)</t>
  </si>
  <si>
    <t xml:space="preserve">Please show the top focus areas concerning ramp-up / new product launch (eg. lines, product groups, projects) </t>
  </si>
  <si>
    <t>Cost element group 299 - in general: S87x3x, S87490, S87491, S87294, S87295, S87296, S87431</t>
  </si>
  <si>
    <t>Own fix SCM HC &amp; CF fix SCM HC allocated to Product Line according Common Profit Center Key</t>
  </si>
  <si>
    <t>K-accounts K5601, K5603, K5610, K5611, K5612, K5613</t>
  </si>
  <si>
    <t xml:space="preserve">K-accounts  K6115, K6119, K6131, K6133, K6140 </t>
  </si>
  <si>
    <t>Please enter the inventory values seasonalized and split toregular and one timer</t>
  </si>
  <si>
    <t>Please check that the detailled breakdown matches the total RACE number</t>
  </si>
  <si>
    <t>Wage increase in % as distributed with external factors for Budget 2024 vs applied wage increase in % for cost budget</t>
  </si>
  <si>
    <t>Details in Central Function planning  -&gt; HC originally assigned in Central Function and assessed in RACE to O-node according common profitcenter key</t>
  </si>
  <si>
    <t>HC from common / shared profitcenter, If applicable</t>
  </si>
  <si>
    <t>FGK costcenter node (NEF + FEF in Production), only HC assigned to own profitcenter / BU</t>
  </si>
  <si>
    <t>Central Management R&amp;D ostcenter</t>
  </si>
  <si>
    <t>(Total variable Labor Cost E01-299 from FGK-P, FGK-S,MGK, VK) / (average variable Heads)</t>
  </si>
  <si>
    <t>(Fix compensation cost E01-299 from Operations and Central Function node) / (average fix heads from Operations and Central Function node)</t>
  </si>
  <si>
    <t>Average Turnrate - manual input required for 2022 annd 2023, Budget linked to Inventory sheet</t>
  </si>
  <si>
    <t>Calculation Inventory sheet: Budget 2024 = Sales Budget 2024 / (Jan - Dec) Budget Inventories /12 months</t>
  </si>
  <si>
    <t>Calculation FC 7+5 =  Sales FC 7+5 / (Jan - Dec) FC 7+5 Inventories /12 months</t>
  </si>
  <si>
    <t>Spending w/o RoU</t>
  </si>
  <si>
    <t>Actual 2022</t>
  </si>
  <si>
    <t>YTD Act Jun 2023</t>
  </si>
  <si>
    <t>FC 2023 6+6</t>
  </si>
  <si>
    <t>FC 2023 7+5</t>
  </si>
  <si>
    <t>Plan 2024</t>
  </si>
  <si>
    <t>Target 2024</t>
  </si>
  <si>
    <t>HC YE - Total Central Functions (assessed) Variable</t>
  </si>
  <si>
    <t>HC YE - Total Central Functions (assessed) Fix</t>
  </si>
  <si>
    <t>HC Avg - Total Central Functions (assessed) Variable</t>
  </si>
  <si>
    <t>HC Avg - Total Central Functions (assessed) Fix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</si>
  <si>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</si>
  <si>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ICO cost (Purchases) incl. value add sender</t>
  </si>
  <si>
    <t xml:space="preserve">   thereof Standard material 
   incl. subcontracting / cash discount (w/o ICO)</t>
  </si>
  <si>
    <t>Calculated wage increase = (Budget 2024 Total Variable Labor Cost / (1+wage increase var in %) ) - Budget 2024 Total Variable Labor Cost</t>
  </si>
  <si>
    <t>K-accounts K5604 (incl. returnables), K05501 for MGK</t>
  </si>
  <si>
    <t>K-accounts K6107  (incl. returnables) , K05501 for VK</t>
  </si>
  <si>
    <t>7521 &amp; 7522 PL Mechatronic Sensors (&amp; Electrification)</t>
  </si>
  <si>
    <t>7321 &amp; 7322 PL Drivetrain Actuators (&amp; Electrification)</t>
  </si>
  <si>
    <t>7311 &amp; 7312 PL Engine Actuators (&amp; Electrification)</t>
  </si>
  <si>
    <t>7531 &amp; 7532 PL Pressure &amp; Airflow Sensors (&amp; Electrification)</t>
  </si>
  <si>
    <t>7541 &amp; 7542 PL Powertrain Controls (&amp; Electrification)</t>
  </si>
  <si>
    <t>7621 &amp; 7622  PL 2-Wheeler &amp; Powersports (&amp; Electrification)</t>
  </si>
  <si>
    <t>7621 &amp; 7622</t>
  </si>
  <si>
    <t>7311 &amp; 7312</t>
  </si>
  <si>
    <t>7321 &amp; 7322</t>
  </si>
  <si>
    <t>7521 &amp; 7522</t>
  </si>
  <si>
    <t>7531 &amp; 7532</t>
  </si>
  <si>
    <t>7541 &amp; 7542</t>
  </si>
  <si>
    <t>Only 1 plant, 1 outlet per Booklet</t>
  </si>
  <si>
    <t>Race Management Structure for Budget 2024</t>
  </si>
  <si>
    <t>Calculated wage increase = (Budget 2024 PMME Compensation / (1+wage increase fix in %) ) - Budget 2024 PMME Compensation | without CF wage increase</t>
  </si>
  <si>
    <t>Cost element group E01-299 for Inbound (MGK) | Calc price effect: wage increase = (Budget 2024 Labor Cost / (1+wage increase var in %) ) - Budget 2024 Labor Cost</t>
  </si>
  <si>
    <t>K-accounts  K6115, K6119, K6131, K6133, K6140 | Calc price effect: wage increase = (Budget 2024 Labor Cost / (1+wage increase var in %) ) - Budget 2024 Labor Cost</t>
  </si>
  <si>
    <t xml:space="preserve">   Variable Labour cost (Production)</t>
  </si>
  <si>
    <t xml:space="preserve">   Variable Labour cost (MGK/VK)</t>
  </si>
  <si>
    <t xml:space="preserve">   Labour cost charge in/out from other PL</t>
  </si>
  <si>
    <t xml:space="preserve">   thereof charges in/out from other PL</t>
  </si>
  <si>
    <t>Residual number (e.g. rounding differences, delta to RACE) - In case of significant figures please comment</t>
  </si>
  <si>
    <t>Labour cost charge in/out from other PL</t>
  </si>
  <si>
    <t>Exception: new Electrification Outlets - to have useful bridges FC to BUD please fill for old &amp; new outlet numbers together</t>
  </si>
  <si>
    <t>Material 3rd Parties &amp; ICO Material/Cost Purchaser in % of Sales</t>
  </si>
  <si>
    <t>TE debits/credits to/from other Outlets due to shared production lines / shared labor pool</t>
  </si>
  <si>
    <t>TGB debits/credits to/from other Outlets due to shared production lines</t>
  </si>
  <si>
    <t>in line with new Maintenenace concept budget 2024 - cost element group 320/480 (without labor cost &amp; internal activity)</t>
  </si>
  <si>
    <t>LVA, Travel/Training, no more hourly booking from variable Maintenance, no more FSC charges</t>
  </si>
  <si>
    <t>in line with new Maintenenace concept budget 2024 - cost element group 320/480</t>
  </si>
  <si>
    <t>7821 &amp; 7822</t>
  </si>
  <si>
    <t>7821 PL Drivetrain Controls (&amp; Electrification)</t>
  </si>
  <si>
    <t>122137000</t>
  </si>
  <si>
    <t>Adv.to suppl.intang.</t>
  </si>
  <si>
    <t>148</t>
  </si>
  <si>
    <t>Transf betw FS items</t>
  </si>
  <si>
    <t>248</t>
  </si>
  <si>
    <t>440</t>
  </si>
  <si>
    <t>Transf.btw.outl all.</t>
  </si>
  <si>
    <t>740</t>
  </si>
  <si>
    <t>305500000</t>
  </si>
  <si>
    <t>305502200</t>
  </si>
  <si>
    <t>Equalization ICO</t>
  </si>
  <si>
    <t>311001100</t>
  </si>
  <si>
    <t>Inv.var.fin.goods</t>
  </si>
  <si>
    <t>312503421</t>
  </si>
  <si>
    <t>312503433</t>
  </si>
  <si>
    <t>312505100</t>
  </si>
  <si>
    <t>Rec.&amp;other spec.war.</t>
  </si>
  <si>
    <t>CO-012100000</t>
  </si>
  <si>
    <t>Lost hours</t>
  </si>
  <si>
    <t>CO-012170000</t>
  </si>
  <si>
    <t>CO-210000313</t>
  </si>
  <si>
    <t>Assessment from FF</t>
  </si>
  <si>
    <t>CO-210000114</t>
  </si>
  <si>
    <t>Sales Price FX Trans</t>
  </si>
  <si>
    <t>R, D &amp; E</t>
  </si>
  <si>
    <t>Goodwill impairment</t>
  </si>
  <si>
    <t>Cost of disp. (HFS)</t>
  </si>
  <si>
    <t>Impair disp group</t>
  </si>
  <si>
    <t>315001100_Result</t>
  </si>
  <si>
    <t>315002610_Result</t>
  </si>
  <si>
    <t>315002620_Result</t>
  </si>
  <si>
    <t>V2</t>
  </si>
  <si>
    <t>160</t>
  </si>
  <si>
    <t>CTA</t>
  </si>
  <si>
    <t>260</t>
  </si>
  <si>
    <t>122612000</t>
  </si>
  <si>
    <t>Land</t>
  </si>
  <si>
    <t>348</t>
  </si>
  <si>
    <t>360</t>
  </si>
  <si>
    <t>460</t>
  </si>
  <si>
    <t>420</t>
  </si>
  <si>
    <t>Usage of allowance</t>
  </si>
  <si>
    <t>748</t>
  </si>
  <si>
    <t>760</t>
  </si>
  <si>
    <t>309501630</t>
  </si>
  <si>
    <t>Var.act to std.prod.</t>
  </si>
  <si>
    <t>309504100</t>
  </si>
  <si>
    <t>Var.due t.startUp C</t>
  </si>
  <si>
    <t>310006600</t>
  </si>
  <si>
    <t>Other cost var.</t>
  </si>
  <si>
    <t>311503600</t>
  </si>
  <si>
    <t>R,D&amp;E alloc. out</t>
  </si>
  <si>
    <t>312508300</t>
  </si>
  <si>
    <t>Oth. op. inc. re.pa.</t>
  </si>
  <si>
    <t>HV Board (eICB/eIGB 100/101/102/103)</t>
  </si>
  <si>
    <t>HV Board (eICB/eIGB 200/201)</t>
  </si>
  <si>
    <t>HV Inverter (800V inverter)</t>
  </si>
  <si>
    <t>HV Double Inverter (HPCU)</t>
  </si>
  <si>
    <t>MERC</t>
  </si>
  <si>
    <t>Int. WH 3 &amp; Rec. WH</t>
  </si>
  <si>
    <t>Ship WH</t>
  </si>
  <si>
    <t>Plant total figure, E01-297(around 4.6K EUR) posted under fix cost area not variable(employee benefit program, present for employee, medical exam, sick and health care, shuttle bus)</t>
  </si>
  <si>
    <t>Plant total figure</t>
  </si>
  <si>
    <t>Include overtime</t>
  </si>
  <si>
    <t>Gap between ICO purchase and PE ICO</t>
  </si>
  <si>
    <t>Structural change : Technician labor cost (917K EUR) goes to MDC from 2024</t>
  </si>
  <si>
    <t>0.5% of external sales</t>
  </si>
  <si>
    <t>Occupied space increase, electricity price increase 5%</t>
  </si>
  <si>
    <t>Maintenance cost moved from LDC to MDC (917K EUR)</t>
  </si>
  <si>
    <t>Merchandise and one time support raw materials
FC7+5 : REACT target 7.3M, Broker reimbursement 747K and MECR</t>
  </si>
  <si>
    <t>EPF4 start up is shown at other side due to no sales on MTC side</t>
  </si>
  <si>
    <t>EPF4 scrap is shown at other side due to no sales on MTC side</t>
  </si>
  <si>
    <t>Additional MOU Overstock Risk (value not yet defined)</t>
  </si>
  <si>
    <t>General background : Inflation rate 2.3%</t>
  </si>
  <si>
    <t>All of MTC project sales has been increase with market demand increase in eco-friendly vehicles such as hybrid and electric cars.</t>
  </si>
  <si>
    <t>Material cost rate has increased about 15.8%p (-30M EUR), mainly due to volume increase and EPF4 material cost impact (-7.4M EUR).</t>
  </si>
  <si>
    <t>R&amp;D allocation in increase of 2.7M EUR (45%) vs FC7+5.</t>
  </si>
  <si>
    <t>Structural change for Technician cost by VT O guideline. Technician cost is now under MDC side meaning that MDC (vice versa LDC is less) is larger than previous structure.</t>
  </si>
  <si>
    <t>CF cost assessment increase due to CM portion (espeicially CM PSS sales decrease) decrease and FM cost increase, global IT cost increase</t>
  </si>
  <si>
    <t>Comparing to FC, Central assessment cost increase as sales amount decrease</t>
  </si>
  <si>
    <t>CM sales decrease leads to FFQ cost assessment increase</t>
  </si>
  <si>
    <t>Average HC increase vs FC (5.2 -&gt; 6) -82K EUR
Other compensation increase such as welfare point, customery present, and commuting cost due to variable HC increase that is represented in fix cost -273K EUR</t>
  </si>
  <si>
    <t>Target amount is applied rather than VT lab survey result</t>
  </si>
  <si>
    <t>EPF4 40K, HPCU 40K, Board 50K EUR</t>
  </si>
  <si>
    <t>Calibration and Inspection fee</t>
  </si>
  <si>
    <t>800V Inverter / EPF4 Material duty increasing</t>
    <phoneticPr fontId="0" type="noConversion"/>
  </si>
  <si>
    <t>800v inverter / HPCU product MIX impact --&gt; Depot outsourcing cost</t>
    <phoneticPr fontId="0" type="noConversion"/>
  </si>
  <si>
    <t>EBIT is -9.8% (6% less than FC 7+5)</t>
  </si>
  <si>
    <t>122612000_110</t>
  </si>
  <si>
    <t>Land (Capitalization)</t>
  </si>
  <si>
    <t>Sales amount increase 32% (volume increase 27.5%) after taking opportunity of 1.4M EUR, sales goes up to 127M EUR or -10.6% of EBIT ratio</t>
  </si>
  <si>
    <t>ICO variable 12.1M, material cost 7.3M, line share LDC 168K, line share MDC 276K, supplier tooling 459K, scrap 447K, start up 707K, inbound cost 61K EUR</t>
  </si>
  <si>
    <t>SMD technician 3, Repair 4, Technician 11</t>
  </si>
  <si>
    <t>SMD 20, operator 57, Sample application 3</t>
  </si>
  <si>
    <t>All other 7.3M EUR is material cost of EPF4</t>
  </si>
  <si>
    <t>-707K EUR will be moved to HVD</t>
  </si>
  <si>
    <t>Scrap improvement by stabilization of production line (800V inverter), -643K EUR is due to HVD</t>
  </si>
  <si>
    <t>Line share cost increase + PE ICO 4.6M EUR</t>
  </si>
  <si>
    <t>PE ICO will be shown at final version -4.6M EUR</t>
  </si>
  <si>
    <t>mainly due to new project for HPCU and SVCT (463K EUR will be charged)</t>
  </si>
  <si>
    <t>Industrial engineering 1 HC</t>
  </si>
  <si>
    <t>140</t>
  </si>
  <si>
    <t>ICO acq.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</si>
</sst>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(* #,##0.00_);_(* \(#,##0.00\);_(* &quot;-&quot;??_);_(@_)"/>
    <numFmt numFmtId="165" formatCode="#,##0.0000"/>
    <numFmt numFmtId="166" formatCode="#,##0;\(#,##0\)"/>
    <numFmt numFmtId="167" formatCode="0.0%"/>
    <numFmt numFmtId="168" formatCode="#,##0.0"/>
    <numFmt numFmtId="169" formatCode="##0.0"/>
    <numFmt numFmtId="170" formatCode="#,##0_);\(#,##0\);0_)"/>
    <numFmt numFmtId="171" formatCode="###,000"/>
    <numFmt numFmtId="172" formatCode="&quot;         &quot;@"/>
    <numFmt numFmtId="173" formatCode="&quot;  [-] &quot;@"/>
    <numFmt numFmtId="174" formatCode="&quot;             &quot;@"/>
    <numFmt numFmtId="175" formatCode="&quot;      [-] &quot;@"/>
    <numFmt numFmtId="176" formatCode="&quot;           &quot;@"/>
    <numFmt numFmtId="177" formatCode="&quot;    [-] &quot;@"/>
    <numFmt numFmtId="178" formatCode="&quot;                   &quot;@"/>
    <numFmt numFmtId="179" formatCode="&quot;            [-] &quot;@"/>
    <numFmt numFmtId="180" formatCode="&quot;                     &quot;@"/>
    <numFmt numFmtId="181" formatCode="&quot;              [-] &quot;@"/>
    <numFmt numFmtId="182" formatCode="&quot;                 &quot;@"/>
    <numFmt numFmtId="183" formatCode="&quot;        [-] &quot;@"/>
    <numFmt numFmtId="184" formatCode="&quot;[-] &quot;@"/>
    <numFmt numFmtId="185" formatCode="&quot;       &quot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Calibri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Calibri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Calibri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</fills>
  <borders count="9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theme="3" tint="-0.24994659260841701"/>
      </bottom>
      <diagonal/>
    </border>
    <border>
      <left/>
      <right style="thin">
        <color theme="3" tint="-0.24994659260841701"/>
      </right>
      <top/>
      <bottom/>
      <diagonal/>
    </border>
  </borders>
  <cellStyleXfs count="8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68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5" applyNumberFormat="0" applyProtection="0">
      <alignment horizontal="left" vertical="center" indent="1"/>
    </xf>
    <xf numFmtId="0" fontId="2" fillId="0" borderId="0"/>
    <xf numFmtId="0" fontId="1" fillId="0" borderId="0"/>
    <xf numFmtId="171" fontId="37" fillId="0" borderId="68" applyNumberFormat="0" applyProtection="0">
      <alignment horizontal="right" vertical="center"/>
    </xf>
    <xf numFmtId="171" fontId="38" fillId="0" borderId="69" applyNumberFormat="0" applyProtection="0">
      <alignment horizontal="right" vertical="center"/>
    </xf>
    <xf numFmtId="0" fontId="39" fillId="27" borderId="70" applyNumberFormat="0" applyAlignment="0" applyProtection="0">
      <alignment horizontal="left" vertical="center" indent="1"/>
    </xf>
    <xf numFmtId="0" fontId="39" fillId="28" borderId="70" applyNumberFormat="0" applyAlignment="0" applyProtection="0">
      <alignment horizontal="left" vertical="center" indent="1"/>
    </xf>
    <xf numFmtId="0" fontId="39" fillId="29" borderId="68" applyNumberFormat="0" applyAlignment="0" applyProtection="0">
      <alignment horizontal="left" vertical="center" indent="1"/>
    </xf>
    <xf numFmtId="0" fontId="39" fillId="30" borderId="70" applyNumberFormat="0" applyAlignment="0" applyProtection="0">
      <alignment horizontal="left" vertical="center" indent="1"/>
    </xf>
    <xf numFmtId="0" fontId="40" fillId="31" borderId="70" applyNumberFormat="0" applyProtection="0">
      <alignment vertical="center"/>
    </xf>
    <xf numFmtId="0" fontId="40" fillId="31" borderId="70" applyAlignment="0" applyProtection="0">
      <alignment horizontal="left" vertical="center" indent="1"/>
    </xf>
    <xf numFmtId="0" fontId="39" fillId="32" borderId="70" applyNumberFormat="0" applyAlignment="0" applyProtection="0">
      <alignment horizontal="left" vertical="center" indent="1"/>
    </xf>
    <xf numFmtId="0" fontId="37" fillId="33" borderId="68" applyNumberFormat="0" applyAlignment="0" applyProtection="0">
      <alignment horizontal="left" vertical="center" indent="1"/>
    </xf>
    <xf numFmtId="171" fontId="38" fillId="34" borderId="70" applyNumberFormat="0" applyAlignment="0" applyProtection="0">
      <alignment horizontal="left" vertical="center" indent="1"/>
    </xf>
    <xf numFmtId="0" fontId="37" fillId="33" borderId="70" applyNumberFormat="0" applyAlignment="0" applyProtection="0">
      <alignment horizontal="left" vertical="center" indent="1"/>
    </xf>
    <xf numFmtId="171" fontId="38" fillId="34" borderId="70" applyNumberFormat="0" applyAlignment="0" applyProtection="0">
      <alignment horizontal="left" vertical="center" indent="1"/>
    </xf>
    <xf numFmtId="0" fontId="39" fillId="35" borderId="68" applyNumberFormat="0" applyAlignment="0">
      <alignment horizontal="left" vertical="center" indent="1"/>
      <protection locked="0"/>
    </xf>
    <xf numFmtId="0" fontId="39" fillId="29" borderId="68" applyNumberFormat="0" applyAlignment="0" applyProtection="0">
      <alignment horizontal="left" vertical="center" indent="1"/>
    </xf>
    <xf numFmtId="171" fontId="38" fillId="30" borderId="69" applyNumberFormat="0" applyBorder="0">
      <alignment horizontal="right" vertical="center"/>
      <protection locked="0"/>
    </xf>
    <xf numFmtId="0" fontId="39" fillId="35" borderId="68" applyNumberFormat="0" applyAlignment="0">
      <alignment horizontal="left" vertical="center" indent="1"/>
      <protection locked="0"/>
    </xf>
    <xf numFmtId="171" fontId="37" fillId="29" borderId="68" applyNumberFormat="0" applyProtection="0">
      <alignment horizontal="right" vertical="center"/>
    </xf>
    <xf numFmtId="171" fontId="37" fillId="30" borderId="68" applyNumberFormat="0" applyBorder="0">
      <alignment horizontal="right" vertical="center"/>
      <protection locked="0"/>
    </xf>
    <xf numFmtId="171" fontId="41" fillId="36" borderId="71" applyNumberFormat="0" applyBorder="0" applyAlignment="0" applyProtection="0">
      <alignment horizontal="right" vertical="center" indent="1"/>
    </xf>
    <xf numFmtId="171" fontId="42" fillId="37" borderId="71" applyNumberFormat="0" applyBorder="0" applyAlignment="0" applyProtection="0">
      <alignment horizontal="right" vertical="center" indent="1"/>
    </xf>
    <xf numFmtId="171" fontId="42" fillId="38" borderId="71" applyNumberFormat="0" applyBorder="0" applyAlignment="0" applyProtection="0">
      <alignment horizontal="right" vertical="center" indent="1"/>
    </xf>
    <xf numFmtId="171" fontId="43" fillId="39" borderId="71" applyNumberFormat="0" applyBorder="0" applyAlignment="0" applyProtection="0">
      <alignment horizontal="right" vertical="center" indent="1"/>
    </xf>
    <xf numFmtId="171" fontId="43" fillId="40" borderId="71" applyNumberFormat="0" applyBorder="0" applyAlignment="0" applyProtection="0">
      <alignment horizontal="right" vertical="center" indent="1"/>
    </xf>
    <xf numFmtId="171" fontId="43" fillId="41" borderId="71" applyNumberFormat="0" applyBorder="0" applyAlignment="0" applyProtection="0">
      <alignment horizontal="right" vertical="center" indent="1"/>
    </xf>
    <xf numFmtId="171" fontId="44" fillId="42" borderId="71" applyNumberFormat="0" applyBorder="0" applyAlignment="0" applyProtection="0">
      <alignment horizontal="right" vertical="center" indent="1"/>
    </xf>
    <xf numFmtId="171" fontId="44" fillId="43" borderId="71" applyNumberFormat="0" applyBorder="0" applyAlignment="0" applyProtection="0">
      <alignment horizontal="right" vertical="center" indent="1"/>
    </xf>
    <xf numFmtId="171" fontId="44" fillId="44" borderId="71" applyNumberFormat="0" applyBorder="0" applyAlignment="0" applyProtection="0">
      <alignment horizontal="right" vertical="center" indent="1"/>
    </xf>
    <xf numFmtId="0" fontId="45" fillId="0" borderId="70" applyNumberFormat="0" applyFont="0" applyFill="0" applyAlignment="0" applyProtection="0"/>
    <xf numFmtId="171" fontId="46" fillId="34" borderId="0" applyNumberFormat="0" applyAlignment="0" applyProtection="0">
      <alignment horizontal="left" vertical="center" indent="1"/>
    </xf>
    <xf numFmtId="0" fontId="45" fillId="0" borderId="72" applyNumberFormat="0" applyFont="0" applyFill="0" applyAlignment="0" applyProtection="0"/>
    <xf numFmtId="171" fontId="38" fillId="0" borderId="69" applyNumberFormat="0" applyFill="0" applyBorder="0" applyAlignment="0" applyProtection="0">
      <alignment horizontal="right" vertical="center"/>
    </xf>
    <xf numFmtId="0" fontId="47" fillId="0" borderId="73" applyNumberFormat="0" applyFill="0" applyBorder="0" applyAlignment="0" applyProtection="0"/>
    <xf numFmtId="0" fontId="48" fillId="0" borderId="73" applyNumberFormat="0" applyBorder="0" applyAlignment="0" applyProtection="0"/>
    <xf numFmtId="0" fontId="47" fillId="35" borderId="68" applyNumberFormat="0" applyAlignment="0">
      <alignment horizontal="left" vertical="center" indent="1"/>
      <protection locked="0"/>
    </xf>
    <xf numFmtId="0" fontId="47" fillId="35" borderId="68" applyNumberFormat="0" applyAlignment="0">
      <alignment horizontal="left" vertical="center" indent="1"/>
      <protection locked="0"/>
    </xf>
    <xf numFmtId="0" fontId="47" fillId="29" borderId="68" applyNumberFormat="0" applyAlignment="0" applyProtection="0">
      <alignment horizontal="left" vertical="center" indent="1"/>
    </xf>
    <xf numFmtId="171" fontId="49" fillId="29" borderId="68" applyNumberFormat="0" applyProtection="0">
      <alignment horizontal="right" vertical="center"/>
    </xf>
    <xf numFmtId="171" fontId="50" fillId="30" borderId="69" applyNumberFormat="0" applyBorder="0">
      <alignment horizontal="right" vertical="center"/>
      <protection locked="0"/>
    </xf>
    <xf numFmtId="171" fontId="49" fillId="30" borderId="68" applyNumberFormat="0" applyBorder="0">
      <alignment horizontal="right" vertical="center"/>
      <protection locked="0"/>
    </xf>
    <xf numFmtId="171" fontId="38" fillId="0" borderId="69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45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65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65" fontId="4" fillId="0" borderId="0" xfId="2" applyNumberFormat="1" applyFont="1" applyAlignment="1">
      <alignment horizontal="left" wrapText="1"/>
    </xf>
    <xf numFmtId="165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66" fontId="10" fillId="0" borderId="2" xfId="2" applyNumberFormat="1" applyFont="1" applyBorder="1" applyAlignment="1">
      <alignment horizontal="right"/>
    </xf>
    <xf numFmtId="166" fontId="10" fillId="0" borderId="3" xfId="2" applyNumberFormat="1" applyFont="1" applyBorder="1" applyAlignment="1">
      <alignment horizontal="right"/>
    </xf>
    <xf numFmtId="166" fontId="10" fillId="0" borderId="0" xfId="2" applyNumberFormat="1" applyFont="1" applyAlignment="1">
      <alignment horizontal="right"/>
    </xf>
    <xf numFmtId="166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65" fontId="5" fillId="0" borderId="2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5" fillId="0" borderId="0" xfId="2" applyNumberFormat="1" applyFont="1" applyAlignment="1">
      <alignment horizontal="center"/>
    </xf>
    <xf numFmtId="165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66" fontId="4" fillId="0" borderId="2" xfId="2" applyNumberFormat="1" applyFont="1" applyBorder="1" applyAlignment="1">
      <alignment horizontal="right"/>
    </xf>
    <xf numFmtId="166" fontId="4" fillId="0" borderId="3" xfId="2" applyNumberFormat="1" applyFont="1" applyBorder="1" applyAlignment="1">
      <alignment horizontal="right"/>
    </xf>
    <xf numFmtId="166" fontId="4" fillId="0" borderId="0" xfId="2" applyNumberFormat="1" applyFont="1" applyAlignment="1">
      <alignment horizontal="right"/>
    </xf>
    <xf numFmtId="166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67" fontId="4" fillId="7" borderId="0" xfId="11" applyNumberFormat="1" applyFont="1" applyFill="1" applyBorder="1" applyAlignment="1">
      <alignment horizontal="center" vertical="center"/>
    </xf>
    <xf numFmtId="167" fontId="4" fillId="7" borderId="2" xfId="5" applyNumberFormat="1" applyFont="1" applyFill="1" applyBorder="1" applyAlignment="1">
      <alignment horizontal="left" vertical="center"/>
    </xf>
    <xf numFmtId="167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68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68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68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67" fontId="4" fillId="0" borderId="0" xfId="11" applyNumberFormat="1" applyFont="1" applyFill="1" applyBorder="1" applyAlignment="1">
      <alignment horizontal="center" vertical="center"/>
    </xf>
    <xf numFmtId="167" fontId="4" fillId="3" borderId="0" xfId="11" applyNumberFormat="1" applyFont="1" applyFill="1" applyBorder="1" applyAlignment="1">
      <alignment horizontal="center" vertical="center"/>
    </xf>
    <xf numFmtId="167" fontId="4" fillId="3" borderId="2" xfId="5" applyNumberFormat="1" applyFont="1" applyBorder="1" applyAlignment="1">
      <alignment horizontal="left" vertical="center"/>
    </xf>
    <xf numFmtId="167" fontId="4" fillId="3" borderId="3" xfId="11" applyNumberFormat="1" applyFont="1" applyFill="1" applyBorder="1" applyAlignment="1">
      <alignment horizontal="center" vertical="center"/>
    </xf>
    <xf numFmtId="168" fontId="4" fillId="0" borderId="2" xfId="5" applyNumberFormat="1" applyFont="1" applyFill="1" applyBorder="1" applyAlignment="1">
      <alignment horizontal="left" vertical="center"/>
    </xf>
    <xf numFmtId="167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68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67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67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67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67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67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67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167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68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67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67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67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168" fontId="17" fillId="7" borderId="2" xfId="5" applyNumberFormat="1" applyFont="1" applyFill="1" applyBorder="1" applyAlignment="1">
      <alignment horizontal="left" vertical="center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67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67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67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67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67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67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67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68" fontId="12" fillId="7" borderId="0" xfId="5" applyNumberFormat="1" applyFont="1" applyFill="1" applyAlignment="1">
      <alignment horizontal="left" vertical="center"/>
    </xf>
    <xf numFmtId="168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67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67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67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67" fontId="12" fillId="11" borderId="0" xfId="16" applyNumberFormat="1" applyFont="1" applyFill="1" applyBorder="1" applyAlignment="1" applyProtection="1">
      <alignment horizontal="left" vertical="center"/>
      <protection locked="0"/>
    </xf>
    <xf numFmtId="167" fontId="12" fillId="11" borderId="0" xfId="16" applyNumberFormat="1" applyFont="1" applyFill="1" applyBorder="1" applyAlignment="1" applyProtection="1">
      <alignment horizontal="center" vertical="center"/>
      <protection locked="0"/>
    </xf>
    <xf numFmtId="167" fontId="12" fillId="11" borderId="20" xfId="16" applyNumberFormat="1" applyFont="1" applyFill="1" applyBorder="1" applyAlignment="1" applyProtection="1">
      <alignment horizontal="center" vertical="center"/>
      <protection locked="0"/>
    </xf>
    <xf numFmtId="167" fontId="12" fillId="11" borderId="21" xfId="16" applyNumberFormat="1" applyFont="1" applyFill="1" applyBorder="1" applyAlignment="1" applyProtection="1">
      <alignment horizontal="center" vertical="center"/>
      <protection locked="0"/>
    </xf>
    <xf numFmtId="167" fontId="12" fillId="11" borderId="4" xfId="16" applyNumberFormat="1" applyFont="1" applyFill="1" applyBorder="1" applyAlignment="1" applyProtection="1">
      <alignment horizontal="center" vertical="center"/>
      <protection locked="0"/>
    </xf>
    <xf numFmtId="167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67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67" fontId="11" fillId="3" borderId="21" xfId="16" applyNumberFormat="1" applyFont="1" applyFill="1" applyBorder="1" applyAlignment="1" applyProtection="1">
      <alignment horizontal="center" vertical="center"/>
      <protection locked="0"/>
    </xf>
    <xf numFmtId="167" fontId="11" fillId="3" borderId="4" xfId="16" applyNumberFormat="1" applyFont="1" applyFill="1" applyBorder="1" applyAlignment="1" applyProtection="1">
      <alignment horizontal="center" vertical="center"/>
      <protection locked="0"/>
    </xf>
    <xf numFmtId="167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67" fontId="10" fillId="0" borderId="20" xfId="16" applyNumberFormat="1" applyFont="1" applyBorder="1" applyAlignment="1" applyProtection="1">
      <alignment horizontal="center" vertical="center"/>
      <protection locked="0"/>
    </xf>
    <xf numFmtId="167" fontId="10" fillId="0" borderId="21" xfId="16" applyNumberFormat="1" applyFont="1" applyFill="1" applyBorder="1" applyAlignment="1" applyProtection="1">
      <alignment horizontal="center" vertical="center"/>
      <protection locked="0"/>
    </xf>
    <xf numFmtId="167" fontId="10" fillId="0" borderId="21" xfId="16" applyNumberFormat="1" applyFont="1" applyBorder="1" applyAlignment="1" applyProtection="1">
      <alignment horizontal="center" vertical="center"/>
      <protection locked="0"/>
    </xf>
    <xf numFmtId="167" fontId="10" fillId="0" borderId="4" xfId="16" applyNumberFormat="1" applyFont="1" applyBorder="1" applyAlignment="1" applyProtection="1">
      <alignment horizontal="center" vertical="center"/>
      <protection locked="0"/>
    </xf>
    <xf numFmtId="167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68" fontId="12" fillId="7" borderId="0" xfId="5" applyNumberFormat="1" applyFont="1" applyFill="1" applyAlignment="1">
      <alignment horizontal="center" vertical="center"/>
    </xf>
    <xf numFmtId="167" fontId="12" fillId="7" borderId="20" xfId="5" applyNumberFormat="1" applyFont="1" applyFill="1" applyBorder="1" applyAlignment="1">
      <alignment horizontal="center" vertical="center"/>
    </xf>
    <xf numFmtId="167" fontId="12" fillId="7" borderId="21" xfId="5" applyNumberFormat="1" applyFont="1" applyFill="1" applyBorder="1" applyAlignment="1">
      <alignment horizontal="center" vertical="center"/>
    </xf>
    <xf numFmtId="167" fontId="12" fillId="7" borderId="0" xfId="5" applyNumberFormat="1" applyFont="1" applyFill="1" applyAlignment="1">
      <alignment horizontal="center" vertical="center"/>
    </xf>
    <xf numFmtId="167" fontId="12" fillId="7" borderId="4" xfId="5" applyNumberFormat="1" applyFont="1" applyFill="1" applyBorder="1" applyAlignment="1">
      <alignment horizontal="center" vertical="center"/>
    </xf>
    <xf numFmtId="167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67" fontId="4" fillId="0" borderId="0" xfId="16" applyNumberFormat="1" applyFont="1" applyBorder="1" applyAlignment="1" applyProtection="1">
      <alignment horizontal="center" vertical="center"/>
      <protection locked="0"/>
    </xf>
    <xf numFmtId="167" fontId="4" fillId="12" borderId="20" xfId="16" applyNumberFormat="1" applyFont="1" applyFill="1" applyBorder="1" applyAlignment="1" applyProtection="1">
      <alignment horizontal="center" vertical="center"/>
      <protection locked="0"/>
    </xf>
    <xf numFmtId="167" fontId="4" fillId="12" borderId="0" xfId="16" applyNumberFormat="1" applyFont="1" applyFill="1" applyBorder="1" applyAlignment="1" applyProtection="1">
      <alignment horizontal="center" vertical="center"/>
      <protection locked="0"/>
    </xf>
    <xf numFmtId="167" fontId="4" fillId="12" borderId="21" xfId="16" applyNumberFormat="1" applyFont="1" applyFill="1" applyBorder="1" applyAlignment="1" applyProtection="1">
      <alignment horizontal="center" vertical="center"/>
      <protection locked="0"/>
    </xf>
    <xf numFmtId="167" fontId="4" fillId="12" borderId="4" xfId="16" applyNumberFormat="1" applyFont="1" applyFill="1" applyBorder="1" applyAlignment="1" applyProtection="1">
      <alignment horizontal="center" vertical="center"/>
      <protection locked="0"/>
    </xf>
    <xf numFmtId="167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67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67" fontId="10" fillId="3" borderId="21" xfId="16" applyNumberFormat="1" applyFont="1" applyFill="1" applyBorder="1" applyAlignment="1" applyProtection="1">
      <alignment horizontal="center" vertical="center"/>
      <protection locked="0"/>
    </xf>
    <xf numFmtId="167" fontId="10" fillId="3" borderId="4" xfId="16" applyNumberFormat="1" applyFont="1" applyFill="1" applyBorder="1" applyAlignment="1" applyProtection="1">
      <alignment horizontal="center" vertical="center"/>
      <protection locked="0"/>
    </xf>
    <xf numFmtId="167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67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68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68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67" fontId="4" fillId="3" borderId="21" xfId="16" applyNumberFormat="1" applyFont="1" applyFill="1" applyBorder="1" applyAlignment="1" applyProtection="1">
      <alignment horizontal="center" vertical="center"/>
      <protection locked="0"/>
    </xf>
    <xf numFmtId="167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67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67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67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67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67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3" fontId="17" fillId="7" borderId="20" xfId="12" applyNumberFormat="1" applyFont="1" applyFill="1" applyBorder="1" applyAlignment="1" applyProtection="1">
      <alignment horizontal="left" vertical="center"/>
      <protection locked="0"/>
    </xf>
    <xf numFmtId="167" fontId="17" fillId="7" borderId="18" xfId="16" applyNumberFormat="1" applyFont="1" applyFill="1" applyBorder="1" applyAlignment="1" applyProtection="1">
      <alignment horizontal="center" vertical="center"/>
      <protection locked="0"/>
    </xf>
    <xf numFmtId="167" fontId="17" fillId="7" borderId="17" xfId="16" applyNumberFormat="1" applyFont="1" applyFill="1" applyBorder="1" applyAlignment="1" applyProtection="1">
      <alignment horizontal="center" vertical="center"/>
      <protection locked="0"/>
    </xf>
    <xf numFmtId="167" fontId="17" fillId="7" borderId="16" xfId="12" applyNumberFormat="1" applyFont="1" applyFill="1" applyBorder="1" applyAlignment="1" applyProtection="1">
      <alignment horizontal="center" vertical="center"/>
      <protection locked="0"/>
    </xf>
    <xf numFmtId="167" fontId="17" fillId="7" borderId="17" xfId="12" applyNumberFormat="1" applyFont="1" applyFill="1" applyBorder="1" applyAlignment="1" applyProtection="1">
      <alignment horizontal="center" vertical="center"/>
      <protection locked="0"/>
    </xf>
    <xf numFmtId="167" fontId="4" fillId="3" borderId="18" xfId="16" applyNumberFormat="1" applyFont="1" applyFill="1" applyBorder="1" applyAlignment="1" applyProtection="1">
      <alignment horizontal="center" vertical="center"/>
      <protection locked="0"/>
    </xf>
    <xf numFmtId="167" fontId="17" fillId="7" borderId="18" xfId="12" applyNumberFormat="1" applyFont="1" applyFill="1" applyBorder="1" applyAlignment="1" applyProtection="1">
      <alignment horizontal="center" vertical="center"/>
      <protection locked="0"/>
    </xf>
    <xf numFmtId="167" fontId="17" fillId="7" borderId="15" xfId="12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8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0" fillId="3" borderId="0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9" fontId="17" fillId="7" borderId="18" xfId="16" applyFont="1" applyFill="1" applyBorder="1" applyAlignment="1" applyProtection="1">
      <alignment horizontal="center" vertical="center"/>
      <protection locked="0"/>
    </xf>
    <xf numFmtId="9" fontId="17" fillId="7" borderId="17" xfId="16" applyFont="1" applyFill="1" applyBorder="1" applyAlignment="1" applyProtection="1">
      <alignment horizontal="center" vertical="center"/>
      <protection locked="0"/>
    </xf>
    <xf numFmtId="9" fontId="17" fillId="7" borderId="16" xfId="16" applyFont="1" applyFill="1" applyBorder="1" applyAlignment="1" applyProtection="1">
      <alignment horizontal="center" vertical="center"/>
      <protection locked="0"/>
    </xf>
    <xf numFmtId="9" fontId="17" fillId="7" borderId="15" xfId="16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68" fontId="17" fillId="7" borderId="0" xfId="5" applyNumberFormat="1" applyFont="1" applyFill="1" applyAlignment="1">
      <alignment horizontal="left" vertical="center"/>
    </xf>
    <xf numFmtId="168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67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68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67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67" fontId="10" fillId="0" borderId="28" xfId="16" applyNumberFormat="1" applyFont="1" applyBorder="1" applyAlignment="1" applyProtection="1">
      <alignment horizontal="center" vertical="center"/>
      <protection locked="0"/>
    </xf>
    <xf numFmtId="169" fontId="17" fillId="0" borderId="21" xfId="15" applyNumberFormat="1" applyFont="1" applyBorder="1" applyAlignment="1">
      <alignment horizontal="left" vertical="center" indent="3"/>
    </xf>
    <xf numFmtId="169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68" fontId="17" fillId="0" borderId="21" xfId="12" applyNumberFormat="1" applyFont="1" applyFill="1" applyBorder="1" applyAlignment="1" applyProtection="1">
      <alignment horizontal="center" vertical="center"/>
      <protection locked="0"/>
    </xf>
    <xf numFmtId="168" fontId="17" fillId="0" borderId="21" xfId="23" applyFont="1" applyFill="1" applyBorder="1" applyAlignment="1">
      <alignment horizontal="left" vertical="center" indent="2"/>
    </xf>
    <xf numFmtId="168" fontId="17" fillId="0" borderId="0" xfId="12" applyNumberFormat="1" applyFont="1" applyFill="1" applyBorder="1" applyAlignment="1" applyProtection="1">
      <alignment horizontal="center" vertical="center"/>
      <protection locked="0"/>
    </xf>
    <xf numFmtId="168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67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67" fontId="10" fillId="3" borderId="20" xfId="16" applyNumberFormat="1" applyFont="1" applyFill="1" applyBorder="1" applyAlignment="1" applyProtection="1">
      <alignment horizontal="center" vertical="center"/>
      <protection locked="0"/>
    </xf>
    <xf numFmtId="167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67" fontId="12" fillId="7" borderId="31" xfId="16" applyNumberFormat="1" applyFont="1" applyFill="1" applyBorder="1" applyAlignment="1">
      <alignment horizontal="center" vertical="center"/>
    </xf>
    <xf numFmtId="168" fontId="12" fillId="7" borderId="32" xfId="5" applyNumberFormat="1" applyFont="1" applyFill="1" applyBorder="1" applyAlignment="1">
      <alignment horizontal="left" vertical="center"/>
    </xf>
    <xf numFmtId="167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67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67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67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70" fontId="17" fillId="5" borderId="3" xfId="26" applyNumberFormat="1" applyFont="1" applyFill="1" applyBorder="1"/>
    <xf numFmtId="170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70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70" fontId="12" fillId="14" borderId="3" xfId="26" applyNumberFormat="1" applyFont="1" applyFill="1" applyBorder="1"/>
    <xf numFmtId="170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67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70" fontId="17" fillId="3" borderId="3" xfId="26" applyNumberFormat="1" applyFont="1" applyFill="1" applyBorder="1"/>
    <xf numFmtId="170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70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50" xfId="31" quotePrefix="1" applyNumberFormat="1" applyFont="1" applyFill="1" applyBorder="1" applyAlignment="1" applyProtection="1">
      <alignment vertical="center"/>
    </xf>
    <xf numFmtId="4" fontId="28" fillId="0" borderId="51" xfId="32" quotePrefix="1" applyNumberFormat="1" applyFont="1" applyFill="1" applyBorder="1" applyAlignment="1" applyProtection="1">
      <alignment vertical="center"/>
    </xf>
    <xf numFmtId="0" fontId="28" fillId="3" borderId="52" xfId="32" quotePrefix="1" applyFont="1" applyFill="1" applyBorder="1" applyAlignment="1">
      <alignment horizontal="left" vertical="center" indent="3"/>
    </xf>
    <xf numFmtId="4" fontId="28" fillId="12" borderId="50" xfId="30" quotePrefix="1" applyNumberFormat="1" applyFont="1" applyFill="1" applyBorder="1" applyAlignment="1" applyProtection="1">
      <alignment vertical="center"/>
    </xf>
    <xf numFmtId="4" fontId="28" fillId="12" borderId="51" xfId="30" quotePrefix="1" applyNumberFormat="1" applyFont="1" applyFill="1" applyBorder="1" applyAlignment="1" applyProtection="1">
      <alignment vertical="center"/>
    </xf>
    <xf numFmtId="0" fontId="28" fillId="12" borderId="52" xfId="30" quotePrefix="1" applyFont="1" applyFill="1" applyBorder="1" applyAlignment="1">
      <alignment horizontal="left" vertical="center" indent="2"/>
    </xf>
    <xf numFmtId="0" fontId="28" fillId="3" borderId="52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2" xfId="31" quotePrefix="1" applyFont="1" applyFill="1" applyBorder="1" applyAlignment="1">
      <alignment horizontal="left" vertical="center" indent="4"/>
    </xf>
    <xf numFmtId="0" fontId="28" fillId="0" borderId="52" xfId="32" quotePrefix="1" applyFont="1" applyFill="1" applyBorder="1" applyAlignment="1">
      <alignment horizontal="left" vertical="center" indent="3"/>
    </xf>
    <xf numFmtId="2" fontId="28" fillId="6" borderId="50" xfId="32" quotePrefix="1" applyNumberFormat="1" applyFont="1" applyFill="1" applyBorder="1" applyAlignment="1" applyProtection="1">
      <alignment vertical="center"/>
    </xf>
    <xf numFmtId="4" fontId="28" fillId="6" borderId="51" xfId="30" quotePrefix="1" applyNumberFormat="1" applyFont="1" applyFill="1" applyBorder="1" applyAlignment="1" applyProtection="1">
      <alignment vertical="center"/>
    </xf>
    <xf numFmtId="4" fontId="28" fillId="6" borderId="51" xfId="32" quotePrefix="1" applyNumberFormat="1" applyFont="1" applyFill="1" applyBorder="1" applyAlignment="1" applyProtection="1">
      <alignment vertical="center"/>
    </xf>
    <xf numFmtId="0" fontId="28" fillId="12" borderId="52" xfId="32" quotePrefix="1" applyFont="1" applyFill="1" applyBorder="1" applyAlignment="1" applyProtection="1">
      <alignment horizontal="left" vertical="center" indent="3"/>
    </xf>
    <xf numFmtId="4" fontId="28" fillId="0" borderId="50" xfId="32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3" borderId="52" xfId="33" quotePrefix="1" applyFont="1" applyFill="1" applyBorder="1" applyAlignment="1">
      <alignment horizontal="left" vertical="center" indent="5"/>
    </xf>
    <xf numFmtId="0" fontId="28" fillId="12" borderId="52" xfId="31" quotePrefix="1" applyFont="1" applyFill="1" applyBorder="1" applyAlignment="1">
      <alignment horizontal="left" vertical="center" indent="4"/>
    </xf>
    <xf numFmtId="0" fontId="28" fillId="3" borderId="52" xfId="33" quotePrefix="1" applyFont="1" applyFill="1" applyBorder="1" applyAlignment="1">
      <alignment horizontal="left" vertical="center" indent="6"/>
    </xf>
    <xf numFmtId="0" fontId="28" fillId="12" borderId="52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4" borderId="51" xfId="30" quotePrefix="1" applyNumberFormat="1" applyFont="1" applyFill="1" applyBorder="1" applyAlignment="1" applyProtection="1">
      <alignment vertical="center"/>
    </xf>
    <xf numFmtId="4" fontId="28" fillId="12" borderId="53" xfId="30" quotePrefix="1" applyNumberFormat="1" applyFont="1" applyFill="1" applyBorder="1" applyAlignment="1" applyProtection="1">
      <alignment vertical="center"/>
    </xf>
    <xf numFmtId="0" fontId="28" fillId="12" borderId="54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2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1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horizontal="left" vertical="center" indent="3"/>
    </xf>
    <xf numFmtId="3" fontId="28" fillId="6" borderId="58" xfId="30" quotePrefix="1" applyNumberFormat="1" applyFont="1" applyFill="1" applyBorder="1" applyAlignment="1" applyProtection="1">
      <alignment vertical="center"/>
    </xf>
    <xf numFmtId="0" fontId="28" fillId="6" borderId="59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3" fontId="28" fillId="0" borderId="62" xfId="32" quotePrefix="1" applyNumberFormat="1" applyFont="1" applyFill="1" applyBorder="1" applyAlignment="1" applyProtection="1">
      <alignment vertical="center"/>
    </xf>
    <xf numFmtId="0" fontId="35" fillId="0" borderId="63" xfId="32" quotePrefix="1" applyFont="1" applyFill="1" applyBorder="1" applyAlignment="1" applyProtection="1">
      <alignment vertical="center"/>
    </xf>
    <xf numFmtId="3" fontId="28" fillId="0" borderId="64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5" xfId="32" quotePrefix="1" applyNumberFormat="1" applyFont="1" applyFill="1" applyBorder="1" applyAlignment="1" applyProtection="1">
      <alignment vertical="center"/>
    </xf>
    <xf numFmtId="0" fontId="28" fillId="0" borderId="57" xfId="32" quotePrefix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7" xfId="30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1" xfId="32" quotePrefix="1" applyNumberFormat="1" applyFont="1" applyFill="1" applyBorder="1" applyAlignment="1" applyProtection="1">
      <alignment vertical="center"/>
    </xf>
    <xf numFmtId="3" fontId="28" fillId="6" borderId="60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1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0" fontId="28" fillId="6" borderId="63" xfId="30" quotePrefix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67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3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37" fontId="38" fillId="0" borderId="69" xfId="38" applyNumberFormat="1">
      <alignment horizontal="right" vertical="center"/>
    </xf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2" xfId="30" quotePrefix="1" applyFont="1" applyFill="1" applyBorder="1" applyAlignment="1">
      <alignment horizontal="left" vertical="center" indent="2"/>
    </xf>
    <xf numFmtId="0" fontId="28" fillId="4" borderId="49" xfId="30" quotePrefix="1" applyFont="1" applyFill="1" applyBorder="1" applyAlignment="1">
      <alignment horizontal="left" vertical="center" indent="2"/>
    </xf>
    <xf numFmtId="4" fontId="28" fillId="4" borderId="48" xfId="30" quotePrefix="1" applyNumberFormat="1" applyFont="1" applyFill="1" applyBorder="1" applyAlignment="1" applyProtection="1">
      <alignment vertical="center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2" xfId="31" quotePrefix="1" applyNumberFormat="1" applyFont="1" applyFill="1" applyBorder="1" applyAlignment="1">
      <alignment horizontal="right" vertical="center"/>
    </xf>
    <xf numFmtId="2" fontId="28" fillId="4" borderId="52" xfId="30" quotePrefix="1" applyNumberFormat="1" applyFont="1" applyFill="1" applyBorder="1" applyAlignment="1">
      <alignment horizontal="right" vertical="center"/>
    </xf>
    <xf numFmtId="2" fontId="28" fillId="4" borderId="49" xfId="30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>
      <alignment horizontal="right" vertical="center"/>
    </xf>
    <xf numFmtId="3" fontId="52" fillId="0" borderId="62" xfId="32" quotePrefix="1" applyNumberFormat="1" applyFont="1" applyFill="1" applyBorder="1" applyAlignment="1" applyProtection="1">
      <alignment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8" fillId="6" borderId="56" xfId="32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0" borderId="56" xfId="32" quotePrefix="1" applyNumberFormat="1" applyFont="1" applyFill="1" applyBorder="1" applyProtection="1">
      <alignment horizontal="left" vertical="center" indent="1"/>
    </xf>
    <xf numFmtId="0" fontId="28" fillId="3" borderId="63" xfId="30" quotePrefix="1" applyFont="1" applyFill="1" applyBorder="1" applyAlignment="1" applyProtection="1">
      <alignment vertical="center"/>
    </xf>
    <xf numFmtId="3" fontId="28" fillId="3" borderId="62" xfId="32" quotePrefix="1" applyNumberFormat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0" fontId="28" fillId="3" borderId="56" xfId="30" quotePrefix="1" applyFont="1" applyFill="1" applyBorder="1" applyAlignment="1" applyProtection="1">
      <alignment vertical="center"/>
    </xf>
    <xf numFmtId="3" fontId="28" fillId="3" borderId="51" xfId="32" quotePrefix="1" applyNumberFormat="1" applyFont="1" applyFill="1" applyBorder="1" applyAlignment="1" applyProtection="1">
      <alignment vertical="center"/>
    </xf>
    <xf numFmtId="3" fontId="28" fillId="3" borderId="65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67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67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2" xfId="31" quotePrefix="1" applyFont="1" applyFill="1" applyBorder="1" applyAlignment="1">
      <alignment horizontal="left" vertical="center" indent="3"/>
    </xf>
    <xf numFmtId="2" fontId="28" fillId="0" borderId="52" xfId="30" quotePrefix="1" applyNumberFormat="1" applyFont="1" applyFill="1" applyBorder="1" applyAlignment="1">
      <alignment horizontal="right" vertical="center"/>
    </xf>
    <xf numFmtId="2" fontId="28" fillId="0" borderId="52" xfId="33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 applyProtection="1">
      <alignment horizontal="right" vertical="center"/>
    </xf>
    <xf numFmtId="2" fontId="28" fillId="0" borderId="49" xfId="30" quotePrefix="1" applyNumberFormat="1" applyFont="1" applyFill="1" applyBorder="1" applyAlignment="1">
      <alignment horizontal="right" vertical="center"/>
    </xf>
    <xf numFmtId="2" fontId="28" fillId="6" borderId="54" xfId="30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>
      <alignment horizontal="right" vertical="center"/>
    </xf>
    <xf numFmtId="2" fontId="28" fillId="6" borderId="52" xfId="30" quotePrefix="1" applyNumberFormat="1" applyFont="1" applyFill="1" applyBorder="1" applyAlignment="1">
      <alignment horizontal="right" vertical="center"/>
    </xf>
    <xf numFmtId="2" fontId="28" fillId="6" borderId="52" xfId="31" quotePrefix="1" applyNumberFormat="1" applyFont="1" applyFill="1" applyBorder="1" applyAlignment="1">
      <alignment horizontal="right" vertical="center"/>
    </xf>
    <xf numFmtId="2" fontId="28" fillId="6" borderId="52" xfId="33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 applyProtection="1">
      <alignment horizontal="right" vertical="center"/>
    </xf>
    <xf numFmtId="2" fontId="28" fillId="4" borderId="52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4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5" xfId="5" applyFont="1" applyFill="1" applyBorder="1" applyAlignment="1">
      <alignment horizontal="center" vertical="center" wrapText="1"/>
    </xf>
    <xf numFmtId="0" fontId="12" fillId="4" borderId="76" xfId="5" applyFont="1" applyFill="1" applyBorder="1" applyAlignment="1">
      <alignment horizontal="center" vertical="center" wrapText="1"/>
    </xf>
    <xf numFmtId="3" fontId="12" fillId="7" borderId="76" xfId="5" applyNumberFormat="1" applyFont="1" applyFill="1" applyBorder="1" applyAlignment="1">
      <alignment horizontal="center" vertical="center"/>
    </xf>
    <xf numFmtId="3" fontId="12" fillId="7" borderId="75" xfId="5" applyNumberFormat="1" applyFont="1" applyFill="1" applyBorder="1" applyAlignment="1">
      <alignment horizontal="center" vertical="center"/>
    </xf>
    <xf numFmtId="168" fontId="12" fillId="7" borderId="75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68" fontId="17" fillId="0" borderId="28" xfId="12" applyNumberFormat="1" applyFont="1" applyFill="1" applyBorder="1" applyAlignment="1" applyProtection="1">
      <alignment horizontal="center" vertical="center"/>
      <protection locked="0"/>
    </xf>
    <xf numFmtId="168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67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5" xfId="15" applyFont="1" applyFill="1" applyBorder="1"/>
    <xf numFmtId="0" fontId="10" fillId="3" borderId="76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5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68" fontId="17" fillId="9" borderId="28" xfId="12" applyNumberFormat="1" applyFont="1" applyBorder="1" applyAlignment="1" applyProtection="1">
      <alignment horizontal="center" vertical="center"/>
      <protection locked="0"/>
    </xf>
    <xf numFmtId="168" fontId="17" fillId="9" borderId="20" xfId="12" applyNumberFormat="1" applyFont="1" applyBorder="1" applyAlignment="1" applyProtection="1">
      <alignment horizontal="center" vertical="center"/>
      <protection locked="0"/>
    </xf>
    <xf numFmtId="168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68" fontId="10" fillId="0" borderId="28" xfId="12" applyNumberFormat="1" applyFont="1" applyFill="1" applyBorder="1" applyAlignment="1" applyProtection="1">
      <alignment horizontal="center" vertical="center"/>
      <protection locked="0"/>
    </xf>
    <xf numFmtId="168" fontId="10" fillId="0" borderId="20" xfId="12" applyNumberFormat="1" applyFont="1" applyFill="1" applyBorder="1" applyAlignment="1" applyProtection="1">
      <alignment horizontal="center" vertical="center"/>
      <protection locked="0"/>
    </xf>
    <xf numFmtId="168" fontId="10" fillId="0" borderId="21" xfId="12" applyNumberFormat="1" applyFont="1" applyFill="1" applyBorder="1" applyAlignment="1" applyProtection="1">
      <alignment horizontal="center" vertical="center"/>
      <protection locked="0"/>
    </xf>
    <xf numFmtId="168" fontId="10" fillId="21" borderId="0" xfId="12" applyNumberFormat="1" applyFont="1" applyFill="1" applyBorder="1" applyAlignment="1" applyProtection="1">
      <alignment horizontal="center" vertical="center"/>
      <protection locked="0"/>
    </xf>
    <xf numFmtId="168" fontId="10" fillId="0" borderId="0" xfId="12" applyNumberFormat="1" applyFont="1" applyFill="1" applyBorder="1" applyAlignment="1" applyProtection="1">
      <alignment horizontal="center" vertical="center"/>
      <protection locked="0"/>
    </xf>
    <xf numFmtId="168" fontId="10" fillId="3" borderId="21" xfId="12" applyNumberFormat="1" applyFont="1" applyFill="1" applyBorder="1" applyAlignment="1" applyProtection="1">
      <alignment horizontal="center" vertical="center"/>
      <protection locked="0"/>
    </xf>
    <xf numFmtId="168" fontId="10" fillId="15" borderId="28" xfId="12" applyNumberFormat="1" applyFont="1" applyFill="1" applyBorder="1" applyAlignment="1" applyProtection="1">
      <alignment horizontal="center" vertical="center"/>
      <protection locked="0"/>
    </xf>
    <xf numFmtId="168" fontId="10" fillId="15" borderId="20" xfId="12" applyNumberFormat="1" applyFont="1" applyFill="1" applyBorder="1" applyAlignment="1" applyProtection="1">
      <alignment horizontal="center" vertical="center"/>
      <protection locked="0"/>
    </xf>
    <xf numFmtId="168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67" fontId="10" fillId="14" borderId="0" xfId="16" applyNumberFormat="1" applyFont="1" applyFill="1" applyBorder="1" applyAlignment="1" applyProtection="1">
      <alignment horizontal="center" vertical="center"/>
      <protection locked="0"/>
    </xf>
    <xf numFmtId="167" fontId="12" fillId="8" borderId="0" xfId="16" applyNumberFormat="1" applyFont="1" applyFill="1" applyBorder="1" applyAlignment="1">
      <alignment horizontal="center" vertical="center"/>
    </xf>
    <xf numFmtId="167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67" fontId="11" fillId="3" borderId="21" xfId="16" applyNumberFormat="1" applyFont="1" applyFill="1" applyBorder="1" applyAlignment="1">
      <alignment horizontal="center" vertical="center"/>
    </xf>
    <xf numFmtId="3" fontId="12" fillId="5" borderId="21" xfId="5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67" fontId="10" fillId="0" borderId="21" xfId="16" applyNumberFormat="1" applyFont="1" applyBorder="1" applyAlignment="1">
      <alignment horizontal="center" vertical="center"/>
    </xf>
    <xf numFmtId="167" fontId="11" fillId="0" borderId="21" xfId="16" applyNumberFormat="1" applyFont="1" applyBorder="1" applyAlignment="1">
      <alignment horizontal="center" vertical="center"/>
    </xf>
    <xf numFmtId="3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68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67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67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67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68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70" xfId="47" quotePrefix="1" applyNumberFormat="1" applyAlignment="1"/>
    <xf numFmtId="0" fontId="39" fillId="32" borderId="70" xfId="45" quotePrefix="1" applyNumberFormat="1" applyAlignment="1"/>
    <xf numFmtId="0" fontId="39" fillId="28" borderId="70" xfId="40" quotePrefix="1" applyNumberFormat="1" applyAlignment="1"/>
    <xf numFmtId="0" fontId="39" fillId="27" borderId="70" xfId="39" quotePrefix="1" applyNumberFormat="1" applyAlignment="1"/>
    <xf numFmtId="0" fontId="39" fillId="30" borderId="70" xfId="42" quotePrefix="1" applyNumberFormat="1" applyAlignment="1"/>
    <xf numFmtId="0" fontId="40" fillId="31" borderId="70" xfId="44" quotePrefix="1" applyAlignment="1"/>
    <xf numFmtId="0" fontId="40" fillId="31" borderId="70" xfId="43" quotePrefix="1" applyNumberFormat="1">
      <alignment vertical="center"/>
    </xf>
    <xf numFmtId="168" fontId="17" fillId="7" borderId="29" xfId="5" applyNumberFormat="1" applyFont="1" applyFill="1" applyBorder="1" applyAlignment="1">
      <alignment horizontal="left" vertical="center"/>
    </xf>
    <xf numFmtId="3" fontId="10" fillId="5" borderId="81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3" xfId="13" applyNumberFormat="1" applyFont="1" applyFill="1" applyBorder="1" applyAlignment="1" applyProtection="1">
      <alignment horizontal="center" vertical="center"/>
      <protection locked="0"/>
    </xf>
    <xf numFmtId="3" fontId="10" fillId="6" borderId="83" xfId="13" applyNumberFormat="1" applyFont="1" applyFill="1" applyBorder="1" applyAlignment="1" applyProtection="1">
      <alignment horizontal="center" vertical="center"/>
      <protection locked="0"/>
    </xf>
    <xf numFmtId="168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167" fontId="10" fillId="15" borderId="0" xfId="78" applyNumberFormat="1" applyFont="1" applyFill="1" applyBorder="1" applyAlignment="1" applyProtection="1">
      <alignment horizontal="center" vertical="center"/>
      <protection locked="0"/>
    </xf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7" xfId="30" quotePrefix="1" applyNumberFormat="1" applyFont="1" applyFill="1" applyBorder="1" applyAlignment="1" applyProtection="1">
      <alignment vertical="center"/>
    </xf>
    <xf numFmtId="3" fontId="33" fillId="6" borderId="58" xfId="30" quotePrefix="1" applyNumberFormat="1" applyFont="1" applyFill="1" applyBorder="1" applyAlignment="1" applyProtection="1">
      <alignment vertical="center"/>
    </xf>
    <xf numFmtId="3" fontId="33" fillId="6" borderId="56" xfId="32" quotePrefix="1" applyNumberFormat="1" applyFont="1" applyFill="1" applyBorder="1" applyAlignment="1" applyProtection="1">
      <alignment vertical="center"/>
    </xf>
    <xf numFmtId="3" fontId="33" fillId="6" borderId="51" xfId="32" quotePrefix="1" applyNumberFormat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33" fillId="6" borderId="67" xfId="32" quotePrefix="1" applyNumberFormat="1" applyFont="1" applyFill="1" applyBorder="1" applyAlignment="1" applyProtection="1">
      <alignment vertical="center"/>
    </xf>
    <xf numFmtId="3" fontId="33" fillId="6" borderId="58" xfId="32" quotePrefix="1" applyNumberFormat="1" applyFont="1" applyFill="1" applyBorder="1" applyAlignment="1" applyProtection="1">
      <alignment vertical="center"/>
    </xf>
    <xf numFmtId="3" fontId="33" fillId="6" borderId="63" xfId="32" quotePrefix="1" applyNumberFormat="1" applyFont="1" applyFill="1" applyBorder="1" applyAlignment="1" applyProtection="1">
      <alignment vertical="center"/>
    </xf>
    <xf numFmtId="3" fontId="33" fillId="6" borderId="61" xfId="32" quotePrefix="1" applyNumberFormat="1" applyFont="1" applyFill="1" applyBorder="1" applyAlignment="1" applyProtection="1">
      <alignment vertical="center"/>
    </xf>
    <xf numFmtId="37" fontId="37" fillId="0" borderId="68" xfId="37" applyNumberFormat="1">
      <alignment horizontal="right" vertical="center"/>
    </xf>
    <xf numFmtId="0" fontId="37" fillId="33" borderId="68" xfId="46" quotePrefix="1" applyNumberFormat="1" applyAlignment="1"/>
    <xf numFmtId="0" fontId="39" fillId="29" borderId="68" xfId="41" quotePrefix="1" applyNumberFormat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6" xfId="30" quotePrefix="1" applyFont="1" applyFill="1" applyBorder="1" applyAlignment="1" applyProtection="1">
      <alignment vertical="center"/>
    </xf>
    <xf numFmtId="0" fontId="28" fillId="0" borderId="56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4" xfId="32" quotePrefix="1" applyNumberFormat="1" applyFont="1" applyFill="1" applyBorder="1" applyAlignment="1" applyProtection="1">
      <alignment vertical="center"/>
    </xf>
    <xf numFmtId="3" fontId="33" fillId="6" borderId="85" xfId="32" quotePrefix="1" applyNumberFormat="1" applyFont="1" applyFill="1" applyBorder="1" applyAlignment="1" applyProtection="1">
      <alignment vertical="center"/>
    </xf>
    <xf numFmtId="0" fontId="28" fillId="0" borderId="63" xfId="30" quotePrefix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67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68" fontId="12" fillId="0" borderId="0" xfId="23" applyFont="1" applyFill="1" applyBorder="1">
      <alignment vertical="center"/>
    </xf>
    <xf numFmtId="168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68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67" fontId="10" fillId="5" borderId="21" xfId="78" applyNumberFormat="1" applyFont="1" applyFill="1" applyBorder="1" applyAlignment="1" applyProtection="1">
      <alignment horizontal="center" vertical="center"/>
      <protection locked="0"/>
    </xf>
    <xf numFmtId="167" fontId="10" fillId="3" borderId="21" xfId="78" applyNumberFormat="1" applyFont="1" applyFill="1" applyBorder="1" applyAlignment="1" applyProtection="1">
      <alignment horizontal="center" vertical="center"/>
      <protection locked="0"/>
    </xf>
    <xf numFmtId="168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68" fontId="17" fillId="7" borderId="75" xfId="5" applyNumberFormat="1" applyFont="1" applyFill="1" applyBorder="1" applyAlignment="1">
      <alignment horizontal="left" vertical="center"/>
    </xf>
    <xf numFmtId="3" fontId="10" fillId="5" borderId="76" xfId="13" applyNumberFormat="1" applyFont="1" applyFill="1" applyBorder="1" applyAlignment="1" applyProtection="1">
      <alignment horizontal="center" vertical="center"/>
      <protection locked="0"/>
    </xf>
    <xf numFmtId="168" fontId="17" fillId="7" borderId="78" xfId="5" applyNumberFormat="1" applyFont="1" applyFill="1" applyBorder="1" applyAlignment="1">
      <alignment horizontal="left" vertical="center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3" fontId="10" fillId="5" borderId="80" xfId="13" applyNumberFormat="1" applyFont="1" applyFill="1" applyBorder="1" applyAlignment="1" applyProtection="1">
      <alignment horizontal="center" vertical="center"/>
      <protection locked="0"/>
    </xf>
    <xf numFmtId="3" fontId="10" fillId="5" borderId="77" xfId="13" applyNumberFormat="1" applyFont="1" applyFill="1" applyBorder="1" applyAlignment="1" applyProtection="1">
      <alignment horizontal="center" vertical="center"/>
      <protection locked="0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7" fillId="7" borderId="80" xfId="5" applyNumberFormat="1" applyFont="1" applyFill="1" applyBorder="1" applyAlignment="1">
      <alignment horizontal="center" vertical="center"/>
    </xf>
    <xf numFmtId="168" fontId="17" fillId="7" borderId="21" xfId="5" applyNumberFormat="1" applyFont="1" applyFill="1" applyBorder="1" applyAlignment="1">
      <alignment horizontal="left" vertical="center"/>
    </xf>
    <xf numFmtId="167" fontId="17" fillId="7" borderId="28" xfId="5" applyNumberFormat="1" applyFont="1" applyFill="1" applyBorder="1" applyAlignment="1">
      <alignment horizontal="center" vertical="center"/>
    </xf>
    <xf numFmtId="167" fontId="17" fillId="7" borderId="20" xfId="5" applyNumberFormat="1" applyFont="1" applyFill="1" applyBorder="1" applyAlignment="1">
      <alignment horizontal="center" vertical="center"/>
    </xf>
    <xf numFmtId="167" fontId="17" fillId="7" borderId="21" xfId="5" applyNumberFormat="1" applyFont="1" applyFill="1" applyBorder="1" applyAlignment="1">
      <alignment horizontal="center" vertical="center"/>
    </xf>
    <xf numFmtId="167" fontId="17" fillId="7" borderId="0" xfId="5" applyNumberFormat="1" applyFont="1" applyFill="1" applyAlignment="1">
      <alignment horizontal="center" vertical="center"/>
    </xf>
    <xf numFmtId="167" fontId="10" fillId="7" borderId="28" xfId="5" applyNumberFormat="1" applyFont="1" applyFill="1" applyBorder="1" applyAlignment="1">
      <alignment horizontal="center" vertical="center"/>
    </xf>
    <xf numFmtId="167" fontId="10" fillId="7" borderId="20" xfId="5" applyNumberFormat="1" applyFont="1" applyFill="1" applyBorder="1" applyAlignment="1">
      <alignment horizontal="center" vertical="center"/>
    </xf>
    <xf numFmtId="167" fontId="10" fillId="7" borderId="21" xfId="5" applyNumberFormat="1" applyFont="1" applyFill="1" applyBorder="1" applyAlignment="1">
      <alignment horizontal="center" vertical="center"/>
    </xf>
    <xf numFmtId="167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67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67" fontId="4" fillId="8" borderId="4" xfId="16" applyNumberFormat="1" applyFont="1" applyFill="1" applyBorder="1" applyAlignment="1">
      <alignment horizontal="center" vertical="center"/>
    </xf>
    <xf numFmtId="167" fontId="4" fillId="8" borderId="0" xfId="16" applyNumberFormat="1" applyFont="1" applyFill="1" applyBorder="1" applyAlignment="1">
      <alignment horizontal="center" vertical="center"/>
    </xf>
    <xf numFmtId="167" fontId="4" fillId="8" borderId="3" xfId="16" applyNumberFormat="1" applyFont="1" applyFill="1" applyBorder="1" applyAlignment="1">
      <alignment horizontal="center" vertical="center"/>
    </xf>
    <xf numFmtId="167" fontId="10" fillId="8" borderId="3" xfId="16" applyNumberFormat="1" applyFont="1" applyFill="1" applyBorder="1" applyAlignment="1">
      <alignment horizontal="center" vertical="center"/>
    </xf>
    <xf numFmtId="167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67" fontId="17" fillId="8" borderId="4" xfId="16" applyNumberFormat="1" applyFont="1" applyFill="1" applyBorder="1" applyAlignment="1">
      <alignment horizontal="center" vertical="center"/>
    </xf>
    <xf numFmtId="168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86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67" fontId="4" fillId="7" borderId="4" xfId="11" applyNumberFormat="1" applyFont="1" applyFill="1" applyBorder="1" applyAlignment="1" applyProtection="1">
      <alignment horizontal="center" vertical="center"/>
      <protection locked="0"/>
    </xf>
    <xf numFmtId="167" fontId="4" fillId="7" borderId="0" xfId="11" applyNumberFormat="1" applyFont="1" applyFill="1" applyBorder="1" applyAlignment="1" applyProtection="1">
      <alignment horizontal="center" vertical="center"/>
      <protection locked="0"/>
    </xf>
    <xf numFmtId="167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67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67" fontId="4" fillId="8" borderId="4" xfId="11" applyNumberFormat="1" applyFont="1" applyFill="1" applyBorder="1" applyAlignment="1" applyProtection="1">
      <alignment horizontal="center" vertical="center"/>
      <protection locked="0"/>
    </xf>
    <xf numFmtId="167" fontId="4" fillId="8" borderId="0" xfId="11" applyNumberFormat="1" applyFont="1" applyFill="1" applyBorder="1" applyAlignment="1" applyProtection="1">
      <alignment horizontal="center" vertical="center"/>
      <protection locked="0"/>
    </xf>
    <xf numFmtId="167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2" borderId="0" xfId="7" applyNumberFormat="1" applyFont="1" applyBorder="1" applyAlignment="1" applyProtection="1">
      <alignment horizontal="left" vertical="center"/>
      <protection locked="0"/>
    </xf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87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87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67" fontId="12" fillId="7" borderId="88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0" fontId="4" fillId="5" borderId="20" xfId="16" applyNumberFormat="1" applyFont="1" applyFill="1" applyBorder="1" applyAlignment="1" applyProtection="1">
      <alignment horizontal="left" vertical="center" wrapText="1"/>
      <protection locked="0"/>
    </xf>
    <xf numFmtId="9" fontId="4" fillId="0" borderId="0" xfId="1" applyNumberFormat="1" applyFont="1"/>
    <xf numFmtId="3" fontId="6" fillId="0" borderId="0" xfId="1" applyNumberFormat="1" applyFont="1"/>
    <xf numFmtId="4" fontId="28" fillId="0" borderId="0" xfId="15" applyNumberFormat="1" applyFont="1"/>
    <xf numFmtId="4" fontId="3" fillId="0" borderId="0" xfId="15" applyNumberFormat="1" applyFont="1"/>
    <xf numFmtId="3" fontId="4" fillId="2" borderId="14" xfId="7" applyNumberFormat="1" applyFont="1" applyBorder="1" applyAlignment="1" applyProtection="1">
      <alignment horizontal="left" vertical="center" wrapText="1"/>
      <protection locked="0"/>
    </xf>
    <xf numFmtId="0" fontId="4" fillId="5" borderId="4" xfId="16" applyNumberFormat="1" applyFont="1" applyFill="1" applyBorder="1" applyAlignment="1" applyProtection="1">
      <alignment horizontal="left" vertical="center" wrapText="1"/>
      <protection locked="0"/>
    </xf>
    <xf numFmtId="3" fontId="4" fillId="2" borderId="14" xfId="7" quotePrefix="1" applyNumberFormat="1" applyFont="1" applyBorder="1" applyAlignment="1" applyProtection="1">
      <alignment horizontal="left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 wrapText="1"/>
      <protection locked="0"/>
    </xf>
    <xf numFmtId="0" fontId="37" fillId="33" borderId="70" xfId="48" quotePrefix="1" applyNumberFormat="1" applyAlignment="1"/>
    <xf numFmtId="0" fontId="37" fillId="33" borderId="70" xfId="48" applyNumberFormat="1" applyAlignment="1"/>
    <xf numFmtId="37" fontId="37" fillId="0" borderId="89" xfId="37" applyNumberFormat="1" applyBorder="1">
      <alignment horizontal="right" vertical="center"/>
    </xf>
    <xf numFmtId="0" fontId="37" fillId="33" borderId="74" xfId="48" quotePrefix="1" applyNumberFormat="1" applyBorder="1" applyAlignment="1"/>
    <xf numFmtId="184" fontId="39" fillId="32" borderId="74" xfId="45" quotePrefix="1" applyNumberFormat="1" applyBorder="1" applyAlignment="1"/>
    <xf numFmtId="173" fontId="39" fillId="28" borderId="74" xfId="40" quotePrefix="1" applyNumberFormat="1" applyBorder="1" applyAlignment="1"/>
    <xf numFmtId="172" fontId="39" fillId="27" borderId="74" xfId="39" quotePrefix="1" applyNumberFormat="1" applyBorder="1" applyAlignment="1"/>
    <xf numFmtId="185" fontId="39" fillId="28" borderId="74" xfId="40" quotePrefix="1" applyNumberFormat="1" applyBorder="1" applyAlignment="1"/>
    <xf numFmtId="177" fontId="39" fillId="27" borderId="74" xfId="39" quotePrefix="1" applyNumberFormat="1" applyBorder="1" applyAlignment="1"/>
    <xf numFmtId="176" fontId="39" fillId="30" borderId="74" xfId="42" quotePrefix="1" applyNumberFormat="1" applyBorder="1" applyAlignment="1"/>
    <xf numFmtId="175" fontId="39" fillId="30" borderId="74" xfId="42" quotePrefix="1" applyNumberFormat="1" applyBorder="1" applyAlignment="1"/>
    <xf numFmtId="183" fontId="39" fillId="29" borderId="74" xfId="41" quotePrefix="1" applyNumberFormat="1" applyBorder="1" applyAlignment="1"/>
    <xf numFmtId="0" fontId="40" fillId="31" borderId="74" xfId="44" quotePrefix="1" applyBorder="1" applyAlignment="1"/>
    <xf numFmtId="182" fontId="40" fillId="31" borderId="74" xfId="43" quotePrefix="1" applyNumberFormat="1" applyBorder="1">
      <alignment vertical="center"/>
    </xf>
    <xf numFmtId="179" fontId="40" fillId="31" borderId="74" xfId="43" quotePrefix="1" applyNumberFormat="1" applyBorder="1">
      <alignment vertical="center"/>
    </xf>
    <xf numFmtId="178" fontId="40" fillId="31" borderId="74" xfId="43" quotePrefix="1" applyNumberFormat="1" applyBorder="1">
      <alignment vertical="center"/>
    </xf>
    <xf numFmtId="181" fontId="40" fillId="31" borderId="74" xfId="43" quotePrefix="1" applyNumberFormat="1" applyBorder="1">
      <alignment vertical="center"/>
    </xf>
    <xf numFmtId="180" fontId="40" fillId="31" borderId="74" xfId="43" quotePrefix="1" applyNumberFormat="1" applyBorder="1">
      <alignment vertical="center"/>
    </xf>
    <xf numFmtId="174" fontId="39" fillId="29" borderId="74" xfId="41" quotePrefix="1" applyNumberFormat="1" applyBorder="1" applyAlignment="1"/>
    <xf numFmtId="0" fontId="38" fillId="34" borderId="90" xfId="47" quotePrefix="1" applyNumberFormat="1" applyBorder="1" applyAlignment="1"/>
    <xf numFmtId="37" fontId="38" fillId="0" borderId="90" xfId="38" applyNumberFormat="1" applyBorder="1">
      <alignment horizontal="right" vertical="center"/>
    </xf>
    <xf numFmtId="37" fontId="37" fillId="0" borderId="90" xfId="37" applyNumberFormat="1" applyBorder="1">
      <alignment horizontal="right" vertical="center"/>
    </xf>
    <xf numFmtId="0" fontId="37" fillId="33" borderId="90" xfId="48" quotePrefix="1" applyNumberFormat="1" applyBorder="1" applyAlignment="1"/>
    <xf numFmtId="0" fontId="37" fillId="33" borderId="90" xfId="46" applyNumberFormat="1" applyBorder="1" applyAlignment="1"/>
    <xf numFmtId="0" fontId="39" fillId="28" borderId="89" xfId="40" quotePrefix="1" applyNumberFormat="1" applyBorder="1" applyAlignment="1"/>
    <xf numFmtId="0" fontId="37" fillId="33" borderId="89" xfId="46" quotePrefix="1" applyNumberFormat="1" applyBorder="1" applyAlignment="1"/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</cellXfs>
  <cellStyles count="80"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10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4B4B46"/>
      <color rgb="FFF0F0F0"/>
      <color rgb="FFD2D2D2"/>
      <color rgb="FFD7004B"/>
      <color rgb="FFB4C832"/>
      <color rgb="FFF0E614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342901</xdr:colOff>
      <xdr:row>25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327660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4062738-182B-4DB3-9C4F-2710F9370C3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/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../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2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zoomScale="90" zoomScaleNormal="90" workbookViewId="0">
      <pane xSplit="1" ySplit="5" topLeftCell="B11" activePane="bottomRight" state="frozen"/>
      <selection activeCell="F20" sqref="F20"/>
      <selection pane="topRight" activeCell="F20" sqref="F20"/>
      <selection pane="bottomLeft" activeCell="F20" sqref="F20"/>
      <selection pane="bottomRight" activeCell="M33" sqref="M33"/>
    </sheetView>
  </sheetViews>
  <sheetFormatPr defaultColWidth="9.28515625" defaultRowHeight="12.75" customHeight="1" outlineLevelCol="1" x14ac:dyDescent="0.2"/>
  <cols>
    <col min="1" max="1" width="57.42578125" style="5" customWidth="1"/>
    <col min="2" max="2" width="16.28515625" style="5" customWidth="1"/>
    <col min="3" max="3" width="16.7109375" style="5" customWidth="1"/>
    <col min="4" max="4" width="16.7109375" style="5" customWidth="1" outlineLevel="1"/>
    <col min="5" max="5" width="21.28515625" style="5" customWidth="1" outlineLevel="1"/>
    <col min="6" max="9" width="16.7109375" style="5" customWidth="1"/>
    <col min="10" max="10" width="12.7109375" style="5" customWidth="1"/>
    <col min="11" max="11" width="16.7109375" style="5" customWidth="1"/>
    <col min="12" max="12" width="16.7109375" style="5" hidden="1" customWidth="1" outlineLevel="1"/>
    <col min="13" max="13" width="16.7109375" style="5" customWidth="1" collapsed="1"/>
    <col min="14" max="14" width="16.7109375" style="5" customWidth="1"/>
    <col min="15" max="15" width="51.5703125" style="5" customWidth="1"/>
    <col min="16" max="16" width="2.28515625" style="5" customWidth="1"/>
    <col min="17" max="17" width="255.7109375" style="5" bestFit="1" customWidth="1"/>
    <col min="18" max="16384" width="9.28515625" style="5"/>
  </cols>
  <sheetData>
    <row r="1" spans="1:17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705"/>
      <c r="H1" s="60"/>
      <c r="I1" s="60"/>
      <c r="J1" s="60"/>
      <c r="K1" s="60"/>
      <c r="L1" s="72"/>
      <c r="M1" s="72"/>
      <c r="N1" s="72"/>
      <c r="O1" s="58" t="str">
        <f>'Input-FX Rates'!$H$1</f>
        <v>Plant ICH Icheon (242)</v>
      </c>
      <c r="Q1" s="56" t="s">
        <v>144</v>
      </c>
    </row>
    <row r="2" spans="1:17" s="71" customFormat="1" ht="19.899999999999999" customHeight="1" thickBot="1" x14ac:dyDescent="0.3">
      <c r="A2" s="55" t="s">
        <v>219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7851 PL eMotor Controls</v>
      </c>
      <c r="Q2" s="95" t="s">
        <v>142</v>
      </c>
    </row>
    <row r="3" spans="1:17" ht="12.75" customHeight="1" x14ac:dyDescent="0.2">
      <c r="L3" s="121"/>
      <c r="N3" s="189"/>
    </row>
    <row r="4" spans="1:17" ht="25.5" customHeight="1" x14ac:dyDescent="0.2">
      <c r="A4" s="188" t="str">
        <f>"Variable Cost"&amp;" in '000 "&amp;'Input-FX Rates'!$B$8</f>
        <v>Variable Cost in '000 KRW</v>
      </c>
      <c r="B4" s="1035">
        <v>2023</v>
      </c>
      <c r="C4" s="1033"/>
      <c r="D4" s="1033"/>
      <c r="E4" s="1036"/>
      <c r="F4" s="1035" t="s">
        <v>1041</v>
      </c>
      <c r="G4" s="1033"/>
      <c r="H4" s="1033"/>
      <c r="I4" s="1033"/>
      <c r="J4" s="1033"/>
      <c r="K4" s="1036"/>
      <c r="L4" s="1035">
        <v>2024</v>
      </c>
      <c r="M4" s="1033"/>
      <c r="N4" s="1036"/>
      <c r="O4" s="187" t="s">
        <v>154</v>
      </c>
    </row>
    <row r="5" spans="1:17" ht="54" customHeight="1" x14ac:dyDescent="0.2">
      <c r="A5" s="188"/>
      <c r="B5" s="656" t="s">
        <v>938</v>
      </c>
      <c r="C5" s="187" t="s">
        <v>115</v>
      </c>
      <c r="D5" s="187" t="s">
        <v>218</v>
      </c>
      <c r="E5" s="188" t="s">
        <v>217</v>
      </c>
      <c r="F5" s="656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656" t="s">
        <v>210</v>
      </c>
      <c r="M5" s="187" t="s">
        <v>114</v>
      </c>
      <c r="N5" s="188" t="s">
        <v>209</v>
      </c>
      <c r="O5" s="187"/>
    </row>
    <row r="6" spans="1:17" ht="18.600000000000001" customHeight="1" x14ac:dyDescent="0.2">
      <c r="A6" s="79" t="s">
        <v>167</v>
      </c>
      <c r="B6" s="186">
        <f>'P&amp;L'!F8</f>
        <v>50414410.311999999</v>
      </c>
      <c r="C6" s="185">
        <f>'P&amp;L'!H8</f>
        <v>133169528.691</v>
      </c>
      <c r="D6" s="184">
        <v>1084255.523</v>
      </c>
      <c r="E6" s="183">
        <f>C6-D6</f>
        <v>132085273.168</v>
      </c>
      <c r="F6" s="178">
        <v>53749816.292600863</v>
      </c>
      <c r="G6" s="179"/>
      <c r="H6" s="177">
        <v>-3855985.4235721258</v>
      </c>
      <c r="I6" s="182"/>
      <c r="J6" s="181"/>
      <c r="K6" s="180">
        <f>M6-SUM(E6:I6)</f>
        <v>6294247.1519712806</v>
      </c>
      <c r="L6" s="128">
        <v>188273351.18900001</v>
      </c>
      <c r="M6" s="179">
        <f>'P&amp;L'!I8</f>
        <v>188273351.18900001</v>
      </c>
      <c r="N6" s="171">
        <f>IFERROR(M6/C6-1,0)</f>
        <v>0.41378702049670979</v>
      </c>
      <c r="O6" s="958"/>
      <c r="P6" s="99"/>
      <c r="Q6" s="706"/>
    </row>
    <row r="7" spans="1:17" ht="18.600000000000001" customHeight="1" x14ac:dyDescent="0.2">
      <c r="A7" s="79" t="s">
        <v>208</v>
      </c>
      <c r="B7" s="178">
        <v>51564412.501000002</v>
      </c>
      <c r="C7" s="177">
        <v>121329721.927</v>
      </c>
      <c r="D7" s="177">
        <v>1084255.523</v>
      </c>
      <c r="E7" s="176">
        <f>C7-D7</f>
        <v>120245466.404</v>
      </c>
      <c r="F7" s="134"/>
      <c r="G7" s="175"/>
      <c r="H7" s="175"/>
      <c r="I7" s="175"/>
      <c r="J7" s="174"/>
      <c r="K7" s="173"/>
      <c r="L7" s="141">
        <v>188273351.18900001</v>
      </c>
      <c r="M7" s="172">
        <v>188273351.18900001</v>
      </c>
      <c r="N7" s="171">
        <f>IFERROR(M7/C7-1,0)</f>
        <v>0.55174963066574678</v>
      </c>
      <c r="O7" s="946"/>
      <c r="P7" s="99"/>
      <c r="Q7" s="706"/>
    </row>
    <row r="8" spans="1:17" ht="18.600000000000001" customHeight="1" x14ac:dyDescent="0.2">
      <c r="A8" s="79" t="s">
        <v>207</v>
      </c>
      <c r="B8" s="120">
        <f>SUM(B10:B14)</f>
        <v>-42277036.767290004</v>
      </c>
      <c r="C8" s="116">
        <f>SUM(C10:C14)</f>
        <v>-103385437.34388</v>
      </c>
      <c r="D8" s="116">
        <f>SUM(D10:D14)</f>
        <v>0</v>
      </c>
      <c r="E8" s="118">
        <f>C8-D8</f>
        <v>-103385437.34388</v>
      </c>
      <c r="F8" s="120">
        <f>SUM(F10:F14)</f>
        <v>-42070915</v>
      </c>
      <c r="G8" s="116">
        <f>SUM(G10:G14)</f>
        <v>4413653.3000000007</v>
      </c>
      <c r="H8" s="116">
        <f>SUM(H10:H14)</f>
        <v>1914374.1065250635</v>
      </c>
      <c r="I8" s="116">
        <f>SUM(I10:I14)</f>
        <v>0</v>
      </c>
      <c r="J8" s="116"/>
      <c r="K8" s="170">
        <f>SUM(K10:K14)</f>
        <v>-14536593.021269886</v>
      </c>
      <c r="L8" s="117"/>
      <c r="M8" s="116">
        <f>SUM(M10:M14)</f>
        <v>-153664917.95862481</v>
      </c>
      <c r="N8" s="115">
        <f>IFERROR(M8/C8-1,0)</f>
        <v>0.48633039532932987</v>
      </c>
      <c r="O8" s="946"/>
      <c r="P8" s="99"/>
      <c r="Q8" s="696" t="s">
        <v>958</v>
      </c>
    </row>
    <row r="9" spans="1:17" ht="15" customHeight="1" x14ac:dyDescent="0.2">
      <c r="A9" s="84" t="s">
        <v>1473</v>
      </c>
      <c r="B9" s="941">
        <f>IFERROR((B8+B15)/B6,0)</f>
        <v>-0.8388130599084731</v>
      </c>
      <c r="C9" s="942">
        <f>IFERROR((C8+C15)/C6,0)</f>
        <v>-0.77642886755119878</v>
      </c>
      <c r="D9" s="942">
        <f>IFERROR((D8+D15)/D6,0)</f>
        <v>0</v>
      </c>
      <c r="E9" s="943">
        <f>IFERROR((E8+E15)/E6,0)</f>
        <v>-0.78280238117363166</v>
      </c>
      <c r="F9" s="941">
        <f>IFERROR((F8+F15)/F6,0)</f>
        <v>-0.78280237779700212</v>
      </c>
      <c r="G9" s="942"/>
      <c r="H9" s="942"/>
      <c r="I9" s="942"/>
      <c r="J9" s="942"/>
      <c r="K9" s="943"/>
      <c r="L9" s="941"/>
      <c r="M9" s="942">
        <f>IFERROR((M8+M15)/M6,0)</f>
        <v>-0.94493991228759266</v>
      </c>
      <c r="N9" s="943"/>
      <c r="O9" s="946"/>
      <c r="P9" s="99"/>
      <c r="Q9" s="99"/>
    </row>
    <row r="10" spans="1:17" ht="27" customHeight="1" x14ac:dyDescent="0.2">
      <c r="A10" s="169" t="s">
        <v>1445</v>
      </c>
      <c r="B10" s="141">
        <v>-42108261.705090001</v>
      </c>
      <c r="C10" s="140">
        <v>-105250056.00223</v>
      </c>
      <c r="D10" s="140"/>
      <c r="E10" s="147">
        <f t="shared" ref="E10:E16" si="0">C10-D10</f>
        <v>-105250056.00223</v>
      </c>
      <c r="F10" s="146">
        <f t="shared" ref="F10:F16" si="1">IF($C$6=0,0,ROUND($F$6/$E$6*E10,0))</f>
        <v>-42829689</v>
      </c>
      <c r="G10" s="145">
        <f>-6109012+10522665.3</f>
        <v>4413653.3000000007</v>
      </c>
      <c r="H10" s="165">
        <f>'10. Purchasing (LC)'!E14</f>
        <v>1914374.1065250635</v>
      </c>
      <c r="I10" s="156"/>
      <c r="J10" s="157"/>
      <c r="K10" s="142">
        <f t="shared" ref="K10:K16" si="2">M10-SUM(E10:I10)</f>
        <v>-10522665.143919885</v>
      </c>
      <c r="L10" s="141"/>
      <c r="M10" s="165">
        <f>'10. Purchasing (LC)'!D14</f>
        <v>-152274382.7396248</v>
      </c>
      <c r="N10" s="168">
        <f t="shared" ref="N10:N16" si="3">IFERROR(M10/C10-1,0)</f>
        <v>0.44678671464458364</v>
      </c>
      <c r="O10" s="138" t="s">
        <v>1575</v>
      </c>
      <c r="P10" s="99"/>
      <c r="Q10" s="707" t="s">
        <v>1412</v>
      </c>
    </row>
    <row r="11" spans="1:17" ht="15" customHeight="1" x14ac:dyDescent="0.2">
      <c r="A11" s="148" t="s">
        <v>206</v>
      </c>
      <c r="B11" s="151">
        <f>'P&amp;L'!F26</f>
        <v>-80160.665999999997</v>
      </c>
      <c r="C11" s="149">
        <f>'P&amp;L'!H26</f>
        <v>1939397.75</v>
      </c>
      <c r="D11" s="140"/>
      <c r="E11" s="147">
        <f t="shared" si="0"/>
        <v>1939397.75</v>
      </c>
      <c r="F11" s="146">
        <f t="shared" si="1"/>
        <v>789204</v>
      </c>
      <c r="G11" s="145"/>
      <c r="H11" s="140"/>
      <c r="I11" s="165"/>
      <c r="J11" s="157"/>
      <c r="K11" s="142">
        <f t="shared" si="2"/>
        <v>-2728601.75</v>
      </c>
      <c r="L11" s="141"/>
      <c r="M11" s="149">
        <f>'P&amp;L'!I26</f>
        <v>0</v>
      </c>
      <c r="N11" s="139">
        <f t="shared" si="3"/>
        <v>-1</v>
      </c>
      <c r="O11" s="138"/>
      <c r="P11" s="99"/>
      <c r="Q11" s="696" t="s">
        <v>940</v>
      </c>
    </row>
    <row r="12" spans="1:17" ht="15" customHeight="1" x14ac:dyDescent="0.2">
      <c r="A12" s="148" t="s">
        <v>941</v>
      </c>
      <c r="B12" s="151">
        <f>'P&amp;L'!F45</f>
        <v>-83134.895000000004</v>
      </c>
      <c r="C12" s="149">
        <f>'P&amp;L'!H45</f>
        <v>27261</v>
      </c>
      <c r="D12" s="140"/>
      <c r="E12" s="147">
        <f t="shared" si="0"/>
        <v>27261</v>
      </c>
      <c r="F12" s="146">
        <f t="shared" si="1"/>
        <v>11093</v>
      </c>
      <c r="G12" s="167"/>
      <c r="H12" s="166"/>
      <c r="I12" s="165"/>
      <c r="J12" s="157"/>
      <c r="K12" s="142">
        <f t="shared" si="2"/>
        <v>-38354</v>
      </c>
      <c r="L12" s="141"/>
      <c r="M12" s="149">
        <f>'P&amp;L'!I45</f>
        <v>0</v>
      </c>
      <c r="N12" s="139">
        <f t="shared" si="3"/>
        <v>-1</v>
      </c>
      <c r="O12" s="138"/>
      <c r="P12" s="99"/>
      <c r="Q12" s="696" t="s">
        <v>939</v>
      </c>
    </row>
    <row r="13" spans="1:17" ht="15" customHeight="1" x14ac:dyDescent="0.2">
      <c r="A13" s="148" t="s">
        <v>205</v>
      </c>
      <c r="B13" s="141">
        <v>-5479.5011999999997</v>
      </c>
      <c r="C13" s="140">
        <v>-102040.09165</v>
      </c>
      <c r="D13" s="140"/>
      <c r="E13" s="147">
        <f t="shared" si="0"/>
        <v>-102040.09165</v>
      </c>
      <c r="F13" s="146">
        <f t="shared" si="1"/>
        <v>-41523</v>
      </c>
      <c r="G13" s="145"/>
      <c r="H13" s="140"/>
      <c r="I13" s="165"/>
      <c r="J13" s="157"/>
      <c r="K13" s="142">
        <f t="shared" si="2"/>
        <v>-1246972.12735</v>
      </c>
      <c r="L13" s="141"/>
      <c r="M13" s="140">
        <v>-1390535.219</v>
      </c>
      <c r="N13" s="139">
        <f t="shared" si="3"/>
        <v>12.627341925265705</v>
      </c>
      <c r="O13" s="138"/>
      <c r="P13" s="99"/>
      <c r="Q13" s="696" t="s">
        <v>220</v>
      </c>
    </row>
    <row r="14" spans="1:17" ht="15" customHeight="1" x14ac:dyDescent="0.2">
      <c r="A14" s="148" t="s">
        <v>204</v>
      </c>
      <c r="B14" s="141">
        <v>0</v>
      </c>
      <c r="C14" s="140">
        <v>0</v>
      </c>
      <c r="D14" s="140"/>
      <c r="E14" s="147">
        <f t="shared" si="0"/>
        <v>0</v>
      </c>
      <c r="F14" s="146">
        <f t="shared" si="1"/>
        <v>0</v>
      </c>
      <c r="G14" s="145"/>
      <c r="H14" s="140"/>
      <c r="I14" s="158"/>
      <c r="J14" s="157"/>
      <c r="K14" s="142">
        <f t="shared" si="2"/>
        <v>0</v>
      </c>
      <c r="L14" s="141"/>
      <c r="M14" s="140">
        <v>0</v>
      </c>
      <c r="N14" s="139">
        <f t="shared" si="3"/>
        <v>0</v>
      </c>
      <c r="O14" s="138"/>
      <c r="P14" s="99"/>
      <c r="Q14" s="696" t="s">
        <v>203</v>
      </c>
    </row>
    <row r="15" spans="1:17" s="160" customFormat="1" ht="15" customHeight="1" x14ac:dyDescent="0.25">
      <c r="A15" s="164" t="s">
        <v>1444</v>
      </c>
      <c r="B15" s="128">
        <v>-11229.01</v>
      </c>
      <c r="C15" s="127">
        <v>-11229.01</v>
      </c>
      <c r="D15" s="127"/>
      <c r="E15" s="125">
        <f t="shared" si="0"/>
        <v>-11229.01</v>
      </c>
      <c r="F15" s="137">
        <f t="shared" si="1"/>
        <v>-4569</v>
      </c>
      <c r="G15" s="163">
        <f>M15-SUM(E15,F15,H15)</f>
        <v>-24226287.989999998</v>
      </c>
      <c r="H15" s="127"/>
      <c r="I15" s="162"/>
      <c r="J15" s="161"/>
      <c r="K15" s="142">
        <f t="shared" si="2"/>
        <v>0</v>
      </c>
      <c r="L15" s="128"/>
      <c r="M15" s="127">
        <v>-24242086</v>
      </c>
      <c r="N15" s="123">
        <f t="shared" si="3"/>
        <v>2157.880079365857</v>
      </c>
      <c r="O15" s="138" t="s">
        <v>1545</v>
      </c>
      <c r="P15" s="64"/>
      <c r="Q15" s="696" t="s">
        <v>1413</v>
      </c>
    </row>
    <row r="16" spans="1:17" ht="15" customHeight="1" x14ac:dyDescent="0.2">
      <c r="A16" s="148" t="s">
        <v>201</v>
      </c>
      <c r="B16" s="151">
        <f>'P&amp;L'!F58</f>
        <v>-1217.4749999999999</v>
      </c>
      <c r="C16" s="149">
        <f>'P&amp;L'!H58</f>
        <v>-1217.4749999999999</v>
      </c>
      <c r="D16" s="140"/>
      <c r="E16" s="147">
        <f t="shared" si="0"/>
        <v>-1217.4749999999999</v>
      </c>
      <c r="F16" s="146">
        <f t="shared" si="1"/>
        <v>-495</v>
      </c>
      <c r="G16" s="159">
        <f>M16-SUM(E16,F16,H16)</f>
        <v>-6663473.5250000004</v>
      </c>
      <c r="H16" s="140"/>
      <c r="I16" s="158"/>
      <c r="J16" s="157"/>
      <c r="K16" s="142">
        <f t="shared" si="2"/>
        <v>0</v>
      </c>
      <c r="L16" s="141"/>
      <c r="M16" s="149">
        <v>-6665186</v>
      </c>
      <c r="N16" s="139">
        <f t="shared" si="3"/>
        <v>5473.5978356845117</v>
      </c>
      <c r="O16" s="138"/>
      <c r="P16" s="99"/>
      <c r="Q16" s="696" t="s">
        <v>200</v>
      </c>
    </row>
    <row r="17" spans="1:17" ht="15" customHeight="1" x14ac:dyDescent="0.2">
      <c r="A17" s="79" t="s">
        <v>199</v>
      </c>
      <c r="B17" s="120">
        <f>B19+B20+B21</f>
        <v>-1499991.2050000001</v>
      </c>
      <c r="C17" s="116">
        <f t="shared" ref="C17:D17" si="4">C19+C20+C21</f>
        <v>-3647951.8431005236</v>
      </c>
      <c r="D17" s="116">
        <f t="shared" si="4"/>
        <v>0</v>
      </c>
      <c r="E17" s="118">
        <f>C17-D17</f>
        <v>-3647951.8431005236</v>
      </c>
      <c r="F17" s="120">
        <f>F19+F20+F21</f>
        <v>-1484471</v>
      </c>
      <c r="G17" s="116">
        <f t="shared" ref="G17:I17" si="5">G19+G20+G21</f>
        <v>-2901429.6629999997</v>
      </c>
      <c r="H17" s="116">
        <f t="shared" si="5"/>
        <v>-219951.76290361461</v>
      </c>
      <c r="I17" s="116">
        <f t="shared" si="5"/>
        <v>0</v>
      </c>
      <c r="J17" s="119">
        <f>IFERROR((I17/(E17+F17+G17))*-1,0)</f>
        <v>0</v>
      </c>
      <c r="K17" s="118">
        <f>K19+K20+K21</f>
        <v>1983675.2010041387</v>
      </c>
      <c r="L17" s="117">
        <f>L19+L20</f>
        <v>-5040033.9817147003</v>
      </c>
      <c r="M17" s="116">
        <f>M19+M20+M21</f>
        <v>-6270129.0680000009</v>
      </c>
      <c r="N17" s="115">
        <f>IFERROR(M17/C17-1,0)</f>
        <v>0.71880807030358063</v>
      </c>
      <c r="O17" s="946"/>
      <c r="P17" s="99"/>
      <c r="Q17" s="696"/>
    </row>
    <row r="18" spans="1:17" ht="15" customHeight="1" x14ac:dyDescent="0.2">
      <c r="A18" s="84" t="s">
        <v>155</v>
      </c>
      <c r="B18" s="941">
        <f>IFERROR(B17/B$6,0)</f>
        <v>-2.9753223249404177E-2</v>
      </c>
      <c r="C18" s="942">
        <f>IFERROR(C17/C$6,0)</f>
        <v>-2.7393292436778467E-2</v>
      </c>
      <c r="D18" s="942">
        <f>IFERROR(D17/D$6,0)</f>
        <v>0</v>
      </c>
      <c r="E18" s="943">
        <f>IFERROR(E17/E$6,0)</f>
        <v>-2.7618157237413388E-2</v>
      </c>
      <c r="F18" s="941">
        <f>IFERROR(F17/F$6,0)</f>
        <v>-2.7618159509958187E-2</v>
      </c>
      <c r="G18" s="942"/>
      <c r="H18" s="942"/>
      <c r="I18" s="942"/>
      <c r="J18" s="942"/>
      <c r="K18" s="943"/>
      <c r="L18" s="941"/>
      <c r="M18" s="942">
        <f>IFERROR(M17/M$6,0)</f>
        <v>-3.3303327467229665E-2</v>
      </c>
      <c r="N18" s="943"/>
      <c r="O18" s="946"/>
      <c r="P18" s="99"/>
      <c r="Q18" s="696"/>
    </row>
    <row r="19" spans="1:17" ht="15" customHeight="1" x14ac:dyDescent="0.2">
      <c r="A19" s="148" t="s">
        <v>1466</v>
      </c>
      <c r="B19" s="141">
        <v>-900834.68799999997</v>
      </c>
      <c r="C19" s="140">
        <v>-2388672.02</v>
      </c>
      <c r="D19" s="144"/>
      <c r="E19" s="147">
        <f>C19-D19</f>
        <v>-2388672.02</v>
      </c>
      <c r="F19" s="146">
        <f>IF($C$6=0,0,ROUND($F$6/$E$6*E19,0))</f>
        <v>-972029</v>
      </c>
      <c r="G19" s="156">
        <f>-1569069-1332360.663</f>
        <v>-2901429.6629999997</v>
      </c>
      <c r="H19" s="154">
        <f>((M19/(1+'6. HC (LC)'!Q36))-M19)*-1</f>
        <v>-184866.35783132538</v>
      </c>
      <c r="I19" s="144"/>
      <c r="J19" s="143">
        <f>IFERROR((I19/(E19+F19+G19))*-1,0)</f>
        <v>0</v>
      </c>
      <c r="K19" s="142">
        <f>M19-SUM(E19:I19)</f>
        <v>1332361.1408313252</v>
      </c>
      <c r="L19" s="152">
        <v>-5040033.9817147003</v>
      </c>
      <c r="M19" s="145">
        <v>-5114635.9000000004</v>
      </c>
      <c r="N19" s="139">
        <f>IFERROR(M19/C19-1,0)</f>
        <v>1.1412047602918713</v>
      </c>
      <c r="O19" s="138" t="s">
        <v>1546</v>
      </c>
      <c r="P19" s="99"/>
      <c r="Q19" s="696" t="s">
        <v>197</v>
      </c>
    </row>
    <row r="20" spans="1:17" ht="15" customHeight="1" x14ac:dyDescent="0.2">
      <c r="A20" s="148" t="s">
        <v>1467</v>
      </c>
      <c r="B20" s="151">
        <f>'5. Logistic Cost (LC)'!B11+'5. Logistic Cost (LC)'!B19</f>
        <v>-301330.92099999997</v>
      </c>
      <c r="C20" s="149">
        <f>'5. Logistic Cost (LC)'!C11+'5. Logistic Cost (LC)'!C19</f>
        <v>-663628.63110052398</v>
      </c>
      <c r="D20" s="149">
        <f>'5. Logistic Cost (LC)'!D11+'5. Logistic Cost (LC)'!D19</f>
        <v>0</v>
      </c>
      <c r="E20" s="147">
        <f>C20-D20</f>
        <v>-663628.63110052398</v>
      </c>
      <c r="F20" s="146">
        <f>IF($C$6=0,0,ROUND($F$6/$E$6*E20,0))</f>
        <v>-270052</v>
      </c>
      <c r="G20" s="149">
        <f>'5. Logistic Cost (LC)'!G11+'5. Logistic Cost (LC)'!G19</f>
        <v>0</v>
      </c>
      <c r="H20" s="154">
        <f>'5. Logistic Cost (LC)'!H11+'5. Logistic Cost (LC)'!H19</f>
        <v>-35085.405072289228</v>
      </c>
      <c r="I20" s="154">
        <f>'5. Logistic Cost (LC)'!I11+'5. Logistic Cost (LC)'!I19</f>
        <v>0</v>
      </c>
      <c r="J20" s="143">
        <f>IFERROR((I20/(E20+F20+G20))*-1,0)</f>
        <v>0</v>
      </c>
      <c r="K20" s="142">
        <f>M20-SUM(E20:I20)</f>
        <v>-1930.1708271867828</v>
      </c>
      <c r="L20" s="154">
        <f>'5. Logistic Cost (LC)'!K11+'5. Logistic Cost (LC)'!K19</f>
        <v>0</v>
      </c>
      <c r="M20" s="149">
        <f>'5. Logistic Cost (LC)'!L11+'5. Logistic Cost (LC)'!L19</f>
        <v>-970696.20700000005</v>
      </c>
      <c r="N20" s="139">
        <f>IFERROR(M20/C20-1,0)</f>
        <v>0.46270995781217672</v>
      </c>
      <c r="O20" s="138"/>
      <c r="P20" s="99"/>
      <c r="Q20" s="708" t="s">
        <v>195</v>
      </c>
    </row>
    <row r="21" spans="1:17" ht="15" customHeight="1" x14ac:dyDescent="0.2">
      <c r="A21" s="148" t="s">
        <v>1468</v>
      </c>
      <c r="B21" s="141">
        <v>-297825.59600000002</v>
      </c>
      <c r="C21" s="140">
        <v>-595651.19200000004</v>
      </c>
      <c r="D21" s="144"/>
      <c r="E21" s="147">
        <f>C21-D21</f>
        <v>-595651.19200000004</v>
      </c>
      <c r="F21" s="146">
        <f>IF($C$6=0,0,ROUND($F$6/$E$6*E21,0))</f>
        <v>-242390</v>
      </c>
      <c r="G21" s="156"/>
      <c r="H21" s="156"/>
      <c r="I21" s="156"/>
      <c r="J21" s="143">
        <f>IFERROR((I21/(E21+F21+G21))*-1,0)</f>
        <v>0</v>
      </c>
      <c r="K21" s="142">
        <f>M21-SUM(E21:I21)</f>
        <v>653244.23100000003</v>
      </c>
      <c r="L21" s="154"/>
      <c r="M21" s="145">
        <v>-184796.96100000001</v>
      </c>
      <c r="N21" s="139">
        <f>IFERROR(M21/C21-1,0)</f>
        <v>-0.68975641536196242</v>
      </c>
      <c r="O21" s="976"/>
      <c r="P21" s="99"/>
      <c r="Q21" s="708" t="s">
        <v>1474</v>
      </c>
    </row>
    <row r="22" spans="1:17" ht="15" customHeight="1" x14ac:dyDescent="0.2">
      <c r="A22" s="79" t="s">
        <v>194</v>
      </c>
      <c r="B22" s="120">
        <f>SUM(B24:B30)</f>
        <v>-1381145.942</v>
      </c>
      <c r="C22" s="116">
        <f>SUM(C24:C30)</f>
        <v>-3452578.092019463</v>
      </c>
      <c r="D22" s="116">
        <f>SUM(D24:D30)</f>
        <v>-117750.53640516293</v>
      </c>
      <c r="E22" s="118">
        <f>C22-D22</f>
        <v>-3334827.5556143001</v>
      </c>
      <c r="F22" s="120">
        <f>SUM(F24:F30)</f>
        <v>-1357050</v>
      </c>
      <c r="G22" s="116">
        <f>SUM(G24:G30)</f>
        <v>-752778.36401456501</v>
      </c>
      <c r="H22" s="116">
        <f>SUM(H24:H30)</f>
        <v>-131418.64257000003</v>
      </c>
      <c r="I22" s="116">
        <f>SUM(I24:I30)</f>
        <v>102801.2</v>
      </c>
      <c r="J22" s="119">
        <f>IFERROR((I22/(E22+F22+G22))*-1,0)</f>
        <v>1.8881119673583972E-2</v>
      </c>
      <c r="K22" s="118">
        <f>SUM(K24:K30)</f>
        <v>-1459341.1510976872</v>
      </c>
      <c r="L22" s="117">
        <f>SUM(L24:L30)</f>
        <v>-4490285.9287624396</v>
      </c>
      <c r="M22" s="116">
        <f>SUM(M24:M30)</f>
        <v>-6932614.5132965511</v>
      </c>
      <c r="N22" s="115">
        <f>IFERROR(M22/C22-1,0)</f>
        <v>1.0079529929594044</v>
      </c>
      <c r="O22" s="946"/>
      <c r="P22" s="99"/>
      <c r="Q22" s="99"/>
    </row>
    <row r="23" spans="1:17" ht="15" customHeight="1" x14ac:dyDescent="0.2">
      <c r="A23" s="84" t="s">
        <v>155</v>
      </c>
      <c r="B23" s="941">
        <f>IFERROR(B22/B$6,0)</f>
        <v>-2.7395856332594053E-2</v>
      </c>
      <c r="C23" s="942">
        <f>IFERROR(C22/C$6,0)</f>
        <v>-2.5926186913454163E-2</v>
      </c>
      <c r="D23" s="942">
        <f>IFERROR(D22/D$6,0)</f>
        <v>-0.1086003565648085</v>
      </c>
      <c r="E23" s="943">
        <f>IFERROR(E22/E$6,0)</f>
        <v>-2.5247534987285936E-2</v>
      </c>
      <c r="F23" s="941">
        <f>IFERROR(F22/F$6,0)</f>
        <v>-2.5247528151771746E-2</v>
      </c>
      <c r="G23" s="942"/>
      <c r="H23" s="942"/>
      <c r="I23" s="942"/>
      <c r="J23" s="942"/>
      <c r="K23" s="943"/>
      <c r="L23" s="941"/>
      <c r="M23" s="942">
        <f>IFERROR(M22/M$6,0)</f>
        <v>-3.6822069982369303E-2</v>
      </c>
      <c r="N23" s="943"/>
      <c r="O23" s="946"/>
      <c r="P23" s="99"/>
      <c r="Q23" s="99"/>
    </row>
    <row r="24" spans="1:17" ht="15" customHeight="1" x14ac:dyDescent="0.2">
      <c r="A24" s="148" t="s">
        <v>193</v>
      </c>
      <c r="B24" s="141">
        <v>-367.2</v>
      </c>
      <c r="C24" s="140">
        <v>-367.2</v>
      </c>
      <c r="D24" s="140"/>
      <c r="E24" s="147">
        <f>C24-D24</f>
        <v>-367.2</v>
      </c>
      <c r="F24" s="146">
        <f t="shared" ref="F24:F32" si="6">IF($C$6=0,0,ROUND($F$6/$E$6*E24,0))</f>
        <v>-149</v>
      </c>
      <c r="G24" s="145"/>
      <c r="H24" s="140"/>
      <c r="I24" s="144">
        <v>516.20000000000005</v>
      </c>
      <c r="J24" s="143">
        <f t="shared" ref="J24:J35" si="7">IFERROR((I24/(E24+F24+G24))*-1,0)</f>
        <v>1</v>
      </c>
      <c r="K24" s="142">
        <f t="shared" ref="K24:K34" si="8">M24-SUM(E24:I24)</f>
        <v>0</v>
      </c>
      <c r="L24" s="152"/>
      <c r="M24" s="145">
        <v>0</v>
      </c>
      <c r="N24" s="139">
        <f t="shared" ref="N24:N35" si="9">IFERROR(M24/C24-1,0)</f>
        <v>-1</v>
      </c>
      <c r="O24" s="138"/>
      <c r="P24" s="99"/>
      <c r="Q24" s="709" t="s">
        <v>192</v>
      </c>
    </row>
    <row r="25" spans="1:17" ht="15" customHeight="1" x14ac:dyDescent="0.2">
      <c r="A25" s="148" t="s">
        <v>191</v>
      </c>
      <c r="B25" s="141">
        <v>-49160.766000000003</v>
      </c>
      <c r="C25" s="140">
        <v>-115674.004205568</v>
      </c>
      <c r="D25" s="140"/>
      <c r="E25" s="147">
        <f>C25-D25</f>
        <v>-115674.004205568</v>
      </c>
      <c r="F25" s="146">
        <f t="shared" si="6"/>
        <v>-47072</v>
      </c>
      <c r="G25" s="145">
        <v>-380430.10863043205</v>
      </c>
      <c r="H25" s="140">
        <f>M25*2.3%</f>
        <v>-12787.154220999999</v>
      </c>
      <c r="I25" s="144"/>
      <c r="J25" s="143">
        <f t="shared" si="7"/>
        <v>0</v>
      </c>
      <c r="K25" s="142">
        <f t="shared" si="8"/>
        <v>4.005700012203306E-2</v>
      </c>
      <c r="L25" s="141"/>
      <c r="M25" s="140">
        <v>-555963.22699999996</v>
      </c>
      <c r="N25" s="139">
        <f t="shared" si="9"/>
        <v>3.8062936077839913</v>
      </c>
      <c r="O25" s="138"/>
      <c r="P25" s="99"/>
      <c r="Q25" s="709" t="s">
        <v>190</v>
      </c>
    </row>
    <row r="26" spans="1:17" ht="15" customHeight="1" x14ac:dyDescent="0.2">
      <c r="A26" s="148" t="s">
        <v>189</v>
      </c>
      <c r="B26" s="141">
        <v>-157275.443</v>
      </c>
      <c r="C26" s="140">
        <v>-370065.02817744069</v>
      </c>
      <c r="D26" s="144"/>
      <c r="E26" s="147">
        <f>C26-D26</f>
        <v>-370065.02817744069</v>
      </c>
      <c r="F26" s="146">
        <f t="shared" si="6"/>
        <v>-150592</v>
      </c>
      <c r="G26" s="145">
        <f>-1980799+1332360.663</f>
        <v>-648438.33700000006</v>
      </c>
      <c r="H26" s="140">
        <f>M26*2.3%</f>
        <v>-58887.910183</v>
      </c>
      <c r="I26" s="144"/>
      <c r="J26" s="143">
        <f t="shared" si="7"/>
        <v>0</v>
      </c>
      <c r="K26" s="142">
        <f t="shared" si="8"/>
        <v>-1332360.6456395595</v>
      </c>
      <c r="L26" s="141">
        <v>-4490285.9287624396</v>
      </c>
      <c r="M26" s="140">
        <v>-2560343.9210000001</v>
      </c>
      <c r="N26" s="139">
        <f t="shared" si="9"/>
        <v>5.9186324728105708</v>
      </c>
      <c r="O26" s="138" t="s">
        <v>1546</v>
      </c>
      <c r="P26" s="99"/>
      <c r="Q26" s="978" t="s">
        <v>1476</v>
      </c>
    </row>
    <row r="27" spans="1:17" ht="15" customHeight="1" x14ac:dyDescent="0.2">
      <c r="A27" s="148" t="s">
        <v>986</v>
      </c>
      <c r="B27" s="141">
        <v>-439591.19900000002</v>
      </c>
      <c r="C27" s="140">
        <v>-888088.90431255102</v>
      </c>
      <c r="D27" s="140"/>
      <c r="E27" s="147">
        <f>C27-D27</f>
        <v>-888088.90431255102</v>
      </c>
      <c r="F27" s="146">
        <f t="shared" si="6"/>
        <v>-361392</v>
      </c>
      <c r="G27" s="145">
        <v>165494.63334986707</v>
      </c>
      <c r="H27" s="140">
        <f>M27*5%</f>
        <v>-57051.907900000006</v>
      </c>
      <c r="I27" s="144"/>
      <c r="J27" s="143">
        <f t="shared" si="7"/>
        <v>0</v>
      </c>
      <c r="K27" s="142">
        <f t="shared" si="8"/>
        <v>2.0862683886662126E-2</v>
      </c>
      <c r="L27" s="141"/>
      <c r="M27" s="140">
        <v>-1141038.1580000001</v>
      </c>
      <c r="N27" s="139">
        <f t="shared" si="9"/>
        <v>0.28482424727876898</v>
      </c>
      <c r="O27" s="138" t="s">
        <v>1548</v>
      </c>
      <c r="P27" s="99"/>
      <c r="Q27" s="709" t="s">
        <v>187</v>
      </c>
    </row>
    <row r="28" spans="1:17" ht="15" customHeight="1" x14ac:dyDescent="0.2">
      <c r="A28" s="148" t="s">
        <v>186</v>
      </c>
      <c r="B28" s="151">
        <f>'5. Logistic Cost (LC)'!B8-'2. Variable (LC)'!B20</f>
        <v>-654813.87400000007</v>
      </c>
      <c r="C28" s="149">
        <f>'5. Logistic Cost (LC)'!C8-'2. Variable (LC)'!C20</f>
        <v>-1918508.0353239032</v>
      </c>
      <c r="D28" s="149">
        <f>'5. Logistic Cost (LC)'!D8-'2. Variable (LC)'!D20</f>
        <v>-117750.53640516293</v>
      </c>
      <c r="E28" s="147">
        <f>'5. Logistic Cost (LC)'!E8-'2. Variable (LC)'!E20</f>
        <v>-1800757.4989187403</v>
      </c>
      <c r="F28" s="146">
        <f t="shared" si="6"/>
        <v>-732787</v>
      </c>
      <c r="G28" s="149">
        <f>'5. Logistic Cost (LC)'!G8-'2. Variable (LC)'!G20</f>
        <v>0</v>
      </c>
      <c r="H28" s="149">
        <f>'5. Logistic Cost (LC)'!H8-'2. Variable (LC)'!H20</f>
        <v>0</v>
      </c>
      <c r="I28" s="150">
        <f>'5. Logistic Cost (LC)'!I8-'2. Variable (LC)'!I20</f>
        <v>102285</v>
      </c>
      <c r="J28" s="143">
        <f t="shared" si="7"/>
        <v>4.0372292668888567E-2</v>
      </c>
      <c r="K28" s="142">
        <f t="shared" si="8"/>
        <v>-126980.5663778116</v>
      </c>
      <c r="L28" s="150">
        <f>'5. Logistic Cost (LC)'!K8-'2. Variable (LC)'!L20</f>
        <v>0</v>
      </c>
      <c r="M28" s="149">
        <f>'5. Logistic Cost (LC)'!L8-'2. Variable (LC)'!M20</f>
        <v>-2558240.0652965517</v>
      </c>
      <c r="N28" s="139">
        <f>IFERROR(M28/C28-1,0)</f>
        <v>0.33345288015155061</v>
      </c>
      <c r="O28" s="138"/>
      <c r="P28" s="99"/>
      <c r="Q28" s="709" t="s">
        <v>979</v>
      </c>
    </row>
    <row r="29" spans="1:17" ht="15" customHeight="1" x14ac:dyDescent="0.2">
      <c r="A29" s="148" t="s">
        <v>1469</v>
      </c>
      <c r="B29" s="141">
        <v>-79937.460000000006</v>
      </c>
      <c r="C29" s="140">
        <v>-159874.92000000001</v>
      </c>
      <c r="D29" s="140"/>
      <c r="E29" s="147">
        <f t="shared" ref="E29:E34" si="10">C29-D29</f>
        <v>-159874.92000000001</v>
      </c>
      <c r="F29" s="146">
        <f t="shared" ref="F29" si="11">IF($C$6=0,0,ROUND($F$6/$E$6*E29,0))</f>
        <v>-65058</v>
      </c>
      <c r="G29" s="145">
        <v>117629.848266</v>
      </c>
      <c r="H29" s="140">
        <f>M29*2.3%</f>
        <v>-2526.0702660000002</v>
      </c>
      <c r="I29" s="144"/>
      <c r="J29" s="143">
        <f t="shared" ref="J29" si="12">IFERROR((I29/(E29+F29+G29))*-1,0)</f>
        <v>0</v>
      </c>
      <c r="K29" s="142">
        <f t="shared" ref="K29" si="13">M29-SUM(E29:I29)</f>
        <v>0</v>
      </c>
      <c r="L29" s="977"/>
      <c r="M29" s="140">
        <v>-109829.14200000001</v>
      </c>
      <c r="N29" s="139">
        <f t="shared" si="9"/>
        <v>-0.31303082434693319</v>
      </c>
      <c r="O29" s="138"/>
      <c r="P29" s="99"/>
      <c r="Q29" s="708" t="s">
        <v>1475</v>
      </c>
    </row>
    <row r="30" spans="1:17" ht="15" customHeight="1" x14ac:dyDescent="0.2">
      <c r="A30" s="148" t="s">
        <v>185</v>
      </c>
      <c r="B30" s="141">
        <v>0</v>
      </c>
      <c r="C30" s="140">
        <v>0</v>
      </c>
      <c r="D30" s="140"/>
      <c r="E30" s="147">
        <f t="shared" si="10"/>
        <v>0</v>
      </c>
      <c r="F30" s="146">
        <f t="shared" si="6"/>
        <v>0</v>
      </c>
      <c r="G30" s="145">
        <v>-7034.4</v>
      </c>
      <c r="H30" s="140">
        <f>M30*2.3%</f>
        <v>-165.6</v>
      </c>
      <c r="I30" s="144"/>
      <c r="J30" s="143">
        <f t="shared" si="7"/>
        <v>0</v>
      </c>
      <c r="K30" s="142">
        <f t="shared" si="8"/>
        <v>0</v>
      </c>
      <c r="L30" s="141"/>
      <c r="M30" s="140">
        <v>-7200</v>
      </c>
      <c r="N30" s="139">
        <f t="shared" si="9"/>
        <v>0</v>
      </c>
      <c r="O30" s="138"/>
      <c r="P30" s="99"/>
      <c r="Q30" s="709" t="s">
        <v>959</v>
      </c>
    </row>
    <row r="31" spans="1:17" s="121" customFormat="1" ht="15" customHeight="1" x14ac:dyDescent="0.2">
      <c r="A31" s="130" t="s">
        <v>184</v>
      </c>
      <c r="B31" s="129">
        <f>'P&amp;L'!F44</f>
        <v>-184294.21</v>
      </c>
      <c r="C31" s="124">
        <f>'P&amp;L'!H44</f>
        <v>-878747</v>
      </c>
      <c r="D31" s="127"/>
      <c r="E31" s="125">
        <f t="shared" si="10"/>
        <v>-878747</v>
      </c>
      <c r="F31" s="137">
        <f t="shared" si="6"/>
        <v>-357591</v>
      </c>
      <c r="G31" s="136"/>
      <c r="H31" s="127"/>
      <c r="I31" s="135"/>
      <c r="J31" s="132">
        <f t="shared" si="7"/>
        <v>0</v>
      </c>
      <c r="K31" s="131">
        <f t="shared" si="8"/>
        <v>-1601075.65</v>
      </c>
      <c r="L31" s="128">
        <v>-3050423</v>
      </c>
      <c r="M31" s="124">
        <f>'P&amp;L'!I44</f>
        <v>-2837413.65</v>
      </c>
      <c r="N31" s="123">
        <f t="shared" si="9"/>
        <v>2.2289312509743988</v>
      </c>
      <c r="O31" s="138" t="s">
        <v>1577</v>
      </c>
      <c r="P31" s="122"/>
      <c r="Q31" s="709" t="s">
        <v>183</v>
      </c>
    </row>
    <row r="32" spans="1:17" s="121" customFormat="1" ht="15" customHeight="1" x14ac:dyDescent="0.2">
      <c r="A32" s="130" t="s">
        <v>182</v>
      </c>
      <c r="B32" s="129">
        <f>'P&amp;L'!F49</f>
        <v>-178413.932</v>
      </c>
      <c r="C32" s="124">
        <f>'P&amp;L'!H49</f>
        <v>-507144.62800000003</v>
      </c>
      <c r="D32" s="127"/>
      <c r="E32" s="125">
        <f t="shared" si="10"/>
        <v>-507144.62800000003</v>
      </c>
      <c r="F32" s="129">
        <f t="shared" si="6"/>
        <v>-206374</v>
      </c>
      <c r="G32" s="127"/>
      <c r="H32" s="127"/>
      <c r="I32" s="135"/>
      <c r="J32" s="132">
        <f t="shared" si="7"/>
        <v>0</v>
      </c>
      <c r="K32" s="131">
        <f t="shared" si="8"/>
        <v>-182934.37800000003</v>
      </c>
      <c r="L32" s="128">
        <v>-909895.52018514404</v>
      </c>
      <c r="M32" s="124">
        <f>'P&amp;L'!I49</f>
        <v>-896453.00600000005</v>
      </c>
      <c r="N32" s="123">
        <f t="shared" si="9"/>
        <v>0.76764764232107763</v>
      </c>
      <c r="O32" s="138" t="s">
        <v>1547</v>
      </c>
      <c r="P32" s="122"/>
      <c r="Q32" s="709" t="s">
        <v>181</v>
      </c>
    </row>
    <row r="33" spans="1:17" s="121" customFormat="1" ht="18" customHeight="1" x14ac:dyDescent="0.2">
      <c r="A33" s="130" t="s">
        <v>180</v>
      </c>
      <c r="B33" s="129">
        <f>'P&amp;L'!F46</f>
        <v>-107964.765</v>
      </c>
      <c r="C33" s="124">
        <f>'P&amp;L'!H46</f>
        <v>-922990</v>
      </c>
      <c r="D33" s="127"/>
      <c r="E33" s="125">
        <f t="shared" si="10"/>
        <v>-922990</v>
      </c>
      <c r="F33" s="134"/>
      <c r="G33" s="127"/>
      <c r="H33" s="127"/>
      <c r="I33" s="133"/>
      <c r="J33" s="132">
        <f t="shared" si="7"/>
        <v>0</v>
      </c>
      <c r="K33" s="131">
        <f t="shared" si="8"/>
        <v>-1047560</v>
      </c>
      <c r="L33" s="128">
        <v>-1970550</v>
      </c>
      <c r="M33" s="124">
        <f>'P&amp;L'!I46</f>
        <v>-1970550</v>
      </c>
      <c r="N33" s="123">
        <f t="shared" si="9"/>
        <v>1.1349635424002429</v>
      </c>
      <c r="O33" s="995" t="s">
        <v>1576</v>
      </c>
      <c r="P33" s="122"/>
      <c r="Q33" s="709" t="s">
        <v>179</v>
      </c>
    </row>
    <row r="34" spans="1:17" s="121" customFormat="1" ht="38.25" x14ac:dyDescent="0.2">
      <c r="A34" s="130" t="s">
        <v>178</v>
      </c>
      <c r="B34" s="129">
        <f>B37-(B8+B15-B16+B17+B22+B31+B32+B33)</f>
        <v>6.3289999961853027E-2</v>
      </c>
      <c r="C34" s="124">
        <f>C37-(C8+C15-C16+C17+C22+C31+C32+C33)</f>
        <v>0</v>
      </c>
      <c r="D34" s="127"/>
      <c r="E34" s="125">
        <f t="shared" si="10"/>
        <v>0</v>
      </c>
      <c r="F34" s="128"/>
      <c r="G34" s="127">
        <v>31453453.397921354</v>
      </c>
      <c r="H34" s="127"/>
      <c r="I34" s="127"/>
      <c r="J34" s="126">
        <f t="shared" si="7"/>
        <v>0</v>
      </c>
      <c r="K34" s="125">
        <f t="shared" si="8"/>
        <v>0</v>
      </c>
      <c r="L34" s="128">
        <v>0</v>
      </c>
      <c r="M34" s="124">
        <f>M37-(M8+M15-M16+M17+M22+M31+M32+M33)</f>
        <v>31453453.397921354</v>
      </c>
      <c r="N34" s="123">
        <f t="shared" si="9"/>
        <v>0</v>
      </c>
      <c r="O34" s="993" t="s">
        <v>1572</v>
      </c>
      <c r="P34" s="122"/>
      <c r="Q34" s="709" t="s">
        <v>1470</v>
      </c>
    </row>
    <row r="35" spans="1:17" ht="15" customHeight="1" x14ac:dyDescent="0.2">
      <c r="A35" s="79" t="s">
        <v>177</v>
      </c>
      <c r="B35" s="120">
        <f t="shared" ref="B35" si="14">SUM(B31:B34)</f>
        <v>-470672.84371000004</v>
      </c>
      <c r="C35" s="116">
        <f t="shared" ref="C35:I35" si="15">SUM(C31:C34)</f>
        <v>-2308881.628</v>
      </c>
      <c r="D35" s="116">
        <f t="shared" si="15"/>
        <v>0</v>
      </c>
      <c r="E35" s="118">
        <f t="shared" si="15"/>
        <v>-2308881.628</v>
      </c>
      <c r="F35" s="120">
        <f t="shared" si="15"/>
        <v>-563965</v>
      </c>
      <c r="G35" s="116">
        <f t="shared" si="15"/>
        <v>31453453.397921354</v>
      </c>
      <c r="H35" s="116">
        <f t="shared" si="15"/>
        <v>0</v>
      </c>
      <c r="I35" s="116">
        <f t="shared" si="15"/>
        <v>0</v>
      </c>
      <c r="J35" s="119">
        <f t="shared" si="7"/>
        <v>0</v>
      </c>
      <c r="K35" s="118">
        <f>SUM(K31:K34)</f>
        <v>-2831570.0279999999</v>
      </c>
      <c r="L35" s="117">
        <f>SUM(L31:L34)</f>
        <v>-5930868.5201851446</v>
      </c>
      <c r="M35" s="116">
        <f>SUM(M31:M34)</f>
        <v>25749036.741921354</v>
      </c>
      <c r="N35" s="115">
        <f t="shared" si="9"/>
        <v>-12.152168404677242</v>
      </c>
      <c r="O35" s="114"/>
      <c r="P35" s="99"/>
      <c r="Q35" s="99"/>
    </row>
    <row r="36" spans="1:17" ht="4.9000000000000004" customHeight="1" x14ac:dyDescent="0.25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61"/>
    </row>
    <row r="37" spans="1:17" ht="22.15" customHeight="1" x14ac:dyDescent="0.2">
      <c r="A37" s="109" t="s">
        <v>176</v>
      </c>
      <c r="B37" s="107">
        <f>'P&amp;L'!F17</f>
        <v>-45638858.292999998</v>
      </c>
      <c r="C37" s="106">
        <f>'P&amp;L'!H17</f>
        <v>-112804860.442</v>
      </c>
      <c r="D37" s="106">
        <f>D8+D15-D16+D17+D22+D35</f>
        <v>-117750.53640516293</v>
      </c>
      <c r="E37" s="108">
        <f>C37-D37</f>
        <v>-112687109.90559484</v>
      </c>
      <c r="F37" s="107">
        <f>F8+F15-F16+F17+F22+F35</f>
        <v>-45480475</v>
      </c>
      <c r="G37" s="106">
        <f>G8+G15-G16+G17+G22+G35</f>
        <v>14650084.20590679</v>
      </c>
      <c r="H37" s="106">
        <f>H8+H15-H16+H17+H22+H35</f>
        <v>1563003.7010514489</v>
      </c>
      <c r="I37" s="106">
        <f>I8+I15-I16+I17+I22+I35</f>
        <v>102801.2</v>
      </c>
      <c r="J37" s="106"/>
      <c r="K37" s="108">
        <f>M37-SUM(E37:I37)</f>
        <v>-16843828.999363393</v>
      </c>
      <c r="L37" s="107"/>
      <c r="M37" s="106">
        <f>'P&amp;L'!I17</f>
        <v>-158695524.79800001</v>
      </c>
      <c r="N37" s="105">
        <f>IFERROR(M37/C37-1,0)</f>
        <v>0.40681460157113758</v>
      </c>
      <c r="O37" s="959"/>
      <c r="P37" s="99"/>
      <c r="Q37" s="99"/>
    </row>
    <row r="38" spans="1:17" ht="22.15" customHeight="1" x14ac:dyDescent="0.2">
      <c r="A38" s="104" t="s">
        <v>175</v>
      </c>
      <c r="B38" s="102">
        <f t="shared" ref="B38" si="16">B6+B37</f>
        <v>4775552.0190000013</v>
      </c>
      <c r="C38" s="101">
        <f>C6+C37</f>
        <v>20364668.248999998</v>
      </c>
      <c r="D38" s="101">
        <f t="shared" ref="D38:I38" si="17">D6+D37</f>
        <v>966504.98659483716</v>
      </c>
      <c r="E38" s="103">
        <f t="shared" si="17"/>
        <v>19398163.262405157</v>
      </c>
      <c r="F38" s="102">
        <f t="shared" si="17"/>
        <v>8269341.2926008627</v>
      </c>
      <c r="G38" s="101">
        <f t="shared" si="17"/>
        <v>14650084.20590679</v>
      </c>
      <c r="H38" s="101">
        <f t="shared" si="17"/>
        <v>-2292981.7225206769</v>
      </c>
      <c r="I38" s="101">
        <f t="shared" si="17"/>
        <v>102801.2</v>
      </c>
      <c r="J38" s="101"/>
      <c r="K38" s="103">
        <f>K6+K37</f>
        <v>-10549581.847392112</v>
      </c>
      <c r="L38" s="102"/>
      <c r="M38" s="101">
        <f>M6+M37</f>
        <v>29577826.391000003</v>
      </c>
      <c r="N38" s="100">
        <f>IFERROR(M38/C38-1,0)</f>
        <v>0.45240894815226929</v>
      </c>
      <c r="O38" s="960"/>
      <c r="P38" s="99"/>
      <c r="Q38" s="99"/>
    </row>
    <row r="39" spans="1:17" ht="16.149999999999999" customHeight="1" x14ac:dyDescent="0.2">
      <c r="A39" s="953" t="s">
        <v>174</v>
      </c>
      <c r="B39" s="954">
        <f>IFERROR(B38/B$6,0)</f>
        <v>9.4725932316683081E-2</v>
      </c>
      <c r="C39" s="955">
        <f>IFERROR(C38/C$6,0)</f>
        <v>0.15292288295360096</v>
      </c>
      <c r="D39" s="955">
        <f>IFERROR(D38/D$6,0)</f>
        <v>0.89139964343519151</v>
      </c>
      <c r="E39" s="956">
        <f>IFERROR(E38/E$6,0)</f>
        <v>0.14686090884433819</v>
      </c>
      <c r="F39" s="954">
        <f>IFERROR(F38/F$6,0)</f>
        <v>0.15384873592096743</v>
      </c>
      <c r="G39" s="955"/>
      <c r="H39" s="955"/>
      <c r="I39" s="955"/>
      <c r="J39" s="955"/>
      <c r="K39" s="956"/>
      <c r="L39" s="954"/>
      <c r="M39" s="955">
        <f>IFERROR(M38/M$6, 0)</f>
        <v>0.15710044041924986</v>
      </c>
      <c r="N39" s="956"/>
      <c r="O39" s="98"/>
      <c r="P39" s="957"/>
      <c r="Q39" s="99"/>
    </row>
    <row r="41" spans="1:17" ht="12.75" customHeight="1" x14ac:dyDescent="0.2">
      <c r="M41" s="97"/>
    </row>
    <row r="42" spans="1:17" ht="13.5" customHeight="1" x14ac:dyDescent="0.2">
      <c r="A42" s="5" t="s">
        <v>173</v>
      </c>
      <c r="B42" s="96">
        <f>(+B35+B22+B17+B8+B15-B16)-B37</f>
        <v>0</v>
      </c>
      <c r="C42" s="96">
        <f t="shared" ref="C42:I42" si="18">(+C35+C22+C17+C8+C15-C16)-C37</f>
        <v>0</v>
      </c>
      <c r="D42" s="96">
        <f t="shared" si="18"/>
        <v>0</v>
      </c>
      <c r="E42" s="96">
        <f t="shared" si="18"/>
        <v>0</v>
      </c>
      <c r="F42" s="96">
        <f>(+F35+F22+F17+F8+F15-F16)-F37</f>
        <v>0</v>
      </c>
      <c r="G42" s="96">
        <f t="shared" si="18"/>
        <v>0</v>
      </c>
      <c r="H42" s="96">
        <f t="shared" si="18"/>
        <v>0</v>
      </c>
      <c r="I42" s="96">
        <f t="shared" si="18"/>
        <v>0</v>
      </c>
      <c r="J42" s="96"/>
      <c r="K42" s="96">
        <f>(+K35+K22+K17+K8+K15-K16)-K37</f>
        <v>-4.0978193283081055E-8</v>
      </c>
      <c r="L42" s="96">
        <f>(+L35+L22+L17+L8+L15-L16)-L37</f>
        <v>-15461188.430662286</v>
      </c>
      <c r="M42" s="96">
        <f>(+M35+M22+M17+M8+M15-M16)-M37</f>
        <v>0</v>
      </c>
    </row>
  </sheetData>
  <mergeCells count="3">
    <mergeCell ref="F4:K4"/>
    <mergeCell ref="L4:N4"/>
    <mergeCell ref="B4:E4"/>
  </mergeCells>
  <conditionalFormatting sqref="B42:M42">
    <cfRule type="cellIs" dxfId="9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39"/>
  <sheetViews>
    <sheetView showGridLines="0" zoomScale="90" zoomScaleNormal="90" workbookViewId="0">
      <pane xSplit="1" ySplit="5" topLeftCell="H6" activePane="bottomRight" state="frozen"/>
      <selection activeCell="F20" sqref="F20"/>
      <selection pane="topRight" activeCell="F20" sqref="F20"/>
      <selection pane="bottomLeft" activeCell="F20" sqref="F20"/>
      <selection pane="bottomRight" activeCell="N31" sqref="N31"/>
    </sheetView>
  </sheetViews>
  <sheetFormatPr defaultColWidth="9.28515625" defaultRowHeight="12.75" customHeight="1" outlineLevelCol="1" x14ac:dyDescent="0.2"/>
  <cols>
    <col min="1" max="1" width="64.28515625" style="5" bestFit="1" customWidth="1"/>
    <col min="2" max="2" width="19.7109375" style="5" customWidth="1"/>
    <col min="3" max="3" width="16.7109375" style="5" customWidth="1"/>
    <col min="4" max="4" width="16.7109375" style="5" hidden="1" customWidth="1" outlineLevel="1"/>
    <col min="5" max="5" width="19" style="5" hidden="1" customWidth="1" outlineLevel="1"/>
    <col min="6" max="6" width="16.7109375" style="5" customWidth="1" collapsed="1"/>
    <col min="7" max="9" width="16.7109375" style="5" customWidth="1"/>
    <col min="10" max="10" width="14.28515625" style="5" customWidth="1"/>
    <col min="11" max="11" width="16.7109375" style="5" customWidth="1"/>
    <col min="12" max="12" width="19.28515625" style="5" customWidth="1"/>
    <col min="13" max="13" width="16.7109375" style="5" customWidth="1" outlineLevel="1"/>
    <col min="14" max="15" width="16.7109375" style="5" customWidth="1"/>
    <col min="16" max="16" width="90.5703125" style="5" customWidth="1"/>
    <col min="17" max="17" width="2.28515625" style="5" customWidth="1"/>
    <col min="18" max="18" width="199.7109375" style="5" customWidth="1"/>
    <col min="19" max="19" width="9.28515625" style="5" customWidth="1"/>
    <col min="20" max="16384" width="9.28515625" style="5"/>
  </cols>
  <sheetData>
    <row r="1" spans="1:18" ht="19.899999999999999" customHeight="1" x14ac:dyDescent="0.25">
      <c r="A1" s="60" t="str">
        <f>+'0. Instructions'!A1</f>
        <v>Budget 2024</v>
      </c>
      <c r="B1" s="60"/>
      <c r="D1" s="219"/>
      <c r="E1" s="219"/>
      <c r="F1" s="219"/>
      <c r="G1" s="58"/>
      <c r="H1" s="60"/>
      <c r="I1" s="60"/>
      <c r="J1" s="60"/>
      <c r="K1" s="60"/>
      <c r="L1" s="219"/>
      <c r="M1" s="219"/>
      <c r="N1" s="219"/>
      <c r="O1" s="58"/>
      <c r="P1" s="57" t="str">
        <f>'Input-FX Rates'!$H$1</f>
        <v>Plant ICH Icheon (242)</v>
      </c>
      <c r="R1" s="56" t="s">
        <v>144</v>
      </c>
    </row>
    <row r="2" spans="1:18" ht="19.899999999999999" customHeight="1" thickBot="1" x14ac:dyDescent="0.3">
      <c r="A2" s="55" t="s">
        <v>219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218"/>
      <c r="O2" s="54"/>
      <c r="P2" s="54" t="str">
        <f>'Input-FX Rates'!$H$2</f>
        <v>7851 PL eMotor Controls</v>
      </c>
      <c r="R2" s="95" t="s">
        <v>142</v>
      </c>
    </row>
    <row r="3" spans="1:18" x14ac:dyDescent="0.2">
      <c r="M3" s="121"/>
      <c r="O3" s="217"/>
    </row>
    <row r="4" spans="1:18" ht="24" customHeight="1" x14ac:dyDescent="0.2">
      <c r="A4" s="188" t="str">
        <f>"Variable Cost"&amp;" in '000 EUR"</f>
        <v>Variable Cost in '000 EUR</v>
      </c>
      <c r="B4" s="1035">
        <v>2023</v>
      </c>
      <c r="C4" s="1033"/>
      <c r="D4" s="1033"/>
      <c r="E4" s="1036"/>
      <c r="F4" s="1035" t="s">
        <v>1041</v>
      </c>
      <c r="G4" s="1033"/>
      <c r="H4" s="1033"/>
      <c r="I4" s="1033"/>
      <c r="J4" s="1033"/>
      <c r="K4" s="1036"/>
      <c r="L4" s="216" t="s">
        <v>225</v>
      </c>
      <c r="M4" s="1035">
        <v>2024</v>
      </c>
      <c r="N4" s="1033"/>
      <c r="O4" s="1036"/>
      <c r="P4" s="187" t="s">
        <v>154</v>
      </c>
    </row>
    <row r="5" spans="1:18" ht="54.75" customHeight="1" x14ac:dyDescent="0.2">
      <c r="A5" s="188"/>
      <c r="B5" s="656" t="s">
        <v>938</v>
      </c>
      <c r="C5" s="187" t="s">
        <v>115</v>
      </c>
      <c r="D5" s="187" t="s">
        <v>218</v>
      </c>
      <c r="E5" s="188" t="s">
        <v>224</v>
      </c>
      <c r="F5" s="656" t="s">
        <v>216</v>
      </c>
      <c r="G5" s="187" t="s">
        <v>215</v>
      </c>
      <c r="H5" s="187" t="s">
        <v>214</v>
      </c>
      <c r="I5" s="187" t="s">
        <v>213</v>
      </c>
      <c r="J5" s="187" t="s">
        <v>212</v>
      </c>
      <c r="K5" s="188" t="s">
        <v>211</v>
      </c>
      <c r="L5" s="216"/>
      <c r="M5" s="656" t="s">
        <v>210</v>
      </c>
      <c r="N5" s="187" t="s">
        <v>114</v>
      </c>
      <c r="O5" s="188" t="s">
        <v>223</v>
      </c>
      <c r="P5" s="187"/>
    </row>
    <row r="6" spans="1:18" ht="15.75" x14ac:dyDescent="0.2">
      <c r="A6" s="215" t="s">
        <v>167</v>
      </c>
      <c r="B6" s="186">
        <f>IFERROR('2. Variable (LC)'!B6/'Input-FX Rates'!$E$16,0)</f>
        <v>35988.371534659054</v>
      </c>
      <c r="C6" s="181">
        <f>IFERROR('2. Variable (LC)'!C6/'Input-FX Rates'!$G$16,0)</f>
        <v>94871.705380828425</v>
      </c>
      <c r="D6" s="181">
        <f>IFERROR('2. Variable (LC)'!D6/'Input-FX Rates'!$G$16,0)</f>
        <v>772.43774568186177</v>
      </c>
      <c r="E6" s="180">
        <f>IFERROR('2. Variable (LC)'!E6/'Input-FX Rates'!$G$16,0)</f>
        <v>94099.267635146563</v>
      </c>
      <c r="F6" s="120">
        <f>IFERROR('2. Variable (LC)'!F6/'Input-FX Rates'!$G$16,0)</f>
        <v>38292.068656468182</v>
      </c>
      <c r="G6" s="116">
        <f>IFERROR('2. Variable (LC)'!G6/'Input-FX Rates'!$G$16,0)</f>
        <v>0</v>
      </c>
      <c r="H6" s="116">
        <f>IFERROR('2. Variable (LC)'!H6/'Input-FX Rates'!$G$16,0)</f>
        <v>-2747.0541996641246</v>
      </c>
      <c r="I6" s="116">
        <f>IFERROR('2. Variable (LC)'!I6/'Input-FX Rates'!$G$16,0)</f>
        <v>0</v>
      </c>
      <c r="J6" s="116"/>
      <c r="K6" s="118">
        <f>IFERROR('2. Variable (LC)'!K6/'Input-FX Rates'!$G$16,0)</f>
        <v>4484.1035878524863</v>
      </c>
      <c r="L6" s="192">
        <f>IFERROR(N6-'2. Variable (LC)'!M6/'Input-FX Rates'!$G$16,0)</f>
        <v>-4284.6952046306978</v>
      </c>
      <c r="M6" s="186">
        <f>IFERROR('2. Variable (LC)'!L6/'Input-FX Rates'!$H$16,0)</f>
        <v>129843.69047517242</v>
      </c>
      <c r="N6" s="181">
        <f>IFERROR('2. Variable (LC)'!M6/'Input-FX Rates'!$H$16,0)</f>
        <v>129843.69047517242</v>
      </c>
      <c r="O6" s="115">
        <f>IFERROR(N6/C6-1,0)</f>
        <v>0.36862397438689976</v>
      </c>
      <c r="P6" s="958" t="str">
        <f>IF(ISBLANK('2. Variable (LC)'!O6),"",'2. Variable (LC)'!O6)</f>
        <v/>
      </c>
      <c r="Q6" s="99"/>
      <c r="R6" s="706"/>
    </row>
    <row r="7" spans="1:18" ht="15.75" x14ac:dyDescent="0.2">
      <c r="A7" s="214" t="s">
        <v>222</v>
      </c>
      <c r="B7" s="677">
        <f>IFERROR('2. Variable (LC)'!B7/'Input-FX Rates'!$E$16,0)</f>
        <v>36809.301617690333</v>
      </c>
      <c r="C7" s="213">
        <f>IFERROR('2. Variable (LC)'!C7/'Input-FX Rates'!$G$16,0)</f>
        <v>86436.872952409234</v>
      </c>
      <c r="D7" s="213">
        <f>IFERROR('2. Variable (LC)'!D7/'Input-FX Rates'!$G$16,0)</f>
        <v>772.43774568186177</v>
      </c>
      <c r="E7" s="170">
        <f>IFERROR('2. Variable (LC)'!E7/'Input-FX Rates'!$G$16,0)</f>
        <v>85664.435206727372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70">
        <f>IFERROR('2. Variable (LC)'!K7/'Input-FX Rates'!$G$16,0)</f>
        <v>0</v>
      </c>
      <c r="L7" s="212">
        <f>IFERROR(N7-'2. Variable (LC)'!M7/'Input-FX Rates'!$G$16,0)</f>
        <v>-4284.6952046306978</v>
      </c>
      <c r="M7" s="117">
        <f>IFERROR('2. Variable (LC)'!L7/'Input-FX Rates'!$H$16,0)</f>
        <v>129843.69047517242</v>
      </c>
      <c r="N7" s="116">
        <f>IFERROR('2. Variable (LC)'!M7/'Input-FX Rates'!$H$16,0)</f>
        <v>129843.69047517242</v>
      </c>
      <c r="O7" s="115">
        <f>IFERROR(N7/C7-1,0)</f>
        <v>0.50217940608127143</v>
      </c>
      <c r="P7" s="946" t="str">
        <f>IF(ISBLANK('2. Variable (LC)'!O7),"",'2. Variable (LC)'!O7)</f>
        <v/>
      </c>
      <c r="Q7" s="99"/>
      <c r="R7" s="706"/>
    </row>
    <row r="8" spans="1:18" ht="15.75" x14ac:dyDescent="0.2">
      <c r="A8" s="201" t="s">
        <v>207</v>
      </c>
      <c r="B8" s="677">
        <f>IFERROR('2. Variable (LC)'!B8/'Input-FX Rates'!$E$16,0)</f>
        <v>-30179.500209358193</v>
      </c>
      <c r="C8" s="213">
        <f>IFERROR('2. Variable (LC)'!C8/'Input-FX Rates'!$G$16,0)</f>
        <v>-73653.13107862309</v>
      </c>
      <c r="D8" s="213">
        <f>IFERROR('2. Variable (LC)'!D8/'Input-FX Rates'!$G$16,0)</f>
        <v>0</v>
      </c>
      <c r="E8" s="170">
        <f>IFERROR('2. Variable (LC)'!E8/'Input-FX Rates'!$G$16,0)</f>
        <v>-73653.13107862309</v>
      </c>
      <c r="F8" s="120">
        <f>IFERROR('2. Variable (LC)'!F8/'Input-FX Rates'!$G$16,0)</f>
        <v>-29971.867379985873</v>
      </c>
      <c r="G8" s="116">
        <f>IFERROR('2. Variable (LC)'!G8/'Input-FX Rates'!$G$16,0)</f>
        <v>3144.3440526272607</v>
      </c>
      <c r="H8" s="116">
        <f>IFERROR('2. Variable (LC)'!H8/'Input-FX Rates'!$G$16,0)</f>
        <v>1363.8250282041204</v>
      </c>
      <c r="I8" s="116">
        <f>IFERROR('2. Variable (LC)'!I8/'Input-FX Rates'!$G$16,0)</f>
        <v>0</v>
      </c>
      <c r="J8" s="116"/>
      <c r="K8" s="170">
        <f>IFERROR('2. Variable (LC)'!K8/'Input-FX Rates'!$G$16,0)</f>
        <v>-10356.058055555226</v>
      </c>
      <c r="L8" s="212">
        <f>IFERROR(N8-'2. Variable (LC)'!M8/'Input-FX Rates'!$G$16,0)</f>
        <v>3497.0819446260284</v>
      </c>
      <c r="M8" s="117">
        <f>IFERROR('2. Variable (LC)'!L8/'Input-FX Rates'!$H$16,0)</f>
        <v>0</v>
      </c>
      <c r="N8" s="116">
        <f>IFERROR('2. Variable (LC)'!M8/'Input-FX Rates'!$H$16,0)</f>
        <v>-105975.80548870677</v>
      </c>
      <c r="O8" s="115">
        <f>IFERROR(N8/C8-1,0)</f>
        <v>0.4388499706221578</v>
      </c>
      <c r="P8" s="946" t="str">
        <f>IF(ISBLANK('2. Variable (LC)'!O8),"",'2. Variable (LC)'!O8)</f>
        <v/>
      </c>
      <c r="Q8" s="99"/>
      <c r="R8" s="696" t="s">
        <v>958</v>
      </c>
    </row>
    <row r="9" spans="1:18" x14ac:dyDescent="0.2">
      <c r="A9" s="84" t="s">
        <v>1473</v>
      </c>
      <c r="B9" s="941">
        <f>IFERROR((B8+B15)/B6,0)</f>
        <v>-0.83881305990847321</v>
      </c>
      <c r="C9" s="942">
        <f>IFERROR((C8+C15)/C6,0)</f>
        <v>-0.77642886755119878</v>
      </c>
      <c r="D9" s="942">
        <f>IFERROR((D8+D15)/D6,0)</f>
        <v>0</v>
      </c>
      <c r="E9" s="943">
        <f>IFERROR((E8+E15)/E6,0)</f>
        <v>-0.78280238117363177</v>
      </c>
      <c r="F9" s="941">
        <f>IFERROR((F8+F15)/F6,0)</f>
        <v>-0.78280237779700212</v>
      </c>
      <c r="G9" s="944"/>
      <c r="H9" s="944"/>
      <c r="I9" s="944"/>
      <c r="J9" s="944"/>
      <c r="K9" s="943">
        <f>IFERROR((K8+K15)/K6,0)</f>
        <v>-2.3095046429368771</v>
      </c>
      <c r="L9" s="945">
        <f>IFERROR((L8+L15)/L6,0)</f>
        <v>-0.94493991228759</v>
      </c>
      <c r="M9" s="941">
        <f>IFERROR((M8+M15)/M6,0)</f>
        <v>0</v>
      </c>
      <c r="N9" s="942">
        <f>IFERROR((N8+N15)/N6,0)</f>
        <v>-0.94493991228759266</v>
      </c>
      <c r="O9" s="943"/>
      <c r="P9" s="946" t="str">
        <f>IF(ISBLANK('2. Variable (LC)'!O9),"",'2. Variable (LC)'!O9)</f>
        <v/>
      </c>
      <c r="Q9" s="99"/>
      <c r="R9" s="99"/>
    </row>
    <row r="10" spans="1:18" ht="25.5" x14ac:dyDescent="0.2">
      <c r="A10" s="169" t="s">
        <v>1445</v>
      </c>
      <c r="B10" s="146">
        <f>IFERROR('2. Variable (LC)'!B10/'Input-FX Rates'!$E$16,0)</f>
        <v>-30059.019981450158</v>
      </c>
      <c r="C10" s="154">
        <f>IFERROR('2. Variable (LC)'!C10/'Input-FX Rates'!$G$16,0)</f>
        <v>-74981.509678002578</v>
      </c>
      <c r="D10" s="154">
        <f>IFERROR('2. Variable (LC)'!D10/'Input-FX Rates'!$G$16,0)</f>
        <v>0</v>
      </c>
      <c r="E10" s="142">
        <f>IFERROR('2. Variable (LC)'!E10/'Input-FX Rates'!$G$16,0)</f>
        <v>-74981.509678002578</v>
      </c>
      <c r="F10" s="146">
        <f>IFERROR('2. Variable (LC)'!F10/'Input-FX Rates'!$G$16,0)</f>
        <v>-30512.427852687295</v>
      </c>
      <c r="G10" s="154">
        <f>IFERROR('2. Variable (LC)'!G10/'Input-FX Rates'!$G$16,0)</f>
        <v>3144.3440526272607</v>
      </c>
      <c r="H10" s="154">
        <f>IFERROR('2. Variable (LC)'!H10/'Input-FX Rates'!$G$16,0)</f>
        <v>1363.8250282041204</v>
      </c>
      <c r="I10" s="154">
        <f>IFERROR('2. Variable (LC)'!I10/'Input-FX Rates'!$G$16,0)</f>
        <v>0</v>
      </c>
      <c r="J10" s="154"/>
      <c r="K10" s="142">
        <f>IFERROR('2. Variable (LC)'!K10/'Input-FX Rates'!$G$16,0)</f>
        <v>-7496.4835962699344</v>
      </c>
      <c r="L10" s="947">
        <f>IFERROR(N10-'2. Variable (LC)'!M10/'Input-FX Rates'!$G$16,0)</f>
        <v>3465.4363636285416</v>
      </c>
      <c r="M10" s="948">
        <f>IFERROR('2. Variable (LC)'!L10/'Input-FX Rates'!$H$16,0)</f>
        <v>0</v>
      </c>
      <c r="N10" s="154">
        <f>IFERROR('2. Variable (LC)'!M10/'Input-FX Rates'!$H$16,0)</f>
        <v>-105016.81568249986</v>
      </c>
      <c r="O10" s="168">
        <f t="shared" ref="O10:O17" si="0">IFERROR(N10/C10-1,0)</f>
        <v>0.4005695021809994</v>
      </c>
      <c r="P10" s="202" t="str">
        <f>IF(ISBLANK('2. Variable (LC)'!O10),"",'2. Variable (LC)'!O10)</f>
        <v>All other 7.3M EUR is material cost of EPF4</v>
      </c>
      <c r="Q10" s="99"/>
      <c r="R10" s="707" t="s">
        <v>1412</v>
      </c>
    </row>
    <row r="11" spans="1:18" x14ac:dyDescent="0.2">
      <c r="A11" s="148" t="s">
        <v>206</v>
      </c>
      <c r="B11" s="146">
        <f>IFERROR('2. Variable (LC)'!B11/'Input-FX Rates'!$E$16,0)</f>
        <v>-57.222762551822186</v>
      </c>
      <c r="C11" s="154">
        <f>IFERROR('2. Variable (LC)'!C11/'Input-FX Rates'!$G$16,0)</f>
        <v>1381.6521974871</v>
      </c>
      <c r="D11" s="154">
        <f>IFERROR('2. Variable (LC)'!D11/'Input-FX Rates'!$G$16,0)</f>
        <v>0</v>
      </c>
      <c r="E11" s="142">
        <f>IFERROR('2. Variable (LC)'!E11/'Input-FX Rates'!$G$16,0)</f>
        <v>1381.6521974871</v>
      </c>
      <c r="F11" s="146">
        <f>IFERROR('2. Variable (LC)'!F11/'Input-FX Rates'!$G$16,0)</f>
        <v>562.23920073415013</v>
      </c>
      <c r="G11" s="154">
        <f>IFERROR('2. Variable (LC)'!G11/'Input-FX Rates'!$G$16,0)</f>
        <v>0</v>
      </c>
      <c r="H11" s="154">
        <f>IFERROR('2. Variable (LC)'!H11/'Input-FX Rates'!$G$16,0)</f>
        <v>0</v>
      </c>
      <c r="I11" s="154">
        <f>IFERROR('2. Variable (LC)'!I11/'Input-FX Rates'!$G$16,0)</f>
        <v>0</v>
      </c>
      <c r="J11" s="154"/>
      <c r="K11" s="142">
        <f>IFERROR('2. Variable (LC)'!K11/'Input-FX Rates'!$G$16,0)</f>
        <v>-1943.89139822125</v>
      </c>
      <c r="L11" s="947">
        <f>IFERROR(N11-'2. Variable (LC)'!M11/'Input-FX Rates'!$G$16,0)</f>
        <v>0</v>
      </c>
      <c r="M11" s="948">
        <f>IFERROR('2. Variable (LC)'!L11/'Input-FX Rates'!$H$16,0)</f>
        <v>0</v>
      </c>
      <c r="N11" s="154">
        <f>IFERROR('2. Variable (LC)'!M11/'Input-FX Rates'!$H$16,0)</f>
        <v>0</v>
      </c>
      <c r="O11" s="168">
        <f t="shared" si="0"/>
        <v>-1</v>
      </c>
      <c r="P11" s="202" t="str">
        <f>IF(ISBLANK('2. Variable (LC)'!O11),"",'2. Variable (LC)'!O11)</f>
        <v/>
      </c>
      <c r="Q11" s="99"/>
      <c r="R11" s="696" t="s">
        <v>940</v>
      </c>
    </row>
    <row r="12" spans="1:18" x14ac:dyDescent="0.2">
      <c r="A12" s="148" t="s">
        <v>941</v>
      </c>
      <c r="B12" s="146">
        <f>IFERROR('2. Variable (LC)'!B12/'Input-FX Rates'!$E$16,0)</f>
        <v>-59.345918562548739</v>
      </c>
      <c r="C12" s="154">
        <f>IFERROR('2. Variable (LC)'!C12/'Input-FX Rates'!$G$16,0)</f>
        <v>19.42109118962102</v>
      </c>
      <c r="D12" s="154">
        <f>IFERROR('2. Variable (LC)'!D12/'Input-FX Rates'!$G$16,0)</f>
        <v>0</v>
      </c>
      <c r="E12" s="142">
        <f>IFERROR('2. Variable (LC)'!E12/'Input-FX Rates'!$G$16,0)</f>
        <v>19.42109118962102</v>
      </c>
      <c r="F12" s="146">
        <f>IFERROR('2. Variable (LC)'!F12/'Input-FX Rates'!$G$16,0)</f>
        <v>7.9027975703923552</v>
      </c>
      <c r="G12" s="949">
        <f>IFERROR('2. Variable (LC)'!G12/'Input-FX Rates'!$G$16,0)</f>
        <v>0</v>
      </c>
      <c r="H12" s="949">
        <f>IFERROR('2. Variable (LC)'!H12/'Input-FX Rates'!$G$16,0)</f>
        <v>0</v>
      </c>
      <c r="I12" s="154">
        <f>IFERROR('2. Variable (LC)'!I12/'Input-FX Rates'!$G$16,0)</f>
        <v>0</v>
      </c>
      <c r="J12" s="154"/>
      <c r="K12" s="142">
        <f>IFERROR('2. Variable (LC)'!K12/'Input-FX Rates'!$G$16,0)</f>
        <v>-27.323888760013375</v>
      </c>
      <c r="L12" s="947">
        <f>IFERROR(N12-'2. Variable (LC)'!M12/'Input-FX Rates'!$G$16,0)</f>
        <v>0</v>
      </c>
      <c r="M12" s="948">
        <f>IFERROR('2. Variable (LC)'!L12/'Input-FX Rates'!$H$16,0)</f>
        <v>0</v>
      </c>
      <c r="N12" s="154">
        <f>IFERROR('2. Variable (LC)'!M12/'Input-FX Rates'!$H$16,0)</f>
        <v>0</v>
      </c>
      <c r="O12" s="168">
        <f t="shared" si="0"/>
        <v>-1</v>
      </c>
      <c r="P12" s="202" t="str">
        <f>IF(ISBLANK('2. Variable (LC)'!O12),"",'2. Variable (LC)'!O12)</f>
        <v/>
      </c>
      <c r="Q12" s="99"/>
      <c r="R12" s="696" t="s">
        <v>939</v>
      </c>
    </row>
    <row r="13" spans="1:18" x14ac:dyDescent="0.2">
      <c r="A13" s="148" t="s">
        <v>205</v>
      </c>
      <c r="B13" s="146">
        <f>IFERROR('2. Variable (LC)'!B13/'Input-FX Rates'!$E$16,0)</f>
        <v>-3.9115467936609298</v>
      </c>
      <c r="C13" s="154">
        <f>IFERROR('2. Variable (LC)'!C13/'Input-FX Rates'!$G$16,0)</f>
        <v>-72.694689297235485</v>
      </c>
      <c r="D13" s="154">
        <f>IFERROR('2. Variable (LC)'!D13/'Input-FX Rates'!$G$16,0)</f>
        <v>0</v>
      </c>
      <c r="E13" s="142">
        <f>IFERROR('2. Variable (LC)'!E13/'Input-FX Rates'!$G$16,0)</f>
        <v>-72.694689297235485</v>
      </c>
      <c r="F13" s="146">
        <f>IFERROR('2. Variable (LC)'!F13/'Input-FX Rates'!$G$16,0)</f>
        <v>-29.581525603119243</v>
      </c>
      <c r="G13" s="154">
        <f>IFERROR('2. Variable (LC)'!G13/'Input-FX Rates'!$G$16,0)</f>
        <v>0</v>
      </c>
      <c r="H13" s="154">
        <f>IFERROR('2. Variable (LC)'!H13/'Input-FX Rates'!$G$16,0)</f>
        <v>0</v>
      </c>
      <c r="I13" s="154">
        <f>IFERROR('2. Variable (LC)'!I13/'Input-FX Rates'!$G$16,0)</f>
        <v>0</v>
      </c>
      <c r="J13" s="154"/>
      <c r="K13" s="142">
        <f>IFERROR('2. Variable (LC)'!K13/'Input-FX Rates'!$G$16,0)</f>
        <v>-888.35917230402652</v>
      </c>
      <c r="L13" s="947">
        <f>IFERROR(N13-'2. Variable (LC)'!M13/'Input-FX Rates'!$G$16,0)</f>
        <v>31.645580997484672</v>
      </c>
      <c r="M13" s="948">
        <f>IFERROR('2. Variable (LC)'!L13/'Input-FX Rates'!$H$16,0)</f>
        <v>0</v>
      </c>
      <c r="N13" s="154">
        <f>IFERROR('2. Variable (LC)'!M13/'Input-FX Rates'!$H$16,0)</f>
        <v>-958.98980620689656</v>
      </c>
      <c r="O13" s="168">
        <f t="shared" si="0"/>
        <v>12.19202015274816</v>
      </c>
      <c r="P13" s="202" t="str">
        <f>IF(ISBLANK('2. Variable (LC)'!O13),"",'2. Variable (LC)'!O13)</f>
        <v/>
      </c>
      <c r="Q13" s="99"/>
      <c r="R13" s="696" t="s">
        <v>220</v>
      </c>
    </row>
    <row r="14" spans="1:18" x14ac:dyDescent="0.2">
      <c r="A14" s="148" t="s">
        <v>204</v>
      </c>
      <c r="B14" s="146">
        <f>IFERROR('2. Variable (LC)'!B14/'Input-FX Rates'!$E$16,0)</f>
        <v>0</v>
      </c>
      <c r="C14" s="154">
        <f>IFERROR('2. Variable (LC)'!C14/'Input-FX Rates'!$G$16,0)</f>
        <v>0</v>
      </c>
      <c r="D14" s="154">
        <f>IFERROR('2. Variable (LC)'!D14/'Input-FX Rates'!$G$16,0)</f>
        <v>0</v>
      </c>
      <c r="E14" s="142">
        <f>IFERROR('2. Variable (LC)'!E14/'Input-FX Rates'!$G$16,0)</f>
        <v>0</v>
      </c>
      <c r="F14" s="146">
        <f>IFERROR('2. Variable (LC)'!F14/'Input-FX Rates'!$G$16,0)</f>
        <v>0</v>
      </c>
      <c r="G14" s="154">
        <f>IFERROR('2. Variable (LC)'!G14/'Input-FX Rates'!$G$16,0)</f>
        <v>0</v>
      </c>
      <c r="H14" s="154">
        <f>IFERROR('2. Variable (LC)'!H14/'Input-FX Rates'!$G$16,0)</f>
        <v>0</v>
      </c>
      <c r="I14" s="949">
        <f>IFERROR('2. Variable (LC)'!I14/'Input-FX Rates'!$G$16,0)</f>
        <v>0</v>
      </c>
      <c r="J14" s="949"/>
      <c r="K14" s="142">
        <f>IFERROR('2. Variable (LC)'!K14/'Input-FX Rates'!$G$16,0)</f>
        <v>0</v>
      </c>
      <c r="L14" s="947">
        <f>IFERROR(N14-'2. Variable (LC)'!M14/'Input-FX Rates'!$G$16,0)</f>
        <v>0</v>
      </c>
      <c r="M14" s="948">
        <f>IFERROR('2. Variable (LC)'!L14/'Input-FX Rates'!$H$16,0)</f>
        <v>0</v>
      </c>
      <c r="N14" s="154">
        <f>IFERROR('2. Variable (LC)'!M14/'Input-FX Rates'!$H$16,0)</f>
        <v>0</v>
      </c>
      <c r="O14" s="168">
        <f t="shared" si="0"/>
        <v>0</v>
      </c>
      <c r="P14" s="202" t="str">
        <f>IF(ISBLANK('2. Variable (LC)'!O14),"",'2. Variable (LC)'!O14)</f>
        <v/>
      </c>
      <c r="Q14" s="99"/>
      <c r="R14" s="696" t="s">
        <v>203</v>
      </c>
    </row>
    <row r="15" spans="1:18" s="160" customFormat="1" ht="15.75" x14ac:dyDescent="0.25">
      <c r="A15" s="164" t="s">
        <v>1444</v>
      </c>
      <c r="B15" s="137">
        <f>IFERROR('2. Variable (LC)'!B15/'Input-FX Rates'!$E$16,0)</f>
        <v>-8.0158387521635213</v>
      </c>
      <c r="C15" s="204">
        <f>IFERROR('2. Variable (LC)'!C15/'Input-FX Rates'!$G$16,0)</f>
        <v>-7.999692864501168</v>
      </c>
      <c r="D15" s="204">
        <f>IFERROR('2. Variable (LC)'!D15/'Input-FX Rates'!$G$16,0)</f>
        <v>0</v>
      </c>
      <c r="E15" s="131">
        <f>IFERROR('2. Variable (LC)'!E15/'Input-FX Rates'!$G$16,0)</f>
        <v>-7.999692864501168</v>
      </c>
      <c r="F15" s="137">
        <f>IFERROR('2. Variable (LC)'!F15/'Input-FX Rates'!$G$16,0)</f>
        <v>-3.2550150634745036</v>
      </c>
      <c r="G15" s="204">
        <f>IFERROR('2. Variable (LC)'!G15/'Input-FX Rates'!$G$16,0)</f>
        <v>-17259.122858288782</v>
      </c>
      <c r="H15" s="204">
        <f>IFERROR('2. Variable (LC)'!H15/'Input-FX Rates'!$G$16,0)</f>
        <v>0</v>
      </c>
      <c r="I15" s="208">
        <f>IFERROR('2. Variable (LC)'!I15/'Input-FX Rates'!$G$16,0)</f>
        <v>0</v>
      </c>
      <c r="J15" s="208"/>
      <c r="K15" s="131">
        <f>IFERROR('2. Variable (LC)'!K15/'Input-FX Rates'!$G$16,0)</f>
        <v>0</v>
      </c>
      <c r="L15" s="206">
        <f>IFERROR(N15-'2. Variable (LC)'!M15/'Input-FX Rates'!$G$16,0)</f>
        <v>551.69756621676061</v>
      </c>
      <c r="M15" s="205">
        <f>IFERROR('2. Variable (LC)'!L15/'Input-FX Rates'!$H$16,0)</f>
        <v>0</v>
      </c>
      <c r="N15" s="204">
        <f>IFERROR('2. Variable (LC)'!M15/'Input-FX Rates'!$H$16,0)</f>
        <v>-16718.68</v>
      </c>
      <c r="O15" s="203">
        <f t="shared" si="0"/>
        <v>2088.9152358948118</v>
      </c>
      <c r="P15" s="202" t="str">
        <f>IF(ISBLANK('2. Variable (LC)'!O15),"",'2. Variable (LC)'!O15)</f>
        <v>Gap between ICO purchase and PE ICO</v>
      </c>
      <c r="Q15" s="64"/>
      <c r="R15" s="696" t="s">
        <v>1413</v>
      </c>
    </row>
    <row r="16" spans="1:18" x14ac:dyDescent="0.2">
      <c r="A16" s="148" t="s">
        <v>201</v>
      </c>
      <c r="B16" s="146">
        <f>IFERROR('2. Variable (LC)'!B16/'Input-FX Rates'!$E$16,0)</f>
        <v>-0.86909560903323468</v>
      </c>
      <c r="C16" s="154">
        <f>IFERROR('2. Variable (LC)'!C16/'Input-FX Rates'!$G$16,0)</f>
        <v>-0.86734503488807635</v>
      </c>
      <c r="D16" s="154">
        <f>IFERROR('2. Variable (LC)'!D16/'Input-FX Rates'!$G$16,0)</f>
        <v>0</v>
      </c>
      <c r="E16" s="142">
        <f>IFERROR('2. Variable (LC)'!E16/'Input-FX Rates'!$G$16,0)</f>
        <v>-0.86734503488807635</v>
      </c>
      <c r="F16" s="146">
        <f>IFERROR('2. Variable (LC)'!F16/'Input-FX Rates'!$G$16,0)</f>
        <v>-0.35264444220176827</v>
      </c>
      <c r="G16" s="154">
        <f>IFERROR('2. Variable (LC)'!G16/'Input-FX Rates'!$G$16,0)</f>
        <v>-4747.1452613128804</v>
      </c>
      <c r="H16" s="154">
        <f>IFERROR('2. Variable (LC)'!H16/'Input-FX Rates'!$G$16,0)</f>
        <v>0</v>
      </c>
      <c r="I16" s="157">
        <f>IFERROR('2. Variable (LC)'!I16/'Input-FX Rates'!$G$16,0)</f>
        <v>0</v>
      </c>
      <c r="J16" s="157"/>
      <c r="K16" s="142">
        <f>IFERROR('2. Variable (LC)'!K16/'Input-FX Rates'!$G$16,0)</f>
        <v>0</v>
      </c>
      <c r="L16" s="947">
        <f>IFERROR(N16-'2. Variable (LC)'!M16/'Input-FX Rates'!$G$16,0)</f>
        <v>151.68525078996936</v>
      </c>
      <c r="M16" s="948">
        <f>IFERROR('2. Variable (LC)'!L16/'Input-FX Rates'!$H$16,0)</f>
        <v>0</v>
      </c>
      <c r="N16" s="154">
        <f>IFERROR('2. Variable (LC)'!M16/'Input-FX Rates'!$H$16,0)</f>
        <v>-4596.68</v>
      </c>
      <c r="O16" s="168">
        <f t="shared" si="0"/>
        <v>5298.7132803016084</v>
      </c>
      <c r="P16" s="202" t="str">
        <f>IF(ISBLANK('2. Variable (LC)'!O16),"",'2. Variable (LC)'!O16)</f>
        <v/>
      </c>
      <c r="Q16" s="99"/>
      <c r="R16" s="696" t="s">
        <v>200</v>
      </c>
    </row>
    <row r="17" spans="1:18" ht="15.75" x14ac:dyDescent="0.2">
      <c r="A17" s="201" t="s">
        <v>199</v>
      </c>
      <c r="B17" s="120">
        <f>IFERROR('2. Variable (LC)'!B17/'Input-FX Rates'!$E$16,0)</f>
        <v>-1070.7700526532133</v>
      </c>
      <c r="C17" s="116">
        <f>IFERROR('2. Variable (LC)'!C17/'Input-FX Rates'!$G$16,0)</f>
        <v>-2598.8483694729225</v>
      </c>
      <c r="D17" s="116">
        <f>IFERROR('2. Variable (LC)'!D17/'Input-FX Rates'!$G$16,0)</f>
        <v>0</v>
      </c>
      <c r="E17" s="118">
        <f>IFERROR('2. Variable (LC)'!E17/'Input-FX Rates'!$G$16,0)</f>
        <v>-2598.8483694729225</v>
      </c>
      <c r="F17" s="120">
        <f>IFERROR('2. Variable (LC)'!F17/'Input-FX Rates'!$G$16,0)</f>
        <v>-1057.5564601206083</v>
      </c>
      <c r="G17" s="116">
        <f>IFERROR('2. Variable (LC)'!G17/'Input-FX Rates'!$G$16,0)</f>
        <v>-2067.0162527197967</v>
      </c>
      <c r="H17" s="116">
        <f>IFERROR('2. Variable (LC)'!H17/'Input-FX Rates'!$G$16,0)</f>
        <v>-156.69649846553691</v>
      </c>
      <c r="I17" s="116">
        <f>IFERROR('2. Variable (LC)'!I17/'Input-FX Rates'!$G$16,0)</f>
        <v>0</v>
      </c>
      <c r="J17" s="119">
        <f>+'2. Variable (LC)'!J17</f>
        <v>0</v>
      </c>
      <c r="K17" s="118">
        <f>IFERROR('2. Variable (LC)'!K17/'Input-FX Rates'!$G$16,0)</f>
        <v>1413.1960298335052</v>
      </c>
      <c r="L17" s="192">
        <f>IFERROR(N17-'2. Variable (LC)'!M17/'Input-FX Rates'!$G$16,0)</f>
        <v>142.69460749708378</v>
      </c>
      <c r="M17" s="117">
        <f>IFERROR('2. Variable (LC)'!L17/'Input-FX Rates'!$H$16,0)</f>
        <v>-3475.8855046308277</v>
      </c>
      <c r="N17" s="116">
        <f>IFERROR('2. Variable (LC)'!M17/'Input-FX Rates'!$H$16,0)</f>
        <v>-4324.2269434482769</v>
      </c>
      <c r="O17" s="115">
        <f t="shared" si="0"/>
        <v>0.66390120879783443</v>
      </c>
      <c r="P17" s="946" t="str">
        <f>IF(ISBLANK('2. Variable (LC)'!O17),"",'2. Variable (LC)'!O17)</f>
        <v/>
      </c>
      <c r="Q17" s="99"/>
      <c r="R17" s="696"/>
    </row>
    <row r="18" spans="1:18" x14ac:dyDescent="0.2">
      <c r="A18" s="940" t="s">
        <v>155</v>
      </c>
      <c r="B18" s="941">
        <f>IFERROR(B17/B$6,0)</f>
        <v>-2.9753223249404177E-2</v>
      </c>
      <c r="C18" s="942">
        <f>IFERROR(C17/C$6,0)</f>
        <v>-2.7393292436778471E-2</v>
      </c>
      <c r="D18" s="942">
        <f>IFERROR(D17/D$6,0)</f>
        <v>0</v>
      </c>
      <c r="E18" s="943">
        <f>IFERROR(E17/E$6,0)</f>
        <v>-2.7618157237413388E-2</v>
      </c>
      <c r="F18" s="941">
        <f>IFERROR(F17/F$6,0)</f>
        <v>-2.7618159509958183E-2</v>
      </c>
      <c r="G18" s="944"/>
      <c r="H18" s="944"/>
      <c r="I18" s="944"/>
      <c r="J18" s="942"/>
      <c r="K18" s="950"/>
      <c r="L18" s="945"/>
      <c r="M18" s="942">
        <f>+'2. Variable (LC)'!L18</f>
        <v>0</v>
      </c>
      <c r="N18" s="942">
        <f>IFERROR(N17/N$6,0)</f>
        <v>-3.3303327467229665E-2</v>
      </c>
      <c r="O18" s="943"/>
      <c r="P18" s="946" t="str">
        <f>IF(ISBLANK('2. Variable (LC)'!O18),"",'2. Variable (LC)'!O18)</f>
        <v/>
      </c>
      <c r="Q18" s="99"/>
      <c r="R18" s="696"/>
    </row>
    <row r="19" spans="1:18" x14ac:dyDescent="0.2">
      <c r="A19" s="148" t="s">
        <v>1466</v>
      </c>
      <c r="B19" s="146">
        <f>IFERROR('2. Variable (LC)'!B19/'Input-FX Rates'!$E$16,0)</f>
        <v>-643.06164135249105</v>
      </c>
      <c r="C19" s="154">
        <f>IFERROR('2. Variable (LC)'!C19/'Input-FX Rates'!$G$16,0)</f>
        <v>-1701.7210345371134</v>
      </c>
      <c r="D19" s="154">
        <f>IFERROR('2. Variable (LC)'!D19/'Input-FX Rates'!$G$16,0)</f>
        <v>0</v>
      </c>
      <c r="E19" s="142">
        <f>IFERROR('2. Variable (LC)'!E19/'Input-FX Rates'!$G$16,0)</f>
        <v>-1701.7210345371134</v>
      </c>
      <c r="F19" s="146">
        <f>IFERROR('2. Variable (LC)'!F19/'Input-FX Rates'!$G$16,0)</f>
        <v>-692.48611011907599</v>
      </c>
      <c r="G19" s="154">
        <f>IFERROR('2. Variable (LC)'!G19/'Input-FX Rates'!$G$16,0)</f>
        <v>-2067.0162527197967</v>
      </c>
      <c r="H19" s="154">
        <f>IFERROR('2. Variable (LC)'!H19/'Input-FX Rates'!$G$16,0)</f>
        <v>-131.70119927131361</v>
      </c>
      <c r="I19" s="154">
        <f>IFERROR('2. Variable (LC)'!I19/'Input-FX Rates'!$G$16,0)</f>
        <v>0</v>
      </c>
      <c r="J19" s="143">
        <f>+'2. Variable (LC)'!J19</f>
        <v>0</v>
      </c>
      <c r="K19" s="142">
        <f>IFERROR('2. Variable (LC)'!K19/'Input-FX Rates'!$G$16,0)</f>
        <v>949.19141680762493</v>
      </c>
      <c r="L19" s="947">
        <f>IFERROR(N19-'2. Variable (LC)'!M19/'Input-FX Rates'!$G$16,0)</f>
        <v>116.39807639139917</v>
      </c>
      <c r="M19" s="146">
        <f>IFERROR('2. Variable (LC)'!L19/'Input-FX Rates'!$H$16,0)</f>
        <v>-3475.8855046308277</v>
      </c>
      <c r="N19" s="154">
        <f>IFERROR('2. Variable (LC)'!M19/'Input-FX Rates'!$H$16,0)</f>
        <v>-3527.3351034482762</v>
      </c>
      <c r="O19" s="168">
        <f>IFERROR(N19/C19-1,0)</f>
        <v>1.0728045501345935</v>
      </c>
      <c r="P19" s="951" t="str">
        <f>IF(ISBLANK('2. Variable (LC)'!O19),"",'2. Variable (LC)'!O19)</f>
        <v>Structural change : Technician labor cost (917K EUR) goes to MDC from 2024</v>
      </c>
      <c r="Q19" s="99"/>
      <c r="R19" s="696" t="s">
        <v>197</v>
      </c>
    </row>
    <row r="20" spans="1:18" x14ac:dyDescent="0.2">
      <c r="A20" s="148" t="s">
        <v>1467</v>
      </c>
      <c r="B20" s="146">
        <f>IFERROR('2. Variable (LC)'!B20/'Input-FX Rates'!$E$16,0)</f>
        <v>-215.10534533114892</v>
      </c>
      <c r="C20" s="154">
        <f>IFERROR('2. Variable (LC)'!C20/'Input-FX Rates'!$G$16,0)</f>
        <v>-472.77767362336834</v>
      </c>
      <c r="D20" s="154">
        <f>IFERROR('2. Variable (LC)'!D20/'Input-FX Rates'!$G$16,0)</f>
        <v>0</v>
      </c>
      <c r="E20" s="142">
        <f>IFERROR('2. Variable (LC)'!E20/'Input-FX Rates'!$G$16,0)</f>
        <v>-472.77767362336834</v>
      </c>
      <c r="F20" s="146">
        <f>IFERROR('2. Variable (LC)'!F20/'Input-FX Rates'!$G$16,0)</f>
        <v>-192.3885594049938</v>
      </c>
      <c r="G20" s="154">
        <f>IFERROR('2. Variable (LC)'!G20/'Input-FX Rates'!$G$16,0)</f>
        <v>0</v>
      </c>
      <c r="H20" s="154">
        <f>IFERROR('2. Variable (LC)'!H20/'Input-FX Rates'!$G$16,0)</f>
        <v>-24.995299194223286</v>
      </c>
      <c r="I20" s="154">
        <f>IFERROR('2. Variable (LC)'!I20/'Input-FX Rates'!$G$16,0)</f>
        <v>0</v>
      </c>
      <c r="J20" s="143">
        <f>+'2. Variable (LC)'!J20</f>
        <v>0</v>
      </c>
      <c r="K20" s="142">
        <f>IFERROR('2. Variable (LC)'!K20/'Input-FX Rates'!$G$16,0)</f>
        <v>-1.3750788175907247</v>
      </c>
      <c r="L20" s="947">
        <f>IFERROR(N20-'2. Variable (LC)'!M20/'Input-FX Rates'!$G$16,0)</f>
        <v>22.090951040176151</v>
      </c>
      <c r="M20" s="146">
        <f>IFERROR('2. Variable (LC)'!L20/'Input-FX Rates'!$H$16,0)</f>
        <v>0</v>
      </c>
      <c r="N20" s="154">
        <f>IFERROR('2. Variable (LC)'!M20/'Input-FX Rates'!$H$16,0)</f>
        <v>-669.44566000000009</v>
      </c>
      <c r="O20" s="168">
        <f>IFERROR(N20/C20-1,0)</f>
        <v>0.41598408162840728</v>
      </c>
      <c r="P20" s="951" t="str">
        <f>IF(ISBLANK('2. Variable (LC)'!O20),"",'2. Variable (LC)'!O20)</f>
        <v/>
      </c>
      <c r="Q20" s="99"/>
      <c r="R20" s="708" t="s">
        <v>195</v>
      </c>
    </row>
    <row r="21" spans="1:18" x14ac:dyDescent="0.2">
      <c r="A21" s="148" t="s">
        <v>1468</v>
      </c>
      <c r="B21" s="146">
        <f>IFERROR('2. Variable (LC)'!B21/'Input-FX Rates'!$E$16,0)</f>
        <v>-212.60306596957321</v>
      </c>
      <c r="C21" s="154">
        <f>IFERROR('2. Variable (LC)'!C21/'Input-FX Rates'!$G$16,0)</f>
        <v>-424.34966131244119</v>
      </c>
      <c r="D21" s="154">
        <f>IFERROR('2. Variable (LC)'!D21/'Input-FX Rates'!$G$16,0)</f>
        <v>0</v>
      </c>
      <c r="E21" s="142">
        <f>IFERROR('2. Variable (LC)'!E21/'Input-FX Rates'!$G$16,0)</f>
        <v>-424.34966131244119</v>
      </c>
      <c r="F21" s="146">
        <f>IFERROR('2. Variable (LC)'!F21/'Input-FX Rates'!$G$16,0)</f>
        <v>-172.6817905965386</v>
      </c>
      <c r="G21" s="154">
        <f>IFERROR('2. Variable (LC)'!G21/'Input-FX Rates'!$G$16,0)</f>
        <v>0</v>
      </c>
      <c r="H21" s="154">
        <f>IFERROR('2. Variable (LC)'!H21/'Input-FX Rates'!$G$16,0)</f>
        <v>0</v>
      </c>
      <c r="I21" s="154">
        <f>IFERROR('2. Variable (LC)'!I21/'Input-FX Rates'!$G$16,0)</f>
        <v>0</v>
      </c>
      <c r="J21" s="143">
        <f>+'2. Variable (LC)'!J21</f>
        <v>0</v>
      </c>
      <c r="K21" s="142">
        <f>IFERROR('2. Variable (LC)'!K21/'Input-FX Rates'!$G$16,0)</f>
        <v>465.37969184347088</v>
      </c>
      <c r="L21" s="947">
        <f>IFERROR(N21-'2. Variable (LC)'!M21/'Input-FX Rates'!$G$16,0)</f>
        <v>4.2055800655089541</v>
      </c>
      <c r="M21" s="146">
        <f>IFERROR('2. Variable (LC)'!L21/'Input-FX Rates'!$H$16,0)</f>
        <v>0</v>
      </c>
      <c r="N21" s="154">
        <f>IFERROR('2. Variable (LC)'!M21/'Input-FX Rates'!$H$16,0)</f>
        <v>-127.44618000000001</v>
      </c>
      <c r="O21" s="168">
        <f>IFERROR(N21/C21-1,0)</f>
        <v>-0.69966706322839833</v>
      </c>
      <c r="P21" s="951" t="str">
        <f>IF(ISBLANK('2. Variable (LC)'!O21),"",'2. Variable (LC)'!O21)</f>
        <v/>
      </c>
      <c r="Q21" s="99"/>
      <c r="R21" s="708" t="s">
        <v>1474</v>
      </c>
    </row>
    <row r="22" spans="1:18" ht="15.75" x14ac:dyDescent="0.2">
      <c r="A22" s="201" t="s">
        <v>194</v>
      </c>
      <c r="B22" s="120">
        <f>IFERROR('2. Variable (LC)'!B22/'Input-FX Rates'!$E$16,0)</f>
        <v>-985.93225620753674</v>
      </c>
      <c r="C22" s="116">
        <f>IFERROR('2. Variable (LC)'!C22/'Input-FX Rates'!$G$16,0)</f>
        <v>-2459.6615665015129</v>
      </c>
      <c r="D22" s="116">
        <f>IFERROR('2. Variable (LC)'!D22/'Input-FX Rates'!$G$16,0)</f>
        <v>-83.887014605167053</v>
      </c>
      <c r="E22" s="118">
        <f>IFERROR('2. Variable (LC)'!E22/'Input-FX Rates'!$G$16,0)</f>
        <v>-2375.7745518963461</v>
      </c>
      <c r="F22" s="120">
        <f>IFERROR('2. Variable (LC)'!F22/'Input-FX Rates'!$G$16,0)</f>
        <v>-966.78008139375686</v>
      </c>
      <c r="G22" s="116">
        <f>IFERROR('2. Variable (LC)'!G22/'Input-FX Rates'!$G$16,0)</f>
        <v>-536.28910359490089</v>
      </c>
      <c r="H22" s="116">
        <f>IFERROR('2. Variable (LC)'!H22/'Input-FX Rates'!$G$16,0)</f>
        <v>-93.624351321234784</v>
      </c>
      <c r="I22" s="116">
        <f>IFERROR('2. Variable (LC)'!I22/'Input-FX Rates'!$G$16,0)</f>
        <v>73.23691279125741</v>
      </c>
      <c r="J22" s="116">
        <f>+'2. Variable (LC)'!J22</f>
        <v>1.8881119673583972E-2</v>
      </c>
      <c r="K22" s="118">
        <f>IFERROR('2. Variable (LC)'!K22/'Input-FX Rates'!$G$16,0)</f>
        <v>-1039.6536287089502</v>
      </c>
      <c r="L22" s="192">
        <f>IFERROR(N22-'2. Variable (LC)'!M22/'Input-FX Rates'!$G$16,0)</f>
        <v>157.7713466780333</v>
      </c>
      <c r="M22" s="117">
        <f>IFERROR('2. Variable (LC)'!L22/'Input-FX Rates'!$H$16,0)</f>
        <v>-3096.7489163878895</v>
      </c>
      <c r="N22" s="116">
        <f>IFERROR('2. Variable (LC)'!M22/'Input-FX Rates'!$H$16,0)</f>
        <v>-4781.1134574458974</v>
      </c>
      <c r="O22" s="200">
        <f>IFERROR(N22/C22-1,0)</f>
        <v>0.94380947466943188</v>
      </c>
      <c r="P22" s="946" t="str">
        <f>IF(ISBLANK('2. Variable (LC)'!O22),"",'2. Variable (LC)'!O22)</f>
        <v/>
      </c>
      <c r="Q22" s="99"/>
      <c r="R22" s="99"/>
    </row>
    <row r="23" spans="1:18" x14ac:dyDescent="0.2">
      <c r="A23" s="940" t="s">
        <v>155</v>
      </c>
      <c r="B23" s="941">
        <f>IFERROR(B22/B$6,0)</f>
        <v>-2.7395856332594053E-2</v>
      </c>
      <c r="C23" s="942">
        <f>IFERROR(C22/C$6,0)</f>
        <v>-2.5926186913454163E-2</v>
      </c>
      <c r="D23" s="942">
        <f>IFERROR(D22/D$6,0)</f>
        <v>-0.1086003565648085</v>
      </c>
      <c r="E23" s="943">
        <f>IFERROR(E22/E$6,0)</f>
        <v>-2.5247534987285939E-2</v>
      </c>
      <c r="F23" s="941">
        <f>IFERROR(F22/F$6,0)</f>
        <v>-2.5247528151771743E-2</v>
      </c>
      <c r="G23" s="944"/>
      <c r="H23" s="944"/>
      <c r="I23" s="944"/>
      <c r="J23" s="942"/>
      <c r="K23" s="950"/>
      <c r="L23" s="945"/>
      <c r="M23" s="942">
        <f>+'2. Variable (LC)'!L23</f>
        <v>0</v>
      </c>
      <c r="N23" s="942">
        <f>IFERROR(N22/N$6,0)</f>
        <v>-3.6822069982369303E-2</v>
      </c>
      <c r="O23" s="943"/>
      <c r="P23" s="946" t="str">
        <f>IF(ISBLANK('2. Variable (LC)'!O23),"",'2. Variable (LC)'!O23)</f>
        <v/>
      </c>
      <c r="Q23" s="99"/>
      <c r="R23" s="99"/>
    </row>
    <row r="24" spans="1:18" x14ac:dyDescent="0.2">
      <c r="A24" s="148" t="s">
        <v>193</v>
      </c>
      <c r="B24" s="146">
        <f>IFERROR('2. Variable (LC)'!B24/'Input-FX Rates'!$E$16,0)</f>
        <v>-0.26212604582188859</v>
      </c>
      <c r="C24" s="154">
        <f>IFERROR('2. Variable (LC)'!C24/'Input-FX Rates'!$G$16,0)</f>
        <v>-0.26159805894240268</v>
      </c>
      <c r="D24" s="154">
        <f>IFERROR('2. Variable (LC)'!D24/'Input-FX Rates'!$G$16,0)</f>
        <v>0</v>
      </c>
      <c r="E24" s="142">
        <f>IFERROR('2. Variable (LC)'!E24/'Input-FX Rates'!$G$16,0)</f>
        <v>-0.26159805894240268</v>
      </c>
      <c r="F24" s="146">
        <f>IFERROR('2. Variable (LC)'!F24/'Input-FX Rates'!$G$16,0)</f>
        <v>-0.10614953916780501</v>
      </c>
      <c r="G24" s="154">
        <f>IFERROR('2. Variable (LC)'!G24/'Input-FX Rates'!$G$16,0)</f>
        <v>0</v>
      </c>
      <c r="H24" s="154">
        <f>IFERROR('2. Variable (LC)'!H24/'Input-FX Rates'!$G$16,0)</f>
        <v>0</v>
      </c>
      <c r="I24" s="154">
        <f>IFERROR('2. Variable (LC)'!I24/'Input-FX Rates'!$G$16,0)</f>
        <v>0.36774759811020769</v>
      </c>
      <c r="J24" s="143">
        <f>+'2. Variable (LC)'!J24</f>
        <v>1</v>
      </c>
      <c r="K24" s="142">
        <f>IFERROR('2. Variable (LC)'!K24/'Input-FX Rates'!$G$16,0)</f>
        <v>0</v>
      </c>
      <c r="L24" s="947">
        <f>IFERROR(N24-'2. Variable (LC)'!M24/'Input-FX Rates'!$G$16,0)</f>
        <v>0</v>
      </c>
      <c r="M24" s="948">
        <f>IFERROR('2. Variable (LC)'!L24/'Input-FX Rates'!$H$16,0)</f>
        <v>0</v>
      </c>
      <c r="N24" s="154">
        <f>IFERROR('2. Variable (LC)'!M24/'Input-FX Rates'!$H$16,0)</f>
        <v>0</v>
      </c>
      <c r="O24" s="168">
        <f t="shared" ref="O24:O35" si="1">IFERROR(N24/C24-1,0)</f>
        <v>-1</v>
      </c>
      <c r="P24" s="951" t="str">
        <f>IF(ISBLANK('2. Variable (LC)'!O24),"",'2. Variable (LC)'!O24)</f>
        <v/>
      </c>
      <c r="Q24" s="99"/>
      <c r="R24" s="709" t="s">
        <v>192</v>
      </c>
    </row>
    <row r="25" spans="1:18" x14ac:dyDescent="0.2">
      <c r="A25" s="148" t="s">
        <v>191</v>
      </c>
      <c r="B25" s="146">
        <f>IFERROR('2. Variable (LC)'!B25/'Input-FX Rates'!$E$16,0)</f>
        <v>-35.093456430161069</v>
      </c>
      <c r="C25" s="154">
        <f>IFERROR('2. Variable (LC)'!C25/'Input-FX Rates'!$G$16,0)</f>
        <v>-82.407666041045502</v>
      </c>
      <c r="D25" s="154">
        <f>IFERROR('2. Variable (LC)'!D25/'Input-FX Rates'!$G$16,0)</f>
        <v>0</v>
      </c>
      <c r="E25" s="142">
        <f>IFERROR('2. Variable (LC)'!E25/'Input-FX Rates'!$G$16,0)</f>
        <v>-82.407666041045502</v>
      </c>
      <c r="F25" s="146">
        <f>IFERROR('2. Variable (LC)'!F25/'Input-FX Rates'!$G$16,0)</f>
        <v>-33.534705420851793</v>
      </c>
      <c r="G25" s="154">
        <f>IFERROR('2. Variable (LC)'!G25/'Input-FX Rates'!$G$16,0)</f>
        <v>-271.02336051461987</v>
      </c>
      <c r="H25" s="154">
        <f>IFERROR('2. Variable (LC)'!H25/'Input-FX Rates'!$G$16,0)</f>
        <v>-9.109735086085923</v>
      </c>
      <c r="I25" s="154">
        <f>IFERROR('2. Variable (LC)'!I25/'Input-FX Rates'!$G$16,0)</f>
        <v>0</v>
      </c>
      <c r="J25" s="143">
        <f>+'2. Variable (LC)'!J25</f>
        <v>0</v>
      </c>
      <c r="K25" s="142">
        <f>IFERROR('2. Variable (LC)'!K25/'Input-FX Rates'!$G$16,0)</f>
        <v>2.8537128210728307E-5</v>
      </c>
      <c r="L25" s="947">
        <f>IFERROR(N25-'2. Variable (LC)'!M25/'Input-FX Rates'!$G$16,0)</f>
        <v>12.652523353061156</v>
      </c>
      <c r="M25" s="948">
        <f>IFERROR('2. Variable (LC)'!L25/'Input-FX Rates'!$H$16,0)</f>
        <v>0</v>
      </c>
      <c r="N25" s="154">
        <f>IFERROR('2. Variable (LC)'!M25/'Input-FX Rates'!$H$16,0)</f>
        <v>-383.42291517241375</v>
      </c>
      <c r="O25" s="168">
        <f t="shared" si="1"/>
        <v>3.6527578512105778</v>
      </c>
      <c r="P25" s="951" t="str">
        <f>IF(ISBLANK('2. Variable (LC)'!O25),"",'2. Variable (LC)'!O25)</f>
        <v/>
      </c>
      <c r="Q25" s="99"/>
      <c r="R25" s="709" t="s">
        <v>190</v>
      </c>
    </row>
    <row r="26" spans="1:18" x14ac:dyDescent="0.2">
      <c r="A26" s="148" t="s">
        <v>189</v>
      </c>
      <c r="B26" s="146">
        <f>IFERROR('2. Variable (LC)'!B26/'Input-FX Rates'!$E$16,0)</f>
        <v>-112.27121453833286</v>
      </c>
      <c r="C26" s="154">
        <f>IFERROR('2. Variable (LC)'!C26/'Input-FX Rates'!$G$16,0)</f>
        <v>-263.63914230306108</v>
      </c>
      <c r="D26" s="154">
        <f>IFERROR('2. Variable (LC)'!D26/'Input-FX Rates'!$G$16,0)</f>
        <v>0</v>
      </c>
      <c r="E26" s="142">
        <f>IFERROR('2. Variable (LC)'!E26/'Input-FX Rates'!$G$16,0)</f>
        <v>-263.63914230306108</v>
      </c>
      <c r="F26" s="146">
        <f>IFERROR('2. Variable (LC)'!F26/'Input-FX Rates'!$G$16,0)</f>
        <v>-107.28370068696705</v>
      </c>
      <c r="G26" s="154">
        <f>IFERROR('2. Variable (LC)'!G26/'Input-FX Rates'!$G$16,0)</f>
        <v>-461.95591041132781</v>
      </c>
      <c r="H26" s="154">
        <f>IFERROR('2. Variable (LC)'!H26/'Input-FX Rates'!$G$16,0)</f>
        <v>-41.952513613963369</v>
      </c>
      <c r="I26" s="154">
        <f>IFERROR('2. Variable (LC)'!I26/'Input-FX Rates'!$G$16,0)</f>
        <v>0</v>
      </c>
      <c r="J26" s="143">
        <f>+'2. Variable (LC)'!J26</f>
        <v>0</v>
      </c>
      <c r="K26" s="142">
        <f>IFERROR('2. Variable (LC)'!K26/'Input-FX Rates'!$G$16,0)</f>
        <v>-949.19106402656632</v>
      </c>
      <c r="L26" s="947">
        <f>IFERROR(N26-'2. Variable (LC)'!M26/'Input-FX Rates'!$G$16,0)</f>
        <v>58.267902766023326</v>
      </c>
      <c r="M26" s="948">
        <f>IFERROR('2. Variable (LC)'!L26/'Input-FX Rates'!$H$16,0)</f>
        <v>-3096.7489163878895</v>
      </c>
      <c r="N26" s="154">
        <f>IFERROR('2. Variable (LC)'!M26/'Input-FX Rates'!$H$16,0)</f>
        <v>-1765.7544282758622</v>
      </c>
      <c r="O26" s="168">
        <f t="shared" si="1"/>
        <v>5.697618619340199</v>
      </c>
      <c r="P26" s="202" t="str">
        <f>IF(ISBLANK('2. Variable (LC)'!O26),"",'2. Variable (LC)'!O26)</f>
        <v>Structural change : Technician labor cost (917K EUR) goes to MDC from 2024</v>
      </c>
      <c r="Q26" s="99"/>
      <c r="R26" s="978" t="s">
        <v>1476</v>
      </c>
    </row>
    <row r="27" spans="1:18" x14ac:dyDescent="0.2">
      <c r="A27" s="148" t="s">
        <v>986</v>
      </c>
      <c r="B27" s="146">
        <f>IFERROR('2. Variable (LC)'!B27/'Input-FX Rates'!$E$16,0)</f>
        <v>-313.80256746179998</v>
      </c>
      <c r="C27" s="154">
        <f>IFERROR('2. Variable (LC)'!C27/'Input-FX Rates'!$G$16,0)</f>
        <v>-632.68609350884674</v>
      </c>
      <c r="D27" s="154">
        <f>IFERROR('2. Variable (LC)'!D27/'Input-FX Rates'!$G$16,0)</f>
        <v>0</v>
      </c>
      <c r="E27" s="142">
        <f>IFERROR('2. Variable (LC)'!E27/'Input-FX Rates'!$G$16,0)</f>
        <v>-632.68609350884674</v>
      </c>
      <c r="F27" s="146">
        <f>IFERROR('2. Variable (LC)'!F27/'Input-FX Rates'!$G$16,0)</f>
        <v>-257.46036415390193</v>
      </c>
      <c r="G27" s="154">
        <f>IFERROR('2. Variable (LC)'!G27/'Input-FX Rates'!$G$16,0)</f>
        <v>117.90053063646471</v>
      </c>
      <c r="H27" s="154">
        <f>IFERROR('2. Variable (LC)'!H27/'Input-FX Rates'!$G$16,0)</f>
        <v>-40.644521692812447</v>
      </c>
      <c r="I27" s="154">
        <f>IFERROR('2. Variable (LC)'!I27/'Input-FX Rates'!$G$16,0)</f>
        <v>0</v>
      </c>
      <c r="J27" s="143">
        <f>+'2. Variable (LC)'!J27</f>
        <v>0</v>
      </c>
      <c r="K27" s="142">
        <f>IFERROR('2. Variable (LC)'!K27/'Input-FX Rates'!$G$16,0)</f>
        <v>1.4862847519280373E-5</v>
      </c>
      <c r="L27" s="947">
        <f>IFERROR(N27-'2. Variable (LC)'!M27/'Input-FX Rates'!$G$16,0)</f>
        <v>25.967566270041857</v>
      </c>
      <c r="M27" s="948">
        <f>IFERROR('2. Variable (LC)'!L27/'Input-FX Rates'!$H$16,0)</f>
        <v>0</v>
      </c>
      <c r="N27" s="154">
        <f>IFERROR('2. Variable (LC)'!M27/'Input-FX Rates'!$H$16,0)</f>
        <v>-786.92286758620696</v>
      </c>
      <c r="O27" s="168">
        <f t="shared" si="1"/>
        <v>0.24378088227286687</v>
      </c>
      <c r="P27" s="202" t="str">
        <f>IF(ISBLANK('2. Variable (LC)'!O27),"",'2. Variable (LC)'!O27)</f>
        <v>Occupied space increase, electricity price increase 5%</v>
      </c>
      <c r="Q27" s="99"/>
      <c r="R27" s="709" t="s">
        <v>187</v>
      </c>
    </row>
    <row r="28" spans="1:18" x14ac:dyDescent="0.2">
      <c r="A28" s="148" t="s">
        <v>186</v>
      </c>
      <c r="B28" s="146">
        <f>IFERROR('2. Variable (LC)'!B28/'Input-FX Rates'!$E$16,0)</f>
        <v>-467.43946498075275</v>
      </c>
      <c r="C28" s="154">
        <f>IFERROR('2. Variable (LC)'!C28/'Input-FX Rates'!$G$16,0)</f>
        <v>-1366.7700928816328</v>
      </c>
      <c r="D28" s="154">
        <f>IFERROR('2. Variable (LC)'!D28/'Input-FX Rates'!$G$16,0)</f>
        <v>-83.887014605167053</v>
      </c>
      <c r="E28" s="142">
        <f>IFERROR('2. Variable (LC)'!E28/'Input-FX Rates'!$G$16,0)</f>
        <v>-1282.8830782764658</v>
      </c>
      <c r="F28" s="146">
        <f>IFERROR('2. Variable (LC)'!F28/'Input-FX Rates'!$G$16,0)</f>
        <v>-522.04699569233776</v>
      </c>
      <c r="G28" s="154">
        <f>IFERROR('2. Variable (LC)'!G28/'Input-FX Rates'!$G$16,0)</f>
        <v>0</v>
      </c>
      <c r="H28" s="154">
        <f>IFERROR('2. Variable (LC)'!H28/'Input-FX Rates'!$G$16,0)</f>
        <v>0</v>
      </c>
      <c r="I28" s="154">
        <f>IFERROR('2. Variable (LC)'!I28/'Input-FX Rates'!$G$16,0)</f>
        <v>72.869165193147211</v>
      </c>
      <c r="J28" s="143">
        <f>+'2. Variable (LC)'!J28</f>
        <v>4.0372292668888567E-2</v>
      </c>
      <c r="K28" s="142">
        <f>IFERROR('2. Variable (LC)'!K28/'Input-FX Rates'!$G$16,0)</f>
        <v>-90.462608082359566</v>
      </c>
      <c r="L28" s="947">
        <f>IFERROR(N28-'2. Variable (LC)'!M28/'Input-FX Rates'!$G$16,0)</f>
        <v>58.220023550049063</v>
      </c>
      <c r="M28" s="146">
        <f>IFERROR('2. Variable (LC)'!L28/'Input-FX Rates'!$H$16,0)</f>
        <v>0</v>
      </c>
      <c r="N28" s="154">
        <f>IFERROR('2. Variable (LC)'!M28/'Input-FX Rates'!$H$16,0)</f>
        <v>-1764.3034933079666</v>
      </c>
      <c r="O28" s="168">
        <f t="shared" si="1"/>
        <v>0.29085608654795303</v>
      </c>
      <c r="P28" s="202" t="str">
        <f>IF(ISBLANK('2. Variable (LC)'!O28),"",'2. Variable (LC)'!O28)</f>
        <v/>
      </c>
      <c r="Q28" s="99"/>
      <c r="R28" s="709" t="s">
        <v>979</v>
      </c>
    </row>
    <row r="29" spans="1:18" x14ac:dyDescent="0.2">
      <c r="A29" s="148" t="s">
        <v>1469</v>
      </c>
      <c r="B29" s="146">
        <f>IFERROR('2. Variable (LC)'!B29/'Input-FX Rates'!$E$16,0)</f>
        <v>-57.06342675066827</v>
      </c>
      <c r="C29" s="154">
        <f>IFERROR('2. Variable (LC)'!C29/'Input-FX Rates'!$G$16,0)</f>
        <v>-113.89697370798451</v>
      </c>
      <c r="D29" s="154">
        <f>IFERROR('2. Variable (LC)'!D29/'Input-FX Rates'!$G$16,0)</f>
        <v>0</v>
      </c>
      <c r="E29" s="142">
        <f>IFERROR('2. Variable (LC)'!E29/'Input-FX Rates'!$G$16,0)</f>
        <v>-113.89697370798451</v>
      </c>
      <c r="F29" s="146">
        <f>IFERROR('2. Variable (LC)'!F29/'Input-FX Rates'!$G$16,0)</f>
        <v>-46.348165900530589</v>
      </c>
      <c r="G29" s="154">
        <f>IFERROR('2. Variable (LC)'!G29/'Input-FX Rates'!$G$16,0)</f>
        <v>83.801034804125678</v>
      </c>
      <c r="H29" s="154">
        <f>IFERROR('2. Variable (LC)'!H29/'Input-FX Rates'!$G$16,0)</f>
        <v>-1.7996053331637223</v>
      </c>
      <c r="I29" s="154">
        <f>IFERROR('2. Variable (LC)'!I29/'Input-FX Rates'!$G$16,0)</f>
        <v>0</v>
      </c>
      <c r="J29" s="143">
        <f>+'2. Variable (LC)'!J29</f>
        <v>0</v>
      </c>
      <c r="K29" s="142">
        <f>IFERROR('2. Variable (LC)'!K29/'Input-FX Rates'!$G$16,0)</f>
        <v>0</v>
      </c>
      <c r="L29" s="947">
        <f>IFERROR(N29-'2. Variable (LC)'!M29/'Input-FX Rates'!$G$16,0)</f>
        <v>2.499474275484161</v>
      </c>
      <c r="M29" s="146">
        <f>IFERROR('2. Variable (LC)'!L29/'Input-FX Rates'!$H$16,0)</f>
        <v>0</v>
      </c>
      <c r="N29" s="154">
        <f>IFERROR('2. Variable (LC)'!M29/'Input-FX Rates'!$H$16,0)</f>
        <v>-75.744235862068976</v>
      </c>
      <c r="O29" s="168">
        <f t="shared" si="1"/>
        <v>-0.33497586989215078</v>
      </c>
      <c r="P29" s="202"/>
      <c r="Q29" s="99"/>
      <c r="R29" s="708" t="s">
        <v>1475</v>
      </c>
    </row>
    <row r="30" spans="1:18" x14ac:dyDescent="0.2">
      <c r="A30" s="148" t="s">
        <v>185</v>
      </c>
      <c r="B30" s="146">
        <f>IFERROR('2. Variable (LC)'!B30/'Input-FX Rates'!$E$16,0)</f>
        <v>0</v>
      </c>
      <c r="C30" s="154">
        <f>IFERROR('2. Variable (LC)'!C30/'Input-FX Rates'!$G$16,0)</f>
        <v>0</v>
      </c>
      <c r="D30" s="154">
        <f>IFERROR('2. Variable (LC)'!D30/'Input-FX Rates'!$G$16,0)</f>
        <v>0</v>
      </c>
      <c r="E30" s="142">
        <f>IFERROR('2. Variable (LC)'!E30/'Input-FX Rates'!$G$16,0)</f>
        <v>0</v>
      </c>
      <c r="F30" s="146">
        <f>IFERROR('2. Variable (LC)'!F30/'Input-FX Rates'!$G$16,0)</f>
        <v>0</v>
      </c>
      <c r="G30" s="154">
        <f>IFERROR('2. Variable (LC)'!G30/'Input-FX Rates'!$G$16,0)</f>
        <v>-5.0113981095436744</v>
      </c>
      <c r="H30" s="154">
        <f>IFERROR('2. Variable (LC)'!H30/'Input-FX Rates'!$G$16,0)</f>
        <v>-0.11797559520931884</v>
      </c>
      <c r="I30" s="154">
        <f>IFERROR('2. Variable (LC)'!I30/'Input-FX Rates'!$G$16,0)</f>
        <v>0</v>
      </c>
      <c r="J30" s="143">
        <f>+'2. Variable (LC)'!J30</f>
        <v>0</v>
      </c>
      <c r="K30" s="142">
        <f>IFERROR('2. Variable (LC)'!K30/'Input-FX Rates'!$G$16,0)</f>
        <v>0</v>
      </c>
      <c r="L30" s="947">
        <f>IFERROR(N30-'2. Variable (LC)'!M30/'Input-FX Rates'!$G$16,0)</f>
        <v>0.16385646337368254</v>
      </c>
      <c r="M30" s="948">
        <f>IFERROR('2. Variable (LC)'!L30/'Input-FX Rates'!$H$16,0)</f>
        <v>0</v>
      </c>
      <c r="N30" s="154">
        <f>IFERROR('2. Variable (LC)'!M30/'Input-FX Rates'!$H$16,0)</f>
        <v>-4.9655172413793105</v>
      </c>
      <c r="O30" s="168">
        <f t="shared" si="1"/>
        <v>0</v>
      </c>
      <c r="P30" s="202" t="str">
        <f>IF(ISBLANK('2. Variable (LC)'!O30),"",'2. Variable (LC)'!O30)</f>
        <v/>
      </c>
      <c r="Q30" s="99"/>
      <c r="R30" s="709" t="s">
        <v>959</v>
      </c>
    </row>
    <row r="31" spans="1:18" ht="15.75" x14ac:dyDescent="0.2">
      <c r="A31" s="164" t="s">
        <v>184</v>
      </c>
      <c r="B31" s="137">
        <f>IFERROR('2. Variable (LC)'!B31/'Input-FX Rates'!$E$16,0)</f>
        <v>-131.5585853354269</v>
      </c>
      <c r="C31" s="204">
        <f>IFERROR('2. Variable (LC)'!C31/'Input-FX Rates'!$G$16,0)</f>
        <v>-626.03079929591365</v>
      </c>
      <c r="D31" s="207">
        <f>IFERROR('2. Variable (LC)'!D31/'Input-FX Rates'!$G$16,0)</f>
        <v>0</v>
      </c>
      <c r="E31" s="131">
        <f>IFERROR('2. Variable (LC)'!E31/'Input-FX Rates'!$G$16,0)</f>
        <v>-626.03079929591365</v>
      </c>
      <c r="F31" s="137">
        <f>IFERROR('2. Variable (LC)'!F31/'Input-FX Rates'!$G$16,0)</f>
        <v>-254.75248228560105</v>
      </c>
      <c r="G31" s="204">
        <f>IFERROR('2. Variable (LC)'!G31/'Input-FX Rates'!$G$16,0)</f>
        <v>0</v>
      </c>
      <c r="H31" s="204">
        <f>IFERROR('2. Variable (LC)'!H31/'Input-FX Rates'!$G$16,0)</f>
        <v>0</v>
      </c>
      <c r="I31" s="204">
        <f>IFERROR('2. Variable (LC)'!I31/'Input-FX Rates'!$G$16,0)</f>
        <v>0</v>
      </c>
      <c r="J31" s="132">
        <f>+'2. Variable (LC)'!J31</f>
        <v>0</v>
      </c>
      <c r="K31" s="131">
        <f>IFERROR('2. Variable (LC)'!K31/'Input-FX Rates'!$G$16,0)</f>
        <v>-1140.6271303375424</v>
      </c>
      <c r="L31" s="206">
        <f>IFERROR(N31-'2. Variable (LC)'!M31/'Input-FX Rates'!$G$16,0)</f>
        <v>64.573411919057207</v>
      </c>
      <c r="M31" s="137">
        <f>IFERROR('2. Variable (LC)'!L31/'Input-FX Rates'!$H$16,0)</f>
        <v>-2103.7399999999998</v>
      </c>
      <c r="N31" s="204">
        <f>IFERROR('2. Variable (LC)'!M31/'Input-FX Rates'!$H$16,0)</f>
        <v>-1956.837</v>
      </c>
      <c r="O31" s="203">
        <f t="shared" si="1"/>
        <v>2.1257839106331855</v>
      </c>
      <c r="P31" s="202" t="str">
        <f>IF(ISBLANK('2. Variable (LC)'!O31),"",'2. Variable (LC)'!O31)</f>
        <v>Scrap improvement by stabilization of production line (800V inverter), -643K EUR is due to HVD</v>
      </c>
      <c r="Q31" s="99"/>
      <c r="R31" s="709" t="s">
        <v>183</v>
      </c>
    </row>
    <row r="32" spans="1:18" ht="15.75" x14ac:dyDescent="0.2">
      <c r="A32" s="164" t="s">
        <v>182</v>
      </c>
      <c r="B32" s="137">
        <f>IFERROR('2. Variable (LC)'!B32/'Input-FX Rates'!$E$16,0)</f>
        <v>-127.36094366747091</v>
      </c>
      <c r="C32" s="204">
        <f>IFERROR('2. Variable (LC)'!C32/'Input-FX Rates'!$G$16,0)</f>
        <v>-361.2964332458248</v>
      </c>
      <c r="D32" s="207">
        <f>IFERROR('2. Variable (LC)'!D32/'Input-FX Rates'!$G$16,0)</f>
        <v>0</v>
      </c>
      <c r="E32" s="131">
        <f>IFERROR('2. Variable (LC)'!E32/'Input-FX Rates'!$G$16,0)</f>
        <v>-361.2964332458248</v>
      </c>
      <c r="F32" s="137">
        <f>IFERROR('2. Variable (LC)'!F32/'Input-FX Rates'!$G$16,0)</f>
        <v>-147.02352346454086</v>
      </c>
      <c r="G32" s="204">
        <f>IFERROR('2. Variable (LC)'!G32/'Input-FX Rates'!$G$16,0)</f>
        <v>0</v>
      </c>
      <c r="H32" s="208">
        <f>IFERROR('2. Variable (LC)'!H32/'Input-FX Rates'!$G$16,0)</f>
        <v>0</v>
      </c>
      <c r="I32" s="208">
        <f>IFERROR('2. Variable (LC)'!I32/'Input-FX Rates'!$G$16,0)</f>
        <v>0</v>
      </c>
      <c r="J32" s="132">
        <f>+'2. Variable (LC)'!J32</f>
        <v>0</v>
      </c>
      <c r="K32" s="131">
        <f>IFERROR('2. Variable (LC)'!K32/'Input-FX Rates'!$G$16,0)</f>
        <v>-130.32483169563119</v>
      </c>
      <c r="L32" s="206">
        <f>IFERROR(N32-'2. Variable (LC)'!M32/'Input-FX Rates'!$G$16,0)</f>
        <v>20.401335992203713</v>
      </c>
      <c r="M32" s="137">
        <f>IFERROR('2. Variable (LC)'!L32/'Input-FX Rates'!$H$16,0)</f>
        <v>-627.5141518518235</v>
      </c>
      <c r="N32" s="204">
        <f>IFERROR('2. Variable (LC)'!M32/'Input-FX Rates'!$H$16,0)</f>
        <v>-618.24345241379319</v>
      </c>
      <c r="O32" s="203">
        <f t="shared" si="1"/>
        <v>0.71118061382339359</v>
      </c>
      <c r="P32" s="202" t="str">
        <f>IF(ISBLANK('2. Variable (LC)'!O32),"",'2. Variable (LC)'!O32)</f>
        <v>0.5% of external sales</v>
      </c>
      <c r="Q32" s="99"/>
      <c r="R32" s="709" t="s">
        <v>181</v>
      </c>
    </row>
    <row r="33" spans="1:18" ht="15.75" x14ac:dyDescent="0.2">
      <c r="A33" s="164" t="s">
        <v>180</v>
      </c>
      <c r="B33" s="137">
        <f>IFERROR('2. Variable (LC)'!B33/'Input-FX Rates'!$E$16,0)</f>
        <v>-77.070743293952702</v>
      </c>
      <c r="C33" s="204">
        <f>IFERROR('2. Variable (LC)'!C33/'Input-FX Rates'!$G$16,0)</f>
        <v>-657.55008829860628</v>
      </c>
      <c r="D33" s="207">
        <f>IFERROR('2. Variable (LC)'!D33/'Input-FX Rates'!$G$16,0)</f>
        <v>0</v>
      </c>
      <c r="E33" s="131">
        <f>IFERROR('2. Variable (LC)'!E33/'Input-FX Rates'!$G$16,0)</f>
        <v>-657.55008829860628</v>
      </c>
      <c r="F33" s="205">
        <f>IFERROR('2. Variable (LC)'!F33/'Input-FX Rates'!$G$16,0)</f>
        <v>0</v>
      </c>
      <c r="G33" s="208">
        <f>IFERROR('2. Variable (LC)'!G33/'Input-FX Rates'!$G$16,0)</f>
        <v>0</v>
      </c>
      <c r="H33" s="208">
        <f>IFERROR('2. Variable (LC)'!H33/'Input-FX Rates'!$G$16,0)</f>
        <v>0</v>
      </c>
      <c r="I33" s="208">
        <f>IFERROR('2. Variable (LC)'!I33/'Input-FX Rates'!$G$16,0)</f>
        <v>0</v>
      </c>
      <c r="J33" s="132">
        <f>+'2. Variable (LC)'!J33</f>
        <v>0</v>
      </c>
      <c r="K33" s="131">
        <f>IFERROR('2. Variable (LC)'!K33/'Input-FX Rates'!$G$16,0)</f>
        <v>-746.2953775209786</v>
      </c>
      <c r="L33" s="206">
        <f>IFERROR(N33-'2. Variable (LC)'!M33/'Input-FX Rates'!$G$16,0)</f>
        <v>44.845465819584888</v>
      </c>
      <c r="M33" s="137">
        <f>IFERROR('2. Variable (LC)'!L33/'Input-FX Rates'!$H$16,0)</f>
        <v>-1359</v>
      </c>
      <c r="N33" s="204">
        <f>IFERROR('2. Variable (LC)'!M33/'Input-FX Rates'!$H$16,0)</f>
        <v>-1359</v>
      </c>
      <c r="O33" s="203">
        <f t="shared" si="1"/>
        <v>1.0667627062698402</v>
      </c>
      <c r="P33" s="202" t="str">
        <f>IF(ISBLANK('2. Variable (LC)'!O33),"",'2. Variable (LC)'!O33)</f>
        <v>-707K EUR will be moved to HVD</v>
      </c>
      <c r="Q33" s="99"/>
      <c r="R33" s="709" t="s">
        <v>179</v>
      </c>
    </row>
    <row r="34" spans="1:18" ht="15.75" x14ac:dyDescent="0.2">
      <c r="A34" s="164" t="s">
        <v>178</v>
      </c>
      <c r="B34" s="137">
        <f>IFERROR('2. Variable (LC)'!B34/'Input-FX Rates'!$E$16,0)</f>
        <v>4.517962263090418E-5</v>
      </c>
      <c r="C34" s="204">
        <f>IFERROR('2. Variable (LC)'!C34/'Input-FX Rates'!$G$16,0)</f>
        <v>0</v>
      </c>
      <c r="D34" s="207">
        <f>IFERROR('2. Variable (LC)'!D34/'Input-FX Rates'!$G$16,0)</f>
        <v>0</v>
      </c>
      <c r="E34" s="131">
        <f>IFERROR('2. Variable (LC)'!E34/'Input-FX Rates'!$G$16,0)</f>
        <v>0</v>
      </c>
      <c r="F34" s="137">
        <f>IFERROR('2. Variable (LC)'!F34/'Input-FX Rates'!$G$16,0)</f>
        <v>0</v>
      </c>
      <c r="G34" s="204">
        <f>IFERROR('2. Variable (LC)'!G34/'Input-FX Rates'!$G$16,0)</f>
        <v>22407.849553190485</v>
      </c>
      <c r="H34" s="204">
        <f>IFERROR('2. Variable (LC)'!H34/'Input-FX Rates'!$G$16,0)</f>
        <v>0</v>
      </c>
      <c r="I34" s="204">
        <f>IFERROR('2. Variable (LC)'!I34/'Input-FX Rates'!$G$16,0)</f>
        <v>0</v>
      </c>
      <c r="J34" s="132">
        <f>+'2. Variable (LC)'!J34</f>
        <v>0</v>
      </c>
      <c r="K34" s="131">
        <f>IFERROR('2. Variable (LC)'!K34/'Input-FX Rates'!$G$16,0)</f>
        <v>0</v>
      </c>
      <c r="L34" s="206">
        <f>IFERROR(N34-'2. Variable (LC)'!M34/'Input-FX Rates'!$G$16,0)</f>
        <v>-715.81272703782815</v>
      </c>
      <c r="M34" s="205">
        <f>IFERROR('2. Variable (LC)'!L34/'Input-FX Rates'!$H$16,0)</f>
        <v>0</v>
      </c>
      <c r="N34" s="204">
        <f>IFERROR('2. Variable (LC)'!M34/'Input-FX Rates'!$H$16,0)</f>
        <v>21692.036826152656</v>
      </c>
      <c r="O34" s="203">
        <f t="shared" si="1"/>
        <v>0</v>
      </c>
      <c r="P34" s="202" t="str">
        <f>IF(ISBLANK('2. Variable (LC)'!O34),"",'2. Variable (LC)'!O34)</f>
        <v>ICO variable 12.1M, material cost 7.3M, line share LDC 168K, line share MDC 276K, supplier tooling 459K, scrap 447K, start up 707K, inbound cost 61K EUR</v>
      </c>
      <c r="Q34" s="99"/>
      <c r="R34" s="709" t="s">
        <v>1470</v>
      </c>
    </row>
    <row r="35" spans="1:18" ht="15.75" x14ac:dyDescent="0.2">
      <c r="A35" s="201" t="s">
        <v>177</v>
      </c>
      <c r="B35" s="120">
        <f>IFERROR('2. Variable (LC)'!B35/'Input-FX Rates'!$E$16,0)</f>
        <v>-335.9902271172279</v>
      </c>
      <c r="C35" s="116">
        <f>IFERROR('2. Variable (LC)'!C35/'Input-FX Rates'!$G$16,0)</f>
        <v>-1644.8773208403447</v>
      </c>
      <c r="D35" s="116">
        <f>IFERROR('2. Variable (LC)'!D35/'Input-FX Rates'!$G$16,0)</f>
        <v>0</v>
      </c>
      <c r="E35" s="118">
        <f>IFERROR('2. Variable (LC)'!E35/'Input-FX Rates'!$G$16,0)</f>
        <v>-1644.8773208403447</v>
      </c>
      <c r="F35" s="120">
        <f>IFERROR('2. Variable (LC)'!F35/'Input-FX Rates'!$G$16,0)</f>
        <v>-401.77600575014191</v>
      </c>
      <c r="G35" s="116">
        <f>IFERROR('2. Variable (LC)'!G35/'Input-FX Rates'!$G$16,0)</f>
        <v>22407.849553190485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-2017.2473395541524</v>
      </c>
      <c r="L35" s="192">
        <f>IFERROR(N35-'2. Variable (LC)'!M35/'Input-FX Rates'!$G$16,0)</f>
        <v>-585.99251330698098</v>
      </c>
      <c r="M35" s="117">
        <f>IFERROR('2. Variable (LC)'!L35/'Input-FX Rates'!$H$16,0)</f>
        <v>-4090.2541518518237</v>
      </c>
      <c r="N35" s="116">
        <f>IFERROR('2. Variable (LC)'!M35/'Input-FX Rates'!$H$16,0)</f>
        <v>17757.956373738863</v>
      </c>
      <c r="O35" s="200">
        <f t="shared" si="1"/>
        <v>-11.795915384538571</v>
      </c>
      <c r="P35" s="946" t="str">
        <f>IF(ISBLANK('2. Variable (LC)'!O35),"",'2. Variable (LC)'!O35)</f>
        <v/>
      </c>
      <c r="Q35" s="99"/>
      <c r="R35" s="99"/>
    </row>
    <row r="36" spans="1:18" ht="15.75" x14ac:dyDescent="0.25">
      <c r="A36" s="112"/>
      <c r="B36" s="199"/>
      <c r="C36" s="195"/>
      <c r="D36" s="195"/>
      <c r="E36" s="198"/>
      <c r="F36" s="199"/>
      <c r="G36" s="195"/>
      <c r="H36" s="195"/>
      <c r="I36" s="195"/>
      <c r="J36" s="195"/>
      <c r="K36" s="198"/>
      <c r="L36" s="197"/>
      <c r="M36" s="196"/>
      <c r="N36" s="195"/>
      <c r="O36" s="194"/>
      <c r="P36" s="961" t="str">
        <f>IF(ISBLANK('2. Variable (LC)'!O36),"",'2. Variable (LC)'!O36)</f>
        <v/>
      </c>
    </row>
    <row r="37" spans="1:18" ht="15.75" x14ac:dyDescent="0.2">
      <c r="A37" s="193" t="s">
        <v>176</v>
      </c>
      <c r="B37" s="120">
        <f>IFERROR('2. Variable (LC)'!B37/'Input-FX Rates'!$E$16,0)</f>
        <v>-32579.339488479294</v>
      </c>
      <c r="C37" s="116">
        <f>IFERROR('2. Variable (LC)'!C37/'Input-FX Rates'!$G$16,0)</f>
        <v>-80363.650683267493</v>
      </c>
      <c r="D37" s="116">
        <f>IFERROR('2. Variable (LC)'!D37/'Input-FX Rates'!$G$16,0)</f>
        <v>-83.887014605167053</v>
      </c>
      <c r="E37" s="118">
        <f>IFERROR('2. Variable (LC)'!E37/'Input-FX Rates'!$G$16,0)</f>
        <v>-80279.76366866233</v>
      </c>
      <c r="F37" s="120">
        <f>IFERROR('2. Variable (LC)'!F37/'Input-FX Rates'!$G$16,0)</f>
        <v>-32400.882297871653</v>
      </c>
      <c r="G37" s="116">
        <f>IFERROR('2. Variable (LC)'!G37/'Input-FX Rates'!$G$16,0)</f>
        <v>10436.910652527142</v>
      </c>
      <c r="H37" s="116">
        <f>IFERROR('2. Variable (LC)'!H37/'Input-FX Rates'!$G$16,0)</f>
        <v>1113.5041784173486</v>
      </c>
      <c r="I37" s="116">
        <f>IFERROR('2. Variable (LC)'!I37/'Input-FX Rates'!$G$16,0)</f>
        <v>73.23691279125741</v>
      </c>
      <c r="J37" s="116">
        <f>+'2. Variable (LC)'!J37</f>
        <v>0</v>
      </c>
      <c r="K37" s="118">
        <f>IFERROR('2. Variable (LC)'!K37/'Input-FX Rates'!$G$16,0)</f>
        <v>-11999.762993984794</v>
      </c>
      <c r="L37" s="192">
        <f>IFERROR(N37-'2. Variable (LC)'!M37/'Input-FX Rates'!$G$16,0)</f>
        <v>3611.5677009209612</v>
      </c>
      <c r="M37" s="120">
        <f>IFERROR('2. Variable (LC)'!L37/'Input-FX Rates'!$H$16,0)</f>
        <v>0</v>
      </c>
      <c r="N37" s="116">
        <f>IFERROR('2. Variable (LC)'!M37/'Input-FX Rates'!$H$16,0)</f>
        <v>-109445.18951586208</v>
      </c>
      <c r="O37" s="191">
        <f>IFERROR(N37/C37-1,0)</f>
        <v>0.36187428750856454</v>
      </c>
      <c r="P37" s="190" t="str">
        <f>IF(ISBLANK('2. Variable (LC)'!O37),"",'2. Variable (LC)'!O37)</f>
        <v/>
      </c>
      <c r="Q37" s="99"/>
      <c r="R37" s="99"/>
    </row>
    <row r="38" spans="1:18" ht="15.75" x14ac:dyDescent="0.2">
      <c r="A38" s="193" t="s">
        <v>175</v>
      </c>
      <c r="B38" s="120">
        <f>IFERROR('2. Variable (LC)'!B38/'Input-FX Rates'!$E$16,0)</f>
        <v>3409.0320461797573</v>
      </c>
      <c r="C38" s="116">
        <f>IFERROR('2. Variable (LC)'!C38/'Input-FX Rates'!$G$16,0)</f>
        <v>14508.054697560941</v>
      </c>
      <c r="D38" s="116">
        <f>IFERROR('2. Variable (LC)'!D38/'Input-FX Rates'!$G$16,0)</f>
        <v>688.55073107669477</v>
      </c>
      <c r="E38" s="118">
        <f>IFERROR('2. Variable (LC)'!E38/'Input-FX Rates'!$G$16,0)</f>
        <v>13819.503966484242</v>
      </c>
      <c r="F38" s="120">
        <f>IFERROR('2. Variable (LC)'!F38/'Input-FX Rates'!$G$16,0)</f>
        <v>5891.1863585965266</v>
      </c>
      <c r="G38" s="116">
        <f>IFERROR('2. Variable (LC)'!G38/'Input-FX Rates'!$G$16,0)</f>
        <v>10436.910652527142</v>
      </c>
      <c r="H38" s="116">
        <f>IFERROR('2. Variable (LC)'!H38/'Input-FX Rates'!$G$16,0)</f>
        <v>-1633.5500212467757</v>
      </c>
      <c r="I38" s="116">
        <f>IFERROR('2. Variable (LC)'!I38/'Input-FX Rates'!$G$16,0)</f>
        <v>73.23691279125741</v>
      </c>
      <c r="J38" s="116">
        <f>+'2. Variable (LC)'!J38</f>
        <v>0</v>
      </c>
      <c r="K38" s="118">
        <f>IFERROR('2. Variable (LC)'!K38/'Input-FX Rates'!$G$16,0)</f>
        <v>-7515.6594061323067</v>
      </c>
      <c r="L38" s="192">
        <f>IFERROR(N38-'2. Variable (LC)'!M38/'Input-FX Rates'!$G$16,0)</f>
        <v>-673.12750370972935</v>
      </c>
      <c r="M38" s="120">
        <f>IFERROR('2. Variable (LC)'!L38/'Input-FX Rates'!$H$16,0)</f>
        <v>0</v>
      </c>
      <c r="N38" s="116">
        <f>IFERROR('2. Variable (LC)'!M38/'Input-FX Rates'!$H$16,0)</f>
        <v>20398.500959310346</v>
      </c>
      <c r="O38" s="191">
        <f>IFERROR(N38/C38-1,0)</f>
        <v>0.40601213495146893</v>
      </c>
      <c r="P38" s="190" t="str">
        <f>IF(ISBLANK('2. Variable (LC)'!O38),"",'2. Variable (LC)'!O38)</f>
        <v/>
      </c>
      <c r="Q38" s="99"/>
      <c r="R38" s="99"/>
    </row>
    <row r="39" spans="1:18" x14ac:dyDescent="0.2">
      <c r="A39" s="952" t="s">
        <v>174</v>
      </c>
      <c r="B39" s="941">
        <f>IFERROR(B38/B$6,0)</f>
        <v>9.4725932316683067E-2</v>
      </c>
      <c r="C39" s="942">
        <f>IFERROR(C38/C$6,0)</f>
        <v>0.15292288295360099</v>
      </c>
      <c r="D39" s="942">
        <f>IFERROR(D38/D$6,0)</f>
        <v>0.89139964343519162</v>
      </c>
      <c r="E39" s="943">
        <f>IFERROR(E38/E$6,0)</f>
        <v>0.14686090884433819</v>
      </c>
      <c r="F39" s="941">
        <f>IFERROR(F38/F$6,0)</f>
        <v>0.1538487359209674</v>
      </c>
      <c r="G39" s="944"/>
      <c r="H39" s="944"/>
      <c r="I39" s="944"/>
      <c r="J39" s="942"/>
      <c r="K39" s="950"/>
      <c r="L39" s="945">
        <f>IFERROR(L38/L$6,0)</f>
        <v>0.15710044041924959</v>
      </c>
      <c r="M39" s="942">
        <f>IFERROR(M38/M$6,0)</f>
        <v>0</v>
      </c>
      <c r="N39" s="942">
        <f>IFERROR(N38/N$6,0)</f>
        <v>0.15710044041924986</v>
      </c>
      <c r="O39" s="943">
        <f>IFERROR(N39/C39-1,0)</f>
        <v>2.7318066367584937E-2</v>
      </c>
      <c r="P39" s="190" t="str">
        <f>IF(ISBLANK('2. Variable (LC)'!O39),"",'2. Variable (LC)'!O39)</f>
        <v/>
      </c>
      <c r="Q39" s="99"/>
      <c r="R39" s="99"/>
    </row>
  </sheetData>
  <dataConsolidate/>
  <mergeCells count="3">
    <mergeCell ref="F4:K4"/>
    <mergeCell ref="M4:O4"/>
    <mergeCell ref="B4:E4"/>
  </mergeCells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="85" zoomScaleNormal="85" workbookViewId="0">
      <pane xSplit="2" ySplit="5" topLeftCell="C50" activePane="bottomRight" state="frozen"/>
      <selection activeCell="F20" sqref="F20"/>
      <selection pane="topRight" activeCell="F20" sqref="F20"/>
      <selection pane="bottomLeft" activeCell="F20" sqref="F20"/>
      <selection pane="bottomRight" activeCell="F81" sqref="F81:Q81"/>
    </sheetView>
  </sheetViews>
  <sheetFormatPr defaultColWidth="8.7109375" defaultRowHeight="12.75" customHeight="1" outlineLevelRow="1" x14ac:dyDescent="0.2"/>
  <cols>
    <col min="1" max="1" width="41.28515625" style="5" customWidth="1"/>
    <col min="2" max="2" width="35.28515625" style="5" bestFit="1" customWidth="1"/>
    <col min="3" max="3" width="14.7109375" style="5" bestFit="1" customWidth="1"/>
    <col min="4" max="4" width="13.28515625" style="5" customWidth="1"/>
    <col min="5" max="5" width="15.28515625" style="5" bestFit="1" customWidth="1"/>
    <col min="6" max="7" width="14.28515625" style="5" bestFit="1" customWidth="1"/>
    <col min="8" max="9" width="13.85546875" style="5" bestFit="1" customWidth="1"/>
    <col min="10" max="14" width="14.28515625" style="5" bestFit="1" customWidth="1"/>
    <col min="15" max="15" width="13.42578125" style="5" bestFit="1" customWidth="1"/>
    <col min="16" max="16" width="13.85546875" style="5" bestFit="1" customWidth="1"/>
    <col min="17" max="17" width="14.28515625" style="5" bestFit="1" customWidth="1"/>
    <col min="18" max="18" width="15.28515625" style="5" bestFit="1" customWidth="1"/>
    <col min="19" max="19" width="9.7109375" style="5" bestFit="1" customWidth="1"/>
    <col min="20" max="20" width="14.85546875" style="5" customWidth="1"/>
    <col min="21" max="21" width="18.7109375" style="5" customWidth="1"/>
    <col min="22" max="22" width="10.5703125" style="5" customWidth="1"/>
    <col min="23" max="23" width="45.5703125" style="5" customWidth="1"/>
    <col min="24" max="24" width="8.7109375" style="5"/>
    <col min="25" max="25" width="66.7109375" style="5" customWidth="1"/>
    <col min="26" max="16384" width="8.7109375" style="5"/>
  </cols>
  <sheetData>
    <row r="1" spans="1:25" ht="20.100000000000001" customHeight="1" x14ac:dyDescent="0.25">
      <c r="A1" s="60" t="str">
        <f>+'0. Instructions'!A1</f>
        <v>Budget 2024</v>
      </c>
      <c r="D1" s="307"/>
      <c r="E1" s="62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57" t="str">
        <f>'Input-FX Rates'!$H$1</f>
        <v>Plant ICH Icheon (242)</v>
      </c>
      <c r="X1" s="306"/>
      <c r="Y1" s="56" t="s">
        <v>144</v>
      </c>
    </row>
    <row r="2" spans="1:25" ht="20.100000000000001" customHeight="1" thickBot="1" x14ac:dyDescent="0.3">
      <c r="A2" s="55" t="s">
        <v>289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7851 PL eMotor Controls</v>
      </c>
      <c r="X2" s="221"/>
      <c r="Y2" s="95" t="s">
        <v>142</v>
      </c>
    </row>
    <row r="3" spans="1:25" ht="13.5" customHeight="1" x14ac:dyDescent="0.2"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</row>
    <row r="4" spans="1:25" ht="23.25" customHeight="1" x14ac:dyDescent="0.2">
      <c r="A4" s="1033" t="str">
        <f>"in '000 "&amp;'Input-FX Rates'!$B$8</f>
        <v>in '000 KRW</v>
      </c>
      <c r="B4" s="1036"/>
      <c r="C4" s="1035">
        <v>2023</v>
      </c>
      <c r="D4" s="1033"/>
      <c r="E4" s="1036"/>
      <c r="F4" s="1035">
        <v>2024</v>
      </c>
      <c r="G4" s="1033"/>
      <c r="H4" s="1033"/>
      <c r="I4" s="1033"/>
      <c r="J4" s="1033"/>
      <c r="K4" s="1033"/>
      <c r="L4" s="1033"/>
      <c r="M4" s="1033"/>
      <c r="N4" s="1033"/>
      <c r="O4" s="1033"/>
      <c r="P4" s="1033"/>
      <c r="Q4" s="1034"/>
      <c r="R4" s="1037">
        <v>2024</v>
      </c>
      <c r="S4" s="1034"/>
      <c r="T4" s="1037" t="s">
        <v>1042</v>
      </c>
      <c r="U4" s="1033"/>
      <c r="V4" s="1033"/>
      <c r="W4" s="788"/>
      <c r="X4" s="221"/>
      <c r="Y4" s="221"/>
    </row>
    <row r="5" spans="1:25" ht="50.25" customHeight="1" x14ac:dyDescent="0.2">
      <c r="A5" s="1033"/>
      <c r="B5" s="1036"/>
      <c r="C5" s="656" t="s">
        <v>938</v>
      </c>
      <c r="D5" s="187" t="s">
        <v>288</v>
      </c>
      <c r="E5" s="188" t="s">
        <v>115</v>
      </c>
      <c r="F5" s="656" t="s">
        <v>287</v>
      </c>
      <c r="G5" s="187" t="s">
        <v>286</v>
      </c>
      <c r="H5" s="187" t="s">
        <v>285</v>
      </c>
      <c r="I5" s="187" t="s">
        <v>284</v>
      </c>
      <c r="J5" s="187" t="s">
        <v>283</v>
      </c>
      <c r="K5" s="187" t="s">
        <v>282</v>
      </c>
      <c r="L5" s="187" t="s">
        <v>281</v>
      </c>
      <c r="M5" s="187" t="s">
        <v>280</v>
      </c>
      <c r="N5" s="187" t="s">
        <v>279</v>
      </c>
      <c r="O5" s="187" t="s">
        <v>278</v>
      </c>
      <c r="P5" s="187" t="s">
        <v>277</v>
      </c>
      <c r="Q5" s="655" t="s">
        <v>276</v>
      </c>
      <c r="R5" s="187" t="s">
        <v>114</v>
      </c>
      <c r="S5" s="655" t="s">
        <v>210</v>
      </c>
      <c r="T5" s="304" t="s">
        <v>275</v>
      </c>
      <c r="U5" s="187" t="s">
        <v>274</v>
      </c>
      <c r="V5" s="187" t="s">
        <v>273</v>
      </c>
      <c r="W5" s="304" t="s">
        <v>154</v>
      </c>
      <c r="X5" s="221"/>
      <c r="Y5" s="221"/>
    </row>
    <row r="6" spans="1:25" ht="17.649999999999999" customHeight="1" outlineLevel="1" x14ac:dyDescent="0.2">
      <c r="A6" s="214" t="s">
        <v>272</v>
      </c>
      <c r="B6" s="215"/>
      <c r="C6" s="266"/>
      <c r="D6" s="78"/>
      <c r="E6" s="80"/>
      <c r="F6" s="266"/>
      <c r="G6" s="78"/>
      <c r="H6" s="78"/>
      <c r="I6" s="78"/>
      <c r="J6" s="78"/>
      <c r="K6" s="78"/>
      <c r="L6" s="78"/>
      <c r="M6" s="78"/>
      <c r="N6" s="78"/>
      <c r="O6" s="78"/>
      <c r="P6" s="78"/>
      <c r="Q6" s="265"/>
      <c r="R6" s="78"/>
      <c r="S6" s="265"/>
      <c r="T6" s="287"/>
      <c r="U6" s="78"/>
      <c r="V6" s="78"/>
      <c r="W6" s="789"/>
      <c r="X6" s="221"/>
      <c r="Y6" s="267"/>
    </row>
    <row r="7" spans="1:25" ht="17.649999999999999" customHeight="1" outlineLevel="1" x14ac:dyDescent="0.2">
      <c r="A7" s="283" t="s">
        <v>255</v>
      </c>
      <c r="B7" s="282" t="s">
        <v>1535</v>
      </c>
      <c r="C7" s="678">
        <v>-85418.129773721434</v>
      </c>
      <c r="D7" s="286">
        <f>E7</f>
        <v>-168884.85678174044</v>
      </c>
      <c r="E7" s="285">
        <v>-168884.85678174044</v>
      </c>
      <c r="F7" s="280">
        <v>-25850.039703982413</v>
      </c>
      <c r="G7" s="279">
        <v>-22979.172875211963</v>
      </c>
      <c r="H7" s="279">
        <v>-24532.752464645459</v>
      </c>
      <c r="I7" s="279">
        <v>-25490.467221818464</v>
      </c>
      <c r="J7" s="279">
        <v>-25851.383622412595</v>
      </c>
      <c r="K7" s="279">
        <v>-24226.526607405751</v>
      </c>
      <c r="L7" s="279">
        <v>-27476.30824547158</v>
      </c>
      <c r="M7" s="279">
        <v>-21789.286285179976</v>
      </c>
      <c r="N7" s="279">
        <v>-23440.898301902438</v>
      </c>
      <c r="O7" s="279">
        <v>-25906.188223989786</v>
      </c>
      <c r="P7" s="279">
        <v>-25906.188223989786</v>
      </c>
      <c r="Q7" s="278">
        <v>-25906.188223989786</v>
      </c>
      <c r="R7" s="277">
        <f>SUM(F7:Q7)</f>
        <v>-299355.40000000002</v>
      </c>
      <c r="S7" s="276"/>
      <c r="T7" s="710">
        <f t="shared" ref="T7:T42" si="0">R7-E7</f>
        <v>-130470.54321825958</v>
      </c>
      <c r="U7" s="303">
        <f>R7-E9*R8</f>
        <v>-99081.346894379327</v>
      </c>
      <c r="V7" s="787">
        <f>IFERROR(R8/E8*E7-E7,0)</f>
        <v>-31389.196323880256</v>
      </c>
      <c r="W7" s="790"/>
      <c r="X7" s="221"/>
      <c r="Y7" s="267" t="s">
        <v>1414</v>
      </c>
    </row>
    <row r="8" spans="1:25" ht="17.649999999999999" customHeight="1" outlineLevel="1" x14ac:dyDescent="0.2">
      <c r="A8" s="283" t="s">
        <v>252</v>
      </c>
      <c r="B8" s="282" t="s">
        <v>1535</v>
      </c>
      <c r="C8" s="281">
        <v>29631016.017999999</v>
      </c>
      <c r="D8" s="286">
        <f>E8</f>
        <v>56097082.084999993</v>
      </c>
      <c r="E8" s="285">
        <v>56097082.084999993</v>
      </c>
      <c r="F8" s="280">
        <v>5744448.8508292176</v>
      </c>
      <c r="G8" s="279">
        <v>5106478.9349503852</v>
      </c>
      <c r="H8" s="279">
        <v>5451718.5782696987</v>
      </c>
      <c r="I8" s="279">
        <v>5664543.9162291251</v>
      </c>
      <c r="J8" s="279">
        <v>5744747.4991396368</v>
      </c>
      <c r="K8" s="279">
        <v>5383668.4400935536</v>
      </c>
      <c r="L8" s="279">
        <v>6105841.5821857555</v>
      </c>
      <c r="M8" s="279">
        <v>4842059.8960243706</v>
      </c>
      <c r="N8" s="279">
        <v>5209084.506435914</v>
      </c>
      <c r="O8" s="279">
        <v>5756926.2901262417</v>
      </c>
      <c r="P8" s="279">
        <v>5756926.2901262417</v>
      </c>
      <c r="Q8" s="278">
        <v>5756926.2901262417</v>
      </c>
      <c r="R8" s="277">
        <f>SUM(F8:Q8)</f>
        <v>66523371.074536383</v>
      </c>
      <c r="S8" s="276"/>
      <c r="T8" s="710">
        <f t="shared" si="0"/>
        <v>10426288.98953639</v>
      </c>
      <c r="U8" s="300">
        <f>IFERROR(-U7/(E7+V7),0)</f>
        <v>-0.49472882461776374</v>
      </c>
      <c r="V8" s="787"/>
      <c r="W8" s="790"/>
      <c r="X8" s="221"/>
      <c r="Y8" s="267" t="s">
        <v>253</v>
      </c>
    </row>
    <row r="9" spans="1:25" ht="17.649999999999999" customHeight="1" outlineLevel="1" x14ac:dyDescent="0.2">
      <c r="A9" s="275" t="s">
        <v>251</v>
      </c>
      <c r="B9" s="274" t="str">
        <f>+B7</f>
        <v>HV Board (eICB/eIGB 100/101/102/103)</v>
      </c>
      <c r="C9" s="272">
        <f t="shared" ref="C9" si="1">IFERROR(C7/C8,0)</f>
        <v>-2.8827269953157308E-3</v>
      </c>
      <c r="D9" s="270">
        <f t="shared" ref="D9:S9" si="2">IFERROR(D7/D8,0)</f>
        <v>-3.0105818432024862E-3</v>
      </c>
      <c r="E9" s="273">
        <f t="shared" si="2"/>
        <v>-3.0105818432024862E-3</v>
      </c>
      <c r="F9" s="272">
        <f t="shared" si="2"/>
        <v>-4.5000034599056325E-3</v>
      </c>
      <c r="G9" s="270">
        <f t="shared" si="2"/>
        <v>-4.5000034599056325E-3</v>
      </c>
      <c r="H9" s="270">
        <f t="shared" si="2"/>
        <v>-4.5000034599056325E-3</v>
      </c>
      <c r="I9" s="270">
        <f t="shared" si="2"/>
        <v>-4.5000034599056325E-3</v>
      </c>
      <c r="J9" s="270">
        <f t="shared" si="2"/>
        <v>-4.5000034599056325E-3</v>
      </c>
      <c r="K9" s="270">
        <f t="shared" si="2"/>
        <v>-4.5000034599056325E-3</v>
      </c>
      <c r="L9" s="270">
        <f t="shared" si="2"/>
        <v>-4.5000034599056325E-3</v>
      </c>
      <c r="M9" s="270">
        <f t="shared" si="2"/>
        <v>-4.5000034599056325E-3</v>
      </c>
      <c r="N9" s="270">
        <f t="shared" si="2"/>
        <v>-4.5000034599056325E-3</v>
      </c>
      <c r="O9" s="270">
        <f t="shared" si="2"/>
        <v>-4.5000034599056325E-3</v>
      </c>
      <c r="P9" s="270">
        <f t="shared" si="2"/>
        <v>-4.5000034599056325E-3</v>
      </c>
      <c r="Q9" s="271">
        <f t="shared" si="2"/>
        <v>-4.5000034599056325E-3</v>
      </c>
      <c r="R9" s="270">
        <f t="shared" si="2"/>
        <v>-4.5000034599056325E-3</v>
      </c>
      <c r="S9" s="270">
        <f t="shared" si="2"/>
        <v>0</v>
      </c>
      <c r="T9" s="269">
        <f>R9-E9</f>
        <v>-1.4894216167031463E-3</v>
      </c>
      <c r="U9" s="270"/>
      <c r="V9" s="270"/>
      <c r="W9" s="269"/>
      <c r="X9" s="221"/>
      <c r="Y9" s="267"/>
    </row>
    <row r="10" spans="1:25" ht="17.649999999999999" customHeight="1" outlineLevel="1" x14ac:dyDescent="0.2">
      <c r="A10" s="283" t="s">
        <v>249</v>
      </c>
      <c r="B10" s="282" t="s">
        <v>248</v>
      </c>
      <c r="C10" s="678"/>
      <c r="D10" s="286"/>
      <c r="E10" s="285"/>
      <c r="F10" s="280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8"/>
      <c r="R10" s="277">
        <f>SUM(F10:Q10)</f>
        <v>0</v>
      </c>
      <c r="S10" s="276"/>
      <c r="T10" s="710">
        <f t="shared" si="0"/>
        <v>0</v>
      </c>
      <c r="U10" s="303">
        <f>R10-E12*R11</f>
        <v>0</v>
      </c>
      <c r="V10" s="787">
        <f>IFERROR(R11/E11*E10-E10,0)</f>
        <v>0</v>
      </c>
      <c r="W10" s="790"/>
      <c r="X10" s="221"/>
      <c r="Y10" s="267"/>
    </row>
    <row r="11" spans="1:25" ht="17.649999999999999" customHeight="1" outlineLevel="1" x14ac:dyDescent="0.2">
      <c r="A11" s="283" t="s">
        <v>246</v>
      </c>
      <c r="B11" s="282" t="str">
        <f>+B10</f>
        <v>Area 2</v>
      </c>
      <c r="C11" s="281"/>
      <c r="D11" s="286"/>
      <c r="E11" s="285"/>
      <c r="F11" s="280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8"/>
      <c r="R11" s="277">
        <f>SUM(F11:Q11)</f>
        <v>0</v>
      </c>
      <c r="S11" s="276"/>
      <c r="T11" s="710">
        <f t="shared" si="0"/>
        <v>0</v>
      </c>
      <c r="U11" s="300">
        <f>-IFERROR(U10/(E10+V10),0)</f>
        <v>0</v>
      </c>
      <c r="V11" s="787"/>
      <c r="W11" s="790"/>
      <c r="X11" s="221"/>
      <c r="Y11" s="267"/>
    </row>
    <row r="12" spans="1:25" ht="17.649999999999999" customHeight="1" outlineLevel="1" x14ac:dyDescent="0.2">
      <c r="A12" s="275" t="s">
        <v>271</v>
      </c>
      <c r="B12" s="274" t="str">
        <f>+B10</f>
        <v>Area 2</v>
      </c>
      <c r="C12" s="272">
        <f t="shared" ref="C12" si="3">IFERROR(C10/C11,0)</f>
        <v>0</v>
      </c>
      <c r="D12" s="270">
        <f t="shared" ref="D12:S12" si="4">IFERROR(D10/D11,0)</f>
        <v>0</v>
      </c>
      <c r="E12" s="273">
        <f t="shared" si="4"/>
        <v>0</v>
      </c>
      <c r="F12" s="272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1">
        <f t="shared" si="4"/>
        <v>0</v>
      </c>
      <c r="R12" s="270">
        <f t="shared" si="4"/>
        <v>0</v>
      </c>
      <c r="S12" s="270">
        <f t="shared" si="4"/>
        <v>0</v>
      </c>
      <c r="T12" s="269">
        <f t="shared" si="0"/>
        <v>0</v>
      </c>
      <c r="U12" s="270"/>
      <c r="V12" s="270"/>
      <c r="W12" s="269"/>
      <c r="X12" s="221"/>
      <c r="Y12" s="267"/>
    </row>
    <row r="13" spans="1:25" ht="17.649999999999999" customHeight="1" outlineLevel="1" x14ac:dyDescent="0.2">
      <c r="A13" s="283" t="s">
        <v>243</v>
      </c>
      <c r="B13" s="282" t="s">
        <v>242</v>
      </c>
      <c r="C13" s="678"/>
      <c r="D13" s="286"/>
      <c r="E13" s="285"/>
      <c r="F13" s="280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8"/>
      <c r="R13" s="277">
        <f>SUM(F13:Q13)</f>
        <v>0</v>
      </c>
      <c r="S13" s="276"/>
      <c r="T13" s="710">
        <f t="shared" si="0"/>
        <v>0</v>
      </c>
      <c r="U13" s="303">
        <f>R13-E15*R14</f>
        <v>0</v>
      </c>
      <c r="V13" s="787">
        <f>IFERROR(R14/E14*E13-E13,0)</f>
        <v>0</v>
      </c>
      <c r="W13" s="790"/>
      <c r="X13" s="221"/>
      <c r="Y13" s="267"/>
    </row>
    <row r="14" spans="1:25" ht="17.649999999999999" customHeight="1" outlineLevel="1" x14ac:dyDescent="0.2">
      <c r="A14" s="283" t="s">
        <v>240</v>
      </c>
      <c r="B14" s="282" t="str">
        <f>+B13</f>
        <v>Area 3</v>
      </c>
      <c r="C14" s="281"/>
      <c r="D14" s="286"/>
      <c r="E14" s="285"/>
      <c r="F14" s="280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8"/>
      <c r="R14" s="277">
        <f>SUM(F14:Q14)</f>
        <v>0</v>
      </c>
      <c r="S14" s="276"/>
      <c r="T14" s="710">
        <f t="shared" si="0"/>
        <v>0</v>
      </c>
      <c r="U14" s="300">
        <f>IFERROR(-U13/(E13+V13),0)</f>
        <v>0</v>
      </c>
      <c r="V14" s="787"/>
      <c r="W14" s="790"/>
      <c r="X14" s="221"/>
      <c r="Y14" s="267"/>
    </row>
    <row r="15" spans="1:25" ht="17.649999999999999" customHeight="1" outlineLevel="1" x14ac:dyDescent="0.2">
      <c r="A15" s="275" t="s">
        <v>270</v>
      </c>
      <c r="B15" s="274" t="str">
        <f>+B13</f>
        <v>Area 3</v>
      </c>
      <c r="C15" s="272">
        <f t="shared" ref="C15" si="5">IFERROR(C13/C14,0)</f>
        <v>0</v>
      </c>
      <c r="D15" s="270">
        <f t="shared" ref="D15:S15" si="6">IFERROR(D13/D14,0)</f>
        <v>0</v>
      </c>
      <c r="E15" s="273">
        <f t="shared" si="6"/>
        <v>0</v>
      </c>
      <c r="F15" s="272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1">
        <f t="shared" si="6"/>
        <v>0</v>
      </c>
      <c r="R15" s="270">
        <f t="shared" si="6"/>
        <v>0</v>
      </c>
      <c r="S15" s="270">
        <f t="shared" si="6"/>
        <v>0</v>
      </c>
      <c r="T15" s="269">
        <f t="shared" si="0"/>
        <v>0</v>
      </c>
      <c r="U15" s="270"/>
      <c r="V15" s="270"/>
      <c r="W15" s="269"/>
      <c r="X15" s="221"/>
      <c r="Y15" s="267"/>
    </row>
    <row r="16" spans="1:25" ht="17.649999999999999" customHeight="1" outlineLevel="1" x14ac:dyDescent="0.2">
      <c r="A16" s="283" t="s">
        <v>237</v>
      </c>
      <c r="B16" s="282" t="s">
        <v>269</v>
      </c>
      <c r="C16" s="678"/>
      <c r="D16" s="286"/>
      <c r="E16" s="285"/>
      <c r="F16" s="280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8"/>
      <c r="R16" s="277">
        <f>SUM(F16:Q16)</f>
        <v>0</v>
      </c>
      <c r="S16" s="276"/>
      <c r="T16" s="710">
        <f t="shared" si="0"/>
        <v>0</v>
      </c>
      <c r="U16" s="303">
        <f>R16-E18*R17</f>
        <v>0</v>
      </c>
      <c r="V16" s="787">
        <f>IFERROR(R17/E17*E16-E16,0)</f>
        <v>0</v>
      </c>
      <c r="W16" s="790"/>
      <c r="X16" s="221"/>
      <c r="Y16" s="267"/>
    </row>
    <row r="17" spans="1:25" ht="17.649999999999999" customHeight="1" outlineLevel="1" x14ac:dyDescent="0.2">
      <c r="A17" s="283" t="s">
        <v>235</v>
      </c>
      <c r="B17" s="282" t="str">
        <f>+B16</f>
        <v>Area 4</v>
      </c>
      <c r="C17" s="281"/>
      <c r="D17" s="286"/>
      <c r="E17" s="285"/>
      <c r="F17" s="280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8"/>
      <c r="R17" s="277">
        <f>SUM(F17:Q17)</f>
        <v>0</v>
      </c>
      <c r="S17" s="276"/>
      <c r="T17" s="710">
        <f t="shared" si="0"/>
        <v>0</v>
      </c>
      <c r="U17" s="300">
        <f>IFERROR(-U16/(E16+V16),0)</f>
        <v>0</v>
      </c>
      <c r="V17" s="787"/>
      <c r="W17" s="790"/>
      <c r="X17" s="221"/>
      <c r="Y17" s="267"/>
    </row>
    <row r="18" spans="1:25" ht="17.649999999999999" customHeight="1" outlineLevel="1" x14ac:dyDescent="0.2">
      <c r="A18" s="275" t="s">
        <v>268</v>
      </c>
      <c r="B18" s="274" t="str">
        <f>+B16</f>
        <v>Area 4</v>
      </c>
      <c r="C18" s="272">
        <f t="shared" ref="C18" si="7">IFERROR(C16/C17,0)</f>
        <v>0</v>
      </c>
      <c r="D18" s="270">
        <f t="shared" ref="D18:S18" si="8">IFERROR(D16/D17,0)</f>
        <v>0</v>
      </c>
      <c r="E18" s="273">
        <f t="shared" si="8"/>
        <v>0</v>
      </c>
      <c r="F18" s="272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1">
        <f t="shared" si="8"/>
        <v>0</v>
      </c>
      <c r="R18" s="270">
        <f t="shared" si="8"/>
        <v>0</v>
      </c>
      <c r="S18" s="270">
        <f t="shared" si="8"/>
        <v>0</v>
      </c>
      <c r="T18" s="269">
        <f t="shared" si="0"/>
        <v>0</v>
      </c>
      <c r="U18" s="270"/>
      <c r="V18" s="270"/>
      <c r="W18" s="269"/>
      <c r="X18" s="221"/>
      <c r="Y18" s="267"/>
    </row>
    <row r="19" spans="1:25" ht="17.649999999999999" customHeight="1" outlineLevel="1" x14ac:dyDescent="0.2">
      <c r="A19" s="283" t="s">
        <v>267</v>
      </c>
      <c r="B19" s="282" t="s">
        <v>266</v>
      </c>
      <c r="C19" s="678"/>
      <c r="D19" s="286"/>
      <c r="E19" s="285"/>
      <c r="F19" s="281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1"/>
      <c r="R19" s="277">
        <f>SUM(F19:Q19)</f>
        <v>0</v>
      </c>
      <c r="S19" s="276"/>
      <c r="T19" s="710">
        <f t="shared" si="0"/>
        <v>0</v>
      </c>
      <c r="U19" s="303">
        <f>R19-E21*R20</f>
        <v>0</v>
      </c>
      <c r="V19" s="787">
        <f>IFERROR(R20/E20*E19-E19,0)</f>
        <v>0</v>
      </c>
      <c r="W19" s="790"/>
      <c r="X19" s="221"/>
      <c r="Y19" s="267"/>
    </row>
    <row r="20" spans="1:25" ht="17.649999999999999" customHeight="1" outlineLevel="1" x14ac:dyDescent="0.2">
      <c r="A20" s="283" t="s">
        <v>265</v>
      </c>
      <c r="B20" s="282" t="str">
        <f>+B19</f>
        <v>Area 5</v>
      </c>
      <c r="C20" s="281"/>
      <c r="D20" s="286"/>
      <c r="E20" s="285"/>
      <c r="F20" s="281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1"/>
      <c r="R20" s="277">
        <f>SUM(F20:Q20)</f>
        <v>0</v>
      </c>
      <c r="S20" s="276"/>
      <c r="T20" s="710">
        <f t="shared" si="0"/>
        <v>0</v>
      </c>
      <c r="U20" s="300">
        <f>IFERROR(-U19/(E19+V19),0)</f>
        <v>0</v>
      </c>
      <c r="V20" s="787"/>
      <c r="W20" s="790"/>
      <c r="X20" s="221"/>
      <c r="Y20" s="267"/>
    </row>
    <row r="21" spans="1:25" ht="17.649999999999999" customHeight="1" outlineLevel="1" x14ac:dyDescent="0.2">
      <c r="A21" s="275" t="s">
        <v>264</v>
      </c>
      <c r="B21" s="274" t="str">
        <f>+B19</f>
        <v>Area 5</v>
      </c>
      <c r="C21" s="272">
        <f t="shared" ref="C21" si="9">IFERROR(C19/C20,0)</f>
        <v>0</v>
      </c>
      <c r="D21" s="270">
        <f t="shared" ref="D21:S21" si="10">IFERROR(D19/D20,0)</f>
        <v>0</v>
      </c>
      <c r="E21" s="273">
        <f t="shared" si="10"/>
        <v>0</v>
      </c>
      <c r="F21" s="272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1">
        <f t="shared" si="10"/>
        <v>0</v>
      </c>
      <c r="R21" s="270">
        <f t="shared" si="10"/>
        <v>0</v>
      </c>
      <c r="S21" s="270">
        <f t="shared" si="10"/>
        <v>0</v>
      </c>
      <c r="T21" s="269">
        <f t="shared" si="0"/>
        <v>0</v>
      </c>
      <c r="U21" s="270"/>
      <c r="V21" s="270"/>
      <c r="W21" s="269"/>
      <c r="X21" s="221"/>
      <c r="Y21" s="267"/>
    </row>
    <row r="22" spans="1:25" ht="17.649999999999999" customHeight="1" outlineLevel="1" x14ac:dyDescent="0.2">
      <c r="A22" s="283" t="s">
        <v>1013</v>
      </c>
      <c r="B22" s="283" t="s">
        <v>1028</v>
      </c>
      <c r="C22" s="678"/>
      <c r="D22" s="286"/>
      <c r="E22" s="285"/>
      <c r="F22" s="281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1"/>
      <c r="R22" s="277">
        <f>SUM(F22:Q22)</f>
        <v>0</v>
      </c>
      <c r="S22" s="276"/>
      <c r="T22" s="710">
        <f t="shared" si="0"/>
        <v>0</v>
      </c>
      <c r="U22" s="303">
        <f>R22-E24*R23</f>
        <v>0</v>
      </c>
      <c r="V22" s="787">
        <f>IFERROR(R23/E23*E22-E22,0)</f>
        <v>0</v>
      </c>
      <c r="W22" s="790"/>
      <c r="X22" s="221"/>
      <c r="Y22" s="267"/>
    </row>
    <row r="23" spans="1:25" ht="17.649999999999999" customHeight="1" outlineLevel="1" x14ac:dyDescent="0.2">
      <c r="A23" s="283" t="s">
        <v>1014</v>
      </c>
      <c r="B23" s="283" t="str">
        <f>B22</f>
        <v>Area 6</v>
      </c>
      <c r="C23" s="281"/>
      <c r="D23" s="286"/>
      <c r="E23" s="285"/>
      <c r="F23" s="281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1"/>
      <c r="R23" s="277">
        <f>SUM(F23:Q23)</f>
        <v>0</v>
      </c>
      <c r="S23" s="276"/>
      <c r="T23" s="710">
        <f t="shared" si="0"/>
        <v>0</v>
      </c>
      <c r="U23" s="300">
        <f>IFERROR(-U22/(E22+V22),0)</f>
        <v>0</v>
      </c>
      <c r="V23" s="787"/>
      <c r="W23" s="790"/>
      <c r="X23" s="221"/>
      <c r="Y23" s="267"/>
    </row>
    <row r="24" spans="1:25" ht="17.649999999999999" customHeight="1" outlineLevel="1" x14ac:dyDescent="0.2">
      <c r="A24" s="275" t="s">
        <v>1015</v>
      </c>
      <c r="B24" s="274" t="str">
        <f>B22</f>
        <v>Area 6</v>
      </c>
      <c r="C24" s="272">
        <f t="shared" ref="C24" si="11">IFERROR(C22/C23,0)</f>
        <v>0</v>
      </c>
      <c r="D24" s="270">
        <f t="shared" ref="D24:S24" si="12">IFERROR(D22/D23,0)</f>
        <v>0</v>
      </c>
      <c r="E24" s="273">
        <f t="shared" si="12"/>
        <v>0</v>
      </c>
      <c r="F24" s="272">
        <f t="shared" si="12"/>
        <v>0</v>
      </c>
      <c r="G24" s="270">
        <f t="shared" si="12"/>
        <v>0</v>
      </c>
      <c r="H24" s="270">
        <f t="shared" si="12"/>
        <v>0</v>
      </c>
      <c r="I24" s="270">
        <f t="shared" si="12"/>
        <v>0</v>
      </c>
      <c r="J24" s="270">
        <f t="shared" si="12"/>
        <v>0</v>
      </c>
      <c r="K24" s="270">
        <f t="shared" si="12"/>
        <v>0</v>
      </c>
      <c r="L24" s="270">
        <f t="shared" si="12"/>
        <v>0</v>
      </c>
      <c r="M24" s="270">
        <f t="shared" si="12"/>
        <v>0</v>
      </c>
      <c r="N24" s="270">
        <f t="shared" si="12"/>
        <v>0</v>
      </c>
      <c r="O24" s="270">
        <f t="shared" si="12"/>
        <v>0</v>
      </c>
      <c r="P24" s="270">
        <f t="shared" si="12"/>
        <v>0</v>
      </c>
      <c r="Q24" s="271">
        <f t="shared" si="12"/>
        <v>0</v>
      </c>
      <c r="R24" s="270">
        <f t="shared" si="12"/>
        <v>0</v>
      </c>
      <c r="S24" s="270">
        <f t="shared" si="12"/>
        <v>0</v>
      </c>
      <c r="T24" s="269">
        <f t="shared" si="0"/>
        <v>0</v>
      </c>
      <c r="U24" s="270"/>
      <c r="V24" s="270"/>
      <c r="W24" s="269"/>
      <c r="X24" s="221"/>
      <c r="Y24" s="267"/>
    </row>
    <row r="25" spans="1:25" ht="17.649999999999999" customHeight="1" outlineLevel="1" x14ac:dyDescent="0.2">
      <c r="A25" s="283" t="s">
        <v>1016</v>
      </c>
      <c r="B25" s="282" t="s">
        <v>1029</v>
      </c>
      <c r="C25" s="678"/>
      <c r="D25" s="286"/>
      <c r="E25" s="285"/>
      <c r="F25" s="280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8"/>
      <c r="R25" s="277">
        <f>SUM(F25:Q25)</f>
        <v>0</v>
      </c>
      <c r="S25" s="276"/>
      <c r="T25" s="710">
        <f t="shared" si="0"/>
        <v>0</v>
      </c>
      <c r="U25" s="303">
        <f>R25-E27*R26</f>
        <v>0</v>
      </c>
      <c r="V25" s="787">
        <f>IFERROR(R26/E26*E25-E25,0)</f>
        <v>0</v>
      </c>
      <c r="W25" s="790"/>
      <c r="X25" s="221"/>
      <c r="Y25" s="267"/>
    </row>
    <row r="26" spans="1:25" ht="17.649999999999999" customHeight="1" outlineLevel="1" x14ac:dyDescent="0.2">
      <c r="A26" s="283" t="s">
        <v>1017</v>
      </c>
      <c r="B26" s="282" t="str">
        <f>B25</f>
        <v>Area 7</v>
      </c>
      <c r="C26" s="281"/>
      <c r="D26" s="286"/>
      <c r="E26" s="285"/>
      <c r="F26" s="280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8"/>
      <c r="R26" s="277">
        <f>SUM(F26:Q26)</f>
        <v>0</v>
      </c>
      <c r="S26" s="276"/>
      <c r="T26" s="710">
        <f t="shared" si="0"/>
        <v>0</v>
      </c>
      <c r="U26" s="300">
        <f>IFERROR(-U25/(E25+V25),0)</f>
        <v>0</v>
      </c>
      <c r="V26" s="787"/>
      <c r="W26" s="790"/>
      <c r="X26" s="221"/>
      <c r="Y26" s="267"/>
    </row>
    <row r="27" spans="1:25" ht="17.649999999999999" customHeight="1" outlineLevel="1" x14ac:dyDescent="0.2">
      <c r="A27" s="275" t="s">
        <v>1022</v>
      </c>
      <c r="B27" s="274" t="str">
        <f>B25</f>
        <v>Area 7</v>
      </c>
      <c r="C27" s="272">
        <f t="shared" ref="C27:S27" si="13">IFERROR(C25/C26,0)</f>
        <v>0</v>
      </c>
      <c r="D27" s="270">
        <f t="shared" si="13"/>
        <v>0</v>
      </c>
      <c r="E27" s="273">
        <f t="shared" si="13"/>
        <v>0</v>
      </c>
      <c r="F27" s="272">
        <f t="shared" si="13"/>
        <v>0</v>
      </c>
      <c r="G27" s="270">
        <f t="shared" si="13"/>
        <v>0</v>
      </c>
      <c r="H27" s="270">
        <f t="shared" si="13"/>
        <v>0</v>
      </c>
      <c r="I27" s="270">
        <f t="shared" si="13"/>
        <v>0</v>
      </c>
      <c r="J27" s="270">
        <f t="shared" si="13"/>
        <v>0</v>
      </c>
      <c r="K27" s="270">
        <f t="shared" si="13"/>
        <v>0</v>
      </c>
      <c r="L27" s="270">
        <f t="shared" si="13"/>
        <v>0</v>
      </c>
      <c r="M27" s="270">
        <f t="shared" si="13"/>
        <v>0</v>
      </c>
      <c r="N27" s="270">
        <f t="shared" si="13"/>
        <v>0</v>
      </c>
      <c r="O27" s="270">
        <f t="shared" si="13"/>
        <v>0</v>
      </c>
      <c r="P27" s="270">
        <f t="shared" si="13"/>
        <v>0</v>
      </c>
      <c r="Q27" s="271">
        <f t="shared" si="13"/>
        <v>0</v>
      </c>
      <c r="R27" s="270">
        <f t="shared" si="13"/>
        <v>0</v>
      </c>
      <c r="S27" s="270">
        <f t="shared" si="13"/>
        <v>0</v>
      </c>
      <c r="T27" s="269">
        <f>R27-E27</f>
        <v>0</v>
      </c>
      <c r="U27" s="270"/>
      <c r="V27" s="270"/>
      <c r="W27" s="269"/>
      <c r="X27" s="221"/>
      <c r="Y27" s="267"/>
    </row>
    <row r="28" spans="1:25" ht="17.649999999999999" customHeight="1" outlineLevel="1" x14ac:dyDescent="0.2">
      <c r="A28" s="283" t="s">
        <v>1018</v>
      </c>
      <c r="B28" s="282" t="s">
        <v>1030</v>
      </c>
      <c r="C28" s="678"/>
      <c r="D28" s="286"/>
      <c r="E28" s="285"/>
      <c r="F28" s="280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8"/>
      <c r="R28" s="277">
        <f>SUM(F28:Q28)</f>
        <v>0</v>
      </c>
      <c r="S28" s="276"/>
      <c r="T28" s="710">
        <f t="shared" si="0"/>
        <v>0</v>
      </c>
      <c r="U28" s="303">
        <f>R28-E30*R29</f>
        <v>0</v>
      </c>
      <c r="V28" s="787">
        <f>IFERROR(R29/E29*E28-E28,0)</f>
        <v>0</v>
      </c>
      <c r="W28" s="790"/>
      <c r="X28" s="221"/>
      <c r="Y28" s="267"/>
    </row>
    <row r="29" spans="1:25" ht="17.649999999999999" customHeight="1" outlineLevel="1" x14ac:dyDescent="0.2">
      <c r="A29" s="283" t="s">
        <v>1019</v>
      </c>
      <c r="B29" s="282" t="str">
        <f>B28</f>
        <v>Area 8</v>
      </c>
      <c r="C29" s="281"/>
      <c r="D29" s="286"/>
      <c r="E29" s="285"/>
      <c r="F29" s="280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8"/>
      <c r="R29" s="277">
        <f>SUM(F29:Q29)</f>
        <v>0</v>
      </c>
      <c r="S29" s="276"/>
      <c r="T29" s="710">
        <f t="shared" si="0"/>
        <v>0</v>
      </c>
      <c r="U29" s="300">
        <f>IFERROR(-U28/(E28+V28),0)</f>
        <v>0</v>
      </c>
      <c r="V29" s="787"/>
      <c r="W29" s="790"/>
      <c r="X29" s="221"/>
      <c r="Y29" s="267"/>
    </row>
    <row r="30" spans="1:25" ht="17.649999999999999" customHeight="1" outlineLevel="1" x14ac:dyDescent="0.2">
      <c r="A30" s="275" t="s">
        <v>1023</v>
      </c>
      <c r="B30" s="274" t="str">
        <f>B28</f>
        <v>Area 8</v>
      </c>
      <c r="C30" s="272">
        <f t="shared" ref="C30:S30" si="14">IFERROR(C28/C29,0)</f>
        <v>0</v>
      </c>
      <c r="D30" s="270">
        <f t="shared" si="14"/>
        <v>0</v>
      </c>
      <c r="E30" s="273">
        <f t="shared" si="14"/>
        <v>0</v>
      </c>
      <c r="F30" s="272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1">
        <f t="shared" si="14"/>
        <v>0</v>
      </c>
      <c r="R30" s="270">
        <f t="shared" si="14"/>
        <v>0</v>
      </c>
      <c r="S30" s="270">
        <f t="shared" si="14"/>
        <v>0</v>
      </c>
      <c r="T30" s="269">
        <f>R30-E30</f>
        <v>0</v>
      </c>
      <c r="U30" s="270"/>
      <c r="V30" s="270"/>
      <c r="W30" s="269"/>
      <c r="X30" s="221"/>
      <c r="Y30" s="267"/>
    </row>
    <row r="31" spans="1:25" ht="17.649999999999999" customHeight="1" outlineLevel="1" x14ac:dyDescent="0.2">
      <c r="A31" s="283" t="s">
        <v>1020</v>
      </c>
      <c r="B31" s="282" t="s">
        <v>1031</v>
      </c>
      <c r="C31" s="678"/>
      <c r="D31" s="286"/>
      <c r="E31" s="285"/>
      <c r="F31" s="280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8"/>
      <c r="R31" s="277">
        <f>SUM(F31:Q31)</f>
        <v>0</v>
      </c>
      <c r="S31" s="276"/>
      <c r="T31" s="710">
        <f t="shared" si="0"/>
        <v>0</v>
      </c>
      <c r="U31" s="303">
        <f>R31-E33*R32</f>
        <v>0</v>
      </c>
      <c r="V31" s="787">
        <f>IFERROR(R32/E32*E31-E31,0)</f>
        <v>0</v>
      </c>
      <c r="W31" s="790"/>
      <c r="X31" s="221"/>
      <c r="Y31" s="267"/>
    </row>
    <row r="32" spans="1:25" ht="17.649999999999999" customHeight="1" outlineLevel="1" x14ac:dyDescent="0.2">
      <c r="A32" s="283" t="s">
        <v>1021</v>
      </c>
      <c r="B32" s="282" t="str">
        <f>B31</f>
        <v>Area 9</v>
      </c>
      <c r="C32" s="281"/>
      <c r="D32" s="286"/>
      <c r="E32" s="285"/>
      <c r="F32" s="280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8"/>
      <c r="R32" s="277">
        <f>SUM(F32:Q32)</f>
        <v>0</v>
      </c>
      <c r="S32" s="276"/>
      <c r="T32" s="710">
        <f t="shared" si="0"/>
        <v>0</v>
      </c>
      <c r="U32" s="300">
        <f>IFERROR(-U31/(E31+V31),0)</f>
        <v>0</v>
      </c>
      <c r="V32" s="787"/>
      <c r="W32" s="790"/>
      <c r="X32" s="221"/>
      <c r="Y32" s="267"/>
    </row>
    <row r="33" spans="1:25" ht="17.649999999999999" customHeight="1" outlineLevel="1" x14ac:dyDescent="0.2">
      <c r="A33" s="275" t="s">
        <v>1024</v>
      </c>
      <c r="B33" s="274" t="str">
        <f>B32</f>
        <v>Area 9</v>
      </c>
      <c r="C33" s="272">
        <f t="shared" ref="C33:S33" si="15">IFERROR(C31/C32,0)</f>
        <v>0</v>
      </c>
      <c r="D33" s="270">
        <f t="shared" si="15"/>
        <v>0</v>
      </c>
      <c r="E33" s="273">
        <f t="shared" si="15"/>
        <v>0</v>
      </c>
      <c r="F33" s="272">
        <f t="shared" si="15"/>
        <v>0</v>
      </c>
      <c r="G33" s="270">
        <f t="shared" si="15"/>
        <v>0</v>
      </c>
      <c r="H33" s="270">
        <f t="shared" si="15"/>
        <v>0</v>
      </c>
      <c r="I33" s="270">
        <f t="shared" si="15"/>
        <v>0</v>
      </c>
      <c r="J33" s="270">
        <f t="shared" si="15"/>
        <v>0</v>
      </c>
      <c r="K33" s="270">
        <f t="shared" si="15"/>
        <v>0</v>
      </c>
      <c r="L33" s="270">
        <f t="shared" si="15"/>
        <v>0</v>
      </c>
      <c r="M33" s="270">
        <f t="shared" si="15"/>
        <v>0</v>
      </c>
      <c r="N33" s="270">
        <f t="shared" si="15"/>
        <v>0</v>
      </c>
      <c r="O33" s="270">
        <f t="shared" si="15"/>
        <v>0</v>
      </c>
      <c r="P33" s="270">
        <f t="shared" si="15"/>
        <v>0</v>
      </c>
      <c r="Q33" s="271">
        <f t="shared" si="15"/>
        <v>0</v>
      </c>
      <c r="R33" s="270">
        <f t="shared" si="15"/>
        <v>0</v>
      </c>
      <c r="S33" s="270">
        <f t="shared" si="15"/>
        <v>0</v>
      </c>
      <c r="T33" s="269">
        <f>R33-E33</f>
        <v>0</v>
      </c>
      <c r="U33" s="270"/>
      <c r="V33" s="270"/>
      <c r="W33" s="269"/>
      <c r="X33" s="221"/>
      <c r="Y33" s="267"/>
    </row>
    <row r="34" spans="1:25" ht="17.649999999999999" customHeight="1" outlineLevel="1" x14ac:dyDescent="0.2">
      <c r="A34" s="283" t="s">
        <v>1027</v>
      </c>
      <c r="B34" s="282" t="s">
        <v>1032</v>
      </c>
      <c r="C34" s="678"/>
      <c r="D34" s="286"/>
      <c r="E34" s="285"/>
      <c r="F34" s="280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8"/>
      <c r="R34" s="277">
        <f>SUM(F34:Q34)</f>
        <v>0</v>
      </c>
      <c r="S34" s="276"/>
      <c r="T34" s="710">
        <f t="shared" si="0"/>
        <v>0</v>
      </c>
      <c r="U34" s="303">
        <f>R34-E36*R35</f>
        <v>0</v>
      </c>
      <c r="V34" s="787">
        <f>IFERROR(R35/E35*E34-E34,0)</f>
        <v>0</v>
      </c>
      <c r="W34" s="790"/>
      <c r="X34" s="221"/>
      <c r="Y34" s="267"/>
    </row>
    <row r="35" spans="1:25" ht="17.649999999999999" customHeight="1" outlineLevel="1" x14ac:dyDescent="0.2">
      <c r="A35" s="283" t="s">
        <v>1025</v>
      </c>
      <c r="B35" s="282" t="str">
        <f>B34</f>
        <v>Area 10</v>
      </c>
      <c r="C35" s="281"/>
      <c r="D35" s="286"/>
      <c r="E35" s="285"/>
      <c r="F35" s="280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8"/>
      <c r="R35" s="277">
        <f>SUM(F35:Q35)</f>
        <v>0</v>
      </c>
      <c r="S35" s="276"/>
      <c r="T35" s="710">
        <f t="shared" si="0"/>
        <v>0</v>
      </c>
      <c r="U35" s="300">
        <f>IFERROR(-U34/(E34+V34),0)</f>
        <v>0</v>
      </c>
      <c r="V35" s="787"/>
      <c r="W35" s="790"/>
      <c r="X35" s="221"/>
      <c r="Y35" s="267"/>
    </row>
    <row r="36" spans="1:25" ht="17.649999999999999" customHeight="1" outlineLevel="1" x14ac:dyDescent="0.2">
      <c r="A36" s="275" t="s">
        <v>1026</v>
      </c>
      <c r="B36" s="274" t="str">
        <f>B34</f>
        <v>Area 10</v>
      </c>
      <c r="C36" s="272">
        <f t="shared" ref="C36:S36" si="16">IFERROR(C34/C35,0)</f>
        <v>0</v>
      </c>
      <c r="D36" s="270">
        <f t="shared" si="16"/>
        <v>0</v>
      </c>
      <c r="E36" s="273">
        <f t="shared" si="16"/>
        <v>0</v>
      </c>
      <c r="F36" s="272">
        <f t="shared" si="16"/>
        <v>0</v>
      </c>
      <c r="G36" s="270">
        <f t="shared" si="16"/>
        <v>0</v>
      </c>
      <c r="H36" s="270">
        <f t="shared" si="16"/>
        <v>0</v>
      </c>
      <c r="I36" s="270">
        <f t="shared" si="16"/>
        <v>0</v>
      </c>
      <c r="J36" s="270">
        <f t="shared" si="16"/>
        <v>0</v>
      </c>
      <c r="K36" s="270">
        <f t="shared" si="16"/>
        <v>0</v>
      </c>
      <c r="L36" s="270">
        <f t="shared" si="16"/>
        <v>0</v>
      </c>
      <c r="M36" s="270">
        <f t="shared" si="16"/>
        <v>0</v>
      </c>
      <c r="N36" s="270">
        <f t="shared" si="16"/>
        <v>0</v>
      </c>
      <c r="O36" s="270">
        <f t="shared" si="16"/>
        <v>0</v>
      </c>
      <c r="P36" s="270">
        <f t="shared" si="16"/>
        <v>0</v>
      </c>
      <c r="Q36" s="271">
        <f t="shared" si="16"/>
        <v>0</v>
      </c>
      <c r="R36" s="270">
        <f t="shared" si="16"/>
        <v>0</v>
      </c>
      <c r="S36" s="270">
        <f t="shared" si="16"/>
        <v>0</v>
      </c>
      <c r="T36" s="269">
        <f>R36-E36</f>
        <v>0</v>
      </c>
      <c r="U36" s="270"/>
      <c r="V36" s="270"/>
      <c r="W36" s="269"/>
      <c r="X36" s="221"/>
      <c r="Y36" s="267"/>
    </row>
    <row r="37" spans="1:25" ht="17.649999999999999" customHeight="1" outlineLevel="1" x14ac:dyDescent="0.2">
      <c r="A37" s="283" t="s">
        <v>263</v>
      </c>
      <c r="B37" s="282" t="s">
        <v>232</v>
      </c>
      <c r="C37" s="679">
        <f>C80-SUM(C7,C10,C13,C16,C19,C22,C25,C28,C31,C34,C45,C46,C47,C50,C55,C60,C65)</f>
        <v>0</v>
      </c>
      <c r="D37" s="286">
        <f>C37</f>
        <v>0</v>
      </c>
      <c r="E37" s="324">
        <f t="shared" ref="E37:Q37" si="17">E80-SUM(E7,E10,E13,E16,E19,E22,E25,E28,E31,E34,E45,E46,E47,E50,E55,E60,E65)</f>
        <v>0.17039403575472534</v>
      </c>
      <c r="F37" s="679">
        <f t="shared" si="17"/>
        <v>262.53800000000047</v>
      </c>
      <c r="G37" s="680">
        <f t="shared" si="17"/>
        <v>160.49900000001071</v>
      </c>
      <c r="H37" s="680">
        <f t="shared" si="17"/>
        <v>23.812000000005355</v>
      </c>
      <c r="I37" s="680">
        <f t="shared" si="17"/>
        <v>57.590999999985797</v>
      </c>
      <c r="J37" s="680">
        <f t="shared" si="17"/>
        <v>-20.327999999979511</v>
      </c>
      <c r="K37" s="680">
        <f t="shared" si="17"/>
        <v>-103.2839999999851</v>
      </c>
      <c r="L37" s="680">
        <f t="shared" si="17"/>
        <v>62.924999999988358</v>
      </c>
      <c r="M37" s="680">
        <f t="shared" si="17"/>
        <v>-227.8859999999986</v>
      </c>
      <c r="N37" s="680">
        <f t="shared" si="17"/>
        <v>-146.33900000000722</v>
      </c>
      <c r="O37" s="680">
        <f t="shared" si="17"/>
        <v>-23.175999999977648</v>
      </c>
      <c r="P37" s="680">
        <f>P80-SUM(P7,P10,P13,P16,P19,P22,P25,P28,P31,P34,P45,P46,P47,P50,P55,P60,P65)</f>
        <v>-23.175999999977648</v>
      </c>
      <c r="Q37" s="681">
        <f t="shared" si="17"/>
        <v>-23.176000000006752</v>
      </c>
      <c r="R37" s="277">
        <f>SUM(F37:Q37)</f>
        <v>5.8207660913467407E-11</v>
      </c>
      <c r="S37" s="276"/>
      <c r="T37" s="710">
        <f t="shared" si="0"/>
        <v>-0.17039403569651768</v>
      </c>
      <c r="U37" s="303">
        <f>R37-E39*R38</f>
        <v>-9.058443224208193E-2</v>
      </c>
      <c r="V37" s="787">
        <f>IFERROR(R38/E38*E37-E37,0)</f>
        <v>-7.9809603454435732E-2</v>
      </c>
      <c r="W37" s="790"/>
      <c r="X37" s="221"/>
      <c r="Y37" s="267"/>
    </row>
    <row r="38" spans="1:25" ht="38.25" outlineLevel="1" x14ac:dyDescent="0.2">
      <c r="A38" s="283" t="s">
        <v>262</v>
      </c>
      <c r="B38" s="282" t="s">
        <v>232</v>
      </c>
      <c r="C38" s="679">
        <f>C82-SUM(C8,C11,C14,C17,C20,C23,C26,C29,C32,C35,C52,C57,C62,C67)</f>
        <v>105734.96100000292</v>
      </c>
      <c r="D38" s="286">
        <f>C38</f>
        <v>105734.96100000292</v>
      </c>
      <c r="E38" s="324">
        <f t="shared" ref="E38:Q38" si="18">E82-SUM(E8,E11,E14,E17,E20,E23,E26,E29,E32,E35,E52,E57,E62,E67)</f>
        <v>11839806.763999999</v>
      </c>
      <c r="F38" s="679">
        <f t="shared" si="18"/>
        <v>504150.51139879413</v>
      </c>
      <c r="G38" s="680">
        <f t="shared" si="18"/>
        <v>537478.09938281402</v>
      </c>
      <c r="H38" s="680">
        <f t="shared" si="18"/>
        <v>526359.22602842189</v>
      </c>
      <c r="I38" s="680">
        <f t="shared" si="18"/>
        <v>515269.38403399289</v>
      </c>
      <c r="J38" s="680">
        <f t="shared" si="18"/>
        <v>515269.38412348367</v>
      </c>
      <c r="K38" s="680">
        <f t="shared" si="18"/>
        <v>537478.09923965111</v>
      </c>
      <c r="L38" s="680">
        <f t="shared" si="18"/>
        <v>493031.63800719753</v>
      </c>
      <c r="M38" s="680">
        <f t="shared" si="18"/>
        <v>570805.68741393462</v>
      </c>
      <c r="N38" s="680">
        <f t="shared" si="18"/>
        <v>548596.97193233483</v>
      </c>
      <c r="O38" s="680">
        <f t="shared" si="18"/>
        <v>515269.38413687795</v>
      </c>
      <c r="P38" s="680">
        <f t="shared" si="18"/>
        <v>515269.38413687795</v>
      </c>
      <c r="Q38" s="681">
        <f t="shared" si="18"/>
        <v>515269.38213687763</v>
      </c>
      <c r="R38" s="277">
        <f>SUM(F38:Q38)</f>
        <v>6294247.1519712582</v>
      </c>
      <c r="S38" s="276"/>
      <c r="T38" s="710">
        <f>R38-E38</f>
        <v>-5545559.6120287403</v>
      </c>
      <c r="U38" s="300">
        <f>IFERROR(-U37/(E37+V37),0)</f>
        <v>0.99999999935742079</v>
      </c>
      <c r="V38" s="787"/>
      <c r="W38" s="988" t="s">
        <v>1550</v>
      </c>
      <c r="X38" s="221"/>
      <c r="Y38" s="267"/>
    </row>
    <row r="39" spans="1:25" ht="17.649999999999999" customHeight="1" outlineLevel="1" x14ac:dyDescent="0.2">
      <c r="A39" s="275" t="s">
        <v>261</v>
      </c>
      <c r="B39" s="274" t="s">
        <v>232</v>
      </c>
      <c r="C39" s="272">
        <f t="shared" ref="C39:S39" si="19">IFERROR(C37/C38,0)</f>
        <v>0</v>
      </c>
      <c r="D39" s="270">
        <f t="shared" si="19"/>
        <v>0</v>
      </c>
      <c r="E39" s="273">
        <f t="shared" si="19"/>
        <v>1.4391623034999505E-8</v>
      </c>
      <c r="F39" s="272">
        <f t="shared" si="19"/>
        <v>5.2075321568468495E-4</v>
      </c>
      <c r="G39" s="270">
        <f t="shared" si="19"/>
        <v>2.9861495786397932E-4</v>
      </c>
      <c r="H39" s="270">
        <f t="shared" si="19"/>
        <v>4.5239066444556961E-5</v>
      </c>
      <c r="I39" s="270">
        <f t="shared" si="19"/>
        <v>1.1176872095351673E-4</v>
      </c>
      <c r="J39" s="270">
        <f t="shared" si="19"/>
        <v>-3.9451208680987596E-5</v>
      </c>
      <c r="K39" s="270">
        <f t="shared" si="19"/>
        <v>-1.9216410891178054E-4</v>
      </c>
      <c r="L39" s="270">
        <f t="shared" si="19"/>
        <v>1.2762872633149304E-4</v>
      </c>
      <c r="M39" s="270">
        <f t="shared" si="19"/>
        <v>-3.9923568567168312E-4</v>
      </c>
      <c r="N39" s="270">
        <f t="shared" si="19"/>
        <v>-2.6675138122719534E-4</v>
      </c>
      <c r="O39" s="270">
        <f t="shared" si="19"/>
        <v>-4.4978414618597046E-5</v>
      </c>
      <c r="P39" s="270">
        <f t="shared" si="19"/>
        <v>-4.4978414618597046E-5</v>
      </c>
      <c r="Q39" s="271">
        <f t="shared" si="19"/>
        <v>-4.497841479323569E-5</v>
      </c>
      <c r="R39" s="270">
        <f t="shared" si="19"/>
        <v>9.2477558488051572E-18</v>
      </c>
      <c r="S39" s="270">
        <f t="shared" si="19"/>
        <v>0</v>
      </c>
      <c r="T39" s="269">
        <f>R39-E39</f>
        <v>-1.439162302575175E-8</v>
      </c>
      <c r="U39" s="270"/>
      <c r="V39" s="270"/>
      <c r="W39" s="269"/>
      <c r="X39" s="221"/>
      <c r="Y39" s="267"/>
    </row>
    <row r="40" spans="1:25" ht="17.649999999999999" customHeight="1" x14ac:dyDescent="0.2">
      <c r="A40" s="214" t="s">
        <v>229</v>
      </c>
      <c r="B40" s="215"/>
      <c r="C40" s="266">
        <f>C7+C10+C13+C16+C19+C22+C25+C28+C31+C34+C37</f>
        <v>-85418.129773721434</v>
      </c>
      <c r="D40" s="78">
        <f t="shared" ref="D40:Q40" si="20">D7+D10+D13+D16+D19+D22+D25+D28+D31+D34+D37</f>
        <v>-168884.85678174044</v>
      </c>
      <c r="E40" s="80">
        <f t="shared" si="20"/>
        <v>-168884.68638770469</v>
      </c>
      <c r="F40" s="266">
        <f t="shared" si="20"/>
        <v>-25587.501703982412</v>
      </c>
      <c r="G40" s="78">
        <f t="shared" si="20"/>
        <v>-22818.673875211953</v>
      </c>
      <c r="H40" s="78">
        <f t="shared" si="20"/>
        <v>-24508.940464645453</v>
      </c>
      <c r="I40" s="78">
        <f t="shared" si="20"/>
        <v>-25432.876221818478</v>
      </c>
      <c r="J40" s="78">
        <f t="shared" si="20"/>
        <v>-25871.711622412575</v>
      </c>
      <c r="K40" s="78">
        <f t="shared" si="20"/>
        <v>-24329.810607405736</v>
      </c>
      <c r="L40" s="78">
        <f t="shared" si="20"/>
        <v>-27413.383245471592</v>
      </c>
      <c r="M40" s="78">
        <f t="shared" si="20"/>
        <v>-22017.172285179975</v>
      </c>
      <c r="N40" s="78">
        <f t="shared" si="20"/>
        <v>-23587.237301902445</v>
      </c>
      <c r="O40" s="78">
        <f t="shared" si="20"/>
        <v>-25929.364223989764</v>
      </c>
      <c r="P40" s="78">
        <f t="shared" si="20"/>
        <v>-25929.364223989764</v>
      </c>
      <c r="Q40" s="265">
        <f t="shared" si="20"/>
        <v>-25929.364223989793</v>
      </c>
      <c r="R40" s="78">
        <f>R7+R10+R13+R16+R19+R22+R25+R28+R31+R34+R37</f>
        <v>-299355.39999999997</v>
      </c>
      <c r="S40" s="265"/>
      <c r="T40" s="287">
        <f t="shared" si="0"/>
        <v>-130470.71361229528</v>
      </c>
      <c r="U40" s="259">
        <f>R40-E42*R41</f>
        <v>-118337.68155520884</v>
      </c>
      <c r="V40" s="78">
        <f>IFERROR(R41/E41*E40-E40,0)</f>
        <v>-12133.032057086413</v>
      </c>
      <c r="W40" s="789"/>
      <c r="X40" s="221"/>
      <c r="Y40" s="267"/>
    </row>
    <row r="41" spans="1:25" ht="17.649999999999999" customHeight="1" x14ac:dyDescent="0.2">
      <c r="A41" s="214" t="s">
        <v>228</v>
      </c>
      <c r="B41" s="215"/>
      <c r="C41" s="266">
        <f>C8+C11+C14+C17+C20+C23+C26+C29+C32+C35+C38</f>
        <v>29736750.979000002</v>
      </c>
      <c r="D41" s="78">
        <f t="shared" ref="D41:Q41" si="21">D8+D11+D14+D17+D20+D23+D26+D29+D32+D35+D38</f>
        <v>56202817.045999996</v>
      </c>
      <c r="E41" s="80">
        <f t="shared" si="21"/>
        <v>67936888.848999992</v>
      </c>
      <c r="F41" s="266">
        <f t="shared" si="21"/>
        <v>6248599.3622280117</v>
      </c>
      <c r="G41" s="78">
        <f t="shared" si="21"/>
        <v>5643957.0343331993</v>
      </c>
      <c r="H41" s="78">
        <f t="shared" si="21"/>
        <v>5978077.8042981206</v>
      </c>
      <c r="I41" s="78">
        <f t="shared" si="21"/>
        <v>6179813.300263118</v>
      </c>
      <c r="J41" s="78">
        <f t="shared" si="21"/>
        <v>6260016.8832631204</v>
      </c>
      <c r="K41" s="78">
        <f t="shared" si="21"/>
        <v>5921146.5393332047</v>
      </c>
      <c r="L41" s="78">
        <f t="shared" si="21"/>
        <v>6598873.220192953</v>
      </c>
      <c r="M41" s="78">
        <f t="shared" si="21"/>
        <v>5412865.5834383052</v>
      </c>
      <c r="N41" s="78">
        <f t="shared" si="21"/>
        <v>5757681.4783682488</v>
      </c>
      <c r="O41" s="78">
        <f t="shared" si="21"/>
        <v>6272195.6742631197</v>
      </c>
      <c r="P41" s="78">
        <f t="shared" si="21"/>
        <v>6272195.6742631197</v>
      </c>
      <c r="Q41" s="265">
        <f t="shared" si="21"/>
        <v>6272195.6722631194</v>
      </c>
      <c r="R41" s="78">
        <f>R8+R11+R14+R17+R20+R23+R26+R29+R32+R35+R38</f>
        <v>72817618.226507634</v>
      </c>
      <c r="S41" s="265"/>
      <c r="T41" s="287">
        <f t="shared" si="0"/>
        <v>4880729.3775076419</v>
      </c>
      <c r="U41" s="259">
        <f>U7+U10+U13+U16+U19+U22</f>
        <v>-99081.346894379327</v>
      </c>
      <c r="V41" s="78">
        <f>V7+V10+V13+V16+V19+V22</f>
        <v>-31389.196323880256</v>
      </c>
      <c r="W41" s="789"/>
      <c r="X41" s="221"/>
      <c r="Y41" s="267"/>
    </row>
    <row r="42" spans="1:25" ht="17.649999999999999" customHeight="1" x14ac:dyDescent="0.2">
      <c r="A42" s="214" t="s">
        <v>227</v>
      </c>
      <c r="B42" s="215"/>
      <c r="C42" s="263">
        <f t="shared" ref="C42" si="22">IFERROR(C40/C41,0)</f>
        <v>-2.8724768833704611E-3</v>
      </c>
      <c r="D42" s="262">
        <f t="shared" ref="D42:R42" si="23">IFERROR(D40/D41,0)</f>
        <v>-3.0049180033718636E-3</v>
      </c>
      <c r="E42" s="264">
        <f t="shared" si="23"/>
        <v>-2.4859055109673397E-3</v>
      </c>
      <c r="F42" s="263">
        <f t="shared" si="23"/>
        <v>-4.0949179521182948E-3</v>
      </c>
      <c r="G42" s="262">
        <f t="shared" si="23"/>
        <v>-4.0430275667234679E-3</v>
      </c>
      <c r="H42" s="262">
        <f t="shared" si="23"/>
        <v>-4.0998028575379205E-3</v>
      </c>
      <c r="I42" s="262">
        <f t="shared" si="23"/>
        <v>-4.115476469286802E-3</v>
      </c>
      <c r="J42" s="262">
        <f t="shared" si="23"/>
        <v>-4.1328501352102722E-3</v>
      </c>
      <c r="K42" s="262">
        <f t="shared" si="23"/>
        <v>-4.1089695122028813E-3</v>
      </c>
      <c r="L42" s="262">
        <f t="shared" si="23"/>
        <v>-4.1542521474097994E-3</v>
      </c>
      <c r="M42" s="262">
        <f t="shared" si="23"/>
        <v>-4.0675630949613293E-3</v>
      </c>
      <c r="N42" s="262">
        <f t="shared" si="23"/>
        <v>-4.0966554663574703E-3</v>
      </c>
      <c r="O42" s="262">
        <f t="shared" si="23"/>
        <v>-4.1340171082969342E-3</v>
      </c>
      <c r="P42" s="262">
        <f t="shared" si="23"/>
        <v>-4.1340171082969342E-3</v>
      </c>
      <c r="Q42" s="261">
        <f t="shared" si="23"/>
        <v>-4.1340171096151436E-3</v>
      </c>
      <c r="R42" s="262">
        <f t="shared" si="23"/>
        <v>-4.1110298206791154E-3</v>
      </c>
      <c r="S42" s="299"/>
      <c r="T42" s="260">
        <f t="shared" si="0"/>
        <v>-1.6251243097117757E-3</v>
      </c>
      <c r="U42" s="262">
        <f>IFERROR(-U41/(E40+V41),0)</f>
        <v>-0.49472924553555836</v>
      </c>
      <c r="V42" s="262"/>
      <c r="W42" s="789"/>
      <c r="X42" s="221"/>
      <c r="Y42" s="267"/>
    </row>
    <row r="43" spans="1:25" s="2" customFormat="1" ht="17.649999999999999" customHeight="1" x14ac:dyDescent="0.2">
      <c r="A43" s="258"/>
      <c r="B43" s="257"/>
      <c r="C43" s="297"/>
      <c r="D43" s="224"/>
      <c r="E43" s="298"/>
      <c r="F43" s="297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6"/>
      <c r="R43" s="224"/>
      <c r="S43" s="296"/>
      <c r="T43" s="295"/>
      <c r="U43" s="224"/>
      <c r="V43" s="224"/>
      <c r="W43" s="791"/>
      <c r="X43" s="243"/>
      <c r="Y43" s="293"/>
    </row>
    <row r="44" spans="1:25" ht="15.6" customHeight="1" x14ac:dyDescent="0.2">
      <c r="A44" s="214" t="s">
        <v>260</v>
      </c>
      <c r="B44" s="215"/>
      <c r="C44" s="266">
        <f t="shared" ref="C44" si="24">SUM(C45:C47)</f>
        <v>0</v>
      </c>
      <c r="D44" s="78">
        <f t="shared" ref="D44:T44" si="25">SUM(D45:D47)</f>
        <v>0</v>
      </c>
      <c r="E44" s="80">
        <f t="shared" si="25"/>
        <v>0</v>
      </c>
      <c r="F44" s="266">
        <f t="shared" si="25"/>
        <v>0</v>
      </c>
      <c r="G44" s="78">
        <f t="shared" si="25"/>
        <v>0</v>
      </c>
      <c r="H44" s="78">
        <f t="shared" si="25"/>
        <v>0</v>
      </c>
      <c r="I44" s="78">
        <f t="shared" si="25"/>
        <v>0</v>
      </c>
      <c r="J44" s="78">
        <f t="shared" si="25"/>
        <v>0</v>
      </c>
      <c r="K44" s="78">
        <f t="shared" si="25"/>
        <v>0</v>
      </c>
      <c r="L44" s="78">
        <f t="shared" si="25"/>
        <v>0</v>
      </c>
      <c r="M44" s="78">
        <f t="shared" si="25"/>
        <v>0</v>
      </c>
      <c r="N44" s="78">
        <f t="shared" si="25"/>
        <v>0</v>
      </c>
      <c r="O44" s="78">
        <f t="shared" si="25"/>
        <v>0</v>
      </c>
      <c r="P44" s="78">
        <f t="shared" si="25"/>
        <v>0</v>
      </c>
      <c r="Q44" s="265">
        <f t="shared" si="25"/>
        <v>0</v>
      </c>
      <c r="R44" s="78">
        <f t="shared" si="25"/>
        <v>0</v>
      </c>
      <c r="S44" s="265">
        <f t="shared" si="25"/>
        <v>0</v>
      </c>
      <c r="T44" s="287">
        <f t="shared" si="25"/>
        <v>0</v>
      </c>
      <c r="U44" s="78"/>
      <c r="V44" s="78"/>
      <c r="W44" s="789"/>
      <c r="X44" s="221"/>
      <c r="Y44" s="267"/>
    </row>
    <row r="45" spans="1:25" ht="15.6" customHeight="1" x14ac:dyDescent="0.2">
      <c r="A45" s="283" t="s">
        <v>259</v>
      </c>
      <c r="B45" s="282" t="s">
        <v>257</v>
      </c>
      <c r="C45" s="281"/>
      <c r="D45" s="286"/>
      <c r="E45" s="285"/>
      <c r="F45" s="280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8"/>
      <c r="R45" s="277">
        <f>SUM(F45:Q45)</f>
        <v>0</v>
      </c>
      <c r="S45" s="292"/>
      <c r="T45" s="710">
        <f>R45-E45</f>
        <v>0</v>
      </c>
      <c r="U45" s="268"/>
      <c r="V45" s="268"/>
      <c r="W45" s="790"/>
      <c r="X45" s="221"/>
      <c r="Y45" s="267"/>
    </row>
    <row r="46" spans="1:25" ht="15.6" customHeight="1" x14ac:dyDescent="0.2">
      <c r="A46" s="283" t="s">
        <v>258</v>
      </c>
      <c r="B46" s="282" t="s">
        <v>257</v>
      </c>
      <c r="C46" s="281"/>
      <c r="D46" s="286"/>
      <c r="E46" s="285"/>
      <c r="F46" s="280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8"/>
      <c r="R46" s="277">
        <f>SUM(F46:Q46)</f>
        <v>0</v>
      </c>
      <c r="S46" s="292"/>
      <c r="T46" s="710">
        <f>R46-E46</f>
        <v>0</v>
      </c>
      <c r="U46" s="268"/>
      <c r="V46" s="268"/>
      <c r="W46" s="790"/>
      <c r="X46" s="221"/>
      <c r="Y46" s="267"/>
    </row>
    <row r="47" spans="1:25" ht="15.6" customHeight="1" x14ac:dyDescent="0.2">
      <c r="A47" s="283" t="s">
        <v>178</v>
      </c>
      <c r="B47" s="282" t="s">
        <v>257</v>
      </c>
      <c r="C47" s="281"/>
      <c r="D47" s="286"/>
      <c r="E47" s="285"/>
      <c r="F47" s="280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8"/>
      <c r="R47" s="277">
        <f>SUM(F47:Q47)</f>
        <v>0</v>
      </c>
      <c r="S47" s="292"/>
      <c r="T47" s="710">
        <f>R47-E47</f>
        <v>0</v>
      </c>
      <c r="U47" s="268"/>
      <c r="V47" s="268"/>
      <c r="W47" s="790"/>
      <c r="X47" s="221"/>
      <c r="Y47" s="267"/>
    </row>
    <row r="48" spans="1:25" ht="15" customHeight="1" x14ac:dyDescent="0.2">
      <c r="A48" s="258"/>
      <c r="B48" s="257"/>
      <c r="C48" s="255"/>
      <c r="D48" s="222"/>
      <c r="E48" s="256"/>
      <c r="F48" s="255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54"/>
      <c r="R48" s="291"/>
      <c r="S48" s="290"/>
      <c r="T48" s="289"/>
      <c r="U48" s="221"/>
      <c r="V48" s="221"/>
      <c r="W48" s="792"/>
      <c r="X48" s="221"/>
      <c r="Y48" s="267"/>
    </row>
    <row r="49" spans="1:25" ht="15.6" customHeight="1" x14ac:dyDescent="0.2">
      <c r="A49" s="214" t="s">
        <v>256</v>
      </c>
      <c r="B49" s="215"/>
      <c r="C49" s="266"/>
      <c r="D49" s="78"/>
      <c r="E49" s="80"/>
      <c r="F49" s="266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5"/>
      <c r="R49" s="78"/>
      <c r="S49" s="265"/>
      <c r="T49" s="287"/>
      <c r="U49" s="78"/>
      <c r="V49" s="78"/>
      <c r="W49" s="789"/>
      <c r="X49" s="221"/>
      <c r="Y49" s="267"/>
    </row>
    <row r="50" spans="1:25" ht="15" customHeight="1" outlineLevel="1" x14ac:dyDescent="0.2">
      <c r="A50" s="283" t="s">
        <v>255</v>
      </c>
      <c r="B50" s="282" t="s">
        <v>1536</v>
      </c>
      <c r="C50" s="678">
        <v>-50672.863226278561</v>
      </c>
      <c r="D50" s="286">
        <f t="shared" ref="D50:D51" si="26">E50</f>
        <v>-127516.14386337572</v>
      </c>
      <c r="E50" s="285">
        <v>-127516.14386337572</v>
      </c>
      <c r="F50" s="280">
        <v>-27373.584872598269</v>
      </c>
      <c r="G50" s="279">
        <v>-23640.197591151569</v>
      </c>
      <c r="H50" s="279">
        <v>-24884.944275091664</v>
      </c>
      <c r="I50" s="279">
        <v>-26128.399734874325</v>
      </c>
      <c r="J50" s="279">
        <v>-26128.399734874325</v>
      </c>
      <c r="K50" s="279">
        <v>-23640.197591151569</v>
      </c>
      <c r="L50" s="279">
        <v>-28617.896420241035</v>
      </c>
      <c r="M50" s="279">
        <v>-19907.599353477675</v>
      </c>
      <c r="N50" s="279">
        <v>-22396.231221916532</v>
      </c>
      <c r="O50" s="279">
        <v>-26128.399734874325</v>
      </c>
      <c r="P50" s="279">
        <v>-26128.399734874325</v>
      </c>
      <c r="Q50" s="278">
        <v>-26128.399734874325</v>
      </c>
      <c r="R50" s="277">
        <f>SUM(F50:Q50)</f>
        <v>-301102.64999999997</v>
      </c>
      <c r="S50" s="276"/>
      <c r="T50" s="710">
        <f t="shared" ref="T50:T69" si="27">R50-E50</f>
        <v>-173586.50613662426</v>
      </c>
      <c r="U50" s="284"/>
      <c r="V50" s="787"/>
      <c r="W50" s="790"/>
      <c r="X50" s="221"/>
      <c r="Y50" s="267" t="s">
        <v>1415</v>
      </c>
    </row>
    <row r="51" spans="1:25" ht="15.6" customHeight="1" outlineLevel="1" x14ac:dyDescent="0.2">
      <c r="A51" s="283" t="s">
        <v>902</v>
      </c>
      <c r="B51" s="282" t="s">
        <v>1536</v>
      </c>
      <c r="C51" s="678">
        <v>0</v>
      </c>
      <c r="D51" s="286">
        <f t="shared" si="26"/>
        <v>0</v>
      </c>
      <c r="E51" s="285"/>
      <c r="F51" s="280">
        <v>-6283.333333333333</v>
      </c>
      <c r="G51" s="279">
        <v>-6283.333333333333</v>
      </c>
      <c r="H51" s="279">
        <v>-6283.333333333333</v>
      </c>
      <c r="I51" s="279">
        <v>-6283.333333333333</v>
      </c>
      <c r="J51" s="279">
        <v>-6283.333333333333</v>
      </c>
      <c r="K51" s="279">
        <v>-6283.333333333333</v>
      </c>
      <c r="L51" s="279">
        <v>-6283.333333333333</v>
      </c>
      <c r="M51" s="279">
        <v>-6283.333333333333</v>
      </c>
      <c r="N51" s="279">
        <v>-6283.333333333333</v>
      </c>
      <c r="O51" s="279">
        <v>-6283.333333333333</v>
      </c>
      <c r="P51" s="279">
        <v>-6283.333333333333</v>
      </c>
      <c r="Q51" s="278">
        <v>-4350</v>
      </c>
      <c r="R51" s="277">
        <f>SUM(F51:Q51)</f>
        <v>-73466.666666666672</v>
      </c>
      <c r="S51" s="276"/>
      <c r="T51" s="710">
        <f t="shared" si="27"/>
        <v>-73466.666666666672</v>
      </c>
      <c r="U51" s="284"/>
      <c r="V51" s="787"/>
      <c r="W51" s="790"/>
      <c r="X51" s="221"/>
      <c r="Y51" s="267" t="s">
        <v>253</v>
      </c>
    </row>
    <row r="52" spans="1:25" ht="15.6" customHeight="1" outlineLevel="1" x14ac:dyDescent="0.2">
      <c r="A52" s="283" t="s">
        <v>252</v>
      </c>
      <c r="B52" s="282" t="s">
        <v>1536</v>
      </c>
      <c r="C52" s="281">
        <v>17578099.941</v>
      </c>
      <c r="D52" s="286">
        <f>E52</f>
        <v>42355979.842000008</v>
      </c>
      <c r="E52" s="285">
        <v>42355979.842000008</v>
      </c>
      <c r="F52" s="280">
        <v>4967284.1567719886</v>
      </c>
      <c r="G52" s="279">
        <v>4289813.6836667983</v>
      </c>
      <c r="H52" s="279">
        <v>4515688.7567018783</v>
      </c>
      <c r="I52" s="279">
        <v>4741329.5207368806</v>
      </c>
      <c r="J52" s="279">
        <v>4741329.5207368806</v>
      </c>
      <c r="K52" s="279">
        <v>4289813.6836667983</v>
      </c>
      <c r="L52" s="279">
        <v>5193080.2688070461</v>
      </c>
      <c r="M52" s="279">
        <v>3612486.3925616965</v>
      </c>
      <c r="N52" s="279">
        <v>4064080.2086317525</v>
      </c>
      <c r="O52" s="279">
        <v>4741329.5207368806</v>
      </c>
      <c r="P52" s="279">
        <v>4741329.5207368806</v>
      </c>
      <c r="Q52" s="278">
        <v>4741329.5207368806</v>
      </c>
      <c r="R52" s="277">
        <f>SUM(F52:Q52)</f>
        <v>54638894.754492365</v>
      </c>
      <c r="S52" s="276"/>
      <c r="T52" s="710">
        <f t="shared" si="27"/>
        <v>12282914.912492357</v>
      </c>
      <c r="U52" s="268"/>
      <c r="V52" s="268"/>
      <c r="W52" s="790"/>
      <c r="X52" s="221"/>
      <c r="Y52" s="267"/>
    </row>
    <row r="53" spans="1:25" ht="15.6" customHeight="1" outlineLevel="1" x14ac:dyDescent="0.2">
      <c r="A53" s="275" t="s">
        <v>251</v>
      </c>
      <c r="B53" s="274" t="str">
        <f>+B50</f>
        <v>HV Board (eICB/eIGB 200/201)</v>
      </c>
      <c r="C53" s="272">
        <f t="shared" ref="C53" si="28">IFERROR(C50/C52,0)</f>
        <v>-2.8827269953157313E-3</v>
      </c>
      <c r="D53" s="270">
        <f t="shared" ref="D53:R53" si="29">IFERROR(D50/D52,0)</f>
        <v>-3.0105818432024857E-3</v>
      </c>
      <c r="E53" s="273">
        <f t="shared" si="29"/>
        <v>-3.0105818432024857E-3</v>
      </c>
      <c r="F53" s="272">
        <f t="shared" si="29"/>
        <v>-5.5107749040850347E-3</v>
      </c>
      <c r="G53" s="270">
        <f t="shared" si="29"/>
        <v>-5.5107749040850347E-3</v>
      </c>
      <c r="H53" s="270">
        <f t="shared" si="29"/>
        <v>-5.5107749040850347E-3</v>
      </c>
      <c r="I53" s="270">
        <f t="shared" si="29"/>
        <v>-5.5107749040850347E-3</v>
      </c>
      <c r="J53" s="270">
        <f t="shared" si="29"/>
        <v>-5.5107749040850347E-3</v>
      </c>
      <c r="K53" s="270">
        <f t="shared" si="29"/>
        <v>-5.5107749040850347E-3</v>
      </c>
      <c r="L53" s="270">
        <f t="shared" si="29"/>
        <v>-5.5107749040850347E-3</v>
      </c>
      <c r="M53" s="270">
        <f t="shared" si="29"/>
        <v>-5.5107749040850347E-3</v>
      </c>
      <c r="N53" s="270">
        <f t="shared" si="29"/>
        <v>-5.5107749040850347E-3</v>
      </c>
      <c r="O53" s="270">
        <f t="shared" si="29"/>
        <v>-5.5107749040850347E-3</v>
      </c>
      <c r="P53" s="270">
        <f t="shared" si="29"/>
        <v>-5.5107749040850347E-3</v>
      </c>
      <c r="Q53" s="271">
        <f t="shared" si="29"/>
        <v>-5.5107749040850347E-3</v>
      </c>
      <c r="R53" s="270">
        <f t="shared" si="29"/>
        <v>-5.5107749040850347E-3</v>
      </c>
      <c r="S53" s="270">
        <f t="shared" ref="S53" si="30">IFERROR(S50/S52,0)</f>
        <v>0</v>
      </c>
      <c r="T53" s="269">
        <f t="shared" si="27"/>
        <v>-2.5001930608825489E-3</v>
      </c>
      <c r="U53" s="270"/>
      <c r="V53" s="270"/>
      <c r="W53" s="269"/>
      <c r="X53" s="221"/>
      <c r="Y53" s="267"/>
    </row>
    <row r="54" spans="1:25" ht="15.6" customHeight="1" outlineLevel="1" x14ac:dyDescent="0.2">
      <c r="A54" s="275" t="s">
        <v>250</v>
      </c>
      <c r="B54" s="274" t="str">
        <f>+B50</f>
        <v>HV Board (eICB/eIGB 200/201)</v>
      </c>
      <c r="C54" s="272">
        <f t="shared" ref="C54" si="31">IFERROR((C50+C51)/C52,0)</f>
        <v>-2.8827269953157313E-3</v>
      </c>
      <c r="D54" s="270">
        <f t="shared" ref="D54:R54" si="32">IFERROR((D50+D51)/D52,0)</f>
        <v>-3.0105818432024857E-3</v>
      </c>
      <c r="E54" s="273">
        <f t="shared" si="32"/>
        <v>-3.0105818432024857E-3</v>
      </c>
      <c r="F54" s="272">
        <f t="shared" si="32"/>
        <v>-6.775718308775735E-3</v>
      </c>
      <c r="G54" s="270">
        <f t="shared" si="32"/>
        <v>-6.9754849816477818E-3</v>
      </c>
      <c r="H54" s="270">
        <f t="shared" si="32"/>
        <v>-6.9022200793106385E-3</v>
      </c>
      <c r="I54" s="270">
        <f t="shared" si="32"/>
        <v>-6.8360009416030508E-3</v>
      </c>
      <c r="J54" s="270">
        <f t="shared" si="32"/>
        <v>-6.8360009416030508E-3</v>
      </c>
      <c r="K54" s="270">
        <f t="shared" si="32"/>
        <v>-6.9754849816477818E-3</v>
      </c>
      <c r="L54" s="270">
        <f t="shared" si="32"/>
        <v>-6.7207183303546122E-3</v>
      </c>
      <c r="M54" s="270">
        <f t="shared" si="32"/>
        <v>-7.2501124822890806E-3</v>
      </c>
      <c r="N54" s="270">
        <f t="shared" si="32"/>
        <v>-7.0568401908842658E-3</v>
      </c>
      <c r="O54" s="270">
        <f t="shared" si="32"/>
        <v>-6.8360009416030508E-3</v>
      </c>
      <c r="P54" s="270">
        <f t="shared" si="32"/>
        <v>-6.8360009416030508E-3</v>
      </c>
      <c r="Q54" s="271">
        <f t="shared" si="32"/>
        <v>-6.4282390839052002E-3</v>
      </c>
      <c r="R54" s="270">
        <f t="shared" si="32"/>
        <v>-6.855360423187731E-3</v>
      </c>
      <c r="S54" s="270">
        <f t="shared" ref="S54" si="33">IFERROR((S50+S51)/S52,0)</f>
        <v>0</v>
      </c>
      <c r="T54" s="269">
        <f t="shared" si="27"/>
        <v>-3.8447785799852452E-3</v>
      </c>
      <c r="U54" s="270"/>
      <c r="V54" s="270"/>
      <c r="W54" s="269"/>
      <c r="X54" s="221"/>
      <c r="Y54" s="267"/>
    </row>
    <row r="55" spans="1:25" ht="15.6" customHeight="1" outlineLevel="1" x14ac:dyDescent="0.2">
      <c r="A55" s="283" t="s">
        <v>249</v>
      </c>
      <c r="B55" s="282" t="s">
        <v>1537</v>
      </c>
      <c r="C55" s="678">
        <v>-48203.216999999997</v>
      </c>
      <c r="D55" s="286">
        <f t="shared" ref="D55:D56" si="34">E55</f>
        <v>-488518.63349425211</v>
      </c>
      <c r="E55" s="285">
        <v>-488518.63349425211</v>
      </c>
      <c r="F55" s="280">
        <v>-70227.837790999998</v>
      </c>
      <c r="G55" s="279">
        <v>-60651.693618999991</v>
      </c>
      <c r="H55" s="279">
        <v>-63846.522205999994</v>
      </c>
      <c r="I55" s="279">
        <v>-67033.009203999987</v>
      </c>
      <c r="J55" s="279">
        <v>-67033.009203999987</v>
      </c>
      <c r="K55" s="279">
        <v>-60651.693618999991</v>
      </c>
      <c r="L55" s="279">
        <v>-73422.66637799998</v>
      </c>
      <c r="M55" s="279">
        <v>-51075.549446999998</v>
      </c>
      <c r="N55" s="279">
        <v>-57456.865031999994</v>
      </c>
      <c r="O55" s="279">
        <v>-67033.009203999987</v>
      </c>
      <c r="P55" s="279">
        <v>-67033.009203999987</v>
      </c>
      <c r="Q55" s="278">
        <v>-67033.009203999987</v>
      </c>
      <c r="R55" s="277">
        <f>SUM(F55:Q55)</f>
        <v>-772497.87411199999</v>
      </c>
      <c r="S55" s="276"/>
      <c r="T55" s="710">
        <f t="shared" si="27"/>
        <v>-283979.24061774788</v>
      </c>
      <c r="U55" s="284"/>
      <c r="V55" s="787"/>
      <c r="W55" s="790"/>
      <c r="X55" s="221"/>
      <c r="Y55" s="267"/>
    </row>
    <row r="56" spans="1:25" ht="15.6" customHeight="1" outlineLevel="1" x14ac:dyDescent="0.2">
      <c r="A56" s="283" t="s">
        <v>903</v>
      </c>
      <c r="B56" s="282" t="s">
        <v>1537</v>
      </c>
      <c r="C56" s="678">
        <v>-37836</v>
      </c>
      <c r="D56" s="286">
        <f t="shared" si="34"/>
        <v>-212819.25209849718</v>
      </c>
      <c r="E56" s="285">
        <v>-212819.25209849718</v>
      </c>
      <c r="F56" s="280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8"/>
      <c r="R56" s="277">
        <f>SUM(F56:Q56)</f>
        <v>0</v>
      </c>
      <c r="S56" s="276"/>
      <c r="T56" s="710">
        <f t="shared" si="27"/>
        <v>212819.25209849718</v>
      </c>
      <c r="U56" s="284"/>
      <c r="V56" s="787"/>
      <c r="W56" s="790"/>
      <c r="X56" s="221"/>
      <c r="Y56" s="267"/>
    </row>
    <row r="57" spans="1:25" ht="15.6" customHeight="1" outlineLevel="1" x14ac:dyDescent="0.2">
      <c r="A57" s="283" t="s">
        <v>246</v>
      </c>
      <c r="B57" s="282" t="s">
        <v>1537</v>
      </c>
      <c r="C57" s="281">
        <v>3099559.392</v>
      </c>
      <c r="D57" s="286">
        <f>E57</f>
        <v>22225689.999999996</v>
      </c>
      <c r="E57" s="285">
        <v>22225689.999999996</v>
      </c>
      <c r="F57" s="280">
        <v>3696201.9890000001</v>
      </c>
      <c r="G57" s="279">
        <v>3192194.4009999996</v>
      </c>
      <c r="H57" s="279">
        <v>3360343.2739999997</v>
      </c>
      <c r="I57" s="279">
        <v>3528053.1159999995</v>
      </c>
      <c r="J57" s="279">
        <v>3528053.1159999995</v>
      </c>
      <c r="K57" s="279">
        <v>3192194.4009999996</v>
      </c>
      <c r="L57" s="279">
        <v>3864350.8619999993</v>
      </c>
      <c r="M57" s="279">
        <v>2688186.8130000001</v>
      </c>
      <c r="N57" s="279">
        <v>3024045.5279999999</v>
      </c>
      <c r="O57" s="279">
        <v>3528053.1159999995</v>
      </c>
      <c r="P57" s="279">
        <v>3528053.1159999995</v>
      </c>
      <c r="Q57" s="278">
        <v>3528053.1159999995</v>
      </c>
      <c r="R57" s="277">
        <f>SUM(F57:Q57)</f>
        <v>40657782.84799999</v>
      </c>
      <c r="S57" s="276"/>
      <c r="T57" s="710">
        <f t="shared" si="27"/>
        <v>18432092.847999994</v>
      </c>
      <c r="U57" s="268"/>
      <c r="V57" s="268"/>
      <c r="W57" s="790"/>
      <c r="X57" s="221"/>
      <c r="Y57" s="267"/>
    </row>
    <row r="58" spans="1:25" ht="15.6" customHeight="1" outlineLevel="1" x14ac:dyDescent="0.2">
      <c r="A58" s="275" t="s">
        <v>245</v>
      </c>
      <c r="B58" s="274" t="str">
        <f>+B55</f>
        <v>HV Inverter (800V inverter)</v>
      </c>
      <c r="C58" s="272">
        <f t="shared" ref="C58" si="35">IFERROR(C55/C57,0)</f>
        <v>-1.5551635217706451E-2</v>
      </c>
      <c r="D58" s="270">
        <f t="shared" ref="D58:S58" si="36">IFERROR(D55/D57,0)</f>
        <v>-2.1979908542513291E-2</v>
      </c>
      <c r="E58" s="273">
        <f t="shared" si="36"/>
        <v>-2.1979908542513291E-2</v>
      </c>
      <c r="F58" s="272">
        <f t="shared" si="36"/>
        <v>-1.9E-2</v>
      </c>
      <c r="G58" s="270">
        <f t="shared" si="36"/>
        <v>-1.9E-2</v>
      </c>
      <c r="H58" s="270">
        <f t="shared" si="36"/>
        <v>-1.9E-2</v>
      </c>
      <c r="I58" s="270">
        <f t="shared" si="36"/>
        <v>-1.9E-2</v>
      </c>
      <c r="J58" s="270">
        <f t="shared" si="36"/>
        <v>-1.9E-2</v>
      </c>
      <c r="K58" s="270">
        <f t="shared" si="36"/>
        <v>-1.9E-2</v>
      </c>
      <c r="L58" s="270">
        <f t="shared" si="36"/>
        <v>-1.9E-2</v>
      </c>
      <c r="M58" s="270">
        <f t="shared" si="36"/>
        <v>-1.9E-2</v>
      </c>
      <c r="N58" s="270">
        <f t="shared" si="36"/>
        <v>-1.9E-2</v>
      </c>
      <c r="O58" s="270">
        <f t="shared" si="36"/>
        <v>-1.9E-2</v>
      </c>
      <c r="P58" s="270">
        <f t="shared" si="36"/>
        <v>-1.9E-2</v>
      </c>
      <c r="Q58" s="271">
        <f t="shared" si="36"/>
        <v>-1.9E-2</v>
      </c>
      <c r="R58" s="270">
        <f t="shared" si="36"/>
        <v>-1.9000000000000003E-2</v>
      </c>
      <c r="S58" s="270">
        <f t="shared" si="36"/>
        <v>0</v>
      </c>
      <c r="T58" s="269">
        <f t="shared" si="27"/>
        <v>2.9799085425132876E-3</v>
      </c>
      <c r="U58" s="270"/>
      <c r="V58" s="270"/>
      <c r="W58" s="269"/>
      <c r="X58" s="221"/>
      <c r="Y58" s="267"/>
    </row>
    <row r="59" spans="1:25" ht="15.6" customHeight="1" outlineLevel="1" x14ac:dyDescent="0.2">
      <c r="A59" s="275" t="s">
        <v>244</v>
      </c>
      <c r="B59" s="274" t="str">
        <f>+B55</f>
        <v>HV Inverter (800V inverter)</v>
      </c>
      <c r="C59" s="272">
        <f t="shared" ref="C59" si="37">IFERROR((C55+C56)/C57,0)</f>
        <v>-2.7758531493885311E-2</v>
      </c>
      <c r="D59" s="270">
        <f t="shared" ref="D59:S59" si="38">IFERROR((D55+D56)/D57,0)</f>
        <v>-3.1555280650128276E-2</v>
      </c>
      <c r="E59" s="273">
        <f t="shared" si="38"/>
        <v>-3.1555280650128276E-2</v>
      </c>
      <c r="F59" s="272">
        <f t="shared" si="38"/>
        <v>-1.9E-2</v>
      </c>
      <c r="G59" s="270">
        <f t="shared" si="38"/>
        <v>-1.9E-2</v>
      </c>
      <c r="H59" s="270">
        <f t="shared" si="38"/>
        <v>-1.9E-2</v>
      </c>
      <c r="I59" s="270">
        <f t="shared" si="38"/>
        <v>-1.9E-2</v>
      </c>
      <c r="J59" s="270">
        <f t="shared" si="38"/>
        <v>-1.9E-2</v>
      </c>
      <c r="K59" s="270">
        <f t="shared" si="38"/>
        <v>-1.9E-2</v>
      </c>
      <c r="L59" s="270">
        <f t="shared" si="38"/>
        <v>-1.9E-2</v>
      </c>
      <c r="M59" s="270">
        <f t="shared" si="38"/>
        <v>-1.9E-2</v>
      </c>
      <c r="N59" s="270">
        <f t="shared" si="38"/>
        <v>-1.9E-2</v>
      </c>
      <c r="O59" s="270">
        <f t="shared" si="38"/>
        <v>-1.9E-2</v>
      </c>
      <c r="P59" s="270">
        <f t="shared" si="38"/>
        <v>-1.9E-2</v>
      </c>
      <c r="Q59" s="271">
        <f t="shared" si="38"/>
        <v>-1.9E-2</v>
      </c>
      <c r="R59" s="270">
        <f t="shared" si="38"/>
        <v>-1.9000000000000003E-2</v>
      </c>
      <c r="S59" s="270">
        <f t="shared" si="38"/>
        <v>0</v>
      </c>
      <c r="T59" s="269">
        <f t="shared" si="27"/>
        <v>1.2555280650128273E-2</v>
      </c>
      <c r="U59" s="270"/>
      <c r="V59" s="270"/>
      <c r="W59" s="269"/>
      <c r="X59" s="221"/>
      <c r="Y59" s="267"/>
    </row>
    <row r="60" spans="1:25" ht="15.6" customHeight="1" outlineLevel="1" x14ac:dyDescent="0.2">
      <c r="A60" s="283" t="s">
        <v>243</v>
      </c>
      <c r="B60" s="282" t="s">
        <v>1538</v>
      </c>
      <c r="C60" s="678">
        <v>0</v>
      </c>
      <c r="D60" s="286">
        <f t="shared" ref="D60:D61" si="39">E60</f>
        <v>-93827.536254667488</v>
      </c>
      <c r="E60" s="285">
        <v>-93827.536254667488</v>
      </c>
      <c r="F60" s="280">
        <v>-26763.084857423804</v>
      </c>
      <c r="G60" s="279">
        <v>-26763.084857423804</v>
      </c>
      <c r="H60" s="279">
        <v>-42562.557653228461</v>
      </c>
      <c r="I60" s="279">
        <v>-42562.557653228461</v>
      </c>
      <c r="J60" s="279">
        <v>-49248.964372336945</v>
      </c>
      <c r="K60" s="279">
        <v>-49248.964372336945</v>
      </c>
      <c r="L60" s="279">
        <v>-49248.964372336945</v>
      </c>
      <c r="M60" s="279">
        <v>-49248.964372336945</v>
      </c>
      <c r="N60" s="279">
        <v>-49248.964372336945</v>
      </c>
      <c r="O60" s="279">
        <v>-49248.964372336945</v>
      </c>
      <c r="P60" s="279">
        <v>-49248.964372336945</v>
      </c>
      <c r="Q60" s="278">
        <v>-49248.964372336945</v>
      </c>
      <c r="R60" s="277">
        <f>SUM(F60:Q60)</f>
        <v>-532643</v>
      </c>
      <c r="S60" s="276"/>
      <c r="T60" s="710">
        <f t="shared" si="27"/>
        <v>-438815.4637453325</v>
      </c>
      <c r="U60" s="284"/>
      <c r="V60" s="787"/>
      <c r="W60" s="790"/>
      <c r="X60" s="221"/>
      <c r="Y60" s="267"/>
    </row>
    <row r="61" spans="1:25" ht="15.6" customHeight="1" outlineLevel="1" x14ac:dyDescent="0.2">
      <c r="A61" s="283" t="s">
        <v>904</v>
      </c>
      <c r="B61" s="282" t="str">
        <f>+B60</f>
        <v>HV Double Inverter (HPCU)</v>
      </c>
      <c r="C61" s="678">
        <v>-70128.764999999999</v>
      </c>
      <c r="D61" s="286">
        <f t="shared" si="39"/>
        <v>-533371.20433598745</v>
      </c>
      <c r="E61" s="285">
        <v>-533371.20433598745</v>
      </c>
      <c r="F61" s="280">
        <v>-219399.5</v>
      </c>
      <c r="G61" s="279">
        <v>-148509</v>
      </c>
      <c r="H61" s="279">
        <v>-136198.5</v>
      </c>
      <c r="I61" s="279">
        <v>-128049.5</v>
      </c>
      <c r="J61" s="279">
        <v>-148842.5</v>
      </c>
      <c r="K61" s="279">
        <v>-90422</v>
      </c>
      <c r="L61" s="279">
        <v>0</v>
      </c>
      <c r="M61" s="279">
        <v>0</v>
      </c>
      <c r="N61" s="279">
        <v>0</v>
      </c>
      <c r="O61" s="279">
        <v>0</v>
      </c>
      <c r="P61" s="279">
        <v>0</v>
      </c>
      <c r="Q61" s="278">
        <v>0</v>
      </c>
      <c r="R61" s="277">
        <f>SUM(F61:Q61)</f>
        <v>-871421</v>
      </c>
      <c r="S61" s="276"/>
      <c r="T61" s="710">
        <f t="shared" si="27"/>
        <v>-338049.79566401255</v>
      </c>
      <c r="U61" s="284"/>
      <c r="V61" s="787"/>
      <c r="W61" s="790"/>
      <c r="X61" s="221"/>
      <c r="Y61" s="267"/>
    </row>
    <row r="62" spans="1:25" ht="15.6" customHeight="1" outlineLevel="1" x14ac:dyDescent="0.2">
      <c r="A62" s="283" t="s">
        <v>240</v>
      </c>
      <c r="B62" s="282" t="str">
        <f>+B60</f>
        <v>HV Double Inverter (HPCU)</v>
      </c>
      <c r="C62" s="281">
        <v>0</v>
      </c>
      <c r="D62" s="286">
        <f>E62</f>
        <v>650969.99999999988</v>
      </c>
      <c r="E62" s="285">
        <v>650969.99999999988</v>
      </c>
      <c r="F62" s="280">
        <v>1012908.2880000001</v>
      </c>
      <c r="G62" s="279">
        <v>1012908.2880000001</v>
      </c>
      <c r="H62" s="279">
        <v>1610874.368</v>
      </c>
      <c r="I62" s="279">
        <v>1610874.368</v>
      </c>
      <c r="J62" s="279">
        <v>1863936.2559999998</v>
      </c>
      <c r="K62" s="279">
        <v>1863936.2559999998</v>
      </c>
      <c r="L62" s="279">
        <v>1863936.2559999998</v>
      </c>
      <c r="M62" s="279">
        <v>1863936.2559999998</v>
      </c>
      <c r="N62" s="279">
        <v>1863936.2559999998</v>
      </c>
      <c r="O62" s="279">
        <v>1863936.2559999998</v>
      </c>
      <c r="P62" s="279">
        <v>1863936.2559999998</v>
      </c>
      <c r="Q62" s="278">
        <v>1863936.2559999998</v>
      </c>
      <c r="R62" s="277">
        <f>SUM(F62:Q62)</f>
        <v>20159055.359999996</v>
      </c>
      <c r="S62" s="276"/>
      <c r="T62" s="710">
        <f t="shared" si="27"/>
        <v>19508085.359999996</v>
      </c>
      <c r="U62" s="268"/>
      <c r="V62" s="268"/>
      <c r="W62" s="790"/>
      <c r="X62" s="221"/>
      <c r="Y62" s="267"/>
    </row>
    <row r="63" spans="1:25" ht="15.6" customHeight="1" outlineLevel="1" x14ac:dyDescent="0.2">
      <c r="A63" s="275" t="s">
        <v>239</v>
      </c>
      <c r="B63" s="274" t="str">
        <f>+B60</f>
        <v>HV Double Inverter (HPCU)</v>
      </c>
      <c r="C63" s="272">
        <f t="shared" ref="C63" si="40">IFERROR(C60/C62,0)</f>
        <v>0</v>
      </c>
      <c r="D63" s="270">
        <f t="shared" ref="D63:S63" si="41">IFERROR(D60/D62,0)</f>
        <v>-0.14413496206379328</v>
      </c>
      <c r="E63" s="273">
        <f t="shared" si="41"/>
        <v>-0.14413496206379328</v>
      </c>
      <c r="F63" s="272">
        <f t="shared" si="41"/>
        <v>-2.6422021790608353E-2</v>
      </c>
      <c r="G63" s="270">
        <f t="shared" si="41"/>
        <v>-2.6422021790608353E-2</v>
      </c>
      <c r="H63" s="270">
        <f t="shared" si="41"/>
        <v>-2.6422021790608353E-2</v>
      </c>
      <c r="I63" s="270">
        <f t="shared" si="41"/>
        <v>-2.6422021790608353E-2</v>
      </c>
      <c r="J63" s="270">
        <f t="shared" si="41"/>
        <v>-2.6422021790608353E-2</v>
      </c>
      <c r="K63" s="270">
        <f t="shared" si="41"/>
        <v>-2.6422021790608353E-2</v>
      </c>
      <c r="L63" s="270">
        <f t="shared" si="41"/>
        <v>-2.6422021790608353E-2</v>
      </c>
      <c r="M63" s="270">
        <f t="shared" si="41"/>
        <v>-2.6422021790608353E-2</v>
      </c>
      <c r="N63" s="270">
        <f t="shared" si="41"/>
        <v>-2.6422021790608353E-2</v>
      </c>
      <c r="O63" s="270">
        <f t="shared" si="41"/>
        <v>-2.6422021790608353E-2</v>
      </c>
      <c r="P63" s="270">
        <f t="shared" si="41"/>
        <v>-2.6422021790608353E-2</v>
      </c>
      <c r="Q63" s="271">
        <f t="shared" si="41"/>
        <v>-2.6422021790608353E-2</v>
      </c>
      <c r="R63" s="270">
        <f t="shared" si="41"/>
        <v>-2.6422021790608353E-2</v>
      </c>
      <c r="S63" s="270">
        <f t="shared" si="41"/>
        <v>0</v>
      </c>
      <c r="T63" s="269">
        <f t="shared" si="27"/>
        <v>0.11771294027318494</v>
      </c>
      <c r="U63" s="270"/>
      <c r="V63" s="270"/>
      <c r="W63" s="269"/>
      <c r="X63" s="221"/>
      <c r="Y63" s="267"/>
    </row>
    <row r="64" spans="1:25" ht="15.6" customHeight="1" outlineLevel="1" x14ac:dyDescent="0.2">
      <c r="A64" s="275" t="s">
        <v>238</v>
      </c>
      <c r="B64" s="274" t="str">
        <f>+B60</f>
        <v>HV Double Inverter (HPCU)</v>
      </c>
      <c r="C64" s="272">
        <f t="shared" ref="C64" si="42">IFERROR((C60+C61)/C62,0)</f>
        <v>0</v>
      </c>
      <c r="D64" s="270">
        <f t="shared" ref="D64:S64" si="43">IFERROR((D60+D61)/D62,0)</f>
        <v>-0.96348332579174922</v>
      </c>
      <c r="E64" s="273">
        <f t="shared" si="43"/>
        <v>-0.96348332579174922</v>
      </c>
      <c r="F64" s="272">
        <f t="shared" si="43"/>
        <v>-0.2430255411805099</v>
      </c>
      <c r="G64" s="270">
        <f t="shared" si="43"/>
        <v>-0.17303845464973011</v>
      </c>
      <c r="H64" s="270">
        <f t="shared" si="43"/>
        <v>-0.1109714458211731</v>
      </c>
      <c r="I64" s="270">
        <f t="shared" si="43"/>
        <v>-0.10591270246918999</v>
      </c>
      <c r="J64" s="270">
        <f t="shared" si="43"/>
        <v>-0.10627587919634145</v>
      </c>
      <c r="K64" s="270">
        <f t="shared" si="43"/>
        <v>-7.4933337405041045E-2</v>
      </c>
      <c r="L64" s="270">
        <f t="shared" si="43"/>
        <v>-2.6422021790608353E-2</v>
      </c>
      <c r="M64" s="270">
        <f t="shared" si="43"/>
        <v>-2.6422021790608353E-2</v>
      </c>
      <c r="N64" s="270">
        <f t="shared" si="43"/>
        <v>-2.6422021790608353E-2</v>
      </c>
      <c r="O64" s="270">
        <f t="shared" si="43"/>
        <v>-2.6422021790608353E-2</v>
      </c>
      <c r="P64" s="270">
        <f t="shared" si="43"/>
        <v>-2.6422021790608353E-2</v>
      </c>
      <c r="Q64" s="271">
        <f t="shared" si="43"/>
        <v>-2.6422021790608353E-2</v>
      </c>
      <c r="R64" s="270">
        <f t="shared" si="43"/>
        <v>-6.9649295313012144E-2</v>
      </c>
      <c r="S64" s="270">
        <f t="shared" si="43"/>
        <v>0</v>
      </c>
      <c r="T64" s="269">
        <f t="shared" si="27"/>
        <v>0.89383403047873711</v>
      </c>
      <c r="U64" s="270"/>
      <c r="V64" s="270"/>
      <c r="W64" s="269"/>
      <c r="X64" s="221"/>
      <c r="Y64" s="267"/>
    </row>
    <row r="65" spans="1:25" ht="15.6" customHeight="1" outlineLevel="1" x14ac:dyDescent="0.2">
      <c r="A65" s="283" t="s">
        <v>237</v>
      </c>
      <c r="B65" s="282" t="s">
        <v>232</v>
      </c>
      <c r="C65" s="678"/>
      <c r="D65" s="286"/>
      <c r="E65" s="285"/>
      <c r="F65" s="280">
        <v>-90226.85677499554</v>
      </c>
      <c r="G65" s="279">
        <v>-78038.467057212692</v>
      </c>
      <c r="H65" s="279">
        <v>-77095.891401034431</v>
      </c>
      <c r="I65" s="279">
        <v>-81159.714186078752</v>
      </c>
      <c r="J65" s="279">
        <v>-79308.658066376142</v>
      </c>
      <c r="K65" s="279">
        <v>-71896.372810105735</v>
      </c>
      <c r="L65" s="279">
        <v>-86721.98158395043</v>
      </c>
      <c r="M65" s="279">
        <v>-60778.264542005403</v>
      </c>
      <c r="N65" s="279">
        <v>-68257.284071844071</v>
      </c>
      <c r="O65" s="279">
        <v>-79443.744464798976</v>
      </c>
      <c r="P65" s="279">
        <v>-79443.744464798976</v>
      </c>
      <c r="Q65" s="278">
        <v>-79443.746464798955</v>
      </c>
      <c r="R65" s="277">
        <f>SUM(F65:Q65)</f>
        <v>-931814.72588799999</v>
      </c>
      <c r="S65" s="276"/>
      <c r="T65" s="710">
        <f t="shared" si="27"/>
        <v>-931814.72588799999</v>
      </c>
      <c r="U65" s="284"/>
      <c r="V65" s="787"/>
      <c r="W65" s="790" t="s">
        <v>1552</v>
      </c>
      <c r="X65" s="221"/>
      <c r="Y65" s="267"/>
    </row>
    <row r="66" spans="1:25" ht="15.6" customHeight="1" outlineLevel="1" x14ac:dyDescent="0.2">
      <c r="A66" s="283" t="s">
        <v>905</v>
      </c>
      <c r="B66" s="282" t="s">
        <v>232</v>
      </c>
      <c r="C66" s="325">
        <f>C81-SUM(C61,C56,C51)</f>
        <v>0</v>
      </c>
      <c r="D66" s="286">
        <f>E66</f>
        <v>-176799.54356551543</v>
      </c>
      <c r="E66" s="324">
        <f>E81-SUM(E61,E56,E51)</f>
        <v>-176799.54356551543</v>
      </c>
      <c r="F66" s="679">
        <f t="shared" ref="F66:Q66" si="44">F81-SUM(F61,F56,F51)</f>
        <v>-20817.166666666657</v>
      </c>
      <c r="G66" s="680">
        <f t="shared" si="44"/>
        <v>-23557.666666666657</v>
      </c>
      <c r="H66" s="680">
        <f t="shared" si="44"/>
        <v>-19918.166666666657</v>
      </c>
      <c r="I66" s="680">
        <f t="shared" si="44"/>
        <v>-26617.166666666657</v>
      </c>
      <c r="J66" s="680">
        <f t="shared" si="44"/>
        <v>-69624.166666666657</v>
      </c>
      <c r="K66" s="680">
        <f t="shared" si="44"/>
        <v>-109194.66666666667</v>
      </c>
      <c r="L66" s="680">
        <f t="shared" si="44"/>
        <v>-201066.66666666666</v>
      </c>
      <c r="M66" s="680">
        <f t="shared" si="44"/>
        <v>-157566.66666666666</v>
      </c>
      <c r="N66" s="680">
        <f t="shared" si="44"/>
        <v>-164816.66666666666</v>
      </c>
      <c r="O66" s="680">
        <f t="shared" si="44"/>
        <v>-105366.66666666667</v>
      </c>
      <c r="P66" s="680">
        <f t="shared" si="44"/>
        <v>-127116.66666666667</v>
      </c>
      <c r="Q66" s="681">
        <f t="shared" si="44"/>
        <v>0</v>
      </c>
      <c r="R66" s="277">
        <f>SUM(F66:Q66)</f>
        <v>-1025662.3333333331</v>
      </c>
      <c r="S66" s="276"/>
      <c r="T66" s="710">
        <f>R66-E66</f>
        <v>-848862.78976781771</v>
      </c>
      <c r="U66" s="284"/>
      <c r="V66" s="787"/>
      <c r="W66" s="790" t="s">
        <v>1551</v>
      </c>
      <c r="X66" s="221"/>
      <c r="Y66" s="267"/>
    </row>
    <row r="67" spans="1:25" ht="15.6" customHeight="1" outlineLevel="1" x14ac:dyDescent="0.2">
      <c r="A67" s="283" t="s">
        <v>235</v>
      </c>
      <c r="B67" s="282" t="s">
        <v>232</v>
      </c>
      <c r="C67" s="281"/>
      <c r="D67" s="286"/>
      <c r="E67" s="285"/>
      <c r="F67" s="280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8"/>
      <c r="R67" s="277">
        <f>SUM(F67:Q67)</f>
        <v>0</v>
      </c>
      <c r="S67" s="276"/>
      <c r="T67" s="710">
        <f t="shared" si="27"/>
        <v>0</v>
      </c>
      <c r="U67" s="268"/>
      <c r="V67" s="268"/>
      <c r="W67" s="790"/>
      <c r="X67" s="221"/>
      <c r="Y67" s="267"/>
    </row>
    <row r="68" spans="1:25" ht="15.6" customHeight="1" outlineLevel="1" x14ac:dyDescent="0.2">
      <c r="A68" s="275" t="s">
        <v>234</v>
      </c>
      <c r="B68" s="274" t="s">
        <v>232</v>
      </c>
      <c r="C68" s="272">
        <f t="shared" ref="C68" si="45">IFERROR(C65/C67,0)</f>
        <v>0</v>
      </c>
      <c r="D68" s="270">
        <f t="shared" ref="D68:S68" si="46">IFERROR(D65/D67,0)</f>
        <v>0</v>
      </c>
      <c r="E68" s="273">
        <f t="shared" si="46"/>
        <v>0</v>
      </c>
      <c r="F68" s="272">
        <f t="shared" si="46"/>
        <v>0</v>
      </c>
      <c r="G68" s="270">
        <f t="shared" si="46"/>
        <v>0</v>
      </c>
      <c r="H68" s="270">
        <f t="shared" si="46"/>
        <v>0</v>
      </c>
      <c r="I68" s="270">
        <f t="shared" si="46"/>
        <v>0</v>
      </c>
      <c r="J68" s="270">
        <f t="shared" si="46"/>
        <v>0</v>
      </c>
      <c r="K68" s="270">
        <f t="shared" si="46"/>
        <v>0</v>
      </c>
      <c r="L68" s="270">
        <f t="shared" si="46"/>
        <v>0</v>
      </c>
      <c r="M68" s="270">
        <f t="shared" si="46"/>
        <v>0</v>
      </c>
      <c r="N68" s="270">
        <f t="shared" si="46"/>
        <v>0</v>
      </c>
      <c r="O68" s="270">
        <f t="shared" si="46"/>
        <v>0</v>
      </c>
      <c r="P68" s="270">
        <f t="shared" si="46"/>
        <v>0</v>
      </c>
      <c r="Q68" s="271">
        <f t="shared" si="46"/>
        <v>0</v>
      </c>
      <c r="R68" s="270">
        <f t="shared" si="46"/>
        <v>0</v>
      </c>
      <c r="S68" s="270">
        <f t="shared" si="46"/>
        <v>0</v>
      </c>
      <c r="T68" s="269">
        <f t="shared" si="27"/>
        <v>0</v>
      </c>
      <c r="U68" s="270"/>
      <c r="V68" s="270"/>
      <c r="W68" s="269"/>
      <c r="X68" s="221"/>
      <c r="Y68" s="267"/>
    </row>
    <row r="69" spans="1:25" ht="15.6" customHeight="1" outlineLevel="1" x14ac:dyDescent="0.2">
      <c r="A69" s="275" t="s">
        <v>233</v>
      </c>
      <c r="B69" s="274" t="s">
        <v>232</v>
      </c>
      <c r="C69" s="272">
        <f t="shared" ref="C69" si="47">IFERROR((C65+C66)/C67,0)</f>
        <v>0</v>
      </c>
      <c r="D69" s="270">
        <f t="shared" ref="D69:S69" si="48">IFERROR((D65+D66)/D67,0)</f>
        <v>0</v>
      </c>
      <c r="E69" s="273">
        <f t="shared" si="48"/>
        <v>0</v>
      </c>
      <c r="F69" s="272">
        <f t="shared" si="48"/>
        <v>0</v>
      </c>
      <c r="G69" s="270">
        <f t="shared" si="48"/>
        <v>0</v>
      </c>
      <c r="H69" s="270">
        <f t="shared" si="48"/>
        <v>0</v>
      </c>
      <c r="I69" s="270">
        <f t="shared" si="48"/>
        <v>0</v>
      </c>
      <c r="J69" s="270">
        <f t="shared" si="48"/>
        <v>0</v>
      </c>
      <c r="K69" s="270">
        <f t="shared" si="48"/>
        <v>0</v>
      </c>
      <c r="L69" s="270">
        <f t="shared" si="48"/>
        <v>0</v>
      </c>
      <c r="M69" s="270">
        <f t="shared" si="48"/>
        <v>0</v>
      </c>
      <c r="N69" s="270">
        <f t="shared" si="48"/>
        <v>0</v>
      </c>
      <c r="O69" s="270">
        <f t="shared" si="48"/>
        <v>0</v>
      </c>
      <c r="P69" s="270">
        <f t="shared" si="48"/>
        <v>0</v>
      </c>
      <c r="Q69" s="271">
        <f t="shared" si="48"/>
        <v>0</v>
      </c>
      <c r="R69" s="270">
        <f t="shared" si="48"/>
        <v>0</v>
      </c>
      <c r="S69" s="270">
        <f t="shared" si="48"/>
        <v>0</v>
      </c>
      <c r="T69" s="269">
        <f t="shared" si="27"/>
        <v>0</v>
      </c>
      <c r="U69" s="270"/>
      <c r="V69" s="270"/>
      <c r="W69" s="269"/>
      <c r="X69" s="221"/>
      <c r="Y69" s="267"/>
    </row>
    <row r="70" spans="1:25" ht="15.6" customHeight="1" x14ac:dyDescent="0.25">
      <c r="A70" s="214" t="s">
        <v>231</v>
      </c>
      <c r="B70" s="215"/>
      <c r="C70" s="266">
        <f t="shared" ref="C70:C71" si="49">+C51+C56+C61+C66</f>
        <v>-107964.765</v>
      </c>
      <c r="D70" s="78">
        <f t="shared" ref="D70:S70" si="50">+D51+D56+D61+D66</f>
        <v>-922990</v>
      </c>
      <c r="E70" s="80">
        <f t="shared" si="50"/>
        <v>-922990</v>
      </c>
      <c r="F70" s="266">
        <f t="shared" si="50"/>
        <v>-246500</v>
      </c>
      <c r="G70" s="78">
        <f t="shared" si="50"/>
        <v>-178350</v>
      </c>
      <c r="H70" s="78">
        <f t="shared" si="50"/>
        <v>-162400</v>
      </c>
      <c r="I70" s="78">
        <f t="shared" si="50"/>
        <v>-160950</v>
      </c>
      <c r="J70" s="78">
        <f t="shared" si="50"/>
        <v>-224750</v>
      </c>
      <c r="K70" s="78">
        <f t="shared" si="50"/>
        <v>-205900</v>
      </c>
      <c r="L70" s="78">
        <f t="shared" si="50"/>
        <v>-207350</v>
      </c>
      <c r="M70" s="78">
        <f t="shared" si="50"/>
        <v>-163850</v>
      </c>
      <c r="N70" s="78">
        <f t="shared" si="50"/>
        <v>-171100</v>
      </c>
      <c r="O70" s="78">
        <f t="shared" si="50"/>
        <v>-111650</v>
      </c>
      <c r="P70" s="78">
        <f t="shared" si="50"/>
        <v>-133400</v>
      </c>
      <c r="Q70" s="265">
        <f t="shared" si="50"/>
        <v>-4350</v>
      </c>
      <c r="R70" s="78">
        <f t="shared" si="50"/>
        <v>-1970549.9999999998</v>
      </c>
      <c r="S70" s="265">
        <f t="shared" si="50"/>
        <v>0</v>
      </c>
      <c r="T70" s="287">
        <f>+T51+T56+T61+T66</f>
        <v>-1047559.9999999998</v>
      </c>
      <c r="U70" s="259"/>
      <c r="V70" s="259"/>
      <c r="W70" s="789"/>
      <c r="X70" s="250"/>
      <c r="Y70" s="220"/>
    </row>
    <row r="71" spans="1:25" ht="15.6" customHeight="1" x14ac:dyDescent="0.25">
      <c r="A71" s="214" t="s">
        <v>228</v>
      </c>
      <c r="B71" s="215"/>
      <c r="C71" s="266">
        <f t="shared" si="49"/>
        <v>20677659.333000001</v>
      </c>
      <c r="D71" s="78">
        <f t="shared" ref="D71:S71" si="51">+D52+D57+D62+D67</f>
        <v>65232639.842000008</v>
      </c>
      <c r="E71" s="80">
        <f t="shared" si="51"/>
        <v>65232639.842000008</v>
      </c>
      <c r="F71" s="266">
        <f t="shared" si="51"/>
        <v>9676394.4337719884</v>
      </c>
      <c r="G71" s="78">
        <f t="shared" si="51"/>
        <v>8494916.3726667985</v>
      </c>
      <c r="H71" s="78">
        <f t="shared" si="51"/>
        <v>9486906.3987018783</v>
      </c>
      <c r="I71" s="78">
        <f t="shared" si="51"/>
        <v>9880257.0047368798</v>
      </c>
      <c r="J71" s="78">
        <f t="shared" si="51"/>
        <v>10133318.89273688</v>
      </c>
      <c r="K71" s="78">
        <f t="shared" si="51"/>
        <v>9345944.340666797</v>
      </c>
      <c r="L71" s="78">
        <f t="shared" si="51"/>
        <v>10921367.386807045</v>
      </c>
      <c r="M71" s="78">
        <f t="shared" si="51"/>
        <v>8164609.4615616966</v>
      </c>
      <c r="N71" s="78">
        <f t="shared" si="51"/>
        <v>8952061.992631752</v>
      </c>
      <c r="O71" s="78">
        <f t="shared" si="51"/>
        <v>10133318.89273688</v>
      </c>
      <c r="P71" s="78">
        <f t="shared" si="51"/>
        <v>10133318.89273688</v>
      </c>
      <c r="Q71" s="265">
        <f t="shared" si="51"/>
        <v>10133318.89273688</v>
      </c>
      <c r="R71" s="78">
        <f t="shared" si="51"/>
        <v>115455732.96249236</v>
      </c>
      <c r="S71" s="265">
        <f t="shared" si="51"/>
        <v>0</v>
      </c>
      <c r="T71" s="287">
        <f>+T52+T57+T62+T67</f>
        <v>50223093.120492347</v>
      </c>
      <c r="U71" s="259"/>
      <c r="V71" s="259"/>
      <c r="W71" s="789"/>
      <c r="X71" s="250"/>
      <c r="Y71" s="220"/>
    </row>
    <row r="72" spans="1:25" ht="15" customHeight="1" x14ac:dyDescent="0.25">
      <c r="A72" s="214" t="s">
        <v>230</v>
      </c>
      <c r="B72" s="215"/>
      <c r="C72" s="263">
        <f t="shared" ref="C72" si="52">+IFERROR(C70/C71,0)</f>
        <v>-5.2213242931077935E-3</v>
      </c>
      <c r="D72" s="262">
        <f t="shared" ref="D72:S72" si="53">+IFERROR(D70/D71,0)</f>
        <v>-1.4149205094804907E-2</v>
      </c>
      <c r="E72" s="264">
        <f t="shared" si="53"/>
        <v>-1.4149205094804907E-2</v>
      </c>
      <c r="F72" s="263">
        <f t="shared" si="53"/>
        <v>-2.5474364618672432E-2</v>
      </c>
      <c r="G72" s="262">
        <f t="shared" si="53"/>
        <v>-2.0994909446531821E-2</v>
      </c>
      <c r="H72" s="262">
        <f t="shared" si="53"/>
        <v>-1.711833058901284E-2</v>
      </c>
      <c r="I72" s="262">
        <f t="shared" si="53"/>
        <v>-1.6290062082680232E-2</v>
      </c>
      <c r="J72" s="262">
        <f t="shared" si="53"/>
        <v>-2.2179307922608749E-2</v>
      </c>
      <c r="K72" s="262">
        <f t="shared" si="53"/>
        <v>-2.2030946525550335E-2</v>
      </c>
      <c r="L72" s="262">
        <f t="shared" si="53"/>
        <v>-1.8985717873613309E-2</v>
      </c>
      <c r="M72" s="262">
        <f t="shared" si="53"/>
        <v>-2.0068320569574357E-2</v>
      </c>
      <c r="N72" s="262">
        <f t="shared" si="53"/>
        <v>-1.9112915006713391E-2</v>
      </c>
      <c r="O72" s="262">
        <f t="shared" si="53"/>
        <v>-1.1018107806715314E-2</v>
      </c>
      <c r="P72" s="262">
        <f t="shared" si="53"/>
        <v>-1.3164492444387128E-2</v>
      </c>
      <c r="Q72" s="261">
        <f t="shared" si="53"/>
        <v>-4.2927692753436287E-4</v>
      </c>
      <c r="R72" s="262">
        <f t="shared" si="53"/>
        <v>-1.7067580356881579E-2</v>
      </c>
      <c r="S72" s="261">
        <f t="shared" si="53"/>
        <v>0</v>
      </c>
      <c r="T72" s="260">
        <f>+-E72</f>
        <v>1.4149205094804907E-2</v>
      </c>
      <c r="U72" s="259"/>
      <c r="V72" s="259"/>
      <c r="W72" s="789"/>
      <c r="X72" s="250"/>
      <c r="Y72" s="220"/>
    </row>
    <row r="73" spans="1:25" ht="15" customHeight="1" x14ac:dyDescent="0.25">
      <c r="A73" s="258"/>
      <c r="B73" s="257"/>
      <c r="C73" s="255"/>
      <c r="D73" s="222"/>
      <c r="E73" s="256"/>
      <c r="F73" s="255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4"/>
      <c r="R73" s="222"/>
      <c r="S73" s="253"/>
      <c r="T73" s="252"/>
      <c r="U73" s="222"/>
      <c r="V73" s="222"/>
      <c r="W73" s="793"/>
      <c r="X73" s="250"/>
      <c r="Y73" s="220"/>
    </row>
    <row r="74" spans="1:25" s="2" customFormat="1" ht="15" customHeight="1" x14ac:dyDescent="0.25">
      <c r="A74" s="249"/>
      <c r="B74" s="164"/>
      <c r="C74" s="247"/>
      <c r="D74" s="244"/>
      <c r="E74" s="248"/>
      <c r="F74" s="247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6"/>
      <c r="R74" s="244"/>
      <c r="S74" s="246"/>
      <c r="T74" s="245"/>
      <c r="U74" s="244"/>
      <c r="V74" s="244"/>
      <c r="W74" s="794"/>
      <c r="X74" s="243"/>
      <c r="Y74" s="242"/>
    </row>
    <row r="75" spans="1:25" s="62" customFormat="1" ht="15" customHeight="1" x14ac:dyDescent="0.25">
      <c r="A75" s="241" t="s">
        <v>229</v>
      </c>
      <c r="B75" s="233"/>
      <c r="C75" s="238">
        <f t="shared" ref="C75:Q75" si="54">C7+C10+C13+C16+C19+C22+C50+C55+C60+C65+C45+C46+C47+C25+C28+C31+C34+C37</f>
        <v>-184294.21</v>
      </c>
      <c r="D75" s="237">
        <f t="shared" si="54"/>
        <v>-878747.17039403575</v>
      </c>
      <c r="E75" s="239">
        <f t="shared" si="54"/>
        <v>-878747</v>
      </c>
      <c r="F75" s="238">
        <f t="shared" si="54"/>
        <v>-240178.86600000001</v>
      </c>
      <c r="G75" s="237">
        <f t="shared" si="54"/>
        <v>-211912.117</v>
      </c>
      <c r="H75" s="237">
        <f t="shared" si="54"/>
        <v>-232898.856</v>
      </c>
      <c r="I75" s="237">
        <f t="shared" si="54"/>
        <v>-242316.557</v>
      </c>
      <c r="J75" s="237">
        <f t="shared" si="54"/>
        <v>-247590.74299999999</v>
      </c>
      <c r="K75" s="237">
        <f t="shared" si="54"/>
        <v>-229767.03899999999</v>
      </c>
      <c r="L75" s="237">
        <f t="shared" si="54"/>
        <v>-265424.89199999999</v>
      </c>
      <c r="M75" s="237">
        <f t="shared" si="54"/>
        <v>-203027.55</v>
      </c>
      <c r="N75" s="237">
        <f t="shared" si="54"/>
        <v>-220946.58199999999</v>
      </c>
      <c r="O75" s="237">
        <f t="shared" si="54"/>
        <v>-247783.48199999999</v>
      </c>
      <c r="P75" s="237">
        <f t="shared" si="54"/>
        <v>-247783.48199999999</v>
      </c>
      <c r="Q75" s="236">
        <f t="shared" si="54"/>
        <v>-247783.484</v>
      </c>
      <c r="R75" s="237">
        <f>R7+R10+R13+R16+R19+R22+R50+R55+R60+R65+R45+R46+R47+R25+R28+R31+R34+R37</f>
        <v>-2837413.65</v>
      </c>
      <c r="S75" s="236">
        <f>S7+S10+S13+S16+S19+S22+S50+S55+S60+S65+S45+S46+S47</f>
        <v>0</v>
      </c>
      <c r="T75" s="235">
        <f>T7+T10+T13+T16+T19+T22+T50+T55+T60+T65+T45+T46+T47+T25+T28+T31+T34+T37</f>
        <v>-1958666.6500000001</v>
      </c>
      <c r="U75" s="228"/>
      <c r="V75" s="237"/>
      <c r="W75" s="795"/>
      <c r="X75" s="226"/>
      <c r="Y75" s="225"/>
    </row>
    <row r="76" spans="1:25" s="62" customFormat="1" ht="15" customHeight="1" x14ac:dyDescent="0.25">
      <c r="A76" s="234" t="s">
        <v>228</v>
      </c>
      <c r="B76" s="233"/>
      <c r="C76" s="238">
        <f>C8+C11+C14+C17+C20+C23+C52+C57+C62+C67+C26+C29+C32+C35+C38</f>
        <v>50414410.311999999</v>
      </c>
      <c r="D76" s="237">
        <f t="shared" ref="D76:R76" si="55">D8+D11+D14+D17+D20+D23+D52+D57+D62+D67+D26+D29+D32+D35+D38</f>
        <v>121435456.88800001</v>
      </c>
      <c r="E76" s="239">
        <f t="shared" si="55"/>
        <v>133169528.691</v>
      </c>
      <c r="F76" s="238">
        <f t="shared" si="55"/>
        <v>15924993.796</v>
      </c>
      <c r="G76" s="237">
        <f t="shared" si="55"/>
        <v>14138873.407</v>
      </c>
      <c r="H76" s="237">
        <f t="shared" si="55"/>
        <v>15464984.203</v>
      </c>
      <c r="I76" s="237">
        <f t="shared" si="55"/>
        <v>16060070.305</v>
      </c>
      <c r="J76" s="237">
        <f t="shared" si="55"/>
        <v>16393335.776000001</v>
      </c>
      <c r="K76" s="237">
        <f t="shared" si="55"/>
        <v>15267090.880000001</v>
      </c>
      <c r="L76" s="237">
        <f t="shared" si="55"/>
        <v>17520240.607000001</v>
      </c>
      <c r="M76" s="237">
        <f t="shared" si="55"/>
        <v>13577475.045</v>
      </c>
      <c r="N76" s="237">
        <f t="shared" si="55"/>
        <v>14709743.471000001</v>
      </c>
      <c r="O76" s="237">
        <f t="shared" si="55"/>
        <v>16405514.567</v>
      </c>
      <c r="P76" s="237">
        <f t="shared" si="55"/>
        <v>16405514.567</v>
      </c>
      <c r="Q76" s="236">
        <f t="shared" si="55"/>
        <v>16405514.564999999</v>
      </c>
      <c r="R76" s="237">
        <f t="shared" si="55"/>
        <v>188273351.18899998</v>
      </c>
      <c r="S76" s="236">
        <f>S8+S11+S14+S17+S20+S23+S52+S57+S62+S67</f>
        <v>0</v>
      </c>
      <c r="T76" s="235">
        <f>T8+T11+T14+T17+T20+T23+T52+T57+T62+T67+T26+T29+T32+T35+T38</f>
        <v>55103822.498000003</v>
      </c>
      <c r="U76" s="228"/>
      <c r="V76" s="228"/>
      <c r="W76" s="796"/>
      <c r="X76" s="226"/>
      <c r="Y76" s="225"/>
    </row>
    <row r="77" spans="1:25" s="62" customFormat="1" ht="15" customHeight="1" x14ac:dyDescent="0.25">
      <c r="A77" s="234" t="s">
        <v>227</v>
      </c>
      <c r="B77" s="233"/>
      <c r="C77" s="231">
        <f t="shared" ref="C77:D77" si="56">IFERROR(C75/C76,0)</f>
        <v>-3.6555859497206687E-3</v>
      </c>
      <c r="D77" s="228">
        <f t="shared" si="56"/>
        <v>-7.2363310758941247E-3</v>
      </c>
      <c r="E77" s="232">
        <f t="shared" ref="E77:T77" si="57">IFERROR(E75/E76,0)</f>
        <v>-6.5987092440568827E-3</v>
      </c>
      <c r="F77" s="231">
        <f t="shared" si="57"/>
        <v>-1.5081881291553629E-2</v>
      </c>
      <c r="G77" s="228">
        <f t="shared" si="57"/>
        <v>-1.4987906808408417E-2</v>
      </c>
      <c r="H77" s="228">
        <f t="shared" si="57"/>
        <v>-1.5059753889358693E-2</v>
      </c>
      <c r="I77" s="228">
        <f t="shared" si="57"/>
        <v>-1.5088137996790669E-2</v>
      </c>
      <c r="J77" s="228">
        <f t="shared" si="57"/>
        <v>-1.5103133760151195E-2</v>
      </c>
      <c r="K77" s="228">
        <f t="shared" si="57"/>
        <v>-1.5049824541294665E-2</v>
      </c>
      <c r="L77" s="228">
        <f t="shared" si="57"/>
        <v>-1.5149614548897957E-2</v>
      </c>
      <c r="M77" s="228">
        <f t="shared" si="57"/>
        <v>-1.4953262615258225E-2</v>
      </c>
      <c r="N77" s="228">
        <f t="shared" si="57"/>
        <v>-1.5020423873168983E-2</v>
      </c>
      <c r="O77" s="228">
        <f t="shared" si="57"/>
        <v>-1.5103670231619622E-2</v>
      </c>
      <c r="P77" s="228">
        <f t="shared" si="57"/>
        <v>-1.5103670231619622E-2</v>
      </c>
      <c r="Q77" s="230">
        <f t="shared" si="57"/>
        <v>-1.5103670355371142E-2</v>
      </c>
      <c r="R77" s="228">
        <f t="shared" si="57"/>
        <v>-1.5070713046115781E-2</v>
      </c>
      <c r="S77" s="230">
        <f t="shared" si="57"/>
        <v>0</v>
      </c>
      <c r="T77" s="229">
        <f t="shared" si="57"/>
        <v>-3.5545023216331136E-2</v>
      </c>
      <c r="U77" s="228"/>
      <c r="V77" s="228"/>
      <c r="W77" s="796"/>
      <c r="X77" s="226"/>
      <c r="Y77" s="225"/>
    </row>
    <row r="78" spans="1:25" ht="15" customHeight="1" x14ac:dyDescent="0.25">
      <c r="B78" s="938"/>
      <c r="C78" s="939"/>
      <c r="D78" s="224"/>
      <c r="E78" s="223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96"/>
      <c r="R78" s="224"/>
      <c r="S78" s="296"/>
      <c r="T78" s="224"/>
      <c r="U78" s="222"/>
      <c r="V78" s="296"/>
      <c r="W78" s="224"/>
      <c r="X78" s="221"/>
      <c r="Y78" s="220"/>
    </row>
    <row r="79" spans="1:25" ht="15" customHeight="1" x14ac:dyDescent="0.2">
      <c r="A79" s="642" t="s">
        <v>909</v>
      </c>
      <c r="B79" s="645"/>
      <c r="C79" s="93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6"/>
      <c r="R79" s="224"/>
      <c r="S79" s="296"/>
      <c r="T79" s="224"/>
      <c r="U79" s="2"/>
      <c r="V79" s="296"/>
      <c r="W79" s="224"/>
    </row>
    <row r="80" spans="1:25" ht="15" customHeight="1" x14ac:dyDescent="0.2">
      <c r="A80" s="643" t="s">
        <v>898</v>
      </c>
      <c r="B80" s="645"/>
      <c r="C80" s="646">
        <f>'P&amp;L'!F44</f>
        <v>-184294.21</v>
      </c>
      <c r="D80" s="645"/>
      <c r="E80" s="645">
        <f>'P&amp;L'!H44</f>
        <v>-878747</v>
      </c>
      <c r="F80" s="646">
        <f>'P&amp;L_seasonal'!D44</f>
        <v>-240178.86600000001</v>
      </c>
      <c r="G80" s="645">
        <f>'P&amp;L_seasonal'!E44</f>
        <v>-211912.117</v>
      </c>
      <c r="H80" s="645">
        <f>'P&amp;L_seasonal'!F44</f>
        <v>-232898.856</v>
      </c>
      <c r="I80" s="645">
        <f>'P&amp;L_seasonal'!G44</f>
        <v>-242316.557</v>
      </c>
      <c r="J80" s="645">
        <f>'P&amp;L_seasonal'!H44</f>
        <v>-247590.74299999999</v>
      </c>
      <c r="K80" s="645">
        <f>'P&amp;L_seasonal'!I44</f>
        <v>-229767.03899999999</v>
      </c>
      <c r="L80" s="645">
        <f>'P&amp;L_seasonal'!J44</f>
        <v>-265424.89199999999</v>
      </c>
      <c r="M80" s="645">
        <f>'P&amp;L_seasonal'!K44</f>
        <v>-203027.55</v>
      </c>
      <c r="N80" s="645">
        <f>'P&amp;L_seasonal'!L44</f>
        <v>-220946.58199999999</v>
      </c>
      <c r="O80" s="645">
        <f>'P&amp;L_seasonal'!M44</f>
        <v>-247783.48199999999</v>
      </c>
      <c r="P80" s="645">
        <f>'P&amp;L_seasonal'!N44</f>
        <v>-247783.48199999999</v>
      </c>
      <c r="Q80" s="645">
        <f>'P&amp;L_seasonal'!O44</f>
        <v>-247783.484</v>
      </c>
      <c r="R80" s="646">
        <f>'P&amp;L'!I44</f>
        <v>-2837413.65</v>
      </c>
      <c r="S80" s="645"/>
      <c r="T80" s="646">
        <f t="shared" ref="T80:T82" si="58">R80-E80</f>
        <v>-1958666.65</v>
      </c>
      <c r="U80" s="644"/>
      <c r="V80" s="645"/>
      <c r="W80" s="797"/>
    </row>
    <row r="81" spans="1:23" ht="15" customHeight="1" x14ac:dyDescent="0.2">
      <c r="A81" s="647" t="s">
        <v>900</v>
      </c>
      <c r="B81" s="645"/>
      <c r="C81" s="646">
        <f>'P&amp;L'!F46</f>
        <v>-107964.765</v>
      </c>
      <c r="D81" s="645"/>
      <c r="E81" s="645">
        <f>'P&amp;L'!H46</f>
        <v>-922990</v>
      </c>
      <c r="F81" s="646">
        <f>'P&amp;L_seasonal'!D46</f>
        <v>-246500</v>
      </c>
      <c r="G81" s="645">
        <f>'P&amp;L_seasonal'!E46</f>
        <v>-178350</v>
      </c>
      <c r="H81" s="645">
        <f>'P&amp;L_seasonal'!F46</f>
        <v>-162400</v>
      </c>
      <c r="I81" s="645">
        <f>'P&amp;L_seasonal'!G46</f>
        <v>-160950</v>
      </c>
      <c r="J81" s="645">
        <f>'P&amp;L_seasonal'!H46</f>
        <v>-224750</v>
      </c>
      <c r="K81" s="645">
        <f>'P&amp;L_seasonal'!I46</f>
        <v>-205900</v>
      </c>
      <c r="L81" s="645">
        <f>'P&amp;L_seasonal'!J46</f>
        <v>-207350</v>
      </c>
      <c r="M81" s="645">
        <f>'P&amp;L_seasonal'!K46</f>
        <v>-163850</v>
      </c>
      <c r="N81" s="645">
        <f>'P&amp;L_seasonal'!L46</f>
        <v>-171100</v>
      </c>
      <c r="O81" s="645">
        <f>'P&amp;L_seasonal'!M46</f>
        <v>-111650</v>
      </c>
      <c r="P81" s="645">
        <f>'P&amp;L_seasonal'!N46</f>
        <v>-133400</v>
      </c>
      <c r="Q81" s="645">
        <f>'P&amp;L_seasonal'!O46</f>
        <v>-4350</v>
      </c>
      <c r="R81" s="646">
        <f>'P&amp;L'!I46</f>
        <v>-1970550</v>
      </c>
      <c r="S81" s="645"/>
      <c r="T81" s="646">
        <f t="shared" si="58"/>
        <v>-1047560</v>
      </c>
      <c r="U81" s="644"/>
      <c r="V81" s="644"/>
      <c r="W81" s="798"/>
    </row>
    <row r="82" spans="1:23" ht="15" customHeight="1" x14ac:dyDescent="0.2">
      <c r="A82" s="647" t="s">
        <v>899</v>
      </c>
      <c r="B82" s="645"/>
      <c r="C82" s="646">
        <f>'P&amp;L'!F8</f>
        <v>50414410.311999999</v>
      </c>
      <c r="D82" s="645"/>
      <c r="E82" s="645">
        <f>'P&amp;L'!H8</f>
        <v>133169528.691</v>
      </c>
      <c r="F82" s="646">
        <f>'P&amp;L_seasonal'!D8</f>
        <v>15924993.796</v>
      </c>
      <c r="G82" s="645">
        <f>'P&amp;L_seasonal'!E8</f>
        <v>14138873.407</v>
      </c>
      <c r="H82" s="645">
        <f>'P&amp;L_seasonal'!F8</f>
        <v>15464984.203</v>
      </c>
      <c r="I82" s="645">
        <f>'P&amp;L_seasonal'!G8</f>
        <v>16060070.305</v>
      </c>
      <c r="J82" s="645">
        <f>'P&amp;L_seasonal'!H8</f>
        <v>16393335.776000001</v>
      </c>
      <c r="K82" s="645">
        <f>'P&amp;L_seasonal'!I8</f>
        <v>15267090.880000001</v>
      </c>
      <c r="L82" s="645">
        <f>'P&amp;L_seasonal'!J8</f>
        <v>17520240.607000001</v>
      </c>
      <c r="M82" s="645">
        <f>'P&amp;L_seasonal'!K8</f>
        <v>13577475.045</v>
      </c>
      <c r="N82" s="645">
        <f>'P&amp;L_seasonal'!L8</f>
        <v>14709743.471000001</v>
      </c>
      <c r="O82" s="645">
        <f>'P&amp;L_seasonal'!M8</f>
        <v>16405514.567</v>
      </c>
      <c r="P82" s="645">
        <f>'P&amp;L_seasonal'!N8</f>
        <v>16405514.567</v>
      </c>
      <c r="Q82" s="645">
        <f>'P&amp;L_seasonal'!O8</f>
        <v>16405514.564999999</v>
      </c>
      <c r="R82" s="646">
        <f>'P&amp;L'!I8</f>
        <v>188273351.18900001</v>
      </c>
      <c r="S82" s="644"/>
      <c r="T82" s="646">
        <f t="shared" si="58"/>
        <v>55103822.498000011</v>
      </c>
      <c r="U82" s="644"/>
      <c r="V82" s="644"/>
      <c r="W82" s="798"/>
    </row>
    <row r="83" spans="1:23" ht="15" customHeight="1" x14ac:dyDescent="0.2">
      <c r="B83" s="5" t="s">
        <v>906</v>
      </c>
      <c r="C83" s="763">
        <f>C75-C80</f>
        <v>0</v>
      </c>
      <c r="D83" s="96"/>
      <c r="E83" s="96">
        <f>E75-E80</f>
        <v>0</v>
      </c>
      <c r="F83" s="763">
        <f t="shared" ref="F83:Q83" si="59">F75-F80</f>
        <v>0</v>
      </c>
      <c r="G83" s="96">
        <f t="shared" si="59"/>
        <v>0</v>
      </c>
      <c r="H83" s="96">
        <f t="shared" si="59"/>
        <v>0</v>
      </c>
      <c r="I83" s="96">
        <f t="shared" si="59"/>
        <v>0</v>
      </c>
      <c r="J83" s="96">
        <f t="shared" si="59"/>
        <v>0</v>
      </c>
      <c r="K83" s="96">
        <f t="shared" si="59"/>
        <v>0</v>
      </c>
      <c r="L83" s="96">
        <f t="shared" si="59"/>
        <v>0</v>
      </c>
      <c r="M83" s="96">
        <f t="shared" si="59"/>
        <v>0</v>
      </c>
      <c r="N83" s="96">
        <f t="shared" si="59"/>
        <v>0</v>
      </c>
      <c r="O83" s="96">
        <f t="shared" si="59"/>
        <v>0</v>
      </c>
      <c r="P83" s="96">
        <f t="shared" si="59"/>
        <v>0</v>
      </c>
      <c r="Q83" s="96">
        <f t="shared" si="59"/>
        <v>0</v>
      </c>
      <c r="R83" s="763">
        <f>R75-R80</f>
        <v>0</v>
      </c>
      <c r="S83" s="96"/>
      <c r="T83" s="763">
        <f>T80-T75</f>
        <v>0</v>
      </c>
      <c r="W83" s="799"/>
    </row>
    <row r="84" spans="1:23" ht="15" customHeight="1" x14ac:dyDescent="0.2">
      <c r="B84" s="5" t="s">
        <v>907</v>
      </c>
      <c r="C84" s="763">
        <f>C70-C81</f>
        <v>0</v>
      </c>
      <c r="D84" s="96"/>
      <c r="E84" s="96">
        <f>E70-E81</f>
        <v>0</v>
      </c>
      <c r="F84" s="763">
        <f t="shared" ref="F84:Q84" si="60">F70-F81</f>
        <v>0</v>
      </c>
      <c r="G84" s="96">
        <f t="shared" si="60"/>
        <v>0</v>
      </c>
      <c r="H84" s="96">
        <f t="shared" si="60"/>
        <v>0</v>
      </c>
      <c r="I84" s="96">
        <f t="shared" si="60"/>
        <v>0</v>
      </c>
      <c r="J84" s="96">
        <f t="shared" si="60"/>
        <v>0</v>
      </c>
      <c r="K84" s="96">
        <f t="shared" si="60"/>
        <v>0</v>
      </c>
      <c r="L84" s="96">
        <f t="shared" si="60"/>
        <v>0</v>
      </c>
      <c r="M84" s="96">
        <f t="shared" si="60"/>
        <v>0</v>
      </c>
      <c r="N84" s="96">
        <f t="shared" si="60"/>
        <v>0</v>
      </c>
      <c r="O84" s="96">
        <f t="shared" si="60"/>
        <v>0</v>
      </c>
      <c r="P84" s="96">
        <f t="shared" si="60"/>
        <v>0</v>
      </c>
      <c r="Q84" s="96">
        <f t="shared" si="60"/>
        <v>0</v>
      </c>
      <c r="R84" s="763">
        <f>R70-R81</f>
        <v>0</v>
      </c>
      <c r="S84" s="96"/>
      <c r="T84" s="763">
        <f>T70-T81</f>
        <v>0</v>
      </c>
      <c r="W84" s="799"/>
    </row>
    <row r="85" spans="1:23" ht="15" customHeight="1" x14ac:dyDescent="0.2">
      <c r="B85" s="5" t="s">
        <v>908</v>
      </c>
      <c r="C85" s="763">
        <f>C76-C82</f>
        <v>0</v>
      </c>
      <c r="D85" s="96"/>
      <c r="E85" s="96">
        <f>E76-E82</f>
        <v>0</v>
      </c>
      <c r="F85" s="763">
        <f t="shared" ref="F85:Q85" si="61">F76-F82</f>
        <v>0</v>
      </c>
      <c r="G85" s="96">
        <f t="shared" si="61"/>
        <v>0</v>
      </c>
      <c r="H85" s="96">
        <f t="shared" si="61"/>
        <v>0</v>
      </c>
      <c r="I85" s="96">
        <f t="shared" si="61"/>
        <v>0</v>
      </c>
      <c r="J85" s="96">
        <f t="shared" si="61"/>
        <v>0</v>
      </c>
      <c r="K85" s="96">
        <f t="shared" si="61"/>
        <v>0</v>
      </c>
      <c r="L85" s="96">
        <f t="shared" si="61"/>
        <v>0</v>
      </c>
      <c r="M85" s="96">
        <f t="shared" si="61"/>
        <v>0</v>
      </c>
      <c r="N85" s="96">
        <f t="shared" si="61"/>
        <v>0</v>
      </c>
      <c r="O85" s="96">
        <f t="shared" si="61"/>
        <v>0</v>
      </c>
      <c r="P85" s="96">
        <f t="shared" si="61"/>
        <v>0</v>
      </c>
      <c r="Q85" s="96">
        <f t="shared" si="61"/>
        <v>0</v>
      </c>
      <c r="R85" s="763">
        <f>R76-R82</f>
        <v>0</v>
      </c>
      <c r="S85" s="96"/>
      <c r="T85" s="763">
        <f>T76-T82</f>
        <v>0</v>
      </c>
      <c r="W85" s="799"/>
    </row>
    <row r="86" spans="1:23" ht="15" customHeight="1" x14ac:dyDescent="0.2"/>
    <row r="87" spans="1:23" ht="15" customHeight="1" x14ac:dyDescent="0.2"/>
    <row r="88" spans="1:23" ht="15" customHeight="1" x14ac:dyDescent="0.2"/>
  </sheetData>
  <mergeCells count="6">
    <mergeCell ref="T4:V4"/>
    <mergeCell ref="A4:B4"/>
    <mergeCell ref="A5:B5"/>
    <mergeCell ref="F4:Q4"/>
    <mergeCell ref="R4:S4"/>
    <mergeCell ref="C4:E4"/>
  </mergeCells>
  <conditionalFormatting sqref="C83:T85">
    <cfRule type="cellIs" dxfId="8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="90" zoomScaleNormal="90" workbookViewId="0">
      <pane xSplit="2" ySplit="5" topLeftCell="C33" activePane="bottomRight" state="frozen"/>
      <selection activeCell="F20" sqref="F20"/>
      <selection pane="topRight" activeCell="F20" sqref="F20"/>
      <selection pane="bottomLeft" activeCell="F20" sqref="F20"/>
      <selection pane="bottomRight" activeCell="R65" sqref="R65"/>
    </sheetView>
  </sheetViews>
  <sheetFormatPr defaultColWidth="8.7109375" defaultRowHeight="12.75" customHeight="1" outlineLevelRow="1" x14ac:dyDescent="0.2"/>
  <cols>
    <col min="1" max="1" width="41.28515625" style="221" customWidth="1"/>
    <col min="2" max="2" width="36" style="221" bestFit="1" customWidth="1"/>
    <col min="3" max="3" width="13.28515625" style="221" customWidth="1"/>
    <col min="4" max="5" width="11.5703125" style="221" customWidth="1"/>
    <col min="6" max="16" width="8.7109375" style="221" customWidth="1"/>
    <col min="17" max="17" width="12.42578125" style="221" bestFit="1" customWidth="1"/>
    <col min="18" max="18" width="11" style="221" customWidth="1"/>
    <col min="19" max="19" width="11.5703125" style="221" customWidth="1"/>
    <col min="20" max="20" width="12.42578125" style="221" customWidth="1"/>
    <col min="21" max="21" width="15.28515625" style="221" customWidth="1"/>
    <col min="22" max="22" width="10.5703125" style="221" customWidth="1"/>
    <col min="23" max="23" width="48.7109375" style="221" bestFit="1" customWidth="1"/>
    <col min="24" max="24" width="5.28515625" style="221" customWidth="1"/>
    <col min="25" max="25" width="66.7109375" style="221" customWidth="1"/>
    <col min="26" max="16384" width="8.7109375" style="221"/>
  </cols>
  <sheetData>
    <row r="1" spans="1:25" ht="20.100000000000001" customHeight="1" x14ac:dyDescent="0.25">
      <c r="A1" s="60" t="str">
        <f>+'0. Instructions'!A1</f>
        <v>Budget 2024</v>
      </c>
      <c r="D1" s="307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60" t="str">
        <f>'Input-FX Rates'!$H$1</f>
        <v>Plant ICH Icheon (242)</v>
      </c>
      <c r="X1" s="306"/>
      <c r="Y1" s="56" t="s">
        <v>144</v>
      </c>
    </row>
    <row r="2" spans="1:25" ht="20.100000000000001" customHeight="1" thickBot="1" x14ac:dyDescent="0.3">
      <c r="A2" s="55" t="s">
        <v>289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7851 PL eMotor Controls</v>
      </c>
      <c r="Y2" s="95" t="s">
        <v>142</v>
      </c>
    </row>
    <row r="3" spans="1:25" ht="13.5" customHeight="1" x14ac:dyDescent="0.2"/>
    <row r="4" spans="1:25" ht="36.75" customHeight="1" x14ac:dyDescent="0.2">
      <c r="A4" s="1033" t="str">
        <f>"in '000 "&amp;"EUR"</f>
        <v>in '000 EUR</v>
      </c>
      <c r="B4" s="1036"/>
      <c r="C4" s="1035">
        <v>2023</v>
      </c>
      <c r="D4" s="1033"/>
      <c r="E4" s="1036"/>
      <c r="F4" s="1035">
        <v>2024</v>
      </c>
      <c r="G4" s="1033"/>
      <c r="H4" s="1033"/>
      <c r="I4" s="1033"/>
      <c r="J4" s="1033"/>
      <c r="K4" s="1033"/>
      <c r="L4" s="1033"/>
      <c r="M4" s="1033"/>
      <c r="N4" s="1033"/>
      <c r="O4" s="1033"/>
      <c r="P4" s="1033"/>
      <c r="Q4" s="1034"/>
      <c r="R4" s="1037">
        <v>2024</v>
      </c>
      <c r="S4" s="1034" t="s">
        <v>210</v>
      </c>
      <c r="T4" s="1037" t="s">
        <v>1042</v>
      </c>
      <c r="U4" s="1033"/>
      <c r="V4" s="1034"/>
      <c r="W4" s="187" t="s">
        <v>154</v>
      </c>
    </row>
    <row r="5" spans="1:25" ht="45" customHeight="1" x14ac:dyDescent="0.2">
      <c r="A5" s="1033"/>
      <c r="B5" s="1036"/>
      <c r="C5" s="656" t="s">
        <v>938</v>
      </c>
      <c r="D5" s="187" t="s">
        <v>901</v>
      </c>
      <c r="E5" s="188" t="s">
        <v>115</v>
      </c>
      <c r="F5" s="656" t="s">
        <v>287</v>
      </c>
      <c r="G5" s="187" t="s">
        <v>286</v>
      </c>
      <c r="H5" s="187" t="s">
        <v>285</v>
      </c>
      <c r="I5" s="187" t="s">
        <v>284</v>
      </c>
      <c r="J5" s="187" t="s">
        <v>283</v>
      </c>
      <c r="K5" s="187" t="s">
        <v>282</v>
      </c>
      <c r="L5" s="187" t="s">
        <v>281</v>
      </c>
      <c r="M5" s="187" t="s">
        <v>280</v>
      </c>
      <c r="N5" s="187" t="s">
        <v>279</v>
      </c>
      <c r="O5" s="187" t="s">
        <v>278</v>
      </c>
      <c r="P5" s="187" t="s">
        <v>277</v>
      </c>
      <c r="Q5" s="655" t="s">
        <v>276</v>
      </c>
      <c r="R5" s="187" t="s">
        <v>114</v>
      </c>
      <c r="S5" s="655" t="s">
        <v>210</v>
      </c>
      <c r="T5" s="187" t="s">
        <v>275</v>
      </c>
      <c r="U5" s="187" t="s">
        <v>274</v>
      </c>
      <c r="V5" s="655" t="s">
        <v>273</v>
      </c>
      <c r="W5" s="187"/>
    </row>
    <row r="6" spans="1:25" ht="17.649999999999999" customHeight="1" outlineLevel="1" x14ac:dyDescent="0.2">
      <c r="A6" s="214" t="s">
        <v>272</v>
      </c>
      <c r="B6" s="215"/>
      <c r="C6" s="266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6"/>
      <c r="S6" s="80"/>
      <c r="T6" s="78"/>
      <c r="U6" s="78"/>
      <c r="V6" s="265"/>
      <c r="W6" s="214" t="str">
        <f>IF(ISBLANK('3. Scrap (LC)'!W6),"",'3. Scrap (LC)'!W6)</f>
        <v/>
      </c>
      <c r="Y6" s="267"/>
    </row>
    <row r="7" spans="1:25" s="243" customFormat="1" ht="17.649999999999999" customHeight="1" outlineLevel="1" x14ac:dyDescent="0.2">
      <c r="A7" s="327" t="s">
        <v>255</v>
      </c>
      <c r="B7" s="326" t="str">
        <f>+'3. Scrap (LC)'!B7</f>
        <v>HV Board (eICB/eIGB 100/101/102/103)</v>
      </c>
      <c r="C7" s="325">
        <f>IFERROR('3. Scrap (LC)'!C7/'Input-FX Rates'!$E$16,0)</f>
        <v>-60.975807731717133</v>
      </c>
      <c r="D7" s="323">
        <f>IFERROR('3. Scrap (LC)'!D7/'Input-FX Rates'!$G$16,0)</f>
        <v>-120.31576993156037</v>
      </c>
      <c r="E7" s="324">
        <f>IFERROR('3. Scrap (LC)'!E7/'Input-FX Rates'!$G$16,0)</f>
        <v>-120.31576993156037</v>
      </c>
      <c r="F7" s="323">
        <f>IFERROR('3. Scrap (LC)'!F7/'Input-FX Rates'!$H$16,0)</f>
        <v>-17.827613588953387</v>
      </c>
      <c r="G7" s="323">
        <f>IFERROR('3. Scrap (LC)'!G7/'Input-FX Rates'!$H$16,0)</f>
        <v>-15.847705431180664</v>
      </c>
      <c r="H7" s="323">
        <f>IFERROR('3. Scrap (LC)'!H7/'Input-FX Rates'!$H$16,0)</f>
        <v>-16.919139630789971</v>
      </c>
      <c r="I7" s="323">
        <f>IFERROR('3. Scrap (LC)'!I7/'Input-FX Rates'!$H$16,0)</f>
        <v>-17.579632566771355</v>
      </c>
      <c r="J7" s="323">
        <f>IFERROR('3. Scrap (LC)'!J7/'Input-FX Rates'!$H$16,0)</f>
        <v>-17.828540429250065</v>
      </c>
      <c r="K7" s="323">
        <f>IFERROR('3. Scrap (LC)'!K7/'Input-FX Rates'!$H$16,0)</f>
        <v>-16.707949384417759</v>
      </c>
      <c r="L7" s="323">
        <f>IFERROR('3. Scrap (LC)'!L7/'Input-FX Rates'!$H$16,0)</f>
        <v>-18.949178100325227</v>
      </c>
      <c r="M7" s="323">
        <f>IFERROR('3. Scrap (LC)'!M7/'Input-FX Rates'!$H$16,0)</f>
        <v>-15.027093989779294</v>
      </c>
      <c r="N7" s="323">
        <f>IFERROR('3. Scrap (LC)'!N7/'Input-FX Rates'!$H$16,0)</f>
        <v>-16.166136759932716</v>
      </c>
      <c r="O7" s="323">
        <f>IFERROR('3. Scrap (LC)'!O7/'Input-FX Rates'!$H$16,0)</f>
        <v>-17.866336706199853</v>
      </c>
      <c r="P7" s="323">
        <f>IFERROR('3. Scrap (LC)'!P7/'Input-FX Rates'!$H$16,0)</f>
        <v>-17.866336706199853</v>
      </c>
      <c r="Q7" s="324">
        <f>IFERROR('3. Scrap (LC)'!Q7/'Input-FX Rates'!$H$16,0)</f>
        <v>-17.866336706199853</v>
      </c>
      <c r="R7" s="325">
        <f>SUM(F7:Q7)</f>
        <v>-206.45200000000003</v>
      </c>
      <c r="S7" s="324">
        <f>IFERROR('3. Scrap (LC)'!S7/'Input-FX Rates'!$H$16,0)</f>
        <v>0</v>
      </c>
      <c r="T7" s="323">
        <f t="shared" ref="T7:T42" si="0">R7-E7</f>
        <v>-86.136230068439659</v>
      </c>
      <c r="U7" s="329">
        <f>R7-E9*R8</f>
        <v>-68.331963375434015</v>
      </c>
      <c r="V7" s="328">
        <f>IFERROR(R8/E8*E7-E7,0)</f>
        <v>-17.804266693005644</v>
      </c>
      <c r="W7" s="320" t="str">
        <f>IF(ISBLANK('3. Scrap (LC)'!W7),"",'3. Scrap (LC)'!W7)</f>
        <v/>
      </c>
      <c r="Y7" s="267" t="s">
        <v>1414</v>
      </c>
    </row>
    <row r="8" spans="1:25" s="243" customFormat="1" ht="17.649999999999999" customHeight="1" outlineLevel="1" x14ac:dyDescent="0.2">
      <c r="A8" s="327" t="s">
        <v>252</v>
      </c>
      <c r="B8" s="326" t="str">
        <f>+'3. Scrap (LC)'!B8</f>
        <v>HV Board (eICB/eIGB 100/101/102/103)</v>
      </c>
      <c r="C8" s="325">
        <f>IFERROR('3. Scrap (LC)'!C8/'Input-FX Rates'!$E$16,0)</f>
        <v>21152.127076479799</v>
      </c>
      <c r="D8" s="323">
        <f>IFERROR('3. Scrap (LC)'!D8/'Input-FX Rates'!$G$16,0)</f>
        <v>39964.291355579051</v>
      </c>
      <c r="E8" s="324">
        <f>IFERROR('3. Scrap (LC)'!E8/'Input-FX Rates'!$G$16,0)</f>
        <v>39964.291355579051</v>
      </c>
      <c r="F8" s="323">
        <f>IFERROR('3. Scrap (LC)'!F8/'Input-FX Rates'!$H$16,0)</f>
        <v>3961.6888626408395</v>
      </c>
      <c r="G8" s="323">
        <f>IFERROR('3. Scrap (LC)'!G8/'Input-FX Rates'!$H$16,0)</f>
        <v>3521.7096103106105</v>
      </c>
      <c r="H8" s="323">
        <f>IFERROR('3. Scrap (LC)'!H8/'Input-FX Rates'!$H$16,0)</f>
        <v>3759.805916048068</v>
      </c>
      <c r="I8" s="323">
        <f>IFERROR('3. Scrap (LC)'!I8/'Input-FX Rates'!$H$16,0)</f>
        <v>3906.5820111925</v>
      </c>
      <c r="J8" s="323">
        <f>IFERROR('3. Scrap (LC)'!J8/'Input-FX Rates'!$H$16,0)</f>
        <v>3961.8948269928528</v>
      </c>
      <c r="K8" s="323">
        <f>IFERROR('3. Scrap (LC)'!K8/'Input-FX Rates'!$H$16,0)</f>
        <v>3712.8747862714163</v>
      </c>
      <c r="L8" s="323">
        <f>IFERROR('3. Scrap (LC)'!L8/'Input-FX Rates'!$H$16,0)</f>
        <v>4210.9252290936247</v>
      </c>
      <c r="M8" s="323">
        <f>IFERROR('3. Scrap (LC)'!M8/'Input-FX Rates'!$H$16,0)</f>
        <v>3339.3516524306006</v>
      </c>
      <c r="N8" s="323">
        <f>IFERROR('3. Scrap (LC)'!N8/'Input-FX Rates'!$H$16,0)</f>
        <v>3592.4720734040784</v>
      </c>
      <c r="O8" s="323">
        <f>IFERROR('3. Scrap (LC)'!O8/'Input-FX Rates'!$H$16,0)</f>
        <v>3970.2939931905116</v>
      </c>
      <c r="P8" s="323">
        <f>IFERROR('3. Scrap (LC)'!P8/'Input-FX Rates'!$H$16,0)</f>
        <v>3970.2939931905116</v>
      </c>
      <c r="Q8" s="324">
        <f>IFERROR('3. Scrap (LC)'!Q8/'Input-FX Rates'!$H$16,0)</f>
        <v>3970.2939931905116</v>
      </c>
      <c r="R8" s="325">
        <f>SUM(F8:Q8)</f>
        <v>45878.186947956128</v>
      </c>
      <c r="S8" s="324">
        <f>IFERROR('3. Scrap (LC)'!S8/'Input-FX Rates'!$H$16,0)</f>
        <v>0</v>
      </c>
      <c r="T8" s="323">
        <f t="shared" si="0"/>
        <v>5913.8955923770773</v>
      </c>
      <c r="U8" s="322">
        <f>IFERROR(-U7/(E7+V7),0)</f>
        <v>-0.49472882461776369</v>
      </c>
      <c r="V8" s="321"/>
      <c r="W8" s="320" t="str">
        <f>IF(ISBLANK('3. Scrap (LC)'!W8),"",'3. Scrap (LC)'!W8)</f>
        <v/>
      </c>
      <c r="Y8" s="267" t="s">
        <v>253</v>
      </c>
    </row>
    <row r="9" spans="1:25" ht="17.649999999999999" customHeight="1" outlineLevel="1" x14ac:dyDescent="0.2">
      <c r="A9" s="319" t="s">
        <v>251</v>
      </c>
      <c r="B9" s="318" t="str">
        <f>+'3. Scrap (LC)'!B9</f>
        <v>HV Board (eICB/eIGB 100/101/102/103)</v>
      </c>
      <c r="C9" s="272">
        <f t="shared" ref="C9" si="1">IFERROR(C7/C8,0)</f>
        <v>-2.8827269953157313E-3</v>
      </c>
      <c r="D9" s="270">
        <f t="shared" ref="D9:P9" si="2">IFERROR(D7/D8,0)</f>
        <v>-3.0105818432024862E-3</v>
      </c>
      <c r="E9" s="273">
        <f t="shared" si="2"/>
        <v>-3.0105818432024862E-3</v>
      </c>
      <c r="F9" s="270">
        <f t="shared" si="2"/>
        <v>-4.5000034599056325E-3</v>
      </c>
      <c r="G9" s="270">
        <f t="shared" si="2"/>
        <v>-4.5000034599056325E-3</v>
      </c>
      <c r="H9" s="270">
        <f t="shared" si="2"/>
        <v>-4.5000034599056325E-3</v>
      </c>
      <c r="I9" s="270">
        <f t="shared" si="2"/>
        <v>-4.5000034599056325E-3</v>
      </c>
      <c r="J9" s="270">
        <f t="shared" si="2"/>
        <v>-4.5000034599056325E-3</v>
      </c>
      <c r="K9" s="270">
        <f t="shared" si="2"/>
        <v>-4.5000034599056325E-3</v>
      </c>
      <c r="L9" s="270">
        <f t="shared" si="2"/>
        <v>-4.5000034599056316E-3</v>
      </c>
      <c r="M9" s="270">
        <f t="shared" si="2"/>
        <v>-4.5000034599056325E-3</v>
      </c>
      <c r="N9" s="270">
        <f t="shared" si="2"/>
        <v>-4.5000034599056334E-3</v>
      </c>
      <c r="O9" s="270">
        <f t="shared" si="2"/>
        <v>-4.5000034599056325E-3</v>
      </c>
      <c r="P9" s="270">
        <f t="shared" si="2"/>
        <v>-4.5000034599056325E-3</v>
      </c>
      <c r="Q9" s="273">
        <f>IFERROR(Q7/Q8,0)</f>
        <v>-4.5000034599056325E-3</v>
      </c>
      <c r="R9" s="272">
        <f>IFERROR(R7/R8,0)</f>
        <v>-4.5000034599056325E-3</v>
      </c>
      <c r="S9" s="273">
        <f>+'3. Scrap (LC)'!S9</f>
        <v>0</v>
      </c>
      <c r="T9" s="270">
        <f t="shared" si="0"/>
        <v>-1.4894216167031463E-3</v>
      </c>
      <c r="U9" s="334"/>
      <c r="V9" s="271"/>
      <c r="W9" s="317" t="str">
        <f>IF(ISBLANK('3. Scrap (LC)'!W9),"",'3. Scrap (LC)'!W9)</f>
        <v/>
      </c>
      <c r="Y9" s="267"/>
    </row>
    <row r="10" spans="1:25" s="243" customFormat="1" ht="17.649999999999999" customHeight="1" outlineLevel="1" x14ac:dyDescent="0.2">
      <c r="A10" s="327" t="s">
        <v>249</v>
      </c>
      <c r="B10" s="326" t="str">
        <f>+'3. Scrap (LC)'!B10</f>
        <v>Area 2</v>
      </c>
      <c r="C10" s="325">
        <f>IFERROR('3. Scrap (LC)'!C10/'Input-FX Rates'!$E$16,0)</f>
        <v>0</v>
      </c>
      <c r="D10" s="323">
        <f>IFERROR('3. Scrap (LC)'!D10/'Input-FX Rates'!$G$16,0)</f>
        <v>0</v>
      </c>
      <c r="E10" s="324">
        <f>IFERROR('3. Scrap (LC)'!E10/'Input-FX Rates'!$G$16,0)</f>
        <v>0</v>
      </c>
      <c r="F10" s="323">
        <f>IFERROR('3. Scrap (LC)'!F10/'Input-FX Rates'!$H$16,0)</f>
        <v>0</v>
      </c>
      <c r="G10" s="323">
        <f>IFERROR('3. Scrap (LC)'!G10/'Input-FX Rates'!$H$16,0)</f>
        <v>0</v>
      </c>
      <c r="H10" s="323">
        <f>IFERROR('3. Scrap (LC)'!H10/'Input-FX Rates'!$H$16,0)</f>
        <v>0</v>
      </c>
      <c r="I10" s="323">
        <f>IFERROR('3. Scrap (LC)'!I10/'Input-FX Rates'!$H$16,0)</f>
        <v>0</v>
      </c>
      <c r="J10" s="323">
        <f>IFERROR('3. Scrap (LC)'!J10/'Input-FX Rates'!$H$16,0)</f>
        <v>0</v>
      </c>
      <c r="K10" s="323">
        <f>IFERROR('3. Scrap (LC)'!K10/'Input-FX Rates'!$H$16,0)</f>
        <v>0</v>
      </c>
      <c r="L10" s="323">
        <f>IFERROR('3. Scrap (LC)'!L10/'Input-FX Rates'!$H$16,0)</f>
        <v>0</v>
      </c>
      <c r="M10" s="323">
        <f>IFERROR('3. Scrap (LC)'!M10/'Input-FX Rates'!$H$16,0)</f>
        <v>0</v>
      </c>
      <c r="N10" s="323">
        <f>IFERROR('3. Scrap (LC)'!N10/'Input-FX Rates'!$H$16,0)</f>
        <v>0</v>
      </c>
      <c r="O10" s="323">
        <f>IFERROR('3. Scrap (LC)'!O10/'Input-FX Rates'!$H$16,0)</f>
        <v>0</v>
      </c>
      <c r="P10" s="323">
        <f>IFERROR('3. Scrap (LC)'!P10/'Input-FX Rates'!$H$16,0)</f>
        <v>0</v>
      </c>
      <c r="Q10" s="324">
        <f>IFERROR('3. Scrap (LC)'!Q10/'Input-FX Rates'!$H$16,0)</f>
        <v>0</v>
      </c>
      <c r="R10" s="325">
        <f>SUM(F10:Q10)</f>
        <v>0</v>
      </c>
      <c r="S10" s="324">
        <f>IFERROR('3. Scrap (LC)'!S10/'Input-FX Rates'!$H$16,0)</f>
        <v>0</v>
      </c>
      <c r="T10" s="323">
        <f t="shared" si="0"/>
        <v>0</v>
      </c>
      <c r="U10" s="329">
        <f>R10-E12*R11</f>
        <v>0</v>
      </c>
      <c r="V10" s="328">
        <f>IFERROR(R11/E11*E10-E10,0)</f>
        <v>0</v>
      </c>
      <c r="W10" s="320" t="str">
        <f>IF(ISBLANK('3. Scrap (LC)'!W10),"",'3. Scrap (LC)'!W10)</f>
        <v/>
      </c>
      <c r="Y10" s="267"/>
    </row>
    <row r="11" spans="1:25" s="243" customFormat="1" ht="17.649999999999999" customHeight="1" outlineLevel="1" x14ac:dyDescent="0.2">
      <c r="A11" s="327" t="s">
        <v>246</v>
      </c>
      <c r="B11" s="326" t="str">
        <f>+'3. Scrap (LC)'!B11</f>
        <v>Area 2</v>
      </c>
      <c r="C11" s="325">
        <f>IFERROR('3. Scrap (LC)'!C11/'Input-FX Rates'!$E$16,0)</f>
        <v>0</v>
      </c>
      <c r="D11" s="323">
        <f>IFERROR('3. Scrap (LC)'!D11/'Input-FX Rates'!$G$16,0)</f>
        <v>0</v>
      </c>
      <c r="E11" s="324">
        <f>IFERROR('3. Scrap (LC)'!E11/'Input-FX Rates'!$G$16,0)</f>
        <v>0</v>
      </c>
      <c r="F11" s="323">
        <f>IFERROR('3. Scrap (LC)'!F11/'Input-FX Rates'!$H$16,0)</f>
        <v>0</v>
      </c>
      <c r="G11" s="323">
        <f>IFERROR('3. Scrap (LC)'!G11/'Input-FX Rates'!$H$16,0)</f>
        <v>0</v>
      </c>
      <c r="H11" s="323">
        <f>IFERROR('3. Scrap (LC)'!H11/'Input-FX Rates'!$H$16,0)</f>
        <v>0</v>
      </c>
      <c r="I11" s="323">
        <f>IFERROR('3. Scrap (LC)'!I11/'Input-FX Rates'!$H$16,0)</f>
        <v>0</v>
      </c>
      <c r="J11" s="323">
        <f>IFERROR('3. Scrap (LC)'!J11/'Input-FX Rates'!$H$16,0)</f>
        <v>0</v>
      </c>
      <c r="K11" s="323">
        <f>IFERROR('3. Scrap (LC)'!K11/'Input-FX Rates'!$H$16,0)</f>
        <v>0</v>
      </c>
      <c r="L11" s="323">
        <f>IFERROR('3. Scrap (LC)'!L11/'Input-FX Rates'!$H$16,0)</f>
        <v>0</v>
      </c>
      <c r="M11" s="323">
        <f>IFERROR('3. Scrap (LC)'!M11/'Input-FX Rates'!$H$16,0)</f>
        <v>0</v>
      </c>
      <c r="N11" s="323">
        <f>IFERROR('3. Scrap (LC)'!N11/'Input-FX Rates'!$H$16,0)</f>
        <v>0</v>
      </c>
      <c r="O11" s="323">
        <f>IFERROR('3. Scrap (LC)'!O11/'Input-FX Rates'!$H$16,0)</f>
        <v>0</v>
      </c>
      <c r="P11" s="323">
        <f>IFERROR('3. Scrap (LC)'!P11/'Input-FX Rates'!$H$16,0)</f>
        <v>0</v>
      </c>
      <c r="Q11" s="324">
        <f>IFERROR('3. Scrap (LC)'!Q11/'Input-FX Rates'!$H$16,0)</f>
        <v>0</v>
      </c>
      <c r="R11" s="325">
        <f>SUM(F11:Q11)</f>
        <v>0</v>
      </c>
      <c r="S11" s="324">
        <f>IFERROR('3. Scrap (LC)'!S11/'Input-FX Rates'!$H$16,0)</f>
        <v>0</v>
      </c>
      <c r="T11" s="323">
        <f t="shared" si="0"/>
        <v>0</v>
      </c>
      <c r="U11" s="322">
        <f>-IFERROR(U10/(E10+V10),0)</f>
        <v>0</v>
      </c>
      <c r="V11" s="321"/>
      <c r="W11" s="320" t="str">
        <f>IF(ISBLANK('3. Scrap (LC)'!W11),"",'3. Scrap (LC)'!W11)</f>
        <v/>
      </c>
      <c r="Y11" s="267"/>
    </row>
    <row r="12" spans="1:25" ht="17.649999999999999" customHeight="1" outlineLevel="1" x14ac:dyDescent="0.2">
      <c r="A12" s="319" t="s">
        <v>271</v>
      </c>
      <c r="B12" s="318" t="str">
        <f>+'3. Scrap (LC)'!B12</f>
        <v>Area 2</v>
      </c>
      <c r="C12" s="272">
        <f t="shared" ref="C12" si="3">IFERROR(C10/C11,0)</f>
        <v>0</v>
      </c>
      <c r="D12" s="270">
        <f t="shared" ref="D12:R12" si="4">IFERROR(D10/D11,0)</f>
        <v>0</v>
      </c>
      <c r="E12" s="273">
        <f t="shared" si="4"/>
        <v>0</v>
      </c>
      <c r="F12" s="270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3">
        <f t="shared" si="4"/>
        <v>0</v>
      </c>
      <c r="R12" s="272">
        <f t="shared" si="4"/>
        <v>0</v>
      </c>
      <c r="S12" s="273">
        <f>+'3. Scrap (LC)'!S12</f>
        <v>0</v>
      </c>
      <c r="T12" s="270">
        <f t="shared" si="0"/>
        <v>0</v>
      </c>
      <c r="U12" s="334"/>
      <c r="V12" s="271"/>
      <c r="W12" s="317" t="str">
        <f>IF(ISBLANK('3. Scrap (LC)'!W12),"",'3. Scrap (LC)'!W12)</f>
        <v/>
      </c>
      <c r="Y12" s="267"/>
    </row>
    <row r="13" spans="1:25" s="243" customFormat="1" ht="17.649999999999999" customHeight="1" outlineLevel="1" x14ac:dyDescent="0.2">
      <c r="A13" s="327" t="s">
        <v>243</v>
      </c>
      <c r="B13" s="326" t="str">
        <f>+'3. Scrap (LC)'!B13</f>
        <v>Area 3</v>
      </c>
      <c r="C13" s="325">
        <f>IFERROR('3. Scrap (LC)'!C13/'Input-FX Rates'!$E$16,0)</f>
        <v>0</v>
      </c>
      <c r="D13" s="323">
        <f>IFERROR('3. Scrap (LC)'!D13/'Input-FX Rates'!$G$16,0)</f>
        <v>0</v>
      </c>
      <c r="E13" s="324">
        <f>IFERROR('3. Scrap (LC)'!E13/'Input-FX Rates'!$G$16,0)</f>
        <v>0</v>
      </c>
      <c r="F13" s="323">
        <f>IFERROR('3. Scrap (LC)'!F13/'Input-FX Rates'!$H$16,0)</f>
        <v>0</v>
      </c>
      <c r="G13" s="323">
        <f>IFERROR('3. Scrap (LC)'!G13/'Input-FX Rates'!$H$16,0)</f>
        <v>0</v>
      </c>
      <c r="H13" s="323">
        <f>IFERROR('3. Scrap (LC)'!H13/'Input-FX Rates'!$H$16,0)</f>
        <v>0</v>
      </c>
      <c r="I13" s="323">
        <f>IFERROR('3. Scrap (LC)'!I13/'Input-FX Rates'!$H$16,0)</f>
        <v>0</v>
      </c>
      <c r="J13" s="323">
        <f>IFERROR('3. Scrap (LC)'!J13/'Input-FX Rates'!$H$16,0)</f>
        <v>0</v>
      </c>
      <c r="K13" s="323">
        <f>IFERROR('3. Scrap (LC)'!K13/'Input-FX Rates'!$H$16,0)</f>
        <v>0</v>
      </c>
      <c r="L13" s="323">
        <f>IFERROR('3. Scrap (LC)'!L13/'Input-FX Rates'!$H$16,0)</f>
        <v>0</v>
      </c>
      <c r="M13" s="323">
        <f>IFERROR('3. Scrap (LC)'!M13/'Input-FX Rates'!$H$16,0)</f>
        <v>0</v>
      </c>
      <c r="N13" s="323">
        <f>IFERROR('3. Scrap (LC)'!N13/'Input-FX Rates'!$H$16,0)</f>
        <v>0</v>
      </c>
      <c r="O13" s="323">
        <f>IFERROR('3. Scrap (LC)'!O13/'Input-FX Rates'!$H$16,0)</f>
        <v>0</v>
      </c>
      <c r="P13" s="323">
        <f>IFERROR('3. Scrap (LC)'!P13/'Input-FX Rates'!$H$16,0)</f>
        <v>0</v>
      </c>
      <c r="Q13" s="324">
        <f>IFERROR('3. Scrap (LC)'!Q13/'Input-FX Rates'!$H$16,0)</f>
        <v>0</v>
      </c>
      <c r="R13" s="325">
        <f>SUM(F13:Q13)</f>
        <v>0</v>
      </c>
      <c r="S13" s="324">
        <f>IFERROR('3. Scrap (LC)'!S13/'Input-FX Rates'!$H$16,0)</f>
        <v>0</v>
      </c>
      <c r="T13" s="323">
        <f t="shared" si="0"/>
        <v>0</v>
      </c>
      <c r="U13" s="329">
        <f>R13-E15*R14</f>
        <v>0</v>
      </c>
      <c r="V13" s="328">
        <f>IFERROR(R14/E14*E13-E13,0)</f>
        <v>0</v>
      </c>
      <c r="W13" s="320" t="str">
        <f>IF(ISBLANK('3. Scrap (LC)'!W13),"",'3. Scrap (LC)'!W13)</f>
        <v/>
      </c>
      <c r="Y13" s="267"/>
    </row>
    <row r="14" spans="1:25" s="243" customFormat="1" ht="17.649999999999999" customHeight="1" outlineLevel="1" x14ac:dyDescent="0.2">
      <c r="A14" s="327" t="s">
        <v>240</v>
      </c>
      <c r="B14" s="326" t="str">
        <f>+'3. Scrap (LC)'!B14</f>
        <v>Area 3</v>
      </c>
      <c r="C14" s="325">
        <f>IFERROR('3. Scrap (LC)'!C14/'Input-FX Rates'!$E$16,0)</f>
        <v>0</v>
      </c>
      <c r="D14" s="323">
        <f>IFERROR('3. Scrap (LC)'!D14/'Input-FX Rates'!$G$16,0)</f>
        <v>0</v>
      </c>
      <c r="E14" s="324">
        <f>IFERROR('3. Scrap (LC)'!E14/'Input-FX Rates'!$G$16,0)</f>
        <v>0</v>
      </c>
      <c r="F14" s="323">
        <f>IFERROR('3. Scrap (LC)'!F14/'Input-FX Rates'!$H$16,0)</f>
        <v>0</v>
      </c>
      <c r="G14" s="323">
        <f>IFERROR('3. Scrap (LC)'!G14/'Input-FX Rates'!$H$16,0)</f>
        <v>0</v>
      </c>
      <c r="H14" s="323">
        <f>IFERROR('3. Scrap (LC)'!H14/'Input-FX Rates'!$H$16,0)</f>
        <v>0</v>
      </c>
      <c r="I14" s="323">
        <f>IFERROR('3. Scrap (LC)'!I14/'Input-FX Rates'!$H$16,0)</f>
        <v>0</v>
      </c>
      <c r="J14" s="323">
        <f>IFERROR('3. Scrap (LC)'!J14/'Input-FX Rates'!$H$16,0)</f>
        <v>0</v>
      </c>
      <c r="K14" s="323">
        <f>IFERROR('3. Scrap (LC)'!K14/'Input-FX Rates'!$H$16,0)</f>
        <v>0</v>
      </c>
      <c r="L14" s="323">
        <f>IFERROR('3. Scrap (LC)'!L14/'Input-FX Rates'!$H$16,0)</f>
        <v>0</v>
      </c>
      <c r="M14" s="323">
        <f>IFERROR('3. Scrap (LC)'!M14/'Input-FX Rates'!$H$16,0)</f>
        <v>0</v>
      </c>
      <c r="N14" s="323">
        <f>IFERROR('3. Scrap (LC)'!N14/'Input-FX Rates'!$H$16,0)</f>
        <v>0</v>
      </c>
      <c r="O14" s="323">
        <f>IFERROR('3. Scrap (LC)'!O14/'Input-FX Rates'!$H$16,0)</f>
        <v>0</v>
      </c>
      <c r="P14" s="323">
        <f>IFERROR('3. Scrap (LC)'!P14/'Input-FX Rates'!$H$16,0)</f>
        <v>0</v>
      </c>
      <c r="Q14" s="324">
        <f>IFERROR('3. Scrap (LC)'!Q14/'Input-FX Rates'!$H$16,0)</f>
        <v>0</v>
      </c>
      <c r="R14" s="325">
        <f>SUM(F14:Q14)</f>
        <v>0</v>
      </c>
      <c r="S14" s="324">
        <f>IFERROR('3. Scrap (LC)'!S14/'Input-FX Rates'!$H$16,0)</f>
        <v>0</v>
      </c>
      <c r="T14" s="323">
        <f t="shared" si="0"/>
        <v>0</v>
      </c>
      <c r="U14" s="322">
        <f>IFERROR(-U13/(E13+V13),0)</f>
        <v>0</v>
      </c>
      <c r="V14" s="321"/>
      <c r="W14" s="320" t="str">
        <f>IF(ISBLANK('3. Scrap (LC)'!W14),"",'3. Scrap (LC)'!W14)</f>
        <v/>
      </c>
      <c r="Y14" s="267"/>
    </row>
    <row r="15" spans="1:25" ht="17.649999999999999" customHeight="1" outlineLevel="1" x14ac:dyDescent="0.2">
      <c r="A15" s="319" t="s">
        <v>270</v>
      </c>
      <c r="B15" s="318" t="str">
        <f>+'3. Scrap (LC)'!B15</f>
        <v>Area 3</v>
      </c>
      <c r="C15" s="272">
        <f t="shared" ref="C15" si="5">IFERROR(C13/C14,0)</f>
        <v>0</v>
      </c>
      <c r="D15" s="270">
        <f t="shared" ref="D15:R15" si="6">IFERROR(D13/D14,0)</f>
        <v>0</v>
      </c>
      <c r="E15" s="273">
        <f t="shared" si="6"/>
        <v>0</v>
      </c>
      <c r="F15" s="270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3">
        <f t="shared" si="6"/>
        <v>0</v>
      </c>
      <c r="R15" s="272">
        <f t="shared" si="6"/>
        <v>0</v>
      </c>
      <c r="S15" s="273">
        <f>+'3. Scrap (LC)'!S15</f>
        <v>0</v>
      </c>
      <c r="T15" s="270">
        <f t="shared" si="0"/>
        <v>0</v>
      </c>
      <c r="U15" s="334"/>
      <c r="V15" s="271"/>
      <c r="W15" s="317" t="str">
        <f>IF(ISBLANK('3. Scrap (LC)'!W15),"",'3. Scrap (LC)'!W15)</f>
        <v/>
      </c>
      <c r="Y15" s="267"/>
    </row>
    <row r="16" spans="1:25" s="243" customFormat="1" ht="17.649999999999999" customHeight="1" outlineLevel="1" x14ac:dyDescent="0.2">
      <c r="A16" s="327" t="s">
        <v>237</v>
      </c>
      <c r="B16" s="326" t="str">
        <f>+'3. Scrap (LC)'!B16</f>
        <v>Area 4</v>
      </c>
      <c r="C16" s="325">
        <f>IFERROR('3. Scrap (LC)'!C16/'Input-FX Rates'!$E$16,0)</f>
        <v>0</v>
      </c>
      <c r="D16" s="323">
        <f>IFERROR('3. Scrap (LC)'!D16/'Input-FX Rates'!$G$16,0)</f>
        <v>0</v>
      </c>
      <c r="E16" s="324">
        <f>IFERROR('3. Scrap (LC)'!E16/'Input-FX Rates'!$G$16,0)</f>
        <v>0</v>
      </c>
      <c r="F16" s="323">
        <f>IFERROR('3. Scrap (LC)'!F16/'Input-FX Rates'!$H$16,0)</f>
        <v>0</v>
      </c>
      <c r="G16" s="323">
        <f>IFERROR('3. Scrap (LC)'!G16/'Input-FX Rates'!$H$16,0)</f>
        <v>0</v>
      </c>
      <c r="H16" s="323">
        <f>IFERROR('3. Scrap (LC)'!H16/'Input-FX Rates'!$H$16,0)</f>
        <v>0</v>
      </c>
      <c r="I16" s="323">
        <f>IFERROR('3. Scrap (LC)'!I16/'Input-FX Rates'!$H$16,0)</f>
        <v>0</v>
      </c>
      <c r="J16" s="323">
        <f>IFERROR('3. Scrap (LC)'!J16/'Input-FX Rates'!$H$16,0)</f>
        <v>0</v>
      </c>
      <c r="K16" s="323">
        <f>IFERROR('3. Scrap (LC)'!K16/'Input-FX Rates'!$H$16,0)</f>
        <v>0</v>
      </c>
      <c r="L16" s="323">
        <f>IFERROR('3. Scrap (LC)'!L16/'Input-FX Rates'!$H$16,0)</f>
        <v>0</v>
      </c>
      <c r="M16" s="323">
        <f>IFERROR('3. Scrap (LC)'!M16/'Input-FX Rates'!$H$16,0)</f>
        <v>0</v>
      </c>
      <c r="N16" s="323">
        <f>IFERROR('3. Scrap (LC)'!N16/'Input-FX Rates'!$H$16,0)</f>
        <v>0</v>
      </c>
      <c r="O16" s="323">
        <f>IFERROR('3. Scrap (LC)'!O16/'Input-FX Rates'!$H$16,0)</f>
        <v>0</v>
      </c>
      <c r="P16" s="323">
        <f>IFERROR('3. Scrap (LC)'!P16/'Input-FX Rates'!$H$16,0)</f>
        <v>0</v>
      </c>
      <c r="Q16" s="324">
        <f>IFERROR('3. Scrap (LC)'!Q16/'Input-FX Rates'!$H$16,0)</f>
        <v>0</v>
      </c>
      <c r="R16" s="325">
        <f>SUM(F16:Q16)</f>
        <v>0</v>
      </c>
      <c r="S16" s="324">
        <f>IFERROR('3. Scrap (LC)'!S16/'Input-FX Rates'!$H$16,0)</f>
        <v>0</v>
      </c>
      <c r="T16" s="323">
        <f t="shared" si="0"/>
        <v>0</v>
      </c>
      <c r="U16" s="329">
        <f>R16-E18*R17</f>
        <v>0</v>
      </c>
      <c r="V16" s="328">
        <f>IFERROR(R17/E17*E16-E16,0)</f>
        <v>0</v>
      </c>
      <c r="W16" s="320" t="str">
        <f>IF(ISBLANK('3. Scrap (LC)'!W16),"",'3. Scrap (LC)'!W16)</f>
        <v/>
      </c>
      <c r="Y16" s="267"/>
    </row>
    <row r="17" spans="1:25" s="243" customFormat="1" ht="17.649999999999999" customHeight="1" outlineLevel="1" x14ac:dyDescent="0.2">
      <c r="A17" s="327" t="s">
        <v>235</v>
      </c>
      <c r="B17" s="326" t="str">
        <f>+'3. Scrap (LC)'!B17</f>
        <v>Area 4</v>
      </c>
      <c r="C17" s="325">
        <f>IFERROR('3. Scrap (LC)'!C17/'Input-FX Rates'!$E$16,0)</f>
        <v>0</v>
      </c>
      <c r="D17" s="323">
        <f>IFERROR('3. Scrap (LC)'!D17/'Input-FX Rates'!$G$16,0)</f>
        <v>0</v>
      </c>
      <c r="E17" s="324">
        <f>IFERROR('3. Scrap (LC)'!E17/'Input-FX Rates'!$G$16,0)</f>
        <v>0</v>
      </c>
      <c r="F17" s="323">
        <f>IFERROR('3. Scrap (LC)'!F17/'Input-FX Rates'!$H$16,0)</f>
        <v>0</v>
      </c>
      <c r="G17" s="323">
        <f>IFERROR('3. Scrap (LC)'!G17/'Input-FX Rates'!$H$16,0)</f>
        <v>0</v>
      </c>
      <c r="H17" s="323">
        <f>IFERROR('3. Scrap (LC)'!H17/'Input-FX Rates'!$H$16,0)</f>
        <v>0</v>
      </c>
      <c r="I17" s="323">
        <f>IFERROR('3. Scrap (LC)'!I17/'Input-FX Rates'!$H$16,0)</f>
        <v>0</v>
      </c>
      <c r="J17" s="323">
        <f>IFERROR('3. Scrap (LC)'!J17/'Input-FX Rates'!$H$16,0)</f>
        <v>0</v>
      </c>
      <c r="K17" s="323">
        <f>IFERROR('3. Scrap (LC)'!K17/'Input-FX Rates'!$H$16,0)</f>
        <v>0</v>
      </c>
      <c r="L17" s="323">
        <f>IFERROR('3. Scrap (LC)'!L17/'Input-FX Rates'!$H$16,0)</f>
        <v>0</v>
      </c>
      <c r="M17" s="323">
        <f>IFERROR('3. Scrap (LC)'!M17/'Input-FX Rates'!$H$16,0)</f>
        <v>0</v>
      </c>
      <c r="N17" s="323">
        <f>IFERROR('3. Scrap (LC)'!N17/'Input-FX Rates'!$H$16,0)</f>
        <v>0</v>
      </c>
      <c r="O17" s="323">
        <f>IFERROR('3. Scrap (LC)'!O17/'Input-FX Rates'!$H$16,0)</f>
        <v>0</v>
      </c>
      <c r="P17" s="323">
        <f>IFERROR('3. Scrap (LC)'!P17/'Input-FX Rates'!$H$16,0)</f>
        <v>0</v>
      </c>
      <c r="Q17" s="324">
        <f>IFERROR('3. Scrap (LC)'!Q17/'Input-FX Rates'!$H$16,0)</f>
        <v>0</v>
      </c>
      <c r="R17" s="325">
        <f>SUM(F17:Q17)</f>
        <v>0</v>
      </c>
      <c r="S17" s="324">
        <f>IFERROR('3. Scrap (LC)'!S17/'Input-FX Rates'!$H$16,0)</f>
        <v>0</v>
      </c>
      <c r="T17" s="323">
        <f t="shared" si="0"/>
        <v>0</v>
      </c>
      <c r="U17" s="322">
        <f>IFERROR(-U16/(E16+V16),0)</f>
        <v>0</v>
      </c>
      <c r="V17" s="321"/>
      <c r="W17" s="320" t="str">
        <f>IF(ISBLANK('3. Scrap (LC)'!W17),"",'3. Scrap (LC)'!W17)</f>
        <v/>
      </c>
      <c r="Y17" s="267"/>
    </row>
    <row r="18" spans="1:25" ht="17.649999999999999" customHeight="1" outlineLevel="1" x14ac:dyDescent="0.2">
      <c r="A18" s="319" t="s">
        <v>268</v>
      </c>
      <c r="B18" s="318" t="str">
        <f>+'3. Scrap (LC)'!B18</f>
        <v>Area 4</v>
      </c>
      <c r="C18" s="272">
        <f t="shared" ref="C18" si="7">IFERROR(C16/C17,0)</f>
        <v>0</v>
      </c>
      <c r="D18" s="270">
        <f t="shared" ref="D18:R18" si="8">IFERROR(D16/D17,0)</f>
        <v>0</v>
      </c>
      <c r="E18" s="273">
        <f t="shared" si="8"/>
        <v>0</v>
      </c>
      <c r="F18" s="270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3">
        <f t="shared" si="8"/>
        <v>0</v>
      </c>
      <c r="R18" s="272">
        <f t="shared" si="8"/>
        <v>0</v>
      </c>
      <c r="S18" s="273">
        <f>+'3. Scrap (LC)'!S18</f>
        <v>0</v>
      </c>
      <c r="T18" s="270">
        <f t="shared" si="0"/>
        <v>0</v>
      </c>
      <c r="U18" s="334"/>
      <c r="V18" s="271"/>
      <c r="W18" s="317" t="str">
        <f>IF(ISBLANK('3. Scrap (LC)'!W18),"",'3. Scrap (LC)'!W18)</f>
        <v/>
      </c>
      <c r="Y18" s="267"/>
    </row>
    <row r="19" spans="1:25" s="243" customFormat="1" ht="17.649999999999999" customHeight="1" outlineLevel="1" x14ac:dyDescent="0.2">
      <c r="A19" s="327" t="s">
        <v>267</v>
      </c>
      <c r="B19" s="326" t="str">
        <f>+'3. Scrap (LC)'!B19</f>
        <v>Area 5</v>
      </c>
      <c r="C19" s="325">
        <f>IFERROR('3. Scrap (LC)'!C19/'Input-FX Rates'!$E$16,0)</f>
        <v>0</v>
      </c>
      <c r="D19" s="323">
        <f>IFERROR('3. Scrap (LC)'!D19/'Input-FX Rates'!$G$16,0)</f>
        <v>0</v>
      </c>
      <c r="E19" s="324">
        <f>IFERROR('3. Scrap (LC)'!E19/'Input-FX Rates'!$G$16,0)</f>
        <v>0</v>
      </c>
      <c r="F19" s="323">
        <f>IFERROR('3. Scrap (LC)'!F19/'Input-FX Rates'!$H$16,0)</f>
        <v>0</v>
      </c>
      <c r="G19" s="323">
        <f>IFERROR('3. Scrap (LC)'!G19/'Input-FX Rates'!$H$16,0)</f>
        <v>0</v>
      </c>
      <c r="H19" s="323">
        <f>IFERROR('3. Scrap (LC)'!H19/'Input-FX Rates'!$H$16,0)</f>
        <v>0</v>
      </c>
      <c r="I19" s="323">
        <f>IFERROR('3. Scrap (LC)'!I19/'Input-FX Rates'!$H$16,0)</f>
        <v>0</v>
      </c>
      <c r="J19" s="323">
        <f>IFERROR('3. Scrap (LC)'!J19/'Input-FX Rates'!$H$16,0)</f>
        <v>0</v>
      </c>
      <c r="K19" s="323">
        <f>IFERROR('3. Scrap (LC)'!K19/'Input-FX Rates'!$H$16,0)</f>
        <v>0</v>
      </c>
      <c r="L19" s="323">
        <f>IFERROR('3. Scrap (LC)'!L19/'Input-FX Rates'!$H$16,0)</f>
        <v>0</v>
      </c>
      <c r="M19" s="323">
        <f>IFERROR('3. Scrap (LC)'!M19/'Input-FX Rates'!$H$16,0)</f>
        <v>0</v>
      </c>
      <c r="N19" s="323">
        <f>IFERROR('3. Scrap (LC)'!N19/'Input-FX Rates'!$H$16,0)</f>
        <v>0</v>
      </c>
      <c r="O19" s="323">
        <f>IFERROR('3. Scrap (LC)'!O19/'Input-FX Rates'!$H$16,0)</f>
        <v>0</v>
      </c>
      <c r="P19" s="323">
        <f>IFERROR('3. Scrap (LC)'!P19/'Input-FX Rates'!$H$16,0)</f>
        <v>0</v>
      </c>
      <c r="Q19" s="324">
        <f>IFERROR('3. Scrap (LC)'!Q19/'Input-FX Rates'!$H$16,0)</f>
        <v>0</v>
      </c>
      <c r="R19" s="325">
        <f>SUM(F19:Q19)</f>
        <v>0</v>
      </c>
      <c r="S19" s="324">
        <f>IFERROR('3. Scrap (LC)'!S19/'Input-FX Rates'!$H$16,0)</f>
        <v>0</v>
      </c>
      <c r="T19" s="323">
        <f t="shared" si="0"/>
        <v>0</v>
      </c>
      <c r="U19" s="329">
        <f>R19-E21*R20</f>
        <v>0</v>
      </c>
      <c r="V19" s="328">
        <f>IFERROR(R20/E20*E19-E19,0)</f>
        <v>0</v>
      </c>
      <c r="W19" s="320" t="str">
        <f>IF(ISBLANK('3. Scrap (LC)'!W19),"",'3. Scrap (LC)'!W19)</f>
        <v/>
      </c>
      <c r="Y19" s="267"/>
    </row>
    <row r="20" spans="1:25" s="243" customFormat="1" ht="17.649999999999999" customHeight="1" outlineLevel="1" x14ac:dyDescent="0.2">
      <c r="A20" s="327" t="s">
        <v>265</v>
      </c>
      <c r="B20" s="326" t="str">
        <f>+'3. Scrap (LC)'!B20</f>
        <v>Area 5</v>
      </c>
      <c r="C20" s="325">
        <f>IFERROR('3. Scrap (LC)'!C20/'Input-FX Rates'!$E$16,0)</f>
        <v>0</v>
      </c>
      <c r="D20" s="323">
        <f>IFERROR('3. Scrap (LC)'!D20/'Input-FX Rates'!$G$16,0)</f>
        <v>0</v>
      </c>
      <c r="E20" s="324">
        <f>IFERROR('3. Scrap (LC)'!E20/'Input-FX Rates'!$G$16,0)</f>
        <v>0</v>
      </c>
      <c r="F20" s="323">
        <f>IFERROR('3. Scrap (LC)'!F20/'Input-FX Rates'!$H$16,0)</f>
        <v>0</v>
      </c>
      <c r="G20" s="323">
        <f>IFERROR('3. Scrap (LC)'!G20/'Input-FX Rates'!$H$16,0)</f>
        <v>0</v>
      </c>
      <c r="H20" s="323">
        <f>IFERROR('3. Scrap (LC)'!H20/'Input-FX Rates'!$H$16,0)</f>
        <v>0</v>
      </c>
      <c r="I20" s="323">
        <f>IFERROR('3. Scrap (LC)'!I20/'Input-FX Rates'!$H$16,0)</f>
        <v>0</v>
      </c>
      <c r="J20" s="323">
        <f>IFERROR('3. Scrap (LC)'!J20/'Input-FX Rates'!$H$16,0)</f>
        <v>0</v>
      </c>
      <c r="K20" s="323">
        <f>IFERROR('3. Scrap (LC)'!K20/'Input-FX Rates'!$H$16,0)</f>
        <v>0</v>
      </c>
      <c r="L20" s="323">
        <f>IFERROR('3. Scrap (LC)'!L20/'Input-FX Rates'!$H$16,0)</f>
        <v>0</v>
      </c>
      <c r="M20" s="323">
        <f>IFERROR('3. Scrap (LC)'!M20/'Input-FX Rates'!$H$16,0)</f>
        <v>0</v>
      </c>
      <c r="N20" s="323">
        <f>IFERROR('3. Scrap (LC)'!N20/'Input-FX Rates'!$H$16,0)</f>
        <v>0</v>
      </c>
      <c r="O20" s="323">
        <f>IFERROR('3. Scrap (LC)'!O20/'Input-FX Rates'!$H$16,0)</f>
        <v>0</v>
      </c>
      <c r="P20" s="323">
        <f>IFERROR('3. Scrap (LC)'!P20/'Input-FX Rates'!$H$16,0)</f>
        <v>0</v>
      </c>
      <c r="Q20" s="324">
        <f>IFERROR('3. Scrap (LC)'!Q20/'Input-FX Rates'!$H$16,0)</f>
        <v>0</v>
      </c>
      <c r="R20" s="325">
        <f>SUM(F20:Q20)</f>
        <v>0</v>
      </c>
      <c r="S20" s="324">
        <f>IFERROR('3. Scrap (LC)'!S20/'Input-FX Rates'!$H$16,0)</f>
        <v>0</v>
      </c>
      <c r="T20" s="323">
        <f t="shared" si="0"/>
        <v>0</v>
      </c>
      <c r="U20" s="322">
        <f>IFERROR(-U19/(E19+V19),0)</f>
        <v>0</v>
      </c>
      <c r="V20" s="321"/>
      <c r="W20" s="320" t="str">
        <f>IF(ISBLANK('3. Scrap (LC)'!W20),"",'3. Scrap (LC)'!W20)</f>
        <v/>
      </c>
      <c r="Y20" s="267"/>
    </row>
    <row r="21" spans="1:25" ht="17.649999999999999" customHeight="1" outlineLevel="1" x14ac:dyDescent="0.2">
      <c r="A21" s="319" t="s">
        <v>264</v>
      </c>
      <c r="B21" s="318" t="str">
        <f>+'3. Scrap (LC)'!B21</f>
        <v>Area 5</v>
      </c>
      <c r="C21" s="272">
        <f t="shared" ref="C21" si="9">IFERROR(C19/C20,0)</f>
        <v>0</v>
      </c>
      <c r="D21" s="270">
        <f t="shared" ref="D21:R21" si="10">IFERROR(D19/D20,0)</f>
        <v>0</v>
      </c>
      <c r="E21" s="273">
        <f t="shared" si="10"/>
        <v>0</v>
      </c>
      <c r="F21" s="270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3">
        <f t="shared" si="10"/>
        <v>0</v>
      </c>
      <c r="R21" s="272">
        <f t="shared" si="10"/>
        <v>0</v>
      </c>
      <c r="S21" s="273">
        <f>+'3. Scrap (LC)'!S21</f>
        <v>0</v>
      </c>
      <c r="T21" s="270">
        <f t="shared" si="0"/>
        <v>0</v>
      </c>
      <c r="U21" s="334"/>
      <c r="V21" s="271"/>
      <c r="W21" s="317" t="str">
        <f>IF(ISBLANK('3. Scrap (LC)'!W21),"",'3. Scrap (LC)'!W21)</f>
        <v/>
      </c>
      <c r="Y21" s="267"/>
    </row>
    <row r="22" spans="1:25" s="243" customFormat="1" ht="17.649999999999999" customHeight="1" outlineLevel="1" x14ac:dyDescent="0.2">
      <c r="A22" s="283" t="s">
        <v>1013</v>
      </c>
      <c r="B22" s="326" t="str">
        <f>+'3. Scrap (LC)'!B22</f>
        <v>Area 6</v>
      </c>
      <c r="C22" s="325">
        <f>IFERROR('3. Scrap (LC)'!C22/'Input-FX Rates'!$E$16,0)</f>
        <v>0</v>
      </c>
      <c r="D22" s="323">
        <f>IFERROR('3. Scrap (LC)'!D22/'Input-FX Rates'!$G$16,0)</f>
        <v>0</v>
      </c>
      <c r="E22" s="324">
        <f>IFERROR('3. Scrap (LC)'!E22/'Input-FX Rates'!$G$16,0)</f>
        <v>0</v>
      </c>
      <c r="F22" s="323">
        <f>IFERROR('3. Scrap (LC)'!F22/'Input-FX Rates'!$H$16,0)</f>
        <v>0</v>
      </c>
      <c r="G22" s="323">
        <f>IFERROR('3. Scrap (LC)'!G22/'Input-FX Rates'!$H$16,0)</f>
        <v>0</v>
      </c>
      <c r="H22" s="323">
        <f>IFERROR('3. Scrap (LC)'!H22/'Input-FX Rates'!$H$16,0)</f>
        <v>0</v>
      </c>
      <c r="I22" s="323">
        <f>IFERROR('3. Scrap (LC)'!I22/'Input-FX Rates'!$H$16,0)</f>
        <v>0</v>
      </c>
      <c r="J22" s="323">
        <f>IFERROR('3. Scrap (LC)'!J22/'Input-FX Rates'!$H$16,0)</f>
        <v>0</v>
      </c>
      <c r="K22" s="323">
        <f>IFERROR('3. Scrap (LC)'!K22/'Input-FX Rates'!$H$16,0)</f>
        <v>0</v>
      </c>
      <c r="L22" s="323">
        <f>IFERROR('3. Scrap (LC)'!L22/'Input-FX Rates'!$H$16,0)</f>
        <v>0</v>
      </c>
      <c r="M22" s="323">
        <f>IFERROR('3. Scrap (LC)'!M22/'Input-FX Rates'!$H$16,0)</f>
        <v>0</v>
      </c>
      <c r="N22" s="323">
        <f>IFERROR('3. Scrap (LC)'!N22/'Input-FX Rates'!$H$16,0)</f>
        <v>0</v>
      </c>
      <c r="O22" s="323">
        <f>IFERROR('3. Scrap (LC)'!O22/'Input-FX Rates'!$H$16,0)</f>
        <v>0</v>
      </c>
      <c r="P22" s="323">
        <f>IFERROR('3. Scrap (LC)'!P22/'Input-FX Rates'!$H$16,0)</f>
        <v>0</v>
      </c>
      <c r="Q22" s="324">
        <f>IFERROR('3. Scrap (LC)'!Q22/'Input-FX Rates'!$H$16,0)</f>
        <v>0</v>
      </c>
      <c r="R22" s="325">
        <f>SUM(F22:Q22)</f>
        <v>0</v>
      </c>
      <c r="S22" s="324">
        <f>IFERROR('3. Scrap (LC)'!S22/'Input-FX Rates'!$H$16,0)</f>
        <v>0</v>
      </c>
      <c r="T22" s="323">
        <f t="shared" si="0"/>
        <v>0</v>
      </c>
      <c r="U22" s="329">
        <f>R22-E24*R23</f>
        <v>0</v>
      </c>
      <c r="V22" s="328">
        <f>IFERROR(R23/E23*E22-E22,0)</f>
        <v>0</v>
      </c>
      <c r="W22" s="320" t="str">
        <f>IF(ISBLANK('3. Scrap (LC)'!W22),"",'3. Scrap (LC)'!W22)</f>
        <v/>
      </c>
      <c r="Y22" s="267"/>
    </row>
    <row r="23" spans="1:25" s="243" customFormat="1" ht="17.649999999999999" customHeight="1" outlineLevel="1" x14ac:dyDescent="0.2">
      <c r="A23" s="283" t="s">
        <v>1014</v>
      </c>
      <c r="B23" s="326" t="str">
        <f>+'3. Scrap (LC)'!B23</f>
        <v>Area 6</v>
      </c>
      <c r="C23" s="325">
        <f>IFERROR('3. Scrap (LC)'!C23/'Input-FX Rates'!$E$16,0)</f>
        <v>0</v>
      </c>
      <c r="D23" s="323">
        <f>IFERROR('3. Scrap (LC)'!D23/'Input-FX Rates'!$G$16,0)</f>
        <v>0</v>
      </c>
      <c r="E23" s="324">
        <f>IFERROR('3. Scrap (LC)'!E23/'Input-FX Rates'!$G$16,0)</f>
        <v>0</v>
      </c>
      <c r="F23" s="323">
        <f>IFERROR('3. Scrap (LC)'!F23/'Input-FX Rates'!$H$16,0)</f>
        <v>0</v>
      </c>
      <c r="G23" s="323">
        <f>IFERROR('3. Scrap (LC)'!G23/'Input-FX Rates'!$H$16,0)</f>
        <v>0</v>
      </c>
      <c r="H23" s="323">
        <f>IFERROR('3. Scrap (LC)'!H23/'Input-FX Rates'!$H$16,0)</f>
        <v>0</v>
      </c>
      <c r="I23" s="323">
        <f>IFERROR('3. Scrap (LC)'!I23/'Input-FX Rates'!$H$16,0)</f>
        <v>0</v>
      </c>
      <c r="J23" s="323">
        <f>IFERROR('3. Scrap (LC)'!J23/'Input-FX Rates'!$H$16,0)</f>
        <v>0</v>
      </c>
      <c r="K23" s="323">
        <f>IFERROR('3. Scrap (LC)'!K23/'Input-FX Rates'!$H$16,0)</f>
        <v>0</v>
      </c>
      <c r="L23" s="323">
        <f>IFERROR('3. Scrap (LC)'!L23/'Input-FX Rates'!$H$16,0)</f>
        <v>0</v>
      </c>
      <c r="M23" s="323">
        <f>IFERROR('3. Scrap (LC)'!M23/'Input-FX Rates'!$H$16,0)</f>
        <v>0</v>
      </c>
      <c r="N23" s="323">
        <f>IFERROR('3. Scrap (LC)'!N23/'Input-FX Rates'!$H$16,0)</f>
        <v>0</v>
      </c>
      <c r="O23" s="323">
        <f>IFERROR('3. Scrap (LC)'!O23/'Input-FX Rates'!$H$16,0)</f>
        <v>0</v>
      </c>
      <c r="P23" s="323">
        <f>IFERROR('3. Scrap (LC)'!P23/'Input-FX Rates'!$H$16,0)</f>
        <v>0</v>
      </c>
      <c r="Q23" s="324">
        <f>IFERROR('3. Scrap (LC)'!Q23/'Input-FX Rates'!$H$16,0)</f>
        <v>0</v>
      </c>
      <c r="R23" s="325">
        <f>SUM(F23:Q23)</f>
        <v>0</v>
      </c>
      <c r="S23" s="324">
        <f>IFERROR('3. Scrap (LC)'!S23/'Input-FX Rates'!$H$16,0)</f>
        <v>0</v>
      </c>
      <c r="T23" s="323">
        <f t="shared" si="0"/>
        <v>0</v>
      </c>
      <c r="U23" s="322">
        <f>IFERROR(-U22/(E22+V22),0)</f>
        <v>0</v>
      </c>
      <c r="V23" s="321"/>
      <c r="W23" s="320" t="str">
        <f>IF(ISBLANK('3. Scrap (LC)'!W23),"",'3. Scrap (LC)'!W23)</f>
        <v/>
      </c>
      <c r="Y23" s="267"/>
    </row>
    <row r="24" spans="1:25" ht="17.649999999999999" customHeight="1" outlineLevel="1" x14ac:dyDescent="0.2">
      <c r="A24" s="275" t="s">
        <v>1015</v>
      </c>
      <c r="B24" s="275" t="str">
        <f>+'3. Scrap (LC)'!B24</f>
        <v>Area 6</v>
      </c>
      <c r="C24" s="272">
        <f>IFERROR(C22/C23,0)</f>
        <v>0</v>
      </c>
      <c r="D24" s="270">
        <f t="shared" ref="D24:R24" si="11">IFERROR(D22/D23,0)</f>
        <v>0</v>
      </c>
      <c r="E24" s="273">
        <f t="shared" si="11"/>
        <v>0</v>
      </c>
      <c r="F24" s="270">
        <f t="shared" si="11"/>
        <v>0</v>
      </c>
      <c r="G24" s="270">
        <f t="shared" si="11"/>
        <v>0</v>
      </c>
      <c r="H24" s="270">
        <f t="shared" si="11"/>
        <v>0</v>
      </c>
      <c r="I24" s="270">
        <f t="shared" si="11"/>
        <v>0</v>
      </c>
      <c r="J24" s="270">
        <f t="shared" si="11"/>
        <v>0</v>
      </c>
      <c r="K24" s="270">
        <f t="shared" si="11"/>
        <v>0</v>
      </c>
      <c r="L24" s="270">
        <f t="shared" si="11"/>
        <v>0</v>
      </c>
      <c r="M24" s="270">
        <f t="shared" si="11"/>
        <v>0</v>
      </c>
      <c r="N24" s="270">
        <f t="shared" si="11"/>
        <v>0</v>
      </c>
      <c r="O24" s="270">
        <f t="shared" si="11"/>
        <v>0</v>
      </c>
      <c r="P24" s="270">
        <f t="shared" si="11"/>
        <v>0</v>
      </c>
      <c r="Q24" s="273">
        <f t="shared" si="11"/>
        <v>0</v>
      </c>
      <c r="R24" s="272">
        <f t="shared" si="11"/>
        <v>0</v>
      </c>
      <c r="S24" s="273">
        <f>+'3. Scrap (LC)'!S24</f>
        <v>0</v>
      </c>
      <c r="T24" s="270">
        <f t="shared" si="0"/>
        <v>0</v>
      </c>
      <c r="U24" s="334"/>
      <c r="V24" s="271"/>
      <c r="W24" s="317" t="str">
        <f>IF(ISBLANK('3. Scrap (LC)'!W24),"",'3. Scrap (LC)'!W24)</f>
        <v/>
      </c>
      <c r="Y24" s="267"/>
    </row>
    <row r="25" spans="1:25" ht="17.649999999999999" customHeight="1" outlineLevel="1" x14ac:dyDescent="0.2">
      <c r="A25" s="283" t="s">
        <v>1016</v>
      </c>
      <c r="B25" s="283" t="str">
        <f>+'3. Scrap (LC)'!B25</f>
        <v>Area 7</v>
      </c>
      <c r="C25" s="325">
        <f>IFERROR('3. Scrap (LC)'!C25/'Input-FX Rates'!$E$16,0)</f>
        <v>0</v>
      </c>
      <c r="D25" s="323">
        <f>IFERROR('3. Scrap (LC)'!D25/'Input-FX Rates'!$G$16,0)</f>
        <v>0</v>
      </c>
      <c r="E25" s="324">
        <f>IFERROR('3. Scrap (LC)'!E25/'Input-FX Rates'!$G$16,0)</f>
        <v>0</v>
      </c>
      <c r="F25" s="323">
        <f>IFERROR('3. Scrap (LC)'!F25/'Input-FX Rates'!$H$16,0)</f>
        <v>0</v>
      </c>
      <c r="G25" s="323">
        <f>IFERROR('3. Scrap (LC)'!G25/'Input-FX Rates'!$H$16,0)</f>
        <v>0</v>
      </c>
      <c r="H25" s="323">
        <f>IFERROR('3. Scrap (LC)'!H25/'Input-FX Rates'!$H$16,0)</f>
        <v>0</v>
      </c>
      <c r="I25" s="323">
        <f>IFERROR('3. Scrap (LC)'!I25/'Input-FX Rates'!$H$16,0)</f>
        <v>0</v>
      </c>
      <c r="J25" s="323">
        <f>IFERROR('3. Scrap (LC)'!J25/'Input-FX Rates'!$H$16,0)</f>
        <v>0</v>
      </c>
      <c r="K25" s="323">
        <f>IFERROR('3. Scrap (LC)'!K25/'Input-FX Rates'!$H$16,0)</f>
        <v>0</v>
      </c>
      <c r="L25" s="323">
        <f>IFERROR('3. Scrap (LC)'!L25/'Input-FX Rates'!$H$16,0)</f>
        <v>0</v>
      </c>
      <c r="M25" s="323">
        <f>IFERROR('3. Scrap (LC)'!M25/'Input-FX Rates'!$H$16,0)</f>
        <v>0</v>
      </c>
      <c r="N25" s="323">
        <f>IFERROR('3. Scrap (LC)'!N25/'Input-FX Rates'!$H$16,0)</f>
        <v>0</v>
      </c>
      <c r="O25" s="323">
        <f>IFERROR('3. Scrap (LC)'!O25/'Input-FX Rates'!$H$16,0)</f>
        <v>0</v>
      </c>
      <c r="P25" s="323">
        <f>IFERROR('3. Scrap (LC)'!P25/'Input-FX Rates'!$H$16,0)</f>
        <v>0</v>
      </c>
      <c r="Q25" s="324">
        <f>IFERROR('3. Scrap (LC)'!Q25/'Input-FX Rates'!$H$16,0)</f>
        <v>0</v>
      </c>
      <c r="R25" s="325">
        <f>SUM(F25:Q25)</f>
        <v>0</v>
      </c>
      <c r="S25" s="324">
        <f>IFERROR('3. Scrap (LC)'!S19/'Input-FX Rates'!$H$16,0)</f>
        <v>0</v>
      </c>
      <c r="T25" s="323">
        <f t="shared" si="0"/>
        <v>0</v>
      </c>
      <c r="U25" s="329">
        <f>R25-E27*R26</f>
        <v>0</v>
      </c>
      <c r="V25" s="328">
        <f>IFERROR(R26/E26*E25-E25,0)</f>
        <v>0</v>
      </c>
      <c r="W25" s="320" t="str">
        <f>IF(ISBLANK('3. Scrap (LC)'!W25),"",'3. Scrap (LC)'!W25)</f>
        <v/>
      </c>
      <c r="Y25" s="267"/>
    </row>
    <row r="26" spans="1:25" ht="17.649999999999999" customHeight="1" outlineLevel="1" x14ac:dyDescent="0.2">
      <c r="A26" s="283" t="s">
        <v>1017</v>
      </c>
      <c r="B26" s="283" t="str">
        <f>+'3. Scrap (LC)'!B26</f>
        <v>Area 7</v>
      </c>
      <c r="C26" s="325">
        <f>IFERROR('3. Scrap (LC)'!C26/'Input-FX Rates'!$E$16,0)</f>
        <v>0</v>
      </c>
      <c r="D26" s="323">
        <f>IFERROR('3. Scrap (LC)'!D26/'Input-FX Rates'!$G$16,0)</f>
        <v>0</v>
      </c>
      <c r="E26" s="324">
        <f>IFERROR('3. Scrap (LC)'!E26/'Input-FX Rates'!$G$16,0)</f>
        <v>0</v>
      </c>
      <c r="F26" s="323">
        <f>IFERROR('3. Scrap (LC)'!F26/'Input-FX Rates'!$H$16,0)</f>
        <v>0</v>
      </c>
      <c r="G26" s="323">
        <f>IFERROR('3. Scrap (LC)'!G26/'Input-FX Rates'!$H$16,0)</f>
        <v>0</v>
      </c>
      <c r="H26" s="323">
        <f>IFERROR('3. Scrap (LC)'!H26/'Input-FX Rates'!$H$16,0)</f>
        <v>0</v>
      </c>
      <c r="I26" s="323">
        <f>IFERROR('3. Scrap (LC)'!I26/'Input-FX Rates'!$H$16,0)</f>
        <v>0</v>
      </c>
      <c r="J26" s="323">
        <f>IFERROR('3. Scrap (LC)'!J26/'Input-FX Rates'!$H$16,0)</f>
        <v>0</v>
      </c>
      <c r="K26" s="323">
        <f>IFERROR('3. Scrap (LC)'!K26/'Input-FX Rates'!$H$16,0)</f>
        <v>0</v>
      </c>
      <c r="L26" s="323">
        <f>IFERROR('3. Scrap (LC)'!L26/'Input-FX Rates'!$H$16,0)</f>
        <v>0</v>
      </c>
      <c r="M26" s="323">
        <f>IFERROR('3. Scrap (LC)'!M26/'Input-FX Rates'!$H$16,0)</f>
        <v>0</v>
      </c>
      <c r="N26" s="323">
        <f>IFERROR('3. Scrap (LC)'!N26/'Input-FX Rates'!$H$16,0)</f>
        <v>0</v>
      </c>
      <c r="O26" s="323">
        <f>IFERROR('3. Scrap (LC)'!O26/'Input-FX Rates'!$H$16,0)</f>
        <v>0</v>
      </c>
      <c r="P26" s="323">
        <f>IFERROR('3. Scrap (LC)'!P26/'Input-FX Rates'!$H$16,0)</f>
        <v>0</v>
      </c>
      <c r="Q26" s="324">
        <f>IFERROR('3. Scrap (LC)'!Q26/'Input-FX Rates'!$H$16,0)</f>
        <v>0</v>
      </c>
      <c r="R26" s="325">
        <f>SUM(F26:Q26)</f>
        <v>0</v>
      </c>
      <c r="S26" s="324">
        <f>IFERROR('3. Scrap (LC)'!S19/'Input-FX Rates'!$H$16,0)</f>
        <v>0</v>
      </c>
      <c r="T26" s="323">
        <f t="shared" si="0"/>
        <v>0</v>
      </c>
      <c r="U26" s="322">
        <f>IFERROR(-U25/(E25+V25),0)</f>
        <v>0</v>
      </c>
      <c r="V26" s="321"/>
      <c r="W26" s="320" t="str">
        <f>IF(ISBLANK('3. Scrap (LC)'!W26),"",'3. Scrap (LC)'!W26)</f>
        <v/>
      </c>
      <c r="Y26" s="267"/>
    </row>
    <row r="27" spans="1:25" ht="17.649999999999999" customHeight="1" outlineLevel="1" x14ac:dyDescent="0.2">
      <c r="A27" s="275" t="s">
        <v>1022</v>
      </c>
      <c r="B27" s="275" t="str">
        <f>+'3. Scrap (LC)'!B27</f>
        <v>Area 7</v>
      </c>
      <c r="C27" s="272">
        <f>IFERROR(C25/C26,0)</f>
        <v>0</v>
      </c>
      <c r="D27" s="270">
        <f t="shared" ref="D27:Q27" si="12">IFERROR(D25/D26,0)</f>
        <v>0</v>
      </c>
      <c r="E27" s="273">
        <f t="shared" si="12"/>
        <v>0</v>
      </c>
      <c r="F27" s="270">
        <f t="shared" si="12"/>
        <v>0</v>
      </c>
      <c r="G27" s="270">
        <f t="shared" si="12"/>
        <v>0</v>
      </c>
      <c r="H27" s="270">
        <f t="shared" si="12"/>
        <v>0</v>
      </c>
      <c r="I27" s="270">
        <f t="shared" si="12"/>
        <v>0</v>
      </c>
      <c r="J27" s="270">
        <f t="shared" si="12"/>
        <v>0</v>
      </c>
      <c r="K27" s="270">
        <f t="shared" si="12"/>
        <v>0</v>
      </c>
      <c r="L27" s="270">
        <f t="shared" si="12"/>
        <v>0</v>
      </c>
      <c r="M27" s="270">
        <f t="shared" si="12"/>
        <v>0</v>
      </c>
      <c r="N27" s="270">
        <f t="shared" si="12"/>
        <v>0</v>
      </c>
      <c r="O27" s="270">
        <f t="shared" si="12"/>
        <v>0</v>
      </c>
      <c r="P27" s="270">
        <f t="shared" si="12"/>
        <v>0</v>
      </c>
      <c r="Q27" s="273">
        <f t="shared" si="12"/>
        <v>0</v>
      </c>
      <c r="R27" s="272">
        <f t="shared" ref="R27" si="13">IFERROR(R25/R26,0)</f>
        <v>0</v>
      </c>
      <c r="S27" s="273">
        <f>+'3. Scrap (LC)'!S27</f>
        <v>0</v>
      </c>
      <c r="T27" s="270">
        <f t="shared" si="0"/>
        <v>0</v>
      </c>
      <c r="U27" s="334"/>
      <c r="V27" s="271"/>
      <c r="W27" s="317"/>
      <c r="Y27" s="267"/>
    </row>
    <row r="28" spans="1:25" ht="17.649999999999999" customHeight="1" outlineLevel="1" x14ac:dyDescent="0.2">
      <c r="A28" s="283" t="s">
        <v>1018</v>
      </c>
      <c r="B28" s="283" t="str">
        <f>+'3. Scrap (LC)'!B28</f>
        <v>Area 8</v>
      </c>
      <c r="C28" s="325">
        <f>IFERROR('3. Scrap (LC)'!C28/'Input-FX Rates'!$E$16,0)</f>
        <v>0</v>
      </c>
      <c r="D28" s="323">
        <f>IFERROR('3. Scrap (LC)'!D28/'Input-FX Rates'!$G$16,0)</f>
        <v>0</v>
      </c>
      <c r="E28" s="324">
        <f>IFERROR('3. Scrap (LC)'!E28/'Input-FX Rates'!$G$16,0)</f>
        <v>0</v>
      </c>
      <c r="F28" s="323">
        <f>IFERROR('3. Scrap (LC)'!F28/'Input-FX Rates'!$H$16,0)</f>
        <v>0</v>
      </c>
      <c r="G28" s="323">
        <f>IFERROR('3. Scrap (LC)'!G28/'Input-FX Rates'!$H$16,0)</f>
        <v>0</v>
      </c>
      <c r="H28" s="323">
        <f>IFERROR('3. Scrap (LC)'!H28/'Input-FX Rates'!$H$16,0)</f>
        <v>0</v>
      </c>
      <c r="I28" s="323">
        <f>IFERROR('3. Scrap (LC)'!I28/'Input-FX Rates'!$H$16,0)</f>
        <v>0</v>
      </c>
      <c r="J28" s="323">
        <f>IFERROR('3. Scrap (LC)'!J28/'Input-FX Rates'!$H$16,0)</f>
        <v>0</v>
      </c>
      <c r="K28" s="323">
        <f>IFERROR('3. Scrap (LC)'!K28/'Input-FX Rates'!$H$16,0)</f>
        <v>0</v>
      </c>
      <c r="L28" s="323">
        <f>IFERROR('3. Scrap (LC)'!L28/'Input-FX Rates'!$H$16,0)</f>
        <v>0</v>
      </c>
      <c r="M28" s="323">
        <f>IFERROR('3. Scrap (LC)'!M28/'Input-FX Rates'!$H$16,0)</f>
        <v>0</v>
      </c>
      <c r="N28" s="323">
        <f>IFERROR('3. Scrap (LC)'!N28/'Input-FX Rates'!$H$16,0)</f>
        <v>0</v>
      </c>
      <c r="O28" s="323">
        <f>IFERROR('3. Scrap (LC)'!O28/'Input-FX Rates'!$H$16,0)</f>
        <v>0</v>
      </c>
      <c r="P28" s="323">
        <f>IFERROR('3. Scrap (LC)'!P28/'Input-FX Rates'!$H$16,0)</f>
        <v>0</v>
      </c>
      <c r="Q28" s="324">
        <f>IFERROR('3. Scrap (LC)'!Q28/'Input-FX Rates'!$H$16,0)</f>
        <v>0</v>
      </c>
      <c r="R28" s="325">
        <f>SUM(F28:Q28)</f>
        <v>0</v>
      </c>
      <c r="S28" s="324">
        <f>IFERROR('3. Scrap (LC)'!S19/'Input-FX Rates'!$H$16,0)</f>
        <v>0</v>
      </c>
      <c r="T28" s="323">
        <f t="shared" si="0"/>
        <v>0</v>
      </c>
      <c r="U28" s="329">
        <f>R28-E30*R29</f>
        <v>0</v>
      </c>
      <c r="V28" s="328">
        <f>IFERROR(R29/E29*E28-E28,0)</f>
        <v>0</v>
      </c>
      <c r="W28" s="320" t="str">
        <f>IF(ISBLANK('3. Scrap (LC)'!W28),"",'3. Scrap (LC)'!W28)</f>
        <v/>
      </c>
      <c r="Y28" s="267"/>
    </row>
    <row r="29" spans="1:25" ht="17.649999999999999" customHeight="1" outlineLevel="1" x14ac:dyDescent="0.2">
      <c r="A29" s="283" t="s">
        <v>1019</v>
      </c>
      <c r="B29" s="283" t="str">
        <f>+'3. Scrap (LC)'!B29</f>
        <v>Area 8</v>
      </c>
      <c r="C29" s="325">
        <f>IFERROR('3. Scrap (LC)'!C29/'Input-FX Rates'!$E$16,0)</f>
        <v>0</v>
      </c>
      <c r="D29" s="323">
        <f>IFERROR('3. Scrap (LC)'!D29/'Input-FX Rates'!$G$16,0)</f>
        <v>0</v>
      </c>
      <c r="E29" s="324">
        <f>IFERROR('3. Scrap (LC)'!E29/'Input-FX Rates'!$G$16,0)</f>
        <v>0</v>
      </c>
      <c r="F29" s="323">
        <f>IFERROR('3. Scrap (LC)'!F29/'Input-FX Rates'!$H$16,0)</f>
        <v>0</v>
      </c>
      <c r="G29" s="323">
        <f>IFERROR('3. Scrap (LC)'!G29/'Input-FX Rates'!$H$16,0)</f>
        <v>0</v>
      </c>
      <c r="H29" s="323">
        <f>IFERROR('3. Scrap (LC)'!H29/'Input-FX Rates'!$H$16,0)</f>
        <v>0</v>
      </c>
      <c r="I29" s="323">
        <f>IFERROR('3. Scrap (LC)'!I29/'Input-FX Rates'!$H$16,0)</f>
        <v>0</v>
      </c>
      <c r="J29" s="323">
        <f>IFERROR('3. Scrap (LC)'!J29/'Input-FX Rates'!$H$16,0)</f>
        <v>0</v>
      </c>
      <c r="K29" s="323">
        <f>IFERROR('3. Scrap (LC)'!K29/'Input-FX Rates'!$H$16,0)</f>
        <v>0</v>
      </c>
      <c r="L29" s="323">
        <f>IFERROR('3. Scrap (LC)'!L29/'Input-FX Rates'!$H$16,0)</f>
        <v>0</v>
      </c>
      <c r="M29" s="323">
        <f>IFERROR('3. Scrap (LC)'!M29/'Input-FX Rates'!$H$16,0)</f>
        <v>0</v>
      </c>
      <c r="N29" s="323">
        <f>IFERROR('3. Scrap (LC)'!N29/'Input-FX Rates'!$H$16,0)</f>
        <v>0</v>
      </c>
      <c r="O29" s="323">
        <f>IFERROR('3. Scrap (LC)'!O29/'Input-FX Rates'!$H$16,0)</f>
        <v>0</v>
      </c>
      <c r="P29" s="323">
        <f>IFERROR('3. Scrap (LC)'!P29/'Input-FX Rates'!$H$16,0)</f>
        <v>0</v>
      </c>
      <c r="Q29" s="324">
        <f>IFERROR('3. Scrap (LC)'!Q29/'Input-FX Rates'!$H$16,0)</f>
        <v>0</v>
      </c>
      <c r="R29" s="325">
        <f>SUM(F29:Q29)</f>
        <v>0</v>
      </c>
      <c r="S29" s="324">
        <f>IFERROR('3. Scrap (LC)'!S19/'Input-FX Rates'!$H$16,0)</f>
        <v>0</v>
      </c>
      <c r="T29" s="323">
        <f t="shared" si="0"/>
        <v>0</v>
      </c>
      <c r="U29" s="322">
        <f>IFERROR(-U28/(E28+V28),0)</f>
        <v>0</v>
      </c>
      <c r="V29" s="321"/>
      <c r="W29" s="320" t="str">
        <f>IF(ISBLANK('3. Scrap (LC)'!W29),"",'3. Scrap (LC)'!W29)</f>
        <v/>
      </c>
      <c r="Y29" s="267"/>
    </row>
    <row r="30" spans="1:25" ht="17.649999999999999" customHeight="1" outlineLevel="1" x14ac:dyDescent="0.2">
      <c r="A30" s="275" t="s">
        <v>1023</v>
      </c>
      <c r="B30" s="275" t="str">
        <f>+'3. Scrap (LC)'!B30</f>
        <v>Area 8</v>
      </c>
      <c r="C30" s="272">
        <f>IFERROR(C28/C29,0)</f>
        <v>0</v>
      </c>
      <c r="D30" s="270">
        <f t="shared" ref="D30:Q30" si="14">IFERROR(D28/D29,0)</f>
        <v>0</v>
      </c>
      <c r="E30" s="273">
        <f t="shared" si="14"/>
        <v>0</v>
      </c>
      <c r="F30" s="270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3">
        <f t="shared" si="14"/>
        <v>0</v>
      </c>
      <c r="R30" s="272">
        <f t="shared" ref="R30" si="15">IFERROR(R28/R29,0)</f>
        <v>0</v>
      </c>
      <c r="S30" s="273">
        <f>+'3. Scrap (LC)'!S30</f>
        <v>0</v>
      </c>
      <c r="T30" s="270">
        <f>R30-E30</f>
        <v>0</v>
      </c>
      <c r="U30" s="334"/>
      <c r="V30" s="271"/>
      <c r="W30" s="317"/>
      <c r="Y30" s="267"/>
    </row>
    <row r="31" spans="1:25" ht="17.649999999999999" customHeight="1" outlineLevel="1" x14ac:dyDescent="0.2">
      <c r="A31" s="283" t="s">
        <v>1020</v>
      </c>
      <c r="B31" s="283" t="str">
        <f>+'3. Scrap (LC)'!B31</f>
        <v>Area 9</v>
      </c>
      <c r="C31" s="325">
        <f>IFERROR('3. Scrap (LC)'!C31/'Input-FX Rates'!$E$16,0)</f>
        <v>0</v>
      </c>
      <c r="D31" s="323">
        <f>IFERROR('3. Scrap (LC)'!D31/'Input-FX Rates'!$G$16,0)</f>
        <v>0</v>
      </c>
      <c r="E31" s="324">
        <f>IFERROR('3. Scrap (LC)'!E31/'Input-FX Rates'!$G$16,0)</f>
        <v>0</v>
      </c>
      <c r="F31" s="323">
        <f>IFERROR('3. Scrap (LC)'!F31/'Input-FX Rates'!$H$16,0)</f>
        <v>0</v>
      </c>
      <c r="G31" s="323">
        <f>IFERROR('3. Scrap (LC)'!G31/'Input-FX Rates'!$H$16,0)</f>
        <v>0</v>
      </c>
      <c r="H31" s="323">
        <f>IFERROR('3. Scrap (LC)'!H31/'Input-FX Rates'!$H$16,0)</f>
        <v>0</v>
      </c>
      <c r="I31" s="323">
        <f>IFERROR('3. Scrap (LC)'!I31/'Input-FX Rates'!$H$16,0)</f>
        <v>0</v>
      </c>
      <c r="J31" s="323">
        <f>IFERROR('3. Scrap (LC)'!J31/'Input-FX Rates'!$H$16,0)</f>
        <v>0</v>
      </c>
      <c r="K31" s="323">
        <f>IFERROR('3. Scrap (LC)'!K31/'Input-FX Rates'!$H$16,0)</f>
        <v>0</v>
      </c>
      <c r="L31" s="323">
        <f>IFERROR('3. Scrap (LC)'!L31/'Input-FX Rates'!$H$16,0)</f>
        <v>0</v>
      </c>
      <c r="M31" s="323">
        <f>IFERROR('3. Scrap (LC)'!M31/'Input-FX Rates'!$H$16,0)</f>
        <v>0</v>
      </c>
      <c r="N31" s="323">
        <f>IFERROR('3. Scrap (LC)'!N31/'Input-FX Rates'!$H$16,0)</f>
        <v>0</v>
      </c>
      <c r="O31" s="323">
        <f>IFERROR('3. Scrap (LC)'!O31/'Input-FX Rates'!$H$16,0)</f>
        <v>0</v>
      </c>
      <c r="P31" s="323">
        <f>IFERROR('3. Scrap (LC)'!P31/'Input-FX Rates'!$H$16,0)</f>
        <v>0</v>
      </c>
      <c r="Q31" s="324">
        <f>IFERROR('3. Scrap (LC)'!Q31/'Input-FX Rates'!$H$16,0)</f>
        <v>0</v>
      </c>
      <c r="R31" s="325">
        <f>SUM(F31:Q31)</f>
        <v>0</v>
      </c>
      <c r="S31" s="324">
        <f>IFERROR('3. Scrap (LC)'!S19/'Input-FX Rates'!$H$16,0)</f>
        <v>0</v>
      </c>
      <c r="T31" s="323">
        <f t="shared" si="0"/>
        <v>0</v>
      </c>
      <c r="U31" s="329">
        <f>R31-E33*R32</f>
        <v>0</v>
      </c>
      <c r="V31" s="328">
        <f>IFERROR(R32/E32*E31-E31,0)</f>
        <v>0</v>
      </c>
      <c r="W31" s="320" t="str">
        <f>IF(ISBLANK('3. Scrap (LC)'!W31),"",'3. Scrap (LC)'!W31)</f>
        <v/>
      </c>
      <c r="Y31" s="267"/>
    </row>
    <row r="32" spans="1:25" ht="17.649999999999999" customHeight="1" outlineLevel="1" x14ac:dyDescent="0.2">
      <c r="A32" s="283" t="s">
        <v>1021</v>
      </c>
      <c r="B32" s="283" t="str">
        <f>+'3. Scrap (LC)'!B32</f>
        <v>Area 9</v>
      </c>
      <c r="C32" s="325">
        <f>IFERROR('3. Scrap (LC)'!C32/'Input-FX Rates'!$E$16,0)</f>
        <v>0</v>
      </c>
      <c r="D32" s="323">
        <f>IFERROR('3. Scrap (LC)'!D32/'Input-FX Rates'!$G$16,0)</f>
        <v>0</v>
      </c>
      <c r="E32" s="324">
        <f>IFERROR('3. Scrap (LC)'!E32/'Input-FX Rates'!$G$16,0)</f>
        <v>0</v>
      </c>
      <c r="F32" s="323">
        <f>IFERROR('3. Scrap (LC)'!F32/'Input-FX Rates'!$H$16,0)</f>
        <v>0</v>
      </c>
      <c r="G32" s="323">
        <f>IFERROR('3. Scrap (LC)'!G32/'Input-FX Rates'!$H$16,0)</f>
        <v>0</v>
      </c>
      <c r="H32" s="323">
        <f>IFERROR('3. Scrap (LC)'!H32/'Input-FX Rates'!$H$16,0)</f>
        <v>0</v>
      </c>
      <c r="I32" s="323">
        <f>IFERROR('3. Scrap (LC)'!I32/'Input-FX Rates'!$H$16,0)</f>
        <v>0</v>
      </c>
      <c r="J32" s="323">
        <f>IFERROR('3. Scrap (LC)'!J32/'Input-FX Rates'!$H$16,0)</f>
        <v>0</v>
      </c>
      <c r="K32" s="323">
        <f>IFERROR('3. Scrap (LC)'!K32/'Input-FX Rates'!$H$16,0)</f>
        <v>0</v>
      </c>
      <c r="L32" s="323">
        <f>IFERROR('3. Scrap (LC)'!L32/'Input-FX Rates'!$H$16,0)</f>
        <v>0</v>
      </c>
      <c r="M32" s="323">
        <f>IFERROR('3. Scrap (LC)'!M32/'Input-FX Rates'!$H$16,0)</f>
        <v>0</v>
      </c>
      <c r="N32" s="323">
        <f>IFERROR('3. Scrap (LC)'!N32/'Input-FX Rates'!$H$16,0)</f>
        <v>0</v>
      </c>
      <c r="O32" s="323">
        <f>IFERROR('3. Scrap (LC)'!O32/'Input-FX Rates'!$H$16,0)</f>
        <v>0</v>
      </c>
      <c r="P32" s="323">
        <f>IFERROR('3. Scrap (LC)'!P32/'Input-FX Rates'!$H$16,0)</f>
        <v>0</v>
      </c>
      <c r="Q32" s="324">
        <f>IFERROR('3. Scrap (LC)'!Q32/'Input-FX Rates'!$H$16,0)</f>
        <v>0</v>
      </c>
      <c r="R32" s="325">
        <f>SUM(F32:Q32)</f>
        <v>0</v>
      </c>
      <c r="S32" s="324">
        <f>IFERROR('3. Scrap (LC)'!S19/'Input-FX Rates'!$H$16,0)</f>
        <v>0</v>
      </c>
      <c r="T32" s="323">
        <f t="shared" si="0"/>
        <v>0</v>
      </c>
      <c r="U32" s="322">
        <f>IFERROR(-U31/(E31+V31),0)</f>
        <v>0</v>
      </c>
      <c r="V32" s="321"/>
      <c r="W32" s="320" t="str">
        <f>IF(ISBLANK('3. Scrap (LC)'!W32),"",'3. Scrap (LC)'!W32)</f>
        <v/>
      </c>
      <c r="Y32" s="267"/>
    </row>
    <row r="33" spans="1:25" ht="17.649999999999999" customHeight="1" outlineLevel="1" x14ac:dyDescent="0.2">
      <c r="A33" s="275" t="s">
        <v>1024</v>
      </c>
      <c r="B33" s="275" t="str">
        <f>+'3. Scrap (LC)'!B33</f>
        <v>Area 9</v>
      </c>
      <c r="C33" s="272">
        <f>IFERROR(C31/C32,0)</f>
        <v>0</v>
      </c>
      <c r="D33" s="270">
        <f t="shared" ref="D33:Q33" si="16">IFERROR(D31/D32,0)</f>
        <v>0</v>
      </c>
      <c r="E33" s="273">
        <f t="shared" si="16"/>
        <v>0</v>
      </c>
      <c r="F33" s="270">
        <f t="shared" si="16"/>
        <v>0</v>
      </c>
      <c r="G33" s="270">
        <f t="shared" si="16"/>
        <v>0</v>
      </c>
      <c r="H33" s="270">
        <f t="shared" si="16"/>
        <v>0</v>
      </c>
      <c r="I33" s="270">
        <f t="shared" si="16"/>
        <v>0</v>
      </c>
      <c r="J33" s="270">
        <f t="shared" si="16"/>
        <v>0</v>
      </c>
      <c r="K33" s="270">
        <f t="shared" si="16"/>
        <v>0</v>
      </c>
      <c r="L33" s="270">
        <f t="shared" si="16"/>
        <v>0</v>
      </c>
      <c r="M33" s="270">
        <f t="shared" si="16"/>
        <v>0</v>
      </c>
      <c r="N33" s="270">
        <f t="shared" si="16"/>
        <v>0</v>
      </c>
      <c r="O33" s="270">
        <f t="shared" si="16"/>
        <v>0</v>
      </c>
      <c r="P33" s="270">
        <f t="shared" si="16"/>
        <v>0</v>
      </c>
      <c r="Q33" s="273">
        <f t="shared" si="16"/>
        <v>0</v>
      </c>
      <c r="R33" s="272">
        <f t="shared" ref="R33" si="17">IFERROR(R31/R32,0)</f>
        <v>0</v>
      </c>
      <c r="S33" s="273">
        <f>+'3. Scrap (LC)'!S33</f>
        <v>0</v>
      </c>
      <c r="T33" s="270">
        <f t="shared" si="0"/>
        <v>0</v>
      </c>
      <c r="U33" s="334"/>
      <c r="V33" s="271"/>
      <c r="W33" s="317"/>
      <c r="Y33" s="267"/>
    </row>
    <row r="34" spans="1:25" ht="17.649999999999999" customHeight="1" outlineLevel="1" x14ac:dyDescent="0.2">
      <c r="A34" s="283" t="s">
        <v>1027</v>
      </c>
      <c r="B34" s="283" t="str">
        <f>+'3. Scrap (LC)'!B34</f>
        <v>Area 10</v>
      </c>
      <c r="C34" s="325">
        <f>IFERROR('3. Scrap (LC)'!C34/'Input-FX Rates'!$E$16,0)</f>
        <v>0</v>
      </c>
      <c r="D34" s="323">
        <f>IFERROR('3. Scrap (LC)'!D34/'Input-FX Rates'!$G$16,0)</f>
        <v>0</v>
      </c>
      <c r="E34" s="324">
        <f>IFERROR('3. Scrap (LC)'!E34/'Input-FX Rates'!$G$16,0)</f>
        <v>0</v>
      </c>
      <c r="F34" s="323">
        <f>IFERROR('3. Scrap (LC)'!F34/'Input-FX Rates'!$H$16,0)</f>
        <v>0</v>
      </c>
      <c r="G34" s="323">
        <f>IFERROR('3. Scrap (LC)'!G34/'Input-FX Rates'!$H$16,0)</f>
        <v>0</v>
      </c>
      <c r="H34" s="323">
        <f>IFERROR('3. Scrap (LC)'!H34/'Input-FX Rates'!$H$16,0)</f>
        <v>0</v>
      </c>
      <c r="I34" s="323">
        <f>IFERROR('3. Scrap (LC)'!I34/'Input-FX Rates'!$H$16,0)</f>
        <v>0</v>
      </c>
      <c r="J34" s="323">
        <f>IFERROR('3. Scrap (LC)'!J34/'Input-FX Rates'!$H$16,0)</f>
        <v>0</v>
      </c>
      <c r="K34" s="323">
        <f>IFERROR('3. Scrap (LC)'!K34/'Input-FX Rates'!$H$16,0)</f>
        <v>0</v>
      </c>
      <c r="L34" s="323">
        <f>IFERROR('3. Scrap (LC)'!L34/'Input-FX Rates'!$H$16,0)</f>
        <v>0</v>
      </c>
      <c r="M34" s="323">
        <f>IFERROR('3. Scrap (LC)'!M34/'Input-FX Rates'!$H$16,0)</f>
        <v>0</v>
      </c>
      <c r="N34" s="323">
        <f>IFERROR('3. Scrap (LC)'!N34/'Input-FX Rates'!$H$16,0)</f>
        <v>0</v>
      </c>
      <c r="O34" s="323">
        <f>IFERROR('3. Scrap (LC)'!O34/'Input-FX Rates'!$H$16,0)</f>
        <v>0</v>
      </c>
      <c r="P34" s="323">
        <f>IFERROR('3. Scrap (LC)'!P34/'Input-FX Rates'!$H$16,0)</f>
        <v>0</v>
      </c>
      <c r="Q34" s="324">
        <f>IFERROR('3. Scrap (LC)'!Q34/'Input-FX Rates'!$H$16,0)</f>
        <v>0</v>
      </c>
      <c r="R34" s="325">
        <f>SUM(F34:Q34)</f>
        <v>0</v>
      </c>
      <c r="S34" s="324">
        <f>IFERROR('3. Scrap (LC)'!S19/'Input-FX Rates'!$H$16,0)</f>
        <v>0</v>
      </c>
      <c r="T34" s="323">
        <f t="shared" si="0"/>
        <v>0</v>
      </c>
      <c r="U34" s="329">
        <f>R34-E36*R35</f>
        <v>0</v>
      </c>
      <c r="V34" s="328">
        <f>IFERROR(R35/E35*E34-E34,0)</f>
        <v>0</v>
      </c>
      <c r="W34" s="320" t="str">
        <f>IF(ISBLANK('3. Scrap (LC)'!W34),"",'3. Scrap (LC)'!W34)</f>
        <v/>
      </c>
      <c r="Y34" s="267"/>
    </row>
    <row r="35" spans="1:25" ht="17.649999999999999" customHeight="1" outlineLevel="1" x14ac:dyDescent="0.2">
      <c r="A35" s="283" t="s">
        <v>1025</v>
      </c>
      <c r="B35" s="283" t="str">
        <f>+'3. Scrap (LC)'!B35</f>
        <v>Area 10</v>
      </c>
      <c r="C35" s="325">
        <f>IFERROR('3. Scrap (LC)'!C35/'Input-FX Rates'!$E$16,0)</f>
        <v>0</v>
      </c>
      <c r="D35" s="323">
        <f>IFERROR('3. Scrap (LC)'!D35/'Input-FX Rates'!$G$16,0)</f>
        <v>0</v>
      </c>
      <c r="E35" s="324">
        <f>IFERROR('3. Scrap (LC)'!E35/'Input-FX Rates'!$G$16,0)</f>
        <v>0</v>
      </c>
      <c r="F35" s="323">
        <f>IFERROR('3. Scrap (LC)'!F35/'Input-FX Rates'!$H$16,0)</f>
        <v>0</v>
      </c>
      <c r="G35" s="323">
        <f>IFERROR('3. Scrap (LC)'!G35/'Input-FX Rates'!$H$16,0)</f>
        <v>0</v>
      </c>
      <c r="H35" s="323">
        <f>IFERROR('3. Scrap (LC)'!H35/'Input-FX Rates'!$H$16,0)</f>
        <v>0</v>
      </c>
      <c r="I35" s="323">
        <f>IFERROR('3. Scrap (LC)'!I35/'Input-FX Rates'!$H$16,0)</f>
        <v>0</v>
      </c>
      <c r="J35" s="323">
        <f>IFERROR('3. Scrap (LC)'!J35/'Input-FX Rates'!$H$16,0)</f>
        <v>0</v>
      </c>
      <c r="K35" s="323">
        <f>IFERROR('3. Scrap (LC)'!K35/'Input-FX Rates'!$H$16,0)</f>
        <v>0</v>
      </c>
      <c r="L35" s="323">
        <f>IFERROR('3. Scrap (LC)'!L35/'Input-FX Rates'!$H$16,0)</f>
        <v>0</v>
      </c>
      <c r="M35" s="323">
        <f>IFERROR('3. Scrap (LC)'!M35/'Input-FX Rates'!$H$16,0)</f>
        <v>0</v>
      </c>
      <c r="N35" s="323">
        <f>IFERROR('3. Scrap (LC)'!N35/'Input-FX Rates'!$H$16,0)</f>
        <v>0</v>
      </c>
      <c r="O35" s="323">
        <f>IFERROR('3. Scrap (LC)'!O35/'Input-FX Rates'!$H$16,0)</f>
        <v>0</v>
      </c>
      <c r="P35" s="323">
        <f>IFERROR('3. Scrap (LC)'!P35/'Input-FX Rates'!$H$16,0)</f>
        <v>0</v>
      </c>
      <c r="Q35" s="324">
        <f>IFERROR('3. Scrap (LC)'!Q35/'Input-FX Rates'!$H$16,0)</f>
        <v>0</v>
      </c>
      <c r="R35" s="325">
        <f>SUM(F35:Q35)</f>
        <v>0</v>
      </c>
      <c r="S35" s="324">
        <f>IFERROR('3. Scrap (LC)'!S19/'Input-FX Rates'!$H$16,0)</f>
        <v>0</v>
      </c>
      <c r="T35" s="323">
        <f t="shared" si="0"/>
        <v>0</v>
      </c>
      <c r="U35" s="322">
        <f>IFERROR(-U34/(E34+V34),0)</f>
        <v>0</v>
      </c>
      <c r="V35" s="321"/>
      <c r="W35" s="320" t="str">
        <f>IF(ISBLANK('3. Scrap (LC)'!W35),"",'3. Scrap (LC)'!W35)</f>
        <v/>
      </c>
      <c r="Y35" s="267"/>
    </row>
    <row r="36" spans="1:25" ht="17.649999999999999" customHeight="1" outlineLevel="1" x14ac:dyDescent="0.2">
      <c r="A36" s="275" t="s">
        <v>1026</v>
      </c>
      <c r="B36" s="275" t="str">
        <f>+'3. Scrap (LC)'!B36</f>
        <v>Area 10</v>
      </c>
      <c r="C36" s="272">
        <f>IFERROR(C34/C35,0)</f>
        <v>0</v>
      </c>
      <c r="D36" s="270">
        <f t="shared" ref="D36:Q36" si="18">IFERROR(D34/D35,0)</f>
        <v>0</v>
      </c>
      <c r="E36" s="273">
        <f t="shared" si="18"/>
        <v>0</v>
      </c>
      <c r="F36" s="270">
        <f t="shared" si="18"/>
        <v>0</v>
      </c>
      <c r="G36" s="270">
        <f t="shared" si="18"/>
        <v>0</v>
      </c>
      <c r="H36" s="270">
        <f t="shared" si="18"/>
        <v>0</v>
      </c>
      <c r="I36" s="270">
        <f t="shared" si="18"/>
        <v>0</v>
      </c>
      <c r="J36" s="270">
        <f t="shared" si="18"/>
        <v>0</v>
      </c>
      <c r="K36" s="270">
        <f t="shared" si="18"/>
        <v>0</v>
      </c>
      <c r="L36" s="270">
        <f t="shared" si="18"/>
        <v>0</v>
      </c>
      <c r="M36" s="270">
        <f t="shared" si="18"/>
        <v>0</v>
      </c>
      <c r="N36" s="270">
        <f t="shared" si="18"/>
        <v>0</v>
      </c>
      <c r="O36" s="270">
        <f t="shared" si="18"/>
        <v>0</v>
      </c>
      <c r="P36" s="270">
        <f t="shared" si="18"/>
        <v>0</v>
      </c>
      <c r="Q36" s="273">
        <f t="shared" si="18"/>
        <v>0</v>
      </c>
      <c r="R36" s="272">
        <f>IFERROR(R34/R35,0)</f>
        <v>0</v>
      </c>
      <c r="S36" s="273">
        <f>+'3. Scrap (LC)'!S36</f>
        <v>0</v>
      </c>
      <c r="T36" s="270">
        <f t="shared" si="0"/>
        <v>0</v>
      </c>
      <c r="U36" s="334"/>
      <c r="V36" s="271"/>
      <c r="W36" s="317"/>
      <c r="Y36" s="267"/>
    </row>
    <row r="37" spans="1:25" ht="17.649999999999999" customHeight="1" outlineLevel="1" x14ac:dyDescent="0.2">
      <c r="A37" s="283" t="s">
        <v>263</v>
      </c>
      <c r="B37" s="283" t="str">
        <f>+'3. Scrap (LC)'!B37</f>
        <v>All Other</v>
      </c>
      <c r="C37" s="325">
        <f>IFERROR('3. Scrap (LC)'!C37/'Input-FX Rates'!$E$16,0)</f>
        <v>0</v>
      </c>
      <c r="D37" s="323">
        <f>IFERROR('3. Scrap (LC)'!D37/'Input-FX Rates'!$G$16,0)</f>
        <v>0</v>
      </c>
      <c r="E37" s="324">
        <f>IFERROR('3. Scrap (LC)'!E37/'Input-FX Rates'!$G$16,0)</f>
        <v>1.2139092867319854E-4</v>
      </c>
      <c r="F37" s="323">
        <f>IFERROR('3. Scrap (LC)'!F37/'Input-FX Rates'!$H$16,0)</f>
        <v>0.18106068965517275</v>
      </c>
      <c r="G37" s="323">
        <f>IFERROR('3. Scrap (LC)'!G37/'Input-FX Rates'!$H$16,0)</f>
        <v>0.11068896551724877</v>
      </c>
      <c r="H37" s="323">
        <f>IFERROR('3. Scrap (LC)'!H37/'Input-FX Rates'!$H$16,0)</f>
        <v>1.6422068965520936E-2</v>
      </c>
      <c r="I37" s="323">
        <f>IFERROR('3. Scrap (LC)'!I37/'Input-FX Rates'!$H$16,0)</f>
        <v>3.9717931034472964E-2</v>
      </c>
      <c r="J37" s="323">
        <f>IFERROR('3. Scrap (LC)'!J37/'Input-FX Rates'!$H$16,0)</f>
        <v>-1.4019310344813456E-2</v>
      </c>
      <c r="K37" s="323">
        <f>IFERROR('3. Scrap (LC)'!K37/'Input-FX Rates'!$H$16,0)</f>
        <v>-7.1230344827575925E-2</v>
      </c>
      <c r="L37" s="323">
        <f>IFERROR('3. Scrap (LC)'!L37/'Input-FX Rates'!$H$16,0)</f>
        <v>4.33965517241299E-2</v>
      </c>
      <c r="M37" s="323">
        <f>IFERROR('3. Scrap (LC)'!M37/'Input-FX Rates'!$H$16,0)</f>
        <v>-0.15716275862068868</v>
      </c>
      <c r="N37" s="323">
        <f>IFERROR('3. Scrap (LC)'!N37/'Input-FX Rates'!$H$16,0)</f>
        <v>-0.10092344827586705</v>
      </c>
      <c r="O37" s="323">
        <f>IFERROR('3. Scrap (LC)'!O37/'Input-FX Rates'!$H$16,0)</f>
        <v>-1.5983448275846655E-2</v>
      </c>
      <c r="P37" s="323">
        <f>IFERROR('3. Scrap (LC)'!P37/'Input-FX Rates'!$H$16,0)</f>
        <v>-1.5983448275846655E-2</v>
      </c>
      <c r="Q37" s="324">
        <f>IFERROR('3. Scrap (LC)'!Q37/'Input-FX Rates'!$H$16,0)</f>
        <v>-1.5983448275866726E-2</v>
      </c>
      <c r="R37" s="325">
        <f>SUM(F37:Q37)</f>
        <v>4.0235176301806064E-14</v>
      </c>
      <c r="S37" s="324">
        <f>IFERROR('3. Scrap (LC)'!S19/'Input-FX Rates'!$H$16,0)</f>
        <v>0</v>
      </c>
      <c r="T37" s="323">
        <f t="shared" si="0"/>
        <v>-1.2139092863296336E-4</v>
      </c>
      <c r="U37" s="329">
        <f>R37-E39*R38</f>
        <v>-6.2472022235826618E-5</v>
      </c>
      <c r="V37" s="328">
        <f>IFERROR(R38/E38*E37-E37,0)</f>
        <v>-5.8918906397136743E-5</v>
      </c>
      <c r="W37" s="320" t="str">
        <f>IF(ISBLANK('3. Scrap (LC)'!W37),"",'3. Scrap (LC)'!W37)</f>
        <v/>
      </c>
      <c r="Y37" s="267"/>
    </row>
    <row r="38" spans="1:25" ht="17.649999999999999" customHeight="1" outlineLevel="1" x14ac:dyDescent="0.2">
      <c r="A38" s="283" t="s">
        <v>262</v>
      </c>
      <c r="B38" s="283" t="str">
        <f>+'3. Scrap (LC)'!B38</f>
        <v>All Other</v>
      </c>
      <c r="C38" s="325">
        <f>IFERROR('3. Scrap (LC)'!C38/'Input-FX Rates'!$E$16,0)</f>
        <v>75.478995730017346</v>
      </c>
      <c r="D38" s="323">
        <f>IFERROR('3. Scrap (LC)'!D38/'Input-FX Rates'!$G$16,0)</f>
        <v>75.326962309235867</v>
      </c>
      <c r="E38" s="324">
        <f>IFERROR('3. Scrap (LC)'!E38/'Input-FX Rates'!$G$16,0)</f>
        <v>8434.8324284191967</v>
      </c>
      <c r="F38" s="323">
        <f>IFERROR('3. Scrap (LC)'!F38/'Input-FX Rates'!$H$16,0)</f>
        <v>347.69000786123735</v>
      </c>
      <c r="G38" s="323">
        <f>IFERROR('3. Scrap (LC)'!G38/'Input-FX Rates'!$H$16,0)</f>
        <v>370.67455129849242</v>
      </c>
      <c r="H38" s="323">
        <f>IFERROR('3. Scrap (LC)'!H38/'Input-FX Rates'!$H$16,0)</f>
        <v>363.00636277822201</v>
      </c>
      <c r="I38" s="323">
        <f>IFERROR('3. Scrap (LC)'!I38/'Input-FX Rates'!$H$16,0)</f>
        <v>355.35819588551232</v>
      </c>
      <c r="J38" s="323">
        <f>IFERROR('3. Scrap (LC)'!J38/'Input-FX Rates'!$H$16,0)</f>
        <v>355.35819594723012</v>
      </c>
      <c r="K38" s="323">
        <f>IFERROR('3. Scrap (LC)'!K38/'Input-FX Rates'!$H$16,0)</f>
        <v>370.67455119975938</v>
      </c>
      <c r="L38" s="323">
        <f>IFERROR('3. Scrap (LC)'!L38/'Input-FX Rates'!$H$16,0)</f>
        <v>340.02181931530862</v>
      </c>
      <c r="M38" s="323">
        <f>IFERROR('3. Scrap (LC)'!M38/'Input-FX Rates'!$H$16,0)</f>
        <v>393.65909476823077</v>
      </c>
      <c r="N38" s="323">
        <f>IFERROR('3. Scrap (LC)'!N38/'Input-FX Rates'!$H$16,0)</f>
        <v>378.34273926367916</v>
      </c>
      <c r="O38" s="323">
        <f>IFERROR('3. Scrap (LC)'!O38/'Input-FX Rates'!$H$16,0)</f>
        <v>355.35819595646757</v>
      </c>
      <c r="P38" s="323">
        <f>IFERROR('3. Scrap (LC)'!P38/'Input-FX Rates'!$H$16,0)</f>
        <v>355.35819595646757</v>
      </c>
      <c r="Q38" s="324">
        <f>IFERROR('3. Scrap (LC)'!Q38/'Input-FX Rates'!$H$16,0)</f>
        <v>355.35819457715701</v>
      </c>
      <c r="R38" s="325">
        <f>SUM(F38:Q38)</f>
        <v>4340.8601048077644</v>
      </c>
      <c r="S38" s="324">
        <f>IFERROR('3. Scrap (LC)'!S19/'Input-FX Rates'!$H$16,0)</f>
        <v>0</v>
      </c>
      <c r="T38" s="323">
        <f t="shared" si="0"/>
        <v>-4093.9723236114323</v>
      </c>
      <c r="U38" s="322">
        <f>IFERROR(-U37/(E37+V37),0)</f>
        <v>0.99999999935594885</v>
      </c>
      <c r="V38" s="321"/>
      <c r="W38" s="320" t="str">
        <f>IF(ISBLANK('3. Scrap (LC)'!W38),"",'3. Scrap (LC)'!W38)</f>
        <v>Merchandise and one time support raw materials
FC7+5 : REACT target 7.3M, Broker reimbursement 747K and MECR</v>
      </c>
      <c r="Y38" s="267"/>
    </row>
    <row r="39" spans="1:25" ht="17.649999999999999" customHeight="1" outlineLevel="1" x14ac:dyDescent="0.2">
      <c r="A39" s="275" t="s">
        <v>261</v>
      </c>
      <c r="B39" s="275" t="str">
        <f>+'3. Scrap (LC)'!B39</f>
        <v>All Other</v>
      </c>
      <c r="C39" s="272">
        <f>IFERROR(C37/C38,0)</f>
        <v>0</v>
      </c>
      <c r="D39" s="270">
        <f t="shared" ref="D39:Q39" si="19">IFERROR(D37/D38,0)</f>
        <v>0</v>
      </c>
      <c r="E39" s="273">
        <f t="shared" si="19"/>
        <v>1.4391623034999507E-8</v>
      </c>
      <c r="F39" s="270">
        <f t="shared" si="19"/>
        <v>5.2075321568468495E-4</v>
      </c>
      <c r="G39" s="270">
        <f t="shared" si="19"/>
        <v>2.9861495786397937E-4</v>
      </c>
      <c r="H39" s="270">
        <f t="shared" si="19"/>
        <v>4.5239066444556961E-5</v>
      </c>
      <c r="I39" s="270">
        <f t="shared" si="19"/>
        <v>1.1176872095351674E-4</v>
      </c>
      <c r="J39" s="270">
        <f t="shared" si="19"/>
        <v>-3.9451208680987596E-5</v>
      </c>
      <c r="K39" s="270">
        <f t="shared" si="19"/>
        <v>-1.9216410891178051E-4</v>
      </c>
      <c r="L39" s="270">
        <f t="shared" si="19"/>
        <v>1.2762872633149304E-4</v>
      </c>
      <c r="M39" s="270">
        <f t="shared" si="19"/>
        <v>-3.9923568567168307E-4</v>
      </c>
      <c r="N39" s="270">
        <f t="shared" si="19"/>
        <v>-2.6675138122719534E-4</v>
      </c>
      <c r="O39" s="270">
        <f t="shared" si="19"/>
        <v>-4.4978414618597046E-5</v>
      </c>
      <c r="P39" s="270">
        <f t="shared" si="19"/>
        <v>-4.4978414618597046E-5</v>
      </c>
      <c r="Q39" s="273">
        <f t="shared" si="19"/>
        <v>-4.497841479323569E-5</v>
      </c>
      <c r="R39" s="272">
        <f t="shared" ref="R39" si="20">IFERROR(R37/R38,0)</f>
        <v>9.2689410232877995E-18</v>
      </c>
      <c r="S39" s="273">
        <f>+'3. Scrap (LC)'!S39</f>
        <v>0</v>
      </c>
      <c r="T39" s="270">
        <f t="shared" si="0"/>
        <v>-1.4391623025730566E-8</v>
      </c>
      <c r="U39" s="334"/>
      <c r="V39" s="271"/>
      <c r="W39" s="317"/>
      <c r="Y39" s="267"/>
    </row>
    <row r="40" spans="1:25" ht="17.649999999999999" customHeight="1" x14ac:dyDescent="0.2">
      <c r="A40" s="214" t="s">
        <v>229</v>
      </c>
      <c r="B40" s="215"/>
      <c r="C40" s="266">
        <f>IFERROR('3. Scrap (LC)'!C40/'Input-FX Rates'!$E$16,0)</f>
        <v>-60.975807731717133</v>
      </c>
      <c r="D40" s="78">
        <f>IFERROR('3. Scrap (LC)'!D40/'Input-FX Rates'!$G$16,0)</f>
        <v>-120.31576993156037</v>
      </c>
      <c r="E40" s="80">
        <f>IFERROR('3. Scrap (LC)'!E40/'Input-FX Rates'!$G$16,0)</f>
        <v>-120.3156485406317</v>
      </c>
      <c r="F40" s="78">
        <f>IFERROR('3. Scrap (LC)'!F40/'Input-FX Rates'!$H$16,0)</f>
        <v>-17.646552899298214</v>
      </c>
      <c r="G40" s="78">
        <f>IFERROR('3. Scrap (LC)'!G40/'Input-FX Rates'!$H$16,0)</f>
        <v>-15.737016465663416</v>
      </c>
      <c r="H40" s="78">
        <f>IFERROR('3. Scrap (LC)'!H40/'Input-FX Rates'!$H$16,0)</f>
        <v>-16.902717561824449</v>
      </c>
      <c r="I40" s="78">
        <f>IFERROR('3. Scrap (LC)'!I40/'Input-FX Rates'!$H$16,0)</f>
        <v>-17.539914635736881</v>
      </c>
      <c r="J40" s="78">
        <f>IFERROR('3. Scrap (LC)'!J40/'Input-FX Rates'!$H$16,0)</f>
        <v>-17.842559739594879</v>
      </c>
      <c r="K40" s="78">
        <f>IFERROR('3. Scrap (LC)'!K40/'Input-FX Rates'!$H$16,0)</f>
        <v>-16.779179729245335</v>
      </c>
      <c r="L40" s="78">
        <f>IFERROR('3. Scrap (LC)'!L40/'Input-FX Rates'!$H$16,0)</f>
        <v>-18.905781548601098</v>
      </c>
      <c r="M40" s="78">
        <f>IFERROR('3. Scrap (LC)'!M40/'Input-FX Rates'!$H$16,0)</f>
        <v>-15.184256748399983</v>
      </c>
      <c r="N40" s="78">
        <f>IFERROR('3. Scrap (LC)'!N40/'Input-FX Rates'!$H$16,0)</f>
        <v>-16.267060208208584</v>
      </c>
      <c r="O40" s="78">
        <f>IFERROR('3. Scrap (LC)'!O40/'Input-FX Rates'!$H$16,0)</f>
        <v>-17.8823201544757</v>
      </c>
      <c r="P40" s="78">
        <f>IFERROR('3. Scrap (LC)'!P40/'Input-FX Rates'!$H$16,0)</f>
        <v>-17.8823201544757</v>
      </c>
      <c r="Q40" s="80">
        <f>IFERROR('3. Scrap (LC)'!Q40/'Input-FX Rates'!$H$16,0)</f>
        <v>-17.882320154475718</v>
      </c>
      <c r="R40" s="266">
        <f>IFERROR('3. Scrap (LC)'!R40/'Input-FX Rates'!$H$16,0)</f>
        <v>-206.45199999999997</v>
      </c>
      <c r="S40" s="80">
        <f>IFERROR('3. Scrap (LC)'!S40/'Input-FX Rates'!$H$16,0)</f>
        <v>0</v>
      </c>
      <c r="T40" s="78">
        <f t="shared" si="0"/>
        <v>-86.136351459368271</v>
      </c>
      <c r="U40" s="78">
        <f>R40-E42*R41</f>
        <v>-81.612194176006099</v>
      </c>
      <c r="V40" s="265">
        <f>IFERROR(R41/E41*E40-E40,0)</f>
        <v>-4.5241572833622001</v>
      </c>
      <c r="W40" s="214" t="str">
        <f>IF(ISBLANK('3. Scrap (LC)'!W40),"",'3. Scrap (LC)'!W40)</f>
        <v/>
      </c>
      <c r="Y40" s="267"/>
    </row>
    <row r="41" spans="1:25" ht="17.649999999999999" customHeight="1" x14ac:dyDescent="0.2">
      <c r="A41" s="214" t="s">
        <v>228</v>
      </c>
      <c r="B41" s="215"/>
      <c r="C41" s="266">
        <f>IFERROR('3. Scrap (LC)'!C41/'Input-FX Rates'!$E$16,0)</f>
        <v>21227.606072209819</v>
      </c>
      <c r="D41" s="78">
        <f>IFERROR('3. Scrap (LC)'!D41/'Input-FX Rates'!$G$16,0)</f>
        <v>40039.618317888293</v>
      </c>
      <c r="E41" s="80">
        <f>IFERROR('3. Scrap (LC)'!E41/'Input-FX Rates'!$G$16,0)</f>
        <v>48399.12378399825</v>
      </c>
      <c r="F41" s="78">
        <f>IFERROR('3. Scrap (LC)'!F41/'Input-FX Rates'!$H$16,0)</f>
        <v>4309.378870502077</v>
      </c>
      <c r="G41" s="78">
        <f>IFERROR('3. Scrap (LC)'!G41/'Input-FX Rates'!$H$16,0)</f>
        <v>3892.3841616091031</v>
      </c>
      <c r="H41" s="78">
        <f>IFERROR('3. Scrap (LC)'!H41/'Input-FX Rates'!$H$16,0)</f>
        <v>4122.8122788262899</v>
      </c>
      <c r="I41" s="78">
        <f>IFERROR('3. Scrap (LC)'!I41/'Input-FX Rates'!$H$16,0)</f>
        <v>4261.9402070780125</v>
      </c>
      <c r="J41" s="78">
        <f>IFERROR('3. Scrap (LC)'!J41/'Input-FX Rates'!$H$16,0)</f>
        <v>4317.2530229400827</v>
      </c>
      <c r="K41" s="78">
        <f>IFERROR('3. Scrap (LC)'!K41/'Input-FX Rates'!$H$16,0)</f>
        <v>4083.5493374711755</v>
      </c>
      <c r="L41" s="78">
        <f>IFERROR('3. Scrap (LC)'!L41/'Input-FX Rates'!$H$16,0)</f>
        <v>4550.9470484089334</v>
      </c>
      <c r="M41" s="78">
        <f>IFERROR('3. Scrap (LC)'!M41/'Input-FX Rates'!$H$16,0)</f>
        <v>3733.0107471988313</v>
      </c>
      <c r="N41" s="78">
        <f>IFERROR('3. Scrap (LC)'!N41/'Input-FX Rates'!$H$16,0)</f>
        <v>3970.8148126677579</v>
      </c>
      <c r="O41" s="78">
        <f>IFERROR('3. Scrap (LC)'!O41/'Input-FX Rates'!$H$16,0)</f>
        <v>4325.6521891469793</v>
      </c>
      <c r="P41" s="78">
        <f>IFERROR('3. Scrap (LC)'!P41/'Input-FX Rates'!$H$16,0)</f>
        <v>4325.6521891469793</v>
      </c>
      <c r="Q41" s="80">
        <f>IFERROR('3. Scrap (LC)'!Q41/'Input-FX Rates'!$H$16,0)</f>
        <v>4325.6521877676687</v>
      </c>
      <c r="R41" s="266">
        <f>IFERROR('3. Scrap (LC)'!R41/'Input-FX Rates'!$H$16,0)</f>
        <v>50219.047052763883</v>
      </c>
      <c r="S41" s="80">
        <f>IFERROR('3. Scrap (LC)'!S41/'Input-FX Rates'!$H$16,0)</f>
        <v>0</v>
      </c>
      <c r="T41" s="78">
        <f t="shared" si="0"/>
        <v>1819.9232687656331</v>
      </c>
      <c r="U41" s="78">
        <f>U7+U10+U13+U16+U19+U22+U25+U28+U31+U34+U37</f>
        <v>-68.332025847456251</v>
      </c>
      <c r="V41" s="265">
        <f>V7+V10+V13+V16+V19+V22+V25+V28+V31+V34+V37</f>
        <v>-17.804325611912041</v>
      </c>
      <c r="W41" s="214" t="str">
        <f>IF(ISBLANK('3. Scrap (LC)'!W41),"",'3. Scrap (LC)'!W41)</f>
        <v/>
      </c>
      <c r="Y41" s="267"/>
    </row>
    <row r="42" spans="1:25" ht="17.649999999999999" customHeight="1" x14ac:dyDescent="0.2">
      <c r="A42" s="214" t="s">
        <v>227</v>
      </c>
      <c r="B42" s="215"/>
      <c r="C42" s="263">
        <f t="shared" ref="C42" si="21">IFERROR(C40/C41,0)</f>
        <v>-2.8724768833704611E-3</v>
      </c>
      <c r="D42" s="262">
        <f t="shared" ref="D42:S42" si="22">IFERROR(D40/D41,0)</f>
        <v>-3.0049180033718632E-3</v>
      </c>
      <c r="E42" s="264">
        <f t="shared" si="22"/>
        <v>-2.4859055109673397E-3</v>
      </c>
      <c r="F42" s="262">
        <f t="shared" si="22"/>
        <v>-4.0949179521182948E-3</v>
      </c>
      <c r="G42" s="262">
        <f t="shared" si="22"/>
        <v>-4.043027566723467E-3</v>
      </c>
      <c r="H42" s="262">
        <f t="shared" si="22"/>
        <v>-4.0998028575379205E-3</v>
      </c>
      <c r="I42" s="262">
        <f t="shared" si="22"/>
        <v>-4.115476469286802E-3</v>
      </c>
      <c r="J42" s="262">
        <f t="shared" si="22"/>
        <v>-4.1328501352102731E-3</v>
      </c>
      <c r="K42" s="262">
        <f t="shared" si="22"/>
        <v>-4.1089695122028813E-3</v>
      </c>
      <c r="L42" s="262">
        <f t="shared" si="22"/>
        <v>-4.1542521474097994E-3</v>
      </c>
      <c r="M42" s="262">
        <f t="shared" si="22"/>
        <v>-4.0675630949613293E-3</v>
      </c>
      <c r="N42" s="262">
        <f t="shared" si="22"/>
        <v>-4.0966554663574703E-3</v>
      </c>
      <c r="O42" s="262">
        <f t="shared" si="22"/>
        <v>-4.1340171082969342E-3</v>
      </c>
      <c r="P42" s="262">
        <f t="shared" si="22"/>
        <v>-4.1340171082969342E-3</v>
      </c>
      <c r="Q42" s="264">
        <f t="shared" si="22"/>
        <v>-4.1340171096151427E-3</v>
      </c>
      <c r="R42" s="263">
        <f t="shared" si="22"/>
        <v>-4.1110298206791154E-3</v>
      </c>
      <c r="S42" s="264">
        <f t="shared" si="22"/>
        <v>0</v>
      </c>
      <c r="T42" s="262">
        <f t="shared" si="0"/>
        <v>-1.6251243097117757E-3</v>
      </c>
      <c r="U42" s="262">
        <f>IFERROR(-U41/(E40+V41),0)</f>
        <v>-0.49472950068748467</v>
      </c>
      <c r="V42" s="261"/>
      <c r="W42" s="214"/>
      <c r="Y42" s="267"/>
    </row>
    <row r="43" spans="1:25" s="243" customFormat="1" ht="17.649999999999999" customHeight="1" x14ac:dyDescent="0.2">
      <c r="A43" s="315"/>
      <c r="B43" s="314"/>
      <c r="C43" s="297"/>
      <c r="D43" s="224"/>
      <c r="E43" s="29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8"/>
      <c r="R43" s="297"/>
      <c r="S43" s="298"/>
      <c r="T43" s="223"/>
      <c r="U43" s="224"/>
      <c r="V43" s="296"/>
      <c r="W43" s="294"/>
      <c r="Y43" s="293"/>
    </row>
    <row r="44" spans="1:25" ht="15.6" customHeight="1" x14ac:dyDescent="0.2">
      <c r="A44" s="214" t="s">
        <v>260</v>
      </c>
      <c r="B44" s="215"/>
      <c r="C44" s="266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6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5"/>
      <c r="W44" s="214" t="str">
        <f>IF(ISBLANK('3. Scrap (LC)'!W44),"",'3. Scrap (LC)'!W44)</f>
        <v/>
      </c>
      <c r="Y44" s="267"/>
    </row>
    <row r="45" spans="1:25" s="243" customFormat="1" ht="15.6" customHeight="1" x14ac:dyDescent="0.2">
      <c r="A45" s="315" t="s">
        <v>259</v>
      </c>
      <c r="B45" s="314" t="str">
        <f>+'3. Scrap (LC)'!B45</f>
        <v>xxx</v>
      </c>
      <c r="C45" s="333">
        <f>IFERROR('3. Scrap (LC)'!C45/'Input-FX Rates'!$E$16,0)</f>
        <v>0</v>
      </c>
      <c r="D45" s="223">
        <f>IFERROR('3. Scrap (LC)'!D45/'Input-FX Rates'!$G$16,0)</f>
        <v>0</v>
      </c>
      <c r="E45" s="332">
        <f>IFERROR('3. Scrap (LC)'!E45/'Input-FX Rates'!$G$16,0)</f>
        <v>0</v>
      </c>
      <c r="F45" s="223">
        <f>IFERROR('3. Scrap (LC)'!F45/'Input-FX Rates'!$H$16,0)</f>
        <v>0</v>
      </c>
      <c r="G45" s="223">
        <f>IFERROR('3. Scrap (LC)'!G45/'Input-FX Rates'!$H$16,0)</f>
        <v>0</v>
      </c>
      <c r="H45" s="223">
        <f>IFERROR('3. Scrap (LC)'!H45/'Input-FX Rates'!$H$16,0)</f>
        <v>0</v>
      </c>
      <c r="I45" s="223">
        <f>IFERROR('3. Scrap (LC)'!I45/'Input-FX Rates'!$H$16,0)</f>
        <v>0</v>
      </c>
      <c r="J45" s="223">
        <f>IFERROR('3. Scrap (LC)'!J45/'Input-FX Rates'!$H$16,0)</f>
        <v>0</v>
      </c>
      <c r="K45" s="223">
        <f>IFERROR('3. Scrap (LC)'!K45/'Input-FX Rates'!$H$16,0)</f>
        <v>0</v>
      </c>
      <c r="L45" s="223">
        <f>IFERROR('3. Scrap (LC)'!L45/'Input-FX Rates'!$H$16,0)</f>
        <v>0</v>
      </c>
      <c r="M45" s="223">
        <f>IFERROR('3. Scrap (LC)'!M45/'Input-FX Rates'!$H$16,0)</f>
        <v>0</v>
      </c>
      <c r="N45" s="223">
        <f>IFERROR('3. Scrap (LC)'!N45/'Input-FX Rates'!$H$16,0)</f>
        <v>0</v>
      </c>
      <c r="O45" s="223">
        <f>IFERROR('3. Scrap (LC)'!O45/'Input-FX Rates'!$H$16,0)</f>
        <v>0</v>
      </c>
      <c r="P45" s="223">
        <f>IFERROR('3. Scrap (LC)'!P45/'Input-FX Rates'!$H$16,0)</f>
        <v>0</v>
      </c>
      <c r="Q45" s="332">
        <f>IFERROR('3. Scrap (LC)'!Q45/'Input-FX Rates'!$H$16,0)</f>
        <v>0</v>
      </c>
      <c r="R45" s="333">
        <f>SUM(F45:Q45)</f>
        <v>0</v>
      </c>
      <c r="S45" s="332">
        <f>IFERROR('3. Scrap (LC)'!S45/'Input-FX Rates'!$H$16,0)</f>
        <v>0</v>
      </c>
      <c r="T45" s="223">
        <f>R45-E45</f>
        <v>0</v>
      </c>
      <c r="U45" s="224"/>
      <c r="V45" s="296"/>
      <c r="W45" s="294" t="str">
        <f>IF(ISBLANK('3. Scrap (LC)'!W45),"",'3. Scrap (LC)'!W45)</f>
        <v/>
      </c>
      <c r="Y45" s="267"/>
    </row>
    <row r="46" spans="1:25" s="243" customFormat="1" ht="15.6" customHeight="1" x14ac:dyDescent="0.2">
      <c r="A46" s="315" t="s">
        <v>258</v>
      </c>
      <c r="B46" s="314" t="str">
        <f>+'3. Scrap (LC)'!B46</f>
        <v>xxx</v>
      </c>
      <c r="C46" s="333">
        <f>IFERROR('3. Scrap (LC)'!C46/'Input-FX Rates'!$E$16,0)</f>
        <v>0</v>
      </c>
      <c r="D46" s="223">
        <f>IFERROR('3. Scrap (LC)'!D46/'Input-FX Rates'!$G$16,0)</f>
        <v>0</v>
      </c>
      <c r="E46" s="332">
        <f>IFERROR('3. Scrap (LC)'!E46/'Input-FX Rates'!$G$16,0)</f>
        <v>0</v>
      </c>
      <c r="F46" s="223">
        <f>IFERROR('3. Scrap (LC)'!F46/'Input-FX Rates'!$H$16,0)</f>
        <v>0</v>
      </c>
      <c r="G46" s="223">
        <f>IFERROR('3. Scrap (LC)'!G46/'Input-FX Rates'!$H$16,0)</f>
        <v>0</v>
      </c>
      <c r="H46" s="223">
        <f>IFERROR('3. Scrap (LC)'!H46/'Input-FX Rates'!$H$16,0)</f>
        <v>0</v>
      </c>
      <c r="I46" s="223">
        <f>IFERROR('3. Scrap (LC)'!I46/'Input-FX Rates'!$H$16,0)</f>
        <v>0</v>
      </c>
      <c r="J46" s="223">
        <f>IFERROR('3. Scrap (LC)'!J46/'Input-FX Rates'!$H$16,0)</f>
        <v>0</v>
      </c>
      <c r="K46" s="223">
        <f>IFERROR('3. Scrap (LC)'!K46/'Input-FX Rates'!$H$16,0)</f>
        <v>0</v>
      </c>
      <c r="L46" s="223">
        <f>IFERROR('3. Scrap (LC)'!L46/'Input-FX Rates'!$H$16,0)</f>
        <v>0</v>
      </c>
      <c r="M46" s="223">
        <f>IFERROR('3. Scrap (LC)'!M46/'Input-FX Rates'!$H$16,0)</f>
        <v>0</v>
      </c>
      <c r="N46" s="223">
        <f>IFERROR('3. Scrap (LC)'!N46/'Input-FX Rates'!$H$16,0)</f>
        <v>0</v>
      </c>
      <c r="O46" s="223">
        <f>IFERROR('3. Scrap (LC)'!O46/'Input-FX Rates'!$H$16,0)</f>
        <v>0</v>
      </c>
      <c r="P46" s="223">
        <f>IFERROR('3. Scrap (LC)'!P46/'Input-FX Rates'!$H$16,0)</f>
        <v>0</v>
      </c>
      <c r="Q46" s="332">
        <f>IFERROR('3. Scrap (LC)'!Q46/'Input-FX Rates'!$H$16,0)</f>
        <v>0</v>
      </c>
      <c r="R46" s="223">
        <f>SUM(F46:Q46)</f>
        <v>0</v>
      </c>
      <c r="S46" s="332">
        <f>IFERROR('3. Scrap (LC)'!S46/'Input-FX Rates'!$H$16,0)</f>
        <v>0</v>
      </c>
      <c r="T46" s="223">
        <f>R46-E46</f>
        <v>0</v>
      </c>
      <c r="U46" s="224"/>
      <c r="V46" s="296"/>
      <c r="W46" s="294" t="str">
        <f>IF(ISBLANK('3. Scrap (LC)'!W46),"",'3. Scrap (LC)'!W46)</f>
        <v/>
      </c>
      <c r="Y46" s="267"/>
    </row>
    <row r="47" spans="1:25" s="243" customFormat="1" ht="15.6" customHeight="1" x14ac:dyDescent="0.2">
      <c r="A47" s="315" t="s">
        <v>178</v>
      </c>
      <c r="B47" s="314" t="str">
        <f>+'3. Scrap (LC)'!B47</f>
        <v>xxx</v>
      </c>
      <c r="C47" s="333">
        <f>IFERROR('3. Scrap (LC)'!C47/'Input-FX Rates'!$E$16,0)</f>
        <v>0</v>
      </c>
      <c r="D47" s="223">
        <f>IFERROR('3. Scrap (LC)'!D47/'Input-FX Rates'!$G$16,0)</f>
        <v>0</v>
      </c>
      <c r="E47" s="332">
        <f>IFERROR('3. Scrap (LC)'!E47/'Input-FX Rates'!$G$16,0)</f>
        <v>0</v>
      </c>
      <c r="F47" s="223">
        <f>IFERROR('3. Scrap (LC)'!F47/'Input-FX Rates'!$H$16,0)</f>
        <v>0</v>
      </c>
      <c r="G47" s="223">
        <f>IFERROR('3. Scrap (LC)'!G47/'Input-FX Rates'!$H$16,0)</f>
        <v>0</v>
      </c>
      <c r="H47" s="223">
        <f>IFERROR('3. Scrap (LC)'!H47/'Input-FX Rates'!$H$16,0)</f>
        <v>0</v>
      </c>
      <c r="I47" s="223">
        <f>IFERROR('3. Scrap (LC)'!I47/'Input-FX Rates'!$H$16,0)</f>
        <v>0</v>
      </c>
      <c r="J47" s="223">
        <f>IFERROR('3. Scrap (LC)'!J47/'Input-FX Rates'!$H$16,0)</f>
        <v>0</v>
      </c>
      <c r="K47" s="223">
        <f>IFERROR('3. Scrap (LC)'!K47/'Input-FX Rates'!$H$16,0)</f>
        <v>0</v>
      </c>
      <c r="L47" s="223">
        <f>IFERROR('3. Scrap (LC)'!L47/'Input-FX Rates'!$H$16,0)</f>
        <v>0</v>
      </c>
      <c r="M47" s="223">
        <f>IFERROR('3. Scrap (LC)'!M47/'Input-FX Rates'!$H$16,0)</f>
        <v>0</v>
      </c>
      <c r="N47" s="223">
        <f>IFERROR('3. Scrap (LC)'!N47/'Input-FX Rates'!$H$16,0)</f>
        <v>0</v>
      </c>
      <c r="O47" s="223">
        <f>IFERROR('3. Scrap (LC)'!O47/'Input-FX Rates'!$H$16,0)</f>
        <v>0</v>
      </c>
      <c r="P47" s="223">
        <f>IFERROR('3. Scrap (LC)'!P47/'Input-FX Rates'!$H$16,0)</f>
        <v>0</v>
      </c>
      <c r="Q47" s="332">
        <f>IFERROR('3. Scrap (LC)'!Q47/'Input-FX Rates'!$H$16,0)</f>
        <v>0</v>
      </c>
      <c r="R47" s="223">
        <f>SUM(F47:Q47)</f>
        <v>0</v>
      </c>
      <c r="S47" s="332">
        <f>IFERROR('3. Scrap (LC)'!S47/'Input-FX Rates'!$H$16,0)</f>
        <v>0</v>
      </c>
      <c r="T47" s="223">
        <f>R47-E47</f>
        <v>0</v>
      </c>
      <c r="U47" s="224"/>
      <c r="V47" s="296"/>
      <c r="W47" s="294" t="str">
        <f>IF(ISBLANK('3. Scrap (LC)'!W47),"",'3. Scrap (LC)'!W47)</f>
        <v/>
      </c>
      <c r="Y47" s="267"/>
    </row>
    <row r="48" spans="1:25" ht="15" customHeight="1" x14ac:dyDescent="0.2">
      <c r="A48" s="315"/>
      <c r="B48" s="331"/>
      <c r="C48" s="315"/>
      <c r="D48" s="315"/>
      <c r="E48" s="331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31"/>
      <c r="R48" s="315"/>
      <c r="S48" s="331"/>
      <c r="T48" s="315"/>
      <c r="U48" s="315"/>
      <c r="V48" s="331"/>
      <c r="W48" s="330" t="str">
        <f>IF(ISBLANK('3. Scrap (LC)'!W48),"",'3. Scrap (LC)'!W48)</f>
        <v/>
      </c>
      <c r="X48" s="315"/>
      <c r="Y48" s="267"/>
    </row>
    <row r="49" spans="1:25" ht="15.6" customHeight="1" x14ac:dyDescent="0.2">
      <c r="A49" s="214" t="s">
        <v>256</v>
      </c>
      <c r="B49" s="215"/>
      <c r="C49" s="266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5"/>
      <c r="W49" s="214" t="str">
        <f>IF(ISBLANK('3. Scrap (LC)'!W49),"",'3. Scrap (LC)'!W49)</f>
        <v/>
      </c>
      <c r="Y49" s="267"/>
    </row>
    <row r="50" spans="1:25" s="243" customFormat="1" ht="15.6" customHeight="1" outlineLevel="1" x14ac:dyDescent="0.2">
      <c r="A50" s="327" t="s">
        <v>255</v>
      </c>
      <c r="B50" s="326" t="str">
        <f>+'3. Scrap (LC)'!B50</f>
        <v>HV Board (eICB/eIGB 200/201)</v>
      </c>
      <c r="C50" s="325">
        <f>IFERROR('3. Scrap (LC)'!C50/'Input-FX Rates'!$E$16,0)</f>
        <v>-36.172868376845827</v>
      </c>
      <c r="D50" s="323">
        <f>IFERROR('3. Scrap (LC)'!D50/'Input-FX Rates'!$G$16,0)</f>
        <v>-90.844160453374883</v>
      </c>
      <c r="E50" s="324">
        <f>IFERROR('3. Scrap (LC)'!E50/'Input-FX Rates'!$G$16,0)</f>
        <v>-90.844160453374883</v>
      </c>
      <c r="F50" s="323">
        <f>IFERROR('3. Scrap (LC)'!F50/'Input-FX Rates'!$H$16,0)</f>
        <v>-18.878334394895358</v>
      </c>
      <c r="G50" s="323">
        <f>IFERROR('3. Scrap (LC)'!G50/'Input-FX Rates'!$H$16,0)</f>
        <v>-16.303584545621771</v>
      </c>
      <c r="H50" s="323">
        <f>IFERROR('3. Scrap (LC)'!H50/'Input-FX Rates'!$H$16,0)</f>
        <v>-17.162030534545977</v>
      </c>
      <c r="I50" s="323">
        <f>IFERROR('3. Scrap (LC)'!I50/'Input-FX Rates'!$H$16,0)</f>
        <v>-18.019586024051257</v>
      </c>
      <c r="J50" s="323">
        <f>IFERROR('3. Scrap (LC)'!J50/'Input-FX Rates'!$H$16,0)</f>
        <v>-18.019586024051257</v>
      </c>
      <c r="K50" s="323">
        <f>IFERROR('3. Scrap (LC)'!K50/'Input-FX Rates'!$H$16,0)</f>
        <v>-16.303584545621771</v>
      </c>
      <c r="L50" s="323">
        <f>IFERROR('3. Scrap (LC)'!L50/'Input-FX Rates'!$H$16,0)</f>
        <v>-19.736480289821404</v>
      </c>
      <c r="M50" s="323">
        <f>IFERROR('3. Scrap (LC)'!M50/'Input-FX Rates'!$H$16,0)</f>
        <v>-13.729378864467362</v>
      </c>
      <c r="N50" s="323">
        <f>IFERROR('3. Scrap (LC)'!N50/'Input-FX Rates'!$H$16,0)</f>
        <v>-15.445676704770023</v>
      </c>
      <c r="O50" s="323">
        <f>IFERROR('3. Scrap (LC)'!O50/'Input-FX Rates'!$H$16,0)</f>
        <v>-18.019586024051257</v>
      </c>
      <c r="P50" s="323">
        <f>IFERROR('3. Scrap (LC)'!P50/'Input-FX Rates'!$H$16,0)</f>
        <v>-18.019586024051257</v>
      </c>
      <c r="Q50" s="324">
        <f>IFERROR('3. Scrap (LC)'!Q50/'Input-FX Rates'!$H$16,0)</f>
        <v>-18.019586024051257</v>
      </c>
      <c r="R50" s="323">
        <f>SUM(F50:Q50)</f>
        <v>-207.65699999999993</v>
      </c>
      <c r="S50" s="324">
        <f>IFERROR('3. Scrap (LC)'!S50/'Input-FX Rates'!$H$16,0)</f>
        <v>0</v>
      </c>
      <c r="T50" s="323">
        <f t="shared" ref="T50:T69" si="24">R50-E50</f>
        <v>-116.81283954662504</v>
      </c>
      <c r="U50" s="329"/>
      <c r="V50" s="328"/>
      <c r="W50" s="320" t="str">
        <f>IF(ISBLANK('3. Scrap (LC)'!W50),"",'3. Scrap (LC)'!W50)</f>
        <v/>
      </c>
      <c r="Y50" s="267" t="s">
        <v>1415</v>
      </c>
    </row>
    <row r="51" spans="1:25" s="243" customFormat="1" ht="15.6" customHeight="1" outlineLevel="1" x14ac:dyDescent="0.2">
      <c r="A51" s="327" t="s">
        <v>254</v>
      </c>
      <c r="B51" s="326" t="str">
        <f>+'3. Scrap (LC)'!B51</f>
        <v>HV Board (eICB/eIGB 200/201)</v>
      </c>
      <c r="C51" s="325">
        <f>IFERROR('3. Scrap (LC)'!C51/'Input-FX Rates'!$E$16,0)</f>
        <v>0</v>
      </c>
      <c r="D51" s="323">
        <f>IFERROR('3. Scrap (LC)'!D51/'Input-FX Rates'!$G$16,0)</f>
        <v>0</v>
      </c>
      <c r="E51" s="324">
        <f>IFERROR('3. Scrap (LC)'!E51/'Input-FX Rates'!$G$16,0)</f>
        <v>0</v>
      </c>
      <c r="F51" s="323">
        <f>IFERROR('3. Scrap (LC)'!F51/'Input-FX Rates'!$H$16,0)</f>
        <v>-4.333333333333333</v>
      </c>
      <c r="G51" s="323">
        <f>IFERROR('3. Scrap (LC)'!G51/'Input-FX Rates'!$H$16,0)</f>
        <v>-4.333333333333333</v>
      </c>
      <c r="H51" s="323">
        <f>IFERROR('3. Scrap (LC)'!H51/'Input-FX Rates'!$H$16,0)</f>
        <v>-4.333333333333333</v>
      </c>
      <c r="I51" s="323">
        <f>IFERROR('3. Scrap (LC)'!I51/'Input-FX Rates'!$H$16,0)</f>
        <v>-4.333333333333333</v>
      </c>
      <c r="J51" s="323">
        <f>IFERROR('3. Scrap (LC)'!J51/'Input-FX Rates'!$H$16,0)</f>
        <v>-4.333333333333333</v>
      </c>
      <c r="K51" s="323">
        <f>IFERROR('3. Scrap (LC)'!K51/'Input-FX Rates'!$H$16,0)</f>
        <v>-4.333333333333333</v>
      </c>
      <c r="L51" s="323">
        <f>IFERROR('3. Scrap (LC)'!L51/'Input-FX Rates'!$H$16,0)</f>
        <v>-4.333333333333333</v>
      </c>
      <c r="M51" s="323">
        <f>IFERROR('3. Scrap (LC)'!M51/'Input-FX Rates'!$H$16,0)</f>
        <v>-4.333333333333333</v>
      </c>
      <c r="N51" s="323">
        <f>IFERROR('3. Scrap (LC)'!N51/'Input-FX Rates'!$H$16,0)</f>
        <v>-4.333333333333333</v>
      </c>
      <c r="O51" s="323">
        <f>IFERROR('3. Scrap (LC)'!O51/'Input-FX Rates'!$H$16,0)</f>
        <v>-4.333333333333333</v>
      </c>
      <c r="P51" s="323">
        <f>IFERROR('3. Scrap (LC)'!P51/'Input-FX Rates'!$H$16,0)</f>
        <v>-4.333333333333333</v>
      </c>
      <c r="Q51" s="324">
        <f>IFERROR('3. Scrap (LC)'!Q51/'Input-FX Rates'!$H$16,0)</f>
        <v>-3</v>
      </c>
      <c r="R51" s="323">
        <f>SUM(F51:Q51)</f>
        <v>-50.666666666666671</v>
      </c>
      <c r="S51" s="324">
        <f>IFERROR('3. Scrap (LC)'!S51/'Input-FX Rates'!$H$16,0)</f>
        <v>0</v>
      </c>
      <c r="T51" s="323">
        <f t="shared" si="24"/>
        <v>-50.666666666666671</v>
      </c>
      <c r="U51" s="329"/>
      <c r="V51" s="328"/>
      <c r="W51" s="320" t="str">
        <f>IF(ISBLANK('3. Scrap (LC)'!W51),"",'3. Scrap (LC)'!W51)</f>
        <v/>
      </c>
      <c r="Y51" s="267" t="s">
        <v>253</v>
      </c>
    </row>
    <row r="52" spans="1:25" s="243" customFormat="1" ht="15.6" customHeight="1" outlineLevel="1" x14ac:dyDescent="0.2">
      <c r="A52" s="327" t="s">
        <v>252</v>
      </c>
      <c r="B52" s="326" t="str">
        <f>+'3. Scrap (LC)'!B52</f>
        <v>HV Board (eICB/eIGB 200/201)</v>
      </c>
      <c r="C52" s="325">
        <f>IFERROR('3. Scrap (LC)'!C52/'Input-FX Rates'!$E$16,0)</f>
        <v>12548.142240186011</v>
      </c>
      <c r="D52" s="323">
        <f>IFERROR('3. Scrap (LC)'!D52/'Input-FX Rates'!$G$16,0)</f>
        <v>30174.951283417038</v>
      </c>
      <c r="E52" s="324">
        <f>IFERROR('3. Scrap (LC)'!E52/'Input-FX Rates'!$G$16,0)</f>
        <v>30174.951283417038</v>
      </c>
      <c r="F52" s="323">
        <f>IFERROR('3. Scrap (LC)'!F52/'Input-FX Rates'!$H$16,0)</f>
        <v>3425.7132115668887</v>
      </c>
      <c r="G52" s="323">
        <f>IFERROR('3. Scrap (LC)'!G52/'Input-FX Rates'!$H$16,0)</f>
        <v>2958.4921956322746</v>
      </c>
      <c r="H52" s="323">
        <f>IFERROR('3. Scrap (LC)'!H52/'Input-FX Rates'!$H$16,0)</f>
        <v>3114.268108070261</v>
      </c>
      <c r="I52" s="323">
        <f>IFERROR('3. Scrap (LC)'!I52/'Input-FX Rates'!$H$16,0)</f>
        <v>3269.8824280944004</v>
      </c>
      <c r="J52" s="323">
        <f>IFERROR('3. Scrap (LC)'!J52/'Input-FX Rates'!$H$16,0)</f>
        <v>3269.8824280944004</v>
      </c>
      <c r="K52" s="323">
        <f>IFERROR('3. Scrap (LC)'!K52/'Input-FX Rates'!$H$16,0)</f>
        <v>2958.4921956322746</v>
      </c>
      <c r="L52" s="323">
        <f>IFERROR('3. Scrap (LC)'!L52/'Input-FX Rates'!$H$16,0)</f>
        <v>3581.4346681427905</v>
      </c>
      <c r="M52" s="323">
        <f>IFERROR('3. Scrap (LC)'!M52/'Input-FX Rates'!$H$16,0)</f>
        <v>2491.3699259046184</v>
      </c>
      <c r="N52" s="323">
        <f>IFERROR('3. Scrap (LC)'!N52/'Input-FX Rates'!$H$16,0)</f>
        <v>2802.8139369874157</v>
      </c>
      <c r="O52" s="323">
        <f>IFERROR('3. Scrap (LC)'!O52/'Input-FX Rates'!$H$16,0)</f>
        <v>3269.8824280944004</v>
      </c>
      <c r="P52" s="323">
        <f>IFERROR('3. Scrap (LC)'!P52/'Input-FX Rates'!$H$16,0)</f>
        <v>3269.8824280944004</v>
      </c>
      <c r="Q52" s="324">
        <f>IFERROR('3. Scrap (LC)'!Q52/'Input-FX Rates'!$H$16,0)</f>
        <v>3269.8824280944004</v>
      </c>
      <c r="R52" s="323">
        <f>SUM(F52:Q52)</f>
        <v>37681.996382408528</v>
      </c>
      <c r="S52" s="324">
        <f>IFERROR('3. Scrap (LC)'!S52/'Input-FX Rates'!$H$16,0)</f>
        <v>0</v>
      </c>
      <c r="T52" s="323">
        <f t="shared" si="24"/>
        <v>7507.0450989914898</v>
      </c>
      <c r="U52" s="322"/>
      <c r="V52" s="321"/>
      <c r="W52" s="320" t="str">
        <f>IF(ISBLANK('3. Scrap (LC)'!W52),"",'3. Scrap (LC)'!W52)</f>
        <v/>
      </c>
      <c r="Y52" s="267"/>
    </row>
    <row r="53" spans="1:25" ht="15.6" customHeight="1" outlineLevel="1" x14ac:dyDescent="0.2">
      <c r="A53" s="319" t="s">
        <v>251</v>
      </c>
      <c r="B53" s="318" t="str">
        <f>+'3. Scrap (LC)'!B53</f>
        <v>HV Board (eICB/eIGB 200/201)</v>
      </c>
      <c r="C53" s="272">
        <f t="shared" ref="C53" si="25">IFERROR(C50/C52,0)</f>
        <v>-2.8827269953157313E-3</v>
      </c>
      <c r="D53" s="270">
        <f t="shared" ref="D53:R53" si="26">IFERROR(D50/D52,0)</f>
        <v>-3.0105818432024857E-3</v>
      </c>
      <c r="E53" s="273">
        <f t="shared" si="26"/>
        <v>-3.0105818432024857E-3</v>
      </c>
      <c r="F53" s="270">
        <f t="shared" si="26"/>
        <v>-5.5107749040850347E-3</v>
      </c>
      <c r="G53" s="270">
        <f t="shared" si="26"/>
        <v>-5.5107749040850347E-3</v>
      </c>
      <c r="H53" s="270">
        <f t="shared" si="26"/>
        <v>-5.5107749040850355E-3</v>
      </c>
      <c r="I53" s="270">
        <f t="shared" si="26"/>
        <v>-5.5107749040850338E-3</v>
      </c>
      <c r="J53" s="270">
        <f t="shared" si="26"/>
        <v>-5.5107749040850338E-3</v>
      </c>
      <c r="K53" s="270">
        <f t="shared" si="26"/>
        <v>-5.5107749040850347E-3</v>
      </c>
      <c r="L53" s="270">
        <f t="shared" si="26"/>
        <v>-5.5107749040850347E-3</v>
      </c>
      <c r="M53" s="270">
        <f t="shared" si="26"/>
        <v>-5.5107749040850338E-3</v>
      </c>
      <c r="N53" s="270">
        <f t="shared" si="26"/>
        <v>-5.5107749040850338E-3</v>
      </c>
      <c r="O53" s="270">
        <f t="shared" si="26"/>
        <v>-5.5107749040850338E-3</v>
      </c>
      <c r="P53" s="270">
        <f t="shared" si="26"/>
        <v>-5.5107749040850338E-3</v>
      </c>
      <c r="Q53" s="273">
        <f t="shared" si="26"/>
        <v>-5.5107749040850338E-3</v>
      </c>
      <c r="R53" s="270">
        <f t="shared" si="26"/>
        <v>-5.5107749040850329E-3</v>
      </c>
      <c r="S53" s="273">
        <f>+'3. Scrap (LC)'!S53</f>
        <v>0</v>
      </c>
      <c r="T53" s="270">
        <f t="shared" si="24"/>
        <v>-2.5001930608825472E-3</v>
      </c>
      <c r="U53" s="270"/>
      <c r="V53" s="271"/>
      <c r="W53" s="317" t="str">
        <f>IF(ISBLANK('3. Scrap (LC)'!W53),"",'3. Scrap (LC)'!W53)</f>
        <v/>
      </c>
      <c r="Y53" s="267"/>
    </row>
    <row r="54" spans="1:25" ht="15.6" customHeight="1" outlineLevel="1" x14ac:dyDescent="0.2">
      <c r="A54" s="319" t="s">
        <v>250</v>
      </c>
      <c r="B54" s="318" t="str">
        <f>+'3. Scrap (LC)'!B54</f>
        <v>HV Board (eICB/eIGB 200/201)</v>
      </c>
      <c r="C54" s="272">
        <f t="shared" ref="C54" si="27">IFERROR((C50+C51)/C52,0)</f>
        <v>-2.8827269953157313E-3</v>
      </c>
      <c r="D54" s="270">
        <f t="shared" ref="D54:R54" si="28">IFERROR((D50+D51)/D52,0)</f>
        <v>-3.0105818432024857E-3</v>
      </c>
      <c r="E54" s="273">
        <f t="shared" si="28"/>
        <v>-3.0105818432024857E-3</v>
      </c>
      <c r="F54" s="270">
        <f t="shared" si="28"/>
        <v>-6.775718308775735E-3</v>
      </c>
      <c r="G54" s="270">
        <f t="shared" si="28"/>
        <v>-6.9754849816477818E-3</v>
      </c>
      <c r="H54" s="270">
        <f t="shared" si="28"/>
        <v>-6.9022200793106385E-3</v>
      </c>
      <c r="I54" s="270">
        <f t="shared" si="28"/>
        <v>-6.8360009416030499E-3</v>
      </c>
      <c r="J54" s="270">
        <f t="shared" si="28"/>
        <v>-6.8360009416030499E-3</v>
      </c>
      <c r="K54" s="270">
        <f t="shared" si="28"/>
        <v>-6.9754849816477818E-3</v>
      </c>
      <c r="L54" s="270">
        <f t="shared" si="28"/>
        <v>-6.7207183303546114E-3</v>
      </c>
      <c r="M54" s="270">
        <f t="shared" si="28"/>
        <v>-7.2501124822890806E-3</v>
      </c>
      <c r="N54" s="270">
        <f t="shared" si="28"/>
        <v>-7.0568401908842658E-3</v>
      </c>
      <c r="O54" s="270">
        <f t="shared" si="28"/>
        <v>-6.8360009416030499E-3</v>
      </c>
      <c r="P54" s="270">
        <f t="shared" si="28"/>
        <v>-6.8360009416030499E-3</v>
      </c>
      <c r="Q54" s="273">
        <f t="shared" si="28"/>
        <v>-6.4282390839051993E-3</v>
      </c>
      <c r="R54" s="270">
        <f t="shared" si="28"/>
        <v>-6.8553604231877292E-3</v>
      </c>
      <c r="S54" s="273">
        <f>+'3. Scrap (LC)'!S54</f>
        <v>0</v>
      </c>
      <c r="T54" s="270">
        <f t="shared" si="24"/>
        <v>-3.8447785799852435E-3</v>
      </c>
      <c r="U54" s="270"/>
      <c r="V54" s="271"/>
      <c r="W54" s="317" t="str">
        <f>IF(ISBLANK('3. Scrap (LC)'!W54),"",'3. Scrap (LC)'!W54)</f>
        <v/>
      </c>
      <c r="Y54" s="267"/>
    </row>
    <row r="55" spans="1:25" s="243" customFormat="1" ht="15.6" customHeight="1" outlineLevel="1" x14ac:dyDescent="0.2">
      <c r="A55" s="327" t="s">
        <v>249</v>
      </c>
      <c r="B55" s="326" t="str">
        <f>+'3. Scrap (LC)'!B55</f>
        <v>HV Inverter (800V inverter)</v>
      </c>
      <c r="C55" s="325">
        <f>IFERROR('3. Scrap (LC)'!C55/'Input-FX Rates'!$E$16,0)</f>
        <v>-34.409909226863938</v>
      </c>
      <c r="D55" s="323">
        <f>IFERROR('3. Scrap (LC)'!D55/'Input-FX Rates'!$G$16,0)</f>
        <v>-348.02703235101131</v>
      </c>
      <c r="E55" s="324">
        <f>IFERROR('3. Scrap (LC)'!E55/'Input-FX Rates'!$G$16,0)</f>
        <v>-348.02703235101131</v>
      </c>
      <c r="F55" s="323">
        <f>IFERROR('3. Scrap (LC)'!F55/'Input-FX Rates'!$H$16,0)</f>
        <v>-48.432991579999999</v>
      </c>
      <c r="G55" s="323">
        <f>IFERROR('3. Scrap (LC)'!G55/'Input-FX Rates'!$H$16,0)</f>
        <v>-41.828754219999993</v>
      </c>
      <c r="H55" s="323">
        <f>IFERROR('3. Scrap (LC)'!H55/'Input-FX Rates'!$H$16,0)</f>
        <v>-44.032084279999999</v>
      </c>
      <c r="I55" s="323">
        <f>IFERROR('3. Scrap (LC)'!I55/'Input-FX Rates'!$H$16,0)</f>
        <v>-46.229661519999993</v>
      </c>
      <c r="J55" s="323">
        <f>IFERROR('3. Scrap (LC)'!J55/'Input-FX Rates'!$H$16,0)</f>
        <v>-46.229661519999993</v>
      </c>
      <c r="K55" s="323">
        <f>IFERROR('3. Scrap (LC)'!K55/'Input-FX Rates'!$H$16,0)</f>
        <v>-41.828754219999993</v>
      </c>
      <c r="L55" s="323">
        <f>IFERROR('3. Scrap (LC)'!L55/'Input-FX Rates'!$H$16,0)</f>
        <v>-50.636321639999984</v>
      </c>
      <c r="M55" s="323">
        <f>IFERROR('3. Scrap (LC)'!M55/'Input-FX Rates'!$H$16,0)</f>
        <v>-35.224516860000001</v>
      </c>
      <c r="N55" s="323">
        <f>IFERROR('3. Scrap (LC)'!N55/'Input-FX Rates'!$H$16,0)</f>
        <v>-39.625424159999994</v>
      </c>
      <c r="O55" s="323">
        <f>IFERROR('3. Scrap (LC)'!O55/'Input-FX Rates'!$H$16,0)</f>
        <v>-46.229661519999993</v>
      </c>
      <c r="P55" s="323">
        <f>IFERROR('3. Scrap (LC)'!P55/'Input-FX Rates'!$H$16,0)</f>
        <v>-46.229661519999993</v>
      </c>
      <c r="Q55" s="324">
        <f>IFERROR('3. Scrap (LC)'!Q55/'Input-FX Rates'!$H$16,0)</f>
        <v>-46.229661519999993</v>
      </c>
      <c r="R55" s="323">
        <f>SUM(F55:Q55)</f>
        <v>-532.75715456</v>
      </c>
      <c r="S55" s="324">
        <f>IFERROR('3. Scrap (LC)'!S55/'Input-FX Rates'!$H$16,0)</f>
        <v>0</v>
      </c>
      <c r="T55" s="323">
        <f t="shared" si="24"/>
        <v>-184.73012220898869</v>
      </c>
      <c r="U55" s="329"/>
      <c r="V55" s="328"/>
      <c r="W55" s="320" t="str">
        <f>IF(ISBLANK('3. Scrap (LC)'!W55),"",'3. Scrap (LC)'!W55)</f>
        <v/>
      </c>
      <c r="Y55" s="267"/>
    </row>
    <row r="56" spans="1:25" s="243" customFormat="1" ht="15.6" customHeight="1" outlineLevel="1" x14ac:dyDescent="0.2">
      <c r="A56" s="327" t="s">
        <v>247</v>
      </c>
      <c r="B56" s="326" t="str">
        <f>+'3. Scrap (LC)'!B56</f>
        <v>HV Inverter (800V inverter)</v>
      </c>
      <c r="C56" s="325">
        <f>IFERROR('3. Scrap (LC)'!C56/'Input-FX Rates'!$E$16,0)</f>
        <v>-27.009262172431853</v>
      </c>
      <c r="D56" s="323">
        <f>IFERROR('3. Scrap (LC)'!D56/'Input-FX Rates'!$G$16,0)</f>
        <v>-151.61520494155968</v>
      </c>
      <c r="E56" s="324">
        <f>IFERROR('3. Scrap (LC)'!E56/'Input-FX Rates'!$G$16,0)</f>
        <v>-151.61520494155968</v>
      </c>
      <c r="F56" s="323">
        <f>IFERROR('3. Scrap (LC)'!F56/'Input-FX Rates'!$H$16,0)</f>
        <v>0</v>
      </c>
      <c r="G56" s="323">
        <f>IFERROR('3. Scrap (LC)'!G56/'Input-FX Rates'!$H$16,0)</f>
        <v>0</v>
      </c>
      <c r="H56" s="323">
        <f>IFERROR('3. Scrap (LC)'!H56/'Input-FX Rates'!$H$16,0)</f>
        <v>0</v>
      </c>
      <c r="I56" s="323">
        <f>IFERROR('3. Scrap (LC)'!I56/'Input-FX Rates'!$H$16,0)</f>
        <v>0</v>
      </c>
      <c r="J56" s="323">
        <f>IFERROR('3. Scrap (LC)'!J56/'Input-FX Rates'!$H$16,0)</f>
        <v>0</v>
      </c>
      <c r="K56" s="323">
        <f>IFERROR('3. Scrap (LC)'!K56/'Input-FX Rates'!$H$16,0)</f>
        <v>0</v>
      </c>
      <c r="L56" s="323">
        <f>IFERROR('3. Scrap (LC)'!L56/'Input-FX Rates'!$H$16,0)</f>
        <v>0</v>
      </c>
      <c r="M56" s="323">
        <f>IFERROR('3. Scrap (LC)'!M56/'Input-FX Rates'!$H$16,0)</f>
        <v>0</v>
      </c>
      <c r="N56" s="323">
        <f>IFERROR('3. Scrap (LC)'!N56/'Input-FX Rates'!$H$16,0)</f>
        <v>0</v>
      </c>
      <c r="O56" s="323">
        <f>IFERROR('3. Scrap (LC)'!O56/'Input-FX Rates'!$H$16,0)</f>
        <v>0</v>
      </c>
      <c r="P56" s="323">
        <f>IFERROR('3. Scrap (LC)'!P56/'Input-FX Rates'!$H$16,0)</f>
        <v>0</v>
      </c>
      <c r="Q56" s="324">
        <f>IFERROR('3. Scrap (LC)'!Q56/'Input-FX Rates'!$H$16,0)</f>
        <v>0</v>
      </c>
      <c r="R56" s="323">
        <f>SUM(F56:Q56)</f>
        <v>0</v>
      </c>
      <c r="S56" s="324">
        <f>IFERROR('3. Scrap (LC)'!S56/'Input-FX Rates'!$H$16,0)</f>
        <v>0</v>
      </c>
      <c r="T56" s="323">
        <f t="shared" si="24"/>
        <v>151.61520494155968</v>
      </c>
      <c r="U56" s="329"/>
      <c r="V56" s="328"/>
      <c r="W56" s="320" t="str">
        <f>IF(ISBLANK('3. Scrap (LC)'!W56),"",'3. Scrap (LC)'!W56)</f>
        <v/>
      </c>
      <c r="Y56" s="267"/>
    </row>
    <row r="57" spans="1:25" s="243" customFormat="1" ht="15.6" customHeight="1" outlineLevel="1" x14ac:dyDescent="0.2">
      <c r="A57" s="327" t="s">
        <v>246</v>
      </c>
      <c r="B57" s="326" t="str">
        <f>+'3. Scrap (LC)'!B57</f>
        <v>HV Inverter (800V inverter)</v>
      </c>
      <c r="C57" s="325">
        <f>IFERROR('3. Scrap (LC)'!C57/'Input-FX Rates'!$E$16,0)</f>
        <v>2212.6232222632275</v>
      </c>
      <c r="D57" s="323">
        <f>IFERROR('3. Scrap (LC)'!D57/'Input-FX Rates'!$G$16,0)</f>
        <v>15833.870813332158</v>
      </c>
      <c r="E57" s="324">
        <f>IFERROR('3. Scrap (LC)'!E57/'Input-FX Rates'!$G$16,0)</f>
        <v>15833.870813332158</v>
      </c>
      <c r="F57" s="323">
        <f>IFERROR('3. Scrap (LC)'!F57/'Input-FX Rates'!$H$16,0)</f>
        <v>2549.10482</v>
      </c>
      <c r="G57" s="323">
        <f>IFERROR('3. Scrap (LC)'!G57/'Input-FX Rates'!$H$16,0)</f>
        <v>2201.5133799999999</v>
      </c>
      <c r="H57" s="323">
        <f>IFERROR('3. Scrap (LC)'!H57/'Input-FX Rates'!$H$16,0)</f>
        <v>2317.4781199999998</v>
      </c>
      <c r="I57" s="323">
        <f>IFERROR('3. Scrap (LC)'!I57/'Input-FX Rates'!$H$16,0)</f>
        <v>2433.1400799999997</v>
      </c>
      <c r="J57" s="323">
        <f>IFERROR('3. Scrap (LC)'!J57/'Input-FX Rates'!$H$16,0)</f>
        <v>2433.1400799999997</v>
      </c>
      <c r="K57" s="323">
        <f>IFERROR('3. Scrap (LC)'!K57/'Input-FX Rates'!$H$16,0)</f>
        <v>2201.5133799999999</v>
      </c>
      <c r="L57" s="323">
        <f>IFERROR('3. Scrap (LC)'!L57/'Input-FX Rates'!$H$16,0)</f>
        <v>2665.0695599999995</v>
      </c>
      <c r="M57" s="323">
        <f>IFERROR('3. Scrap (LC)'!M57/'Input-FX Rates'!$H$16,0)</f>
        <v>1853.9219399999999</v>
      </c>
      <c r="N57" s="323">
        <f>IFERROR('3. Scrap (LC)'!N57/'Input-FX Rates'!$H$16,0)</f>
        <v>2085.54864</v>
      </c>
      <c r="O57" s="323">
        <f>IFERROR('3. Scrap (LC)'!O57/'Input-FX Rates'!$H$16,0)</f>
        <v>2433.1400799999997</v>
      </c>
      <c r="P57" s="323">
        <f>IFERROR('3. Scrap (LC)'!P57/'Input-FX Rates'!$H$16,0)</f>
        <v>2433.1400799999997</v>
      </c>
      <c r="Q57" s="324">
        <f>IFERROR('3. Scrap (LC)'!Q57/'Input-FX Rates'!$H$16,0)</f>
        <v>2433.1400799999997</v>
      </c>
      <c r="R57" s="323">
        <f>SUM(F57:Q57)</f>
        <v>28039.850240000003</v>
      </c>
      <c r="S57" s="324">
        <f>IFERROR('3. Scrap (LC)'!S57/'Input-FX Rates'!$H$16,0)</f>
        <v>0</v>
      </c>
      <c r="T57" s="323">
        <f t="shared" si="24"/>
        <v>12205.979426667845</v>
      </c>
      <c r="U57" s="322"/>
      <c r="V57" s="321"/>
      <c r="W57" s="320" t="str">
        <f>IF(ISBLANK('3. Scrap (LC)'!W57),"",'3. Scrap (LC)'!W57)</f>
        <v/>
      </c>
      <c r="Y57" s="267"/>
    </row>
    <row r="58" spans="1:25" ht="15.6" customHeight="1" outlineLevel="1" x14ac:dyDescent="0.2">
      <c r="A58" s="319" t="s">
        <v>245</v>
      </c>
      <c r="B58" s="318" t="str">
        <f>+'3. Scrap (LC)'!B58</f>
        <v>HV Inverter (800V inverter)</v>
      </c>
      <c r="C58" s="272">
        <f t="shared" ref="C58" si="29">IFERROR(C55/C57,0)</f>
        <v>-1.5551635217706451E-2</v>
      </c>
      <c r="D58" s="270">
        <f t="shared" ref="D58:R58" si="30">IFERROR(D55/D57,0)</f>
        <v>-2.1979908542513287E-2</v>
      </c>
      <c r="E58" s="273">
        <f t="shared" si="30"/>
        <v>-2.1979908542513287E-2</v>
      </c>
      <c r="F58" s="270">
        <f t="shared" si="30"/>
        <v>-1.9E-2</v>
      </c>
      <c r="G58" s="270">
        <f t="shared" si="30"/>
        <v>-1.9E-2</v>
      </c>
      <c r="H58" s="270">
        <f t="shared" si="30"/>
        <v>-1.9000000000000003E-2</v>
      </c>
      <c r="I58" s="270">
        <f t="shared" si="30"/>
        <v>-1.9E-2</v>
      </c>
      <c r="J58" s="270">
        <f t="shared" si="30"/>
        <v>-1.9E-2</v>
      </c>
      <c r="K58" s="270">
        <f t="shared" si="30"/>
        <v>-1.9E-2</v>
      </c>
      <c r="L58" s="270">
        <f t="shared" si="30"/>
        <v>-1.9E-2</v>
      </c>
      <c r="M58" s="270">
        <f t="shared" si="30"/>
        <v>-1.9E-2</v>
      </c>
      <c r="N58" s="270">
        <f t="shared" si="30"/>
        <v>-1.8999999999999996E-2</v>
      </c>
      <c r="O58" s="270">
        <f t="shared" si="30"/>
        <v>-1.9E-2</v>
      </c>
      <c r="P58" s="270">
        <f t="shared" si="30"/>
        <v>-1.9E-2</v>
      </c>
      <c r="Q58" s="273">
        <f t="shared" si="30"/>
        <v>-1.9E-2</v>
      </c>
      <c r="R58" s="270">
        <f t="shared" si="30"/>
        <v>-1.9E-2</v>
      </c>
      <c r="S58" s="273">
        <f>+'3. Scrap (LC)'!S58</f>
        <v>0</v>
      </c>
      <c r="T58" s="270">
        <f t="shared" si="24"/>
        <v>2.9799085425132876E-3</v>
      </c>
      <c r="U58" s="270"/>
      <c r="V58" s="271"/>
      <c r="W58" s="317" t="str">
        <f>IF(ISBLANK('3. Scrap (LC)'!W58),"",'3. Scrap (LC)'!W58)</f>
        <v/>
      </c>
      <c r="Y58" s="267"/>
    </row>
    <row r="59" spans="1:25" ht="15.6" customHeight="1" outlineLevel="1" x14ac:dyDescent="0.2">
      <c r="A59" s="319" t="s">
        <v>244</v>
      </c>
      <c r="B59" s="318" t="str">
        <f>+'3. Scrap (LC)'!B59</f>
        <v>HV Inverter (800V inverter)</v>
      </c>
      <c r="C59" s="272">
        <f t="shared" ref="C59" si="31">IFERROR((C55+C56)/C57,0)</f>
        <v>-2.7758531493885307E-2</v>
      </c>
      <c r="D59" s="270">
        <f t="shared" ref="D59:R59" si="32">IFERROR((D55+D56)/D57,0)</f>
        <v>-3.1555280650128269E-2</v>
      </c>
      <c r="E59" s="273">
        <f t="shared" si="32"/>
        <v>-3.1555280650128269E-2</v>
      </c>
      <c r="F59" s="270">
        <f t="shared" si="32"/>
        <v>-1.9E-2</v>
      </c>
      <c r="G59" s="270">
        <f t="shared" si="32"/>
        <v>-1.9E-2</v>
      </c>
      <c r="H59" s="270">
        <f t="shared" si="32"/>
        <v>-1.9000000000000003E-2</v>
      </c>
      <c r="I59" s="270">
        <f t="shared" si="32"/>
        <v>-1.9E-2</v>
      </c>
      <c r="J59" s="270">
        <f t="shared" si="32"/>
        <v>-1.9E-2</v>
      </c>
      <c r="K59" s="270">
        <f t="shared" si="32"/>
        <v>-1.9E-2</v>
      </c>
      <c r="L59" s="270">
        <f t="shared" si="32"/>
        <v>-1.9E-2</v>
      </c>
      <c r="M59" s="270">
        <f t="shared" si="32"/>
        <v>-1.9E-2</v>
      </c>
      <c r="N59" s="270">
        <f t="shared" si="32"/>
        <v>-1.8999999999999996E-2</v>
      </c>
      <c r="O59" s="270">
        <f t="shared" si="32"/>
        <v>-1.9E-2</v>
      </c>
      <c r="P59" s="270">
        <f t="shared" si="32"/>
        <v>-1.9E-2</v>
      </c>
      <c r="Q59" s="273">
        <f t="shared" si="32"/>
        <v>-1.9E-2</v>
      </c>
      <c r="R59" s="270">
        <f t="shared" si="32"/>
        <v>-1.9E-2</v>
      </c>
      <c r="S59" s="273">
        <f>+'3. Scrap (LC)'!S59</f>
        <v>0</v>
      </c>
      <c r="T59" s="270">
        <f t="shared" si="24"/>
        <v>1.2555280650128269E-2</v>
      </c>
      <c r="U59" s="270"/>
      <c r="V59" s="271"/>
      <c r="W59" s="317" t="str">
        <f>IF(ISBLANK('3. Scrap (LC)'!W59),"",'3. Scrap (LC)'!W59)</f>
        <v/>
      </c>
      <c r="Y59" s="267"/>
    </row>
    <row r="60" spans="1:25" s="243" customFormat="1" ht="15.6" customHeight="1" outlineLevel="1" x14ac:dyDescent="0.2">
      <c r="A60" s="327" t="s">
        <v>243</v>
      </c>
      <c r="B60" s="326" t="str">
        <f>+'3. Scrap (LC)'!B60</f>
        <v>HV Double Inverter (HPCU)</v>
      </c>
      <c r="C60" s="325">
        <f>IFERROR('3. Scrap (LC)'!C60/'Input-FX Rates'!$E$16,0)</f>
        <v>0</v>
      </c>
      <c r="D60" s="323">
        <f>IFERROR('3. Scrap (LC)'!D60/'Input-FX Rates'!$G$16,0)</f>
        <v>-66.843957950895771</v>
      </c>
      <c r="E60" s="324">
        <f>IFERROR('3. Scrap (LC)'!E60/'Input-FX Rates'!$G$16,0)</f>
        <v>-66.843957950895771</v>
      </c>
      <c r="F60" s="323">
        <f>IFERROR('3. Scrap (LC)'!F60/'Input-FX Rates'!$H$16,0)</f>
        <v>-18.45729990167159</v>
      </c>
      <c r="G60" s="323">
        <f>IFERROR('3. Scrap (LC)'!G60/'Input-FX Rates'!$H$16,0)</f>
        <v>-18.45729990167159</v>
      </c>
      <c r="H60" s="323">
        <f>IFERROR('3. Scrap (LC)'!H60/'Input-FX Rates'!$H$16,0)</f>
        <v>-29.353488036709283</v>
      </c>
      <c r="I60" s="323">
        <f>IFERROR('3. Scrap (LC)'!I60/'Input-FX Rates'!$H$16,0)</f>
        <v>-29.353488036709283</v>
      </c>
      <c r="J60" s="323">
        <f>IFERROR('3. Scrap (LC)'!J60/'Input-FX Rates'!$H$16,0)</f>
        <v>-33.96480301540479</v>
      </c>
      <c r="K60" s="323">
        <f>IFERROR('3. Scrap (LC)'!K60/'Input-FX Rates'!$H$16,0)</f>
        <v>-33.96480301540479</v>
      </c>
      <c r="L60" s="323">
        <f>IFERROR('3. Scrap (LC)'!L60/'Input-FX Rates'!$H$16,0)</f>
        <v>-33.96480301540479</v>
      </c>
      <c r="M60" s="323">
        <f>IFERROR('3. Scrap (LC)'!M60/'Input-FX Rates'!$H$16,0)</f>
        <v>-33.96480301540479</v>
      </c>
      <c r="N60" s="323">
        <f>IFERROR('3. Scrap (LC)'!N60/'Input-FX Rates'!$H$16,0)</f>
        <v>-33.96480301540479</v>
      </c>
      <c r="O60" s="323">
        <f>IFERROR('3. Scrap (LC)'!O60/'Input-FX Rates'!$H$16,0)</f>
        <v>-33.96480301540479</v>
      </c>
      <c r="P60" s="323">
        <f>IFERROR('3. Scrap (LC)'!P60/'Input-FX Rates'!$H$16,0)</f>
        <v>-33.96480301540479</v>
      </c>
      <c r="Q60" s="324">
        <f>IFERROR('3. Scrap (LC)'!Q60/'Input-FX Rates'!$H$16,0)</f>
        <v>-33.96480301540479</v>
      </c>
      <c r="R60" s="323">
        <f>SUM(F60:Q60)</f>
        <v>-367.34000000000009</v>
      </c>
      <c r="S60" s="324">
        <f>IFERROR('3. Scrap (LC)'!S60/'Input-FX Rates'!$H$16,0)</f>
        <v>0</v>
      </c>
      <c r="T60" s="323">
        <f t="shared" si="24"/>
        <v>-300.49604204910429</v>
      </c>
      <c r="U60" s="329"/>
      <c r="V60" s="328"/>
      <c r="W60" s="320" t="str">
        <f>IF(ISBLANK('3. Scrap (LC)'!W60),"",'3. Scrap (LC)'!W60)</f>
        <v/>
      </c>
      <c r="Y60" s="267"/>
    </row>
    <row r="61" spans="1:25" s="243" customFormat="1" ht="15.6" customHeight="1" outlineLevel="1" x14ac:dyDescent="0.2">
      <c r="A61" s="327" t="s">
        <v>241</v>
      </c>
      <c r="B61" s="326" t="str">
        <f>+'3. Scrap (LC)'!B61</f>
        <v>HV Double Inverter (HPCU)</v>
      </c>
      <c r="C61" s="325">
        <f>IFERROR('3. Scrap (LC)'!C61/'Input-FX Rates'!$E$16,0)</f>
        <v>-50.061481121520849</v>
      </c>
      <c r="D61" s="323">
        <f>IFERROR('3. Scrap (LC)'!D61/'Input-FX Rates'!$G$16,0)</f>
        <v>-379.98058755464581</v>
      </c>
      <c r="E61" s="324">
        <f>IFERROR('3. Scrap (LC)'!E61/'Input-FX Rates'!$G$16,0)</f>
        <v>-379.98058755464581</v>
      </c>
      <c r="F61" s="323">
        <f>IFERROR('3. Scrap (LC)'!F61/'Input-FX Rates'!$H$16,0)</f>
        <v>-151.31</v>
      </c>
      <c r="G61" s="323">
        <f>IFERROR('3. Scrap (LC)'!G61/'Input-FX Rates'!$H$16,0)</f>
        <v>-102.42</v>
      </c>
      <c r="H61" s="323">
        <f>IFERROR('3. Scrap (LC)'!H61/'Input-FX Rates'!$H$16,0)</f>
        <v>-93.93</v>
      </c>
      <c r="I61" s="323">
        <f>IFERROR('3. Scrap (LC)'!I61/'Input-FX Rates'!$H$16,0)</f>
        <v>-88.31</v>
      </c>
      <c r="J61" s="323">
        <f>IFERROR('3. Scrap (LC)'!J61/'Input-FX Rates'!$H$16,0)</f>
        <v>-102.65</v>
      </c>
      <c r="K61" s="323">
        <f>IFERROR('3. Scrap (LC)'!K61/'Input-FX Rates'!$H$16,0)</f>
        <v>-62.36</v>
      </c>
      <c r="L61" s="323">
        <f>IFERROR('3. Scrap (LC)'!L61/'Input-FX Rates'!$H$16,0)</f>
        <v>0</v>
      </c>
      <c r="M61" s="323">
        <f>IFERROR('3. Scrap (LC)'!M61/'Input-FX Rates'!$H$16,0)</f>
        <v>0</v>
      </c>
      <c r="N61" s="323">
        <f>IFERROR('3. Scrap (LC)'!N61/'Input-FX Rates'!$H$16,0)</f>
        <v>0</v>
      </c>
      <c r="O61" s="323">
        <f>IFERROR('3. Scrap (LC)'!O61/'Input-FX Rates'!$H$16,0)</f>
        <v>0</v>
      </c>
      <c r="P61" s="323">
        <f>IFERROR('3. Scrap (LC)'!P61/'Input-FX Rates'!$H$16,0)</f>
        <v>0</v>
      </c>
      <c r="Q61" s="324">
        <f>IFERROR('3. Scrap (LC)'!Q61/'Input-FX Rates'!$H$16,0)</f>
        <v>0</v>
      </c>
      <c r="R61" s="323">
        <f>SUM(F61:Q61)</f>
        <v>-600.98</v>
      </c>
      <c r="S61" s="324">
        <f>IFERROR('3. Scrap (LC)'!S61/'Input-FX Rates'!$H$16,0)</f>
        <v>0</v>
      </c>
      <c r="T61" s="323">
        <f t="shared" si="24"/>
        <v>-220.99941244535421</v>
      </c>
      <c r="U61" s="329"/>
      <c r="V61" s="328"/>
      <c r="W61" s="320" t="str">
        <f>IF(ISBLANK('3. Scrap (LC)'!W61),"",'3. Scrap (LC)'!W61)</f>
        <v/>
      </c>
      <c r="Y61" s="267"/>
    </row>
    <row r="62" spans="1:25" s="243" customFormat="1" ht="15.6" customHeight="1" outlineLevel="1" x14ac:dyDescent="0.2">
      <c r="A62" s="327" t="s">
        <v>240</v>
      </c>
      <c r="B62" s="326" t="str">
        <f>+'3. Scrap (LC)'!B62</f>
        <v>HV Double Inverter (HPCU)</v>
      </c>
      <c r="C62" s="325">
        <f>IFERROR('3. Scrap (LC)'!C62/'Input-FX Rates'!$E$16,0)</f>
        <v>0</v>
      </c>
      <c r="D62" s="323">
        <f>IFERROR('3. Scrap (LC)'!D62/'Input-FX Rates'!$G$16,0)</f>
        <v>463.75950008097993</v>
      </c>
      <c r="E62" s="324">
        <f>IFERROR('3. Scrap (LC)'!E62/'Input-FX Rates'!$G$16,0)</f>
        <v>463.75950008097993</v>
      </c>
      <c r="F62" s="323">
        <f>IFERROR('3. Scrap (LC)'!F62/'Input-FX Rates'!$H$16,0)</f>
        <v>698.55744000000004</v>
      </c>
      <c r="G62" s="323">
        <f>IFERROR('3. Scrap (LC)'!G62/'Input-FX Rates'!$H$16,0)</f>
        <v>698.55744000000004</v>
      </c>
      <c r="H62" s="323">
        <f>IFERROR('3. Scrap (LC)'!H62/'Input-FX Rates'!$H$16,0)</f>
        <v>1110.94784</v>
      </c>
      <c r="I62" s="323">
        <f>IFERROR('3. Scrap (LC)'!I62/'Input-FX Rates'!$H$16,0)</f>
        <v>1110.94784</v>
      </c>
      <c r="J62" s="323">
        <f>IFERROR('3. Scrap (LC)'!J62/'Input-FX Rates'!$H$16,0)</f>
        <v>1285.4732799999999</v>
      </c>
      <c r="K62" s="323">
        <f>IFERROR('3. Scrap (LC)'!K62/'Input-FX Rates'!$H$16,0)</f>
        <v>1285.4732799999999</v>
      </c>
      <c r="L62" s="323">
        <f>IFERROR('3. Scrap (LC)'!L62/'Input-FX Rates'!$H$16,0)</f>
        <v>1285.4732799999999</v>
      </c>
      <c r="M62" s="323">
        <f>IFERROR('3. Scrap (LC)'!M62/'Input-FX Rates'!$H$16,0)</f>
        <v>1285.4732799999999</v>
      </c>
      <c r="N62" s="323">
        <f>IFERROR('3. Scrap (LC)'!N62/'Input-FX Rates'!$H$16,0)</f>
        <v>1285.4732799999999</v>
      </c>
      <c r="O62" s="323">
        <f>IFERROR('3. Scrap (LC)'!O62/'Input-FX Rates'!$H$16,0)</f>
        <v>1285.4732799999999</v>
      </c>
      <c r="P62" s="323">
        <f>IFERROR('3. Scrap (LC)'!P62/'Input-FX Rates'!$H$16,0)</f>
        <v>1285.4732799999999</v>
      </c>
      <c r="Q62" s="324">
        <f>IFERROR('3. Scrap (LC)'!Q62/'Input-FX Rates'!$H$16,0)</f>
        <v>1285.4732799999999</v>
      </c>
      <c r="R62" s="323">
        <f>SUM(F62:Q62)</f>
        <v>13902.7968</v>
      </c>
      <c r="S62" s="324">
        <f>IFERROR('3. Scrap (LC)'!S62/'Input-FX Rates'!$H$16,0)</f>
        <v>0</v>
      </c>
      <c r="T62" s="323">
        <f t="shared" si="24"/>
        <v>13439.03729991902</v>
      </c>
      <c r="U62" s="322"/>
      <c r="V62" s="321"/>
      <c r="W62" s="320" t="str">
        <f>IF(ISBLANK('3. Scrap (LC)'!W62),"",'3. Scrap (LC)'!W62)</f>
        <v/>
      </c>
      <c r="Y62" s="267"/>
    </row>
    <row r="63" spans="1:25" ht="15.6" customHeight="1" outlineLevel="1" x14ac:dyDescent="0.2">
      <c r="A63" s="319" t="s">
        <v>239</v>
      </c>
      <c r="B63" s="318" t="str">
        <f>+'3. Scrap (LC)'!B63</f>
        <v>HV Double Inverter (HPCU)</v>
      </c>
      <c r="C63" s="272">
        <f t="shared" ref="C63" si="33">IFERROR(C60/C62,0)</f>
        <v>0</v>
      </c>
      <c r="D63" s="270">
        <f t="shared" ref="D63:R63" si="34">IFERROR(D60/D62,0)</f>
        <v>-0.14413496206379325</v>
      </c>
      <c r="E63" s="273">
        <f t="shared" si="34"/>
        <v>-0.14413496206379325</v>
      </c>
      <c r="F63" s="270">
        <f t="shared" si="34"/>
        <v>-2.6422021790608353E-2</v>
      </c>
      <c r="G63" s="270">
        <f t="shared" si="34"/>
        <v>-2.6422021790608353E-2</v>
      </c>
      <c r="H63" s="270">
        <f t="shared" si="34"/>
        <v>-2.6422021790608353E-2</v>
      </c>
      <c r="I63" s="270">
        <f t="shared" si="34"/>
        <v>-2.6422021790608353E-2</v>
      </c>
      <c r="J63" s="270">
        <f t="shared" si="34"/>
        <v>-2.6422021790608353E-2</v>
      </c>
      <c r="K63" s="270">
        <f t="shared" si="34"/>
        <v>-2.6422021790608353E-2</v>
      </c>
      <c r="L63" s="270">
        <f t="shared" si="34"/>
        <v>-2.6422021790608353E-2</v>
      </c>
      <c r="M63" s="270">
        <f t="shared" si="34"/>
        <v>-2.6422021790608353E-2</v>
      </c>
      <c r="N63" s="270">
        <f t="shared" si="34"/>
        <v>-2.6422021790608353E-2</v>
      </c>
      <c r="O63" s="270">
        <f t="shared" si="34"/>
        <v>-2.6422021790608353E-2</v>
      </c>
      <c r="P63" s="270">
        <f t="shared" si="34"/>
        <v>-2.6422021790608353E-2</v>
      </c>
      <c r="Q63" s="273">
        <f t="shared" si="34"/>
        <v>-2.6422021790608353E-2</v>
      </c>
      <c r="R63" s="270">
        <f t="shared" si="34"/>
        <v>-2.6422021790608353E-2</v>
      </c>
      <c r="S63" s="273">
        <f>+'3. Scrap (LC)'!S63</f>
        <v>0</v>
      </c>
      <c r="T63" s="270">
        <f t="shared" si="24"/>
        <v>0.11771294027318491</v>
      </c>
      <c r="U63" s="270"/>
      <c r="V63" s="271"/>
      <c r="W63" s="317" t="str">
        <f>IF(ISBLANK('3. Scrap (LC)'!W63),"",'3. Scrap (LC)'!W63)</f>
        <v/>
      </c>
      <c r="Y63" s="267"/>
    </row>
    <row r="64" spans="1:25" ht="15.6" customHeight="1" outlineLevel="1" x14ac:dyDescent="0.2">
      <c r="A64" s="319" t="s">
        <v>238</v>
      </c>
      <c r="B64" s="318" t="str">
        <f>+'3. Scrap (LC)'!B64</f>
        <v>HV Double Inverter (HPCU)</v>
      </c>
      <c r="C64" s="272">
        <f t="shared" ref="C64" si="35">IFERROR((C60+C61)/C62,0)</f>
        <v>0</v>
      </c>
      <c r="D64" s="270">
        <f t="shared" ref="D64:R64" si="36">IFERROR((D60+D61)/D62,0)</f>
        <v>-0.96348332579174922</v>
      </c>
      <c r="E64" s="273">
        <f t="shared" si="36"/>
        <v>-0.96348332579174922</v>
      </c>
      <c r="F64" s="270">
        <f t="shared" si="36"/>
        <v>-0.24302554118050992</v>
      </c>
      <c r="G64" s="270">
        <f t="shared" si="36"/>
        <v>-0.17303845464973014</v>
      </c>
      <c r="H64" s="270">
        <f t="shared" si="36"/>
        <v>-0.1109714458211731</v>
      </c>
      <c r="I64" s="270">
        <f t="shared" si="36"/>
        <v>-0.10591270246918998</v>
      </c>
      <c r="J64" s="270">
        <f t="shared" si="36"/>
        <v>-0.10627587919634145</v>
      </c>
      <c r="K64" s="270">
        <f t="shared" si="36"/>
        <v>-7.4933337405041045E-2</v>
      </c>
      <c r="L64" s="270">
        <f t="shared" si="36"/>
        <v>-2.6422021790608353E-2</v>
      </c>
      <c r="M64" s="270">
        <f t="shared" si="36"/>
        <v>-2.6422021790608353E-2</v>
      </c>
      <c r="N64" s="270">
        <f t="shared" si="36"/>
        <v>-2.6422021790608353E-2</v>
      </c>
      <c r="O64" s="270">
        <f t="shared" si="36"/>
        <v>-2.6422021790608353E-2</v>
      </c>
      <c r="P64" s="270">
        <f t="shared" si="36"/>
        <v>-2.6422021790608353E-2</v>
      </c>
      <c r="Q64" s="273">
        <f t="shared" si="36"/>
        <v>-2.6422021790608353E-2</v>
      </c>
      <c r="R64" s="270">
        <f t="shared" si="36"/>
        <v>-6.9649295313012144E-2</v>
      </c>
      <c r="S64" s="273">
        <f>+'3. Scrap (LC)'!S64</f>
        <v>0</v>
      </c>
      <c r="T64" s="270">
        <f t="shared" si="24"/>
        <v>0.89383403047873711</v>
      </c>
      <c r="U64" s="270"/>
      <c r="V64" s="271"/>
      <c r="W64" s="317" t="str">
        <f>IF(ISBLANK('3. Scrap (LC)'!W64),"",'3. Scrap (LC)'!W64)</f>
        <v/>
      </c>
      <c r="Y64" s="267"/>
    </row>
    <row r="65" spans="1:25" s="243" customFormat="1" ht="15.6" customHeight="1" outlineLevel="1" x14ac:dyDescent="0.2">
      <c r="A65" s="327" t="s">
        <v>237</v>
      </c>
      <c r="B65" s="326" t="str">
        <f>+'3. Scrap (LC)'!B65</f>
        <v>All Other</v>
      </c>
      <c r="C65" s="325">
        <f>IFERROR('3. Scrap (LC)'!C65/'Input-FX Rates'!$E$16,0)</f>
        <v>0</v>
      </c>
      <c r="D65" s="323">
        <f>IFERROR('3. Scrap (LC)'!D65/'Input-FX Rates'!$G$16,0)</f>
        <v>0</v>
      </c>
      <c r="E65" s="324">
        <f>IFERROR('3. Scrap (LC)'!E65/'Input-FX Rates'!$G$16,0)</f>
        <v>0</v>
      </c>
      <c r="F65" s="323">
        <f>IFERROR('3. Scrap (LC)'!F65/'Input-FX Rates'!$H$16,0)</f>
        <v>-62.225418465514167</v>
      </c>
      <c r="G65" s="323">
        <f>IFERROR('3. Scrap (LC)'!G65/'Input-FX Rates'!$H$16,0)</f>
        <v>-53.819632453250129</v>
      </c>
      <c r="H65" s="323">
        <f>IFERROR('3. Scrap (LC)'!H65/'Input-FX Rates'!$H$16,0)</f>
        <v>-53.169580276575466</v>
      </c>
      <c r="I65" s="323">
        <f>IFERROR('3. Scrap (LC)'!I65/'Input-FX Rates'!$H$16,0)</f>
        <v>-55.972216680054309</v>
      </c>
      <c r="J65" s="323">
        <f>IFERROR('3. Scrap (LC)'!J65/'Input-FX Rates'!$H$16,0)</f>
        <v>-54.6956262526732</v>
      </c>
      <c r="K65" s="323">
        <f>IFERROR('3. Scrap (LC)'!K65/'Input-FX Rates'!$H$16,0)</f>
        <v>-49.583705386279817</v>
      </c>
      <c r="L65" s="323">
        <f>IFERROR('3. Scrap (LC)'!L65/'Input-FX Rates'!$H$16,0)</f>
        <v>-59.808263161345124</v>
      </c>
      <c r="M65" s="323">
        <f>IFERROR('3. Scrap (LC)'!M65/'Input-FX Rates'!$H$16,0)</f>
        <v>-41.916044511727861</v>
      </c>
      <c r="N65" s="323">
        <f>IFERROR('3. Scrap (LC)'!N65/'Input-FX Rates'!$H$16,0)</f>
        <v>-47.073989015064875</v>
      </c>
      <c r="O65" s="323">
        <f>IFERROR('3. Scrap (LC)'!O65/'Input-FX Rates'!$H$16,0)</f>
        <v>-54.788789286068258</v>
      </c>
      <c r="P65" s="323">
        <f>IFERROR('3. Scrap (LC)'!P65/'Input-FX Rates'!$H$16,0)</f>
        <v>-54.788789286068258</v>
      </c>
      <c r="Q65" s="324">
        <f>IFERROR('3. Scrap (LC)'!Q65/'Input-FX Rates'!$H$16,0)</f>
        <v>-54.788790665378592</v>
      </c>
      <c r="R65" s="323">
        <f>SUM(F65:Q65)</f>
        <v>-642.63084543999992</v>
      </c>
      <c r="S65" s="324">
        <f>IFERROR('3. Scrap (LC)'!S65/'Input-FX Rates'!$H$16,0)</f>
        <v>0</v>
      </c>
      <c r="T65" s="323">
        <f t="shared" si="24"/>
        <v>-642.63084543999992</v>
      </c>
      <c r="U65" s="329"/>
      <c r="V65" s="328"/>
      <c r="W65" s="320" t="str">
        <f>IF(ISBLANK('3. Scrap (LC)'!W65),"",'3. Scrap (LC)'!W65)</f>
        <v>EPF4 scrap is shown at other side due to no sales on MTC side</v>
      </c>
      <c r="Y65" s="267"/>
    </row>
    <row r="66" spans="1:25" s="243" customFormat="1" ht="15.6" customHeight="1" outlineLevel="1" x14ac:dyDescent="0.2">
      <c r="A66" s="327" t="s">
        <v>236</v>
      </c>
      <c r="B66" s="326" t="str">
        <f>+'3. Scrap (LC)'!B66</f>
        <v>All Other</v>
      </c>
      <c r="C66" s="325">
        <f>IFERROR('3. Scrap (LC)'!C66/'Input-FX Rates'!$E$16,0)</f>
        <v>0</v>
      </c>
      <c r="D66" s="323">
        <f>IFERROR('3. Scrap (LC)'!D66/'Input-FX Rates'!$G$16,0)</f>
        <v>-125.95429580240085</v>
      </c>
      <c r="E66" s="324">
        <f>IFERROR('3. Scrap (LC)'!E66/'Input-FX Rates'!$G$16,0)</f>
        <v>-125.95429580240085</v>
      </c>
      <c r="F66" s="323">
        <f>IFERROR('3. Scrap (LC)'!F66/'Input-FX Rates'!$H$16,0)</f>
        <v>-14.35666666666666</v>
      </c>
      <c r="G66" s="323">
        <f>IFERROR('3. Scrap (LC)'!G66/'Input-FX Rates'!$H$16,0)</f>
        <v>-16.246666666666659</v>
      </c>
      <c r="H66" s="323">
        <f>IFERROR('3. Scrap (LC)'!H66/'Input-FX Rates'!$H$16,0)</f>
        <v>-13.736666666666659</v>
      </c>
      <c r="I66" s="323">
        <f>IFERROR('3. Scrap (LC)'!I66/'Input-FX Rates'!$H$16,0)</f>
        <v>-18.356666666666658</v>
      </c>
      <c r="J66" s="323">
        <f>IFERROR('3. Scrap (LC)'!J66/'Input-FX Rates'!$H$16,0)</f>
        <v>-48.016666666666659</v>
      </c>
      <c r="K66" s="323">
        <f>IFERROR('3. Scrap (LC)'!K66/'Input-FX Rates'!$H$16,0)</f>
        <v>-75.306666666666672</v>
      </c>
      <c r="L66" s="323">
        <f>IFERROR('3. Scrap (LC)'!L66/'Input-FX Rates'!$H$16,0)</f>
        <v>-138.66666666666666</v>
      </c>
      <c r="M66" s="323">
        <f>IFERROR('3. Scrap (LC)'!M66/'Input-FX Rates'!$H$16,0)</f>
        <v>-108.66666666666666</v>
      </c>
      <c r="N66" s="323">
        <f>IFERROR('3. Scrap (LC)'!N66/'Input-FX Rates'!$H$16,0)</f>
        <v>-113.66666666666666</v>
      </c>
      <c r="O66" s="323">
        <f>IFERROR('3. Scrap (LC)'!O66/'Input-FX Rates'!$H$16,0)</f>
        <v>-72.666666666666671</v>
      </c>
      <c r="P66" s="323">
        <f>IFERROR('3. Scrap (LC)'!P66/'Input-FX Rates'!$H$16,0)</f>
        <v>-87.666666666666671</v>
      </c>
      <c r="Q66" s="324">
        <f>IFERROR('3. Scrap (LC)'!Q66/'Input-FX Rates'!$H$16,0)</f>
        <v>0</v>
      </c>
      <c r="R66" s="323">
        <f>SUM(F66:Q66)</f>
        <v>-707.35333333333313</v>
      </c>
      <c r="S66" s="324">
        <f>IFERROR('3. Scrap (LC)'!S66/'Input-FX Rates'!$H$16,0)</f>
        <v>0</v>
      </c>
      <c r="T66" s="323">
        <f t="shared" si="24"/>
        <v>-581.39903753093222</v>
      </c>
      <c r="U66" s="329"/>
      <c r="V66" s="328"/>
      <c r="W66" s="320" t="str">
        <f>IF(ISBLANK('3. Scrap (LC)'!W66),"",'3. Scrap (LC)'!W66)</f>
        <v>EPF4 start up is shown at other side due to no sales on MTC side</v>
      </c>
      <c r="Y66" s="267"/>
    </row>
    <row r="67" spans="1:25" s="243" customFormat="1" ht="15.6" customHeight="1" outlineLevel="1" x14ac:dyDescent="0.2">
      <c r="A67" s="327" t="s">
        <v>235</v>
      </c>
      <c r="B67" s="326" t="str">
        <f>+'3. Scrap (LC)'!B67</f>
        <v>All Other</v>
      </c>
      <c r="C67" s="325">
        <f>IFERROR('3. Scrap (LC)'!C67/'Input-FX Rates'!$E$16,0)</f>
        <v>0</v>
      </c>
      <c r="D67" s="323">
        <f>IFERROR('3. Scrap (LC)'!D67/'Input-FX Rates'!$G$16,0)</f>
        <v>0</v>
      </c>
      <c r="E67" s="324">
        <f>IFERROR('3. Scrap (LC)'!E67/'Input-FX Rates'!$G$16,0)</f>
        <v>0</v>
      </c>
      <c r="F67" s="323">
        <f>IFERROR('3. Scrap (LC)'!F67/'Input-FX Rates'!$H$16,0)</f>
        <v>0</v>
      </c>
      <c r="G67" s="323">
        <f>IFERROR('3. Scrap (LC)'!G67/'Input-FX Rates'!$H$16,0)</f>
        <v>0</v>
      </c>
      <c r="H67" s="323">
        <f>IFERROR('3. Scrap (LC)'!H67/'Input-FX Rates'!$H$16,0)</f>
        <v>0</v>
      </c>
      <c r="I67" s="323">
        <f>IFERROR('3. Scrap (LC)'!I67/'Input-FX Rates'!$H$16,0)</f>
        <v>0</v>
      </c>
      <c r="J67" s="323">
        <f>IFERROR('3. Scrap (LC)'!J67/'Input-FX Rates'!$H$16,0)</f>
        <v>0</v>
      </c>
      <c r="K67" s="323">
        <f>IFERROR('3. Scrap (LC)'!K67/'Input-FX Rates'!$H$16,0)</f>
        <v>0</v>
      </c>
      <c r="L67" s="323">
        <f>IFERROR('3. Scrap (LC)'!L67/'Input-FX Rates'!$H$16,0)</f>
        <v>0</v>
      </c>
      <c r="M67" s="323">
        <f>IFERROR('3. Scrap (LC)'!M67/'Input-FX Rates'!$H$16,0)</f>
        <v>0</v>
      </c>
      <c r="N67" s="323">
        <f>IFERROR('3. Scrap (LC)'!N67/'Input-FX Rates'!$H$16,0)</f>
        <v>0</v>
      </c>
      <c r="O67" s="323">
        <f>IFERROR('3. Scrap (LC)'!O67/'Input-FX Rates'!$H$16,0)</f>
        <v>0</v>
      </c>
      <c r="P67" s="323">
        <f>IFERROR('3. Scrap (LC)'!P67/'Input-FX Rates'!$H$16,0)</f>
        <v>0</v>
      </c>
      <c r="Q67" s="324">
        <f>IFERROR('3. Scrap (LC)'!Q67/'Input-FX Rates'!$H$16,0)</f>
        <v>0</v>
      </c>
      <c r="R67" s="323">
        <f>SUM(F67:Q67)</f>
        <v>0</v>
      </c>
      <c r="S67" s="324">
        <f>IFERROR('3. Scrap (LC)'!S67/'Input-FX Rates'!$H$16,0)</f>
        <v>0</v>
      </c>
      <c r="T67" s="323">
        <f t="shared" si="24"/>
        <v>0</v>
      </c>
      <c r="U67" s="322"/>
      <c r="V67" s="321"/>
      <c r="W67" s="320" t="str">
        <f>IF(ISBLANK('3. Scrap (LC)'!W67),"",'3. Scrap (LC)'!W67)</f>
        <v/>
      </c>
      <c r="Y67" s="267"/>
    </row>
    <row r="68" spans="1:25" ht="15.6" customHeight="1" outlineLevel="1" x14ac:dyDescent="0.2">
      <c r="A68" s="319" t="s">
        <v>234</v>
      </c>
      <c r="B68" s="318" t="str">
        <f>+'3. Scrap (LC)'!B68</f>
        <v>All Other</v>
      </c>
      <c r="C68" s="272">
        <f t="shared" ref="C68" si="37">IFERROR(C65/C67,0)</f>
        <v>0</v>
      </c>
      <c r="D68" s="270">
        <f t="shared" ref="D68:R68" si="38">IFERROR(D65/D67,0)</f>
        <v>0</v>
      </c>
      <c r="E68" s="273">
        <f t="shared" si="38"/>
        <v>0</v>
      </c>
      <c r="F68" s="270">
        <f t="shared" si="38"/>
        <v>0</v>
      </c>
      <c r="G68" s="270">
        <f t="shared" si="38"/>
        <v>0</v>
      </c>
      <c r="H68" s="270">
        <f t="shared" si="38"/>
        <v>0</v>
      </c>
      <c r="I68" s="270">
        <f t="shared" si="38"/>
        <v>0</v>
      </c>
      <c r="J68" s="270">
        <f t="shared" si="38"/>
        <v>0</v>
      </c>
      <c r="K68" s="270">
        <f t="shared" si="38"/>
        <v>0</v>
      </c>
      <c r="L68" s="270">
        <f t="shared" si="38"/>
        <v>0</v>
      </c>
      <c r="M68" s="270">
        <f t="shared" si="38"/>
        <v>0</v>
      </c>
      <c r="N68" s="270">
        <f t="shared" si="38"/>
        <v>0</v>
      </c>
      <c r="O68" s="270">
        <f t="shared" si="38"/>
        <v>0</v>
      </c>
      <c r="P68" s="270">
        <f t="shared" si="38"/>
        <v>0</v>
      </c>
      <c r="Q68" s="273">
        <f t="shared" si="38"/>
        <v>0</v>
      </c>
      <c r="R68" s="270">
        <f t="shared" si="38"/>
        <v>0</v>
      </c>
      <c r="S68" s="273">
        <f>+'3. Scrap (LC)'!S68</f>
        <v>0</v>
      </c>
      <c r="T68" s="270">
        <f t="shared" si="24"/>
        <v>0</v>
      </c>
      <c r="U68" s="270"/>
      <c r="V68" s="271"/>
      <c r="W68" s="317" t="str">
        <f>IF(ISBLANK('3. Scrap (LC)'!W68),"",'3. Scrap (LC)'!W68)</f>
        <v/>
      </c>
      <c r="Y68" s="267"/>
    </row>
    <row r="69" spans="1:25" ht="15.6" customHeight="1" outlineLevel="1" x14ac:dyDescent="0.2">
      <c r="A69" s="319" t="s">
        <v>233</v>
      </c>
      <c r="B69" s="318" t="str">
        <f>+'3. Scrap (LC)'!B69</f>
        <v>All Other</v>
      </c>
      <c r="C69" s="272">
        <f t="shared" ref="C69" si="39">IFERROR((C65+C66)/C67,0)</f>
        <v>0</v>
      </c>
      <c r="D69" s="270">
        <f t="shared" ref="D69:R69" si="40">IFERROR((D65+D66)/D67,0)</f>
        <v>0</v>
      </c>
      <c r="E69" s="273">
        <f t="shared" si="40"/>
        <v>0</v>
      </c>
      <c r="F69" s="270">
        <f t="shared" si="40"/>
        <v>0</v>
      </c>
      <c r="G69" s="270">
        <f t="shared" si="40"/>
        <v>0</v>
      </c>
      <c r="H69" s="270">
        <f t="shared" si="40"/>
        <v>0</v>
      </c>
      <c r="I69" s="270">
        <f t="shared" si="40"/>
        <v>0</v>
      </c>
      <c r="J69" s="270">
        <f t="shared" si="40"/>
        <v>0</v>
      </c>
      <c r="K69" s="270">
        <f t="shared" si="40"/>
        <v>0</v>
      </c>
      <c r="L69" s="270">
        <f t="shared" si="40"/>
        <v>0</v>
      </c>
      <c r="M69" s="270">
        <f t="shared" si="40"/>
        <v>0</v>
      </c>
      <c r="N69" s="270">
        <f t="shared" si="40"/>
        <v>0</v>
      </c>
      <c r="O69" s="270">
        <f t="shared" si="40"/>
        <v>0</v>
      </c>
      <c r="P69" s="270">
        <f t="shared" si="40"/>
        <v>0</v>
      </c>
      <c r="Q69" s="273">
        <f t="shared" si="40"/>
        <v>0</v>
      </c>
      <c r="R69" s="270">
        <f t="shared" si="40"/>
        <v>0</v>
      </c>
      <c r="S69" s="273">
        <f>+'3. Scrap (LC)'!S69</f>
        <v>0</v>
      </c>
      <c r="T69" s="270">
        <f t="shared" si="24"/>
        <v>0</v>
      </c>
      <c r="U69" s="270"/>
      <c r="V69" s="271"/>
      <c r="W69" s="317" t="str">
        <f>IF(ISBLANK('3. Scrap (LC)'!W69),"",'3. Scrap (LC)'!W69)</f>
        <v/>
      </c>
      <c r="Y69" s="267"/>
    </row>
    <row r="70" spans="1:25" ht="15.6" customHeight="1" x14ac:dyDescent="0.25">
      <c r="A70" s="214" t="s">
        <v>231</v>
      </c>
      <c r="B70" s="215"/>
      <c r="C70" s="266">
        <f>IFERROR('3. Scrap (LC)'!C70/'Input-FX Rates'!$E$16,0)</f>
        <v>-77.070743293952702</v>
      </c>
      <c r="D70" s="78">
        <f>IFERROR('3. Scrap (LC)'!D70/'Input-FX Rates'!$G$16,0)</f>
        <v>-657.55008829860628</v>
      </c>
      <c r="E70" s="80">
        <f>IFERROR('3. Scrap (LC)'!E70/'Input-FX Rates'!$G$16,0)</f>
        <v>-657.55008829860628</v>
      </c>
      <c r="F70" s="78">
        <f>IFERROR('3. Scrap (LC)'!F70/'Input-FX Rates'!$H$16,0)</f>
        <v>-170</v>
      </c>
      <c r="G70" s="78">
        <f>IFERROR('3. Scrap (LC)'!G70/'Input-FX Rates'!$H$16,0)</f>
        <v>-123</v>
      </c>
      <c r="H70" s="78">
        <f>IFERROR('3. Scrap (LC)'!H70/'Input-FX Rates'!$H$16,0)</f>
        <v>-112</v>
      </c>
      <c r="I70" s="78">
        <f>IFERROR('3. Scrap (LC)'!I70/'Input-FX Rates'!$H$16,0)</f>
        <v>-111</v>
      </c>
      <c r="J70" s="78">
        <f>IFERROR('3. Scrap (LC)'!J70/'Input-FX Rates'!$H$16,0)</f>
        <v>-155</v>
      </c>
      <c r="K70" s="78">
        <f>IFERROR('3. Scrap (LC)'!K70/'Input-FX Rates'!$H$16,0)</f>
        <v>-142</v>
      </c>
      <c r="L70" s="78">
        <f>IFERROR('3. Scrap (LC)'!L70/'Input-FX Rates'!$H$16,0)</f>
        <v>-143</v>
      </c>
      <c r="M70" s="78">
        <f>IFERROR('3. Scrap (LC)'!M70/'Input-FX Rates'!$H$16,0)</f>
        <v>-113</v>
      </c>
      <c r="N70" s="78">
        <f>IFERROR('3. Scrap (LC)'!N70/'Input-FX Rates'!$H$16,0)</f>
        <v>-118</v>
      </c>
      <c r="O70" s="78">
        <f>IFERROR('3. Scrap (LC)'!O70/'Input-FX Rates'!$H$16,0)</f>
        <v>-77</v>
      </c>
      <c r="P70" s="78">
        <f>IFERROR('3. Scrap (LC)'!P70/'Input-FX Rates'!$H$16,0)</f>
        <v>-92</v>
      </c>
      <c r="Q70" s="80">
        <f>IFERROR('3. Scrap (LC)'!Q70/'Input-FX Rates'!$H$16,0)</f>
        <v>-3</v>
      </c>
      <c r="R70" s="78">
        <f>IFERROR('3. Scrap (LC)'!R70/'Input-FX Rates'!$H$16,0)</f>
        <v>-1358.9999999999998</v>
      </c>
      <c r="S70" s="80">
        <f>IFERROR('3. Scrap (LC)'!S70/'Input-FX Rates'!$H$16,0)</f>
        <v>0</v>
      </c>
      <c r="T70" s="78">
        <f t="shared" ref="T70" si="41">+T51+T56+T61+T66</f>
        <v>-701.44991170139338</v>
      </c>
      <c r="U70" s="259"/>
      <c r="V70" s="316"/>
      <c r="W70" s="214" t="str">
        <f>IF(ISBLANK('3. Scrap (LC)'!W70),"",'3. Scrap (LC)'!W70)</f>
        <v/>
      </c>
      <c r="X70" s="250"/>
      <c r="Y70" s="220"/>
    </row>
    <row r="71" spans="1:25" ht="15.6" customHeight="1" x14ac:dyDescent="0.25">
      <c r="A71" s="214" t="s">
        <v>228</v>
      </c>
      <c r="B71" s="215"/>
      <c r="C71" s="266">
        <f>IFERROR('3. Scrap (LC)'!C71/'Input-FX Rates'!$E$16,0)</f>
        <v>14760.765462449239</v>
      </c>
      <c r="D71" s="78">
        <f>IFERROR('3. Scrap (LC)'!D71/'Input-FX Rates'!$G$16,0)</f>
        <v>46472.581596830183</v>
      </c>
      <c r="E71" s="80">
        <f>IFERROR('3. Scrap (LC)'!E71/'Input-FX Rates'!$G$16,0)</f>
        <v>46472.581596830183</v>
      </c>
      <c r="F71" s="78">
        <f>IFERROR('3. Scrap (LC)'!F71/'Input-FX Rates'!$H$16,0)</f>
        <v>6673.3754715668883</v>
      </c>
      <c r="G71" s="78">
        <f>IFERROR('3. Scrap (LC)'!G71/'Input-FX Rates'!$H$16,0)</f>
        <v>5858.563015632275</v>
      </c>
      <c r="H71" s="78">
        <f>IFERROR('3. Scrap (LC)'!H71/'Input-FX Rates'!$H$16,0)</f>
        <v>6542.694068070261</v>
      </c>
      <c r="I71" s="78">
        <f>IFERROR('3. Scrap (LC)'!I71/'Input-FX Rates'!$H$16,0)</f>
        <v>6813.9703480943999</v>
      </c>
      <c r="J71" s="78">
        <f>IFERROR('3. Scrap (LC)'!J71/'Input-FX Rates'!$H$16,0)</f>
        <v>6988.4957880944003</v>
      </c>
      <c r="K71" s="78">
        <f>IFERROR('3. Scrap (LC)'!K71/'Input-FX Rates'!$H$16,0)</f>
        <v>6445.4788556322737</v>
      </c>
      <c r="L71" s="78">
        <f>IFERROR('3. Scrap (LC)'!L71/'Input-FX Rates'!$H$16,0)</f>
        <v>7531.9775081427897</v>
      </c>
      <c r="M71" s="78">
        <f>IFERROR('3. Scrap (LC)'!M71/'Input-FX Rates'!$H$16,0)</f>
        <v>5630.7651459046183</v>
      </c>
      <c r="N71" s="78">
        <f>IFERROR('3. Scrap (LC)'!N71/'Input-FX Rates'!$H$16,0)</f>
        <v>6173.8358569874154</v>
      </c>
      <c r="O71" s="78">
        <f>IFERROR('3. Scrap (LC)'!O71/'Input-FX Rates'!$H$16,0)</f>
        <v>6988.4957880944003</v>
      </c>
      <c r="P71" s="78">
        <f>IFERROR('3. Scrap (LC)'!P71/'Input-FX Rates'!$H$16,0)</f>
        <v>6988.4957880944003</v>
      </c>
      <c r="Q71" s="80">
        <f>IFERROR('3. Scrap (LC)'!Q71/'Input-FX Rates'!$H$16,0)</f>
        <v>6988.4957880944003</v>
      </c>
      <c r="R71" s="78">
        <f>IFERROR('3. Scrap (LC)'!R71/'Input-FX Rates'!$H$16,0)</f>
        <v>79624.643422408524</v>
      </c>
      <c r="S71" s="80">
        <f>IFERROR('3. Scrap (LC)'!S71/'Input-FX Rates'!$H$16,0)</f>
        <v>0</v>
      </c>
      <c r="T71" s="78">
        <f t="shared" ref="T71" si="42">+T52+T57+T62+T67</f>
        <v>33152.061825578356</v>
      </c>
      <c r="U71" s="259"/>
      <c r="V71" s="316"/>
      <c r="W71" s="214" t="str">
        <f>IF(ISBLANK('3. Scrap (LC)'!W71),"",'3. Scrap (LC)'!W71)</f>
        <v/>
      </c>
      <c r="X71" s="250"/>
      <c r="Y71" s="220"/>
    </row>
    <row r="72" spans="1:25" ht="15.6" customHeight="1" x14ac:dyDescent="0.25">
      <c r="A72" s="214" t="s">
        <v>230</v>
      </c>
      <c r="B72" s="215"/>
      <c r="C72" s="263">
        <f>+IFERROR(C70/C71,0)</f>
        <v>-5.2213242931077935E-3</v>
      </c>
      <c r="D72" s="262">
        <f t="shared" ref="D72:S72" si="43">+IFERROR(D70/D71,0)</f>
        <v>-1.4149205094804905E-2</v>
      </c>
      <c r="E72" s="264">
        <f t="shared" si="43"/>
        <v>-1.4149205094804905E-2</v>
      </c>
      <c r="F72" s="262">
        <f t="shared" si="43"/>
        <v>-2.5474364618672432E-2</v>
      </c>
      <c r="G72" s="262">
        <f t="shared" si="43"/>
        <v>-2.0994909446531821E-2</v>
      </c>
      <c r="H72" s="262">
        <f t="shared" si="43"/>
        <v>-1.711833058901284E-2</v>
      </c>
      <c r="I72" s="262">
        <f t="shared" si="43"/>
        <v>-1.6290062082680232E-2</v>
      </c>
      <c r="J72" s="262">
        <f t="shared" si="43"/>
        <v>-2.2179307922608749E-2</v>
      </c>
      <c r="K72" s="262">
        <f t="shared" si="43"/>
        <v>-2.2030946525550335E-2</v>
      </c>
      <c r="L72" s="262">
        <f t="shared" si="43"/>
        <v>-1.8985717873613309E-2</v>
      </c>
      <c r="M72" s="262">
        <f t="shared" si="43"/>
        <v>-2.0068320569574357E-2</v>
      </c>
      <c r="N72" s="262">
        <f t="shared" si="43"/>
        <v>-1.9112915006713391E-2</v>
      </c>
      <c r="O72" s="262">
        <f t="shared" si="43"/>
        <v>-1.1018107806715314E-2</v>
      </c>
      <c r="P72" s="262">
        <f t="shared" si="43"/>
        <v>-1.3164492444387128E-2</v>
      </c>
      <c r="Q72" s="264">
        <f t="shared" si="43"/>
        <v>-4.2927692753436287E-4</v>
      </c>
      <c r="R72" s="262">
        <f t="shared" si="43"/>
        <v>-1.7067580356881579E-2</v>
      </c>
      <c r="S72" s="264">
        <f t="shared" si="43"/>
        <v>0</v>
      </c>
      <c r="T72" s="262">
        <f>+R72-E72</f>
        <v>-2.9183752620766737E-3</v>
      </c>
      <c r="U72" s="259"/>
      <c r="V72" s="316"/>
      <c r="W72" s="214" t="str">
        <f>IF(ISBLANK('3. Scrap (LC)'!W72),"",'3. Scrap (LC)'!W72)</f>
        <v/>
      </c>
      <c r="X72" s="250"/>
      <c r="Y72" s="220"/>
    </row>
    <row r="73" spans="1:25" ht="15.6" customHeight="1" x14ac:dyDescent="0.25">
      <c r="A73" s="315"/>
      <c r="B73" s="314"/>
      <c r="C73" s="255"/>
      <c r="D73" s="222"/>
      <c r="E73" s="256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6"/>
      <c r="R73" s="222"/>
      <c r="S73" s="256"/>
      <c r="T73" s="222"/>
      <c r="U73" s="222"/>
      <c r="V73" s="254"/>
      <c r="W73" s="251" t="str">
        <f>IF(ISBLANK('3. Scrap (LC)'!W73),"",'3. Scrap (LC)'!W73)</f>
        <v/>
      </c>
      <c r="X73" s="250"/>
      <c r="Y73" s="220"/>
    </row>
    <row r="74" spans="1:25" ht="15.6" customHeight="1" x14ac:dyDescent="0.25">
      <c r="A74" s="315"/>
      <c r="B74" s="314"/>
      <c r="C74" s="255"/>
      <c r="D74" s="222"/>
      <c r="E74" s="256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56"/>
      <c r="R74" s="222"/>
      <c r="S74" s="256"/>
      <c r="T74" s="291"/>
      <c r="U74" s="222"/>
      <c r="V74" s="254"/>
      <c r="W74" s="313" t="str">
        <f>IF(ISBLANK('3. Scrap (LC)'!W74),"",'3. Scrap (LC)'!W74)</f>
        <v/>
      </c>
      <c r="Y74" s="242"/>
    </row>
    <row r="75" spans="1:25" s="226" customFormat="1" ht="18" customHeight="1" x14ac:dyDescent="0.25">
      <c r="A75" s="312" t="s">
        <v>229</v>
      </c>
      <c r="B75" s="310"/>
      <c r="C75" s="238">
        <f>IFERROR('3. Scrap (LC)'!C75/'Input-FX Rates'!$E$16,0)</f>
        <v>-131.5585853354269</v>
      </c>
      <c r="D75" s="237">
        <f t="shared" ref="D75:T75" si="44">D7+D10+D13+D16+D19+D22+D50+D55+D60+D65+D45+D46+D47+D25+D28+D31+D34+D37</f>
        <v>-626.03092068684225</v>
      </c>
      <c r="E75" s="239">
        <f t="shared" si="44"/>
        <v>-626.03079929591354</v>
      </c>
      <c r="F75" s="237">
        <f>IFERROR('3. Scrap (LC)'!F75/'Input-FX Rates'!$H$16,0)</f>
        <v>-165.64059724137931</v>
      </c>
      <c r="G75" s="237">
        <f>IFERROR('3. Scrap (LC)'!G75/'Input-FX Rates'!$H$16,0)</f>
        <v>-146.14628758620688</v>
      </c>
      <c r="H75" s="237">
        <f>IFERROR('3. Scrap (LC)'!H75/'Input-FX Rates'!$H$16,0)</f>
        <v>-160.61990068965517</v>
      </c>
      <c r="I75" s="237">
        <f>IFERROR('3. Scrap (LC)'!I75/'Input-FX Rates'!$H$16,0)</f>
        <v>-167.11486689655172</v>
      </c>
      <c r="J75" s="237">
        <f>IFERROR('3. Scrap (LC)'!J75/'Input-FX Rates'!$H$16,0)</f>
        <v>-170.75223655172414</v>
      </c>
      <c r="K75" s="237">
        <f>IFERROR('3. Scrap (LC)'!K75/'Input-FX Rates'!$H$16,0)</f>
        <v>-158.46002689655171</v>
      </c>
      <c r="L75" s="237">
        <f>IFERROR('3. Scrap (LC)'!L75/'Input-FX Rates'!$H$16,0)</f>
        <v>-183.05164965517241</v>
      </c>
      <c r="M75" s="237">
        <f>IFERROR('3. Scrap (LC)'!M75/'Input-FX Rates'!$H$16,0)</f>
        <v>-140.01900000000001</v>
      </c>
      <c r="N75" s="237">
        <f>IFERROR('3. Scrap (LC)'!N75/'Input-FX Rates'!$H$16,0)</f>
        <v>-152.37695310344827</v>
      </c>
      <c r="O75" s="237">
        <f>IFERROR('3. Scrap (LC)'!O75/'Input-FX Rates'!$H$16,0)</f>
        <v>-170.88515999999998</v>
      </c>
      <c r="P75" s="237">
        <f>IFERROR('3. Scrap (LC)'!P75/'Input-FX Rates'!$H$16,0)</f>
        <v>-170.88515999999998</v>
      </c>
      <c r="Q75" s="239">
        <f>IFERROR('3. Scrap (LC)'!Q75/'Input-FX Rates'!$H$16,0)</f>
        <v>-170.88516137931035</v>
      </c>
      <c r="R75" s="237">
        <f>IFERROR('3. Scrap (LC)'!R75/'Input-FX Rates'!$H$16,0)</f>
        <v>-1956.837</v>
      </c>
      <c r="S75" s="239">
        <f>IFERROR('3. Scrap (LC)'!S75/'Input-FX Rates'!$H$16,0)</f>
        <v>0</v>
      </c>
      <c r="T75" s="237">
        <f t="shared" si="44"/>
        <v>-1330.8062007040862</v>
      </c>
      <c r="U75" s="228"/>
      <c r="V75" s="236"/>
      <c r="W75" s="240" t="str">
        <f>IF(ISBLANK('3. Scrap (LC)'!W75),"",'3. Scrap (LC)'!W75)</f>
        <v/>
      </c>
      <c r="Y75" s="225"/>
    </row>
    <row r="76" spans="1:25" s="226" customFormat="1" ht="18" customHeight="1" x14ac:dyDescent="0.25">
      <c r="A76" s="311" t="s">
        <v>228</v>
      </c>
      <c r="B76" s="310"/>
      <c r="C76" s="238">
        <f>IFERROR('3. Scrap (LC)'!C76/'Input-FX Rates'!$E$16,0)</f>
        <v>35988.371534659054</v>
      </c>
      <c r="D76" s="237">
        <f>D8+D11+D14+D17+D20+D23+D52+D57+D62+D67+D26+D29+D32+D35+D38</f>
        <v>86512.199914718469</v>
      </c>
      <c r="E76" s="239">
        <f t="shared" ref="E76" si="45">E8+E11+E14+E17+E20+E23+E52+E57+E62+E67+E26+E29+E32+E35+E38</f>
        <v>94871.705380828425</v>
      </c>
      <c r="F76" s="237">
        <f>IFERROR('3. Scrap (LC)'!F76/'Input-FX Rates'!$H$16,0)</f>
        <v>10982.754342068965</v>
      </c>
      <c r="G76" s="237">
        <f>IFERROR('3. Scrap (LC)'!G76/'Input-FX Rates'!$H$16,0)</f>
        <v>9750.9471772413799</v>
      </c>
      <c r="H76" s="237">
        <f>IFERROR('3. Scrap (LC)'!H76/'Input-FX Rates'!$H$16,0)</f>
        <v>10665.506346896551</v>
      </c>
      <c r="I76" s="237">
        <f>IFERROR('3. Scrap (LC)'!I76/'Input-FX Rates'!$H$16,0)</f>
        <v>11075.910555172413</v>
      </c>
      <c r="J76" s="237">
        <f>IFERROR('3. Scrap (LC)'!J76/'Input-FX Rates'!$H$16,0)</f>
        <v>11305.748811034484</v>
      </c>
      <c r="K76" s="237">
        <f>IFERROR('3. Scrap (LC)'!K76/'Input-FX Rates'!$H$16,0)</f>
        <v>10529.02819310345</v>
      </c>
      <c r="L76" s="237">
        <f>IFERROR('3. Scrap (LC)'!L76/'Input-FX Rates'!$H$16,0)</f>
        <v>12082.924556551725</v>
      </c>
      <c r="M76" s="237">
        <f>IFERROR('3. Scrap (LC)'!M76/'Input-FX Rates'!$H$16,0)</f>
        <v>9363.7758931034477</v>
      </c>
      <c r="N76" s="237">
        <f>IFERROR('3. Scrap (LC)'!N76/'Input-FX Rates'!$H$16,0)</f>
        <v>10144.650669655173</v>
      </c>
      <c r="O76" s="237">
        <f>IFERROR('3. Scrap (LC)'!O76/'Input-FX Rates'!$H$16,0)</f>
        <v>11314.147977241379</v>
      </c>
      <c r="P76" s="237">
        <f>IFERROR('3. Scrap (LC)'!P76/'Input-FX Rates'!$H$16,0)</f>
        <v>11314.147977241379</v>
      </c>
      <c r="Q76" s="239">
        <f>IFERROR('3. Scrap (LC)'!Q76/'Input-FX Rates'!$H$16,0)</f>
        <v>11314.147975862068</v>
      </c>
      <c r="R76" s="237">
        <f>IFERROR('3. Scrap (LC)'!R76/'Input-FX Rates'!$H$16,0)</f>
        <v>129843.69047517241</v>
      </c>
      <c r="S76" s="239">
        <f>IFERROR('3. Scrap (LC)'!S76/'Input-FX Rates'!$H$16,0)</f>
        <v>0</v>
      </c>
      <c r="T76" s="237">
        <f>T8+T11+T14+T17+T20+T23+T52+T57+T62+T67+T26+T29+T32+T35+T38</f>
        <v>34971.985094344003</v>
      </c>
      <c r="U76" s="228"/>
      <c r="V76" s="230"/>
      <c r="W76" s="227" t="str">
        <f>IF(ISBLANK('3. Scrap (LC)'!W76),"",'3. Scrap (LC)'!W76)</f>
        <v/>
      </c>
      <c r="Y76" s="225"/>
    </row>
    <row r="77" spans="1:25" s="226" customFormat="1" ht="18" customHeight="1" x14ac:dyDescent="0.25">
      <c r="A77" s="311" t="s">
        <v>227</v>
      </c>
      <c r="B77" s="310"/>
      <c r="C77" s="231">
        <f t="shared" ref="C77" si="46">IFERROR(C75/C76,0)</f>
        <v>-3.6555859497206687E-3</v>
      </c>
      <c r="D77" s="228">
        <f t="shared" ref="D77:S77" si="47">IFERROR(D75/D76,0)</f>
        <v>-7.2363310758941238E-3</v>
      </c>
      <c r="E77" s="232">
        <f t="shared" si="47"/>
        <v>-6.5987092440568818E-3</v>
      </c>
      <c r="F77" s="228">
        <f t="shared" si="47"/>
        <v>-1.5081881291553629E-2</v>
      </c>
      <c r="G77" s="228">
        <f t="shared" si="47"/>
        <v>-1.4987906808408414E-2</v>
      </c>
      <c r="H77" s="228">
        <f t="shared" si="47"/>
        <v>-1.5059753889358695E-2</v>
      </c>
      <c r="I77" s="228">
        <f t="shared" si="47"/>
        <v>-1.5088137996790669E-2</v>
      </c>
      <c r="J77" s="228">
        <f t="shared" si="47"/>
        <v>-1.5103133760151195E-2</v>
      </c>
      <c r="K77" s="228">
        <f t="shared" si="47"/>
        <v>-1.5049824541294663E-2</v>
      </c>
      <c r="L77" s="228">
        <f t="shared" si="47"/>
        <v>-1.5149614548897957E-2</v>
      </c>
      <c r="M77" s="228">
        <f t="shared" si="47"/>
        <v>-1.4953262615258228E-2</v>
      </c>
      <c r="N77" s="228">
        <f t="shared" si="47"/>
        <v>-1.5020423873168983E-2</v>
      </c>
      <c r="O77" s="228">
        <f t="shared" si="47"/>
        <v>-1.5103670231619624E-2</v>
      </c>
      <c r="P77" s="228">
        <f t="shared" si="47"/>
        <v>-1.5103670231619624E-2</v>
      </c>
      <c r="Q77" s="232">
        <f t="shared" si="47"/>
        <v>-1.5103670355371144E-2</v>
      </c>
      <c r="R77" s="228">
        <f t="shared" si="47"/>
        <v>-1.5070713046115779E-2</v>
      </c>
      <c r="S77" s="232">
        <f t="shared" si="47"/>
        <v>0</v>
      </c>
      <c r="T77" s="228">
        <f>+R77-E77</f>
        <v>-8.4720038020588972E-3</v>
      </c>
      <c r="U77" s="228"/>
      <c r="V77" s="230"/>
      <c r="W77" s="227" t="str">
        <f>IF(ISBLANK('3. Scrap (LC)'!W77),"",'3. Scrap (LC)'!W77)</f>
        <v/>
      </c>
      <c r="Y77" s="225"/>
    </row>
    <row r="78" spans="1:25" ht="15.6" customHeight="1" x14ac:dyDescent="0.25">
      <c r="B78" s="309"/>
      <c r="C78" s="309"/>
      <c r="D78" s="224"/>
      <c r="E78" s="308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308"/>
      <c r="R78" s="308"/>
      <c r="S78" s="308"/>
      <c r="T78" s="223"/>
      <c r="U78" s="222"/>
      <c r="V78" s="222"/>
      <c r="Y78" s="220"/>
    </row>
  </sheetData>
  <mergeCells count="6">
    <mergeCell ref="T4:V4"/>
    <mergeCell ref="A4:B4"/>
    <mergeCell ref="A5:B5"/>
    <mergeCell ref="F4:Q4"/>
    <mergeCell ref="R4:S4"/>
    <mergeCell ref="C4:E4"/>
  </mergeCells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6"/>
  <sheetViews>
    <sheetView showGridLines="0" zoomScale="90" zoomScaleNormal="90" workbookViewId="0">
      <pane xSplit="1" ySplit="6" topLeftCell="B7" activePane="bottomRight" state="frozen"/>
      <selection activeCell="F20" sqref="F20"/>
      <selection pane="topRight" activeCell="F20" sqref="F20"/>
      <selection pane="bottomLeft" activeCell="F20" sqref="F20"/>
      <selection pane="bottomRight" activeCell="P18" sqref="P18"/>
    </sheetView>
  </sheetViews>
  <sheetFormatPr defaultColWidth="8.7109375" defaultRowHeight="12.75" customHeight="1" outlineLevelRow="1" outlineLevelCol="1" x14ac:dyDescent="0.2"/>
  <cols>
    <col min="1" max="1" width="52.28515625" style="221" customWidth="1"/>
    <col min="2" max="2" width="19.5703125" style="221" customWidth="1"/>
    <col min="3" max="3" width="17.28515625" style="221" customWidth="1"/>
    <col min="4" max="15" width="15.7109375" style="221" hidden="1" customWidth="1" outlineLevel="1"/>
    <col min="16" max="16" width="17.28515625" style="221" customWidth="1" collapsed="1"/>
    <col min="17" max="17" width="14.7109375" style="221" bestFit="1" customWidth="1"/>
    <col min="18" max="18" width="17" style="221" customWidth="1"/>
    <col min="19" max="19" width="19.28515625" style="221" customWidth="1"/>
    <col min="20" max="20" width="74.140625" style="221" bestFit="1" customWidth="1"/>
    <col min="21" max="21" width="8.7109375" style="221"/>
    <col min="22" max="22" width="146.28515625" style="221" customWidth="1"/>
    <col min="23" max="16384" width="8.7109375" style="221"/>
  </cols>
  <sheetData>
    <row r="1" spans="1:22" ht="20.100000000000001" customHeight="1" x14ac:dyDescent="0.25">
      <c r="A1" s="60" t="str">
        <f>+'0. Instructions'!A1</f>
        <v>Budget 2024</v>
      </c>
      <c r="B1" s="60"/>
      <c r="C1" s="219"/>
      <c r="D1" s="219"/>
      <c r="E1" s="219"/>
      <c r="F1" s="219"/>
      <c r="G1" s="58"/>
      <c r="H1" s="60"/>
      <c r="I1" s="60"/>
      <c r="J1" s="60"/>
      <c r="K1" s="219"/>
      <c r="L1" s="219"/>
      <c r="M1" s="219"/>
      <c r="N1" s="58"/>
      <c r="O1" s="219"/>
      <c r="P1" s="60"/>
      <c r="Q1" s="60"/>
      <c r="R1" s="219"/>
      <c r="S1" s="219"/>
      <c r="T1" s="57" t="str">
        <f>'Input-FX Rates'!$H$1</f>
        <v>Plant ICH Icheon (242)</v>
      </c>
      <c r="U1" s="367"/>
      <c r="V1" s="56" t="s">
        <v>144</v>
      </c>
    </row>
    <row r="2" spans="1:22" ht="20.100000000000001" customHeight="1" thickBot="1" x14ac:dyDescent="0.3">
      <c r="A2" s="55" t="s">
        <v>335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54"/>
      <c r="O2" s="55"/>
      <c r="P2" s="218"/>
      <c r="Q2" s="218"/>
      <c r="R2" s="218"/>
      <c r="S2" s="218"/>
      <c r="T2" s="54" t="str">
        <f>'Input-FX Rates'!$H$2</f>
        <v>7851 PL eMotor Controls</v>
      </c>
      <c r="V2" s="95" t="s">
        <v>142</v>
      </c>
    </row>
    <row r="4" spans="1:22" ht="27.6" customHeight="1" x14ac:dyDescent="0.2">
      <c r="A4" s="188" t="str">
        <f>"Fix Cost"&amp;" in '000 "&amp;'Input-FX Rates'!$B$8</f>
        <v>Fix Cost in '000 KRW</v>
      </c>
      <c r="B4" s="1035">
        <v>2023</v>
      </c>
      <c r="C4" s="1036"/>
      <c r="D4" s="1033">
        <v>2024</v>
      </c>
      <c r="E4" s="1033"/>
      <c r="F4" s="1033"/>
      <c r="G4" s="1033"/>
      <c r="H4" s="1033"/>
      <c r="I4" s="1033"/>
      <c r="J4" s="1033"/>
      <c r="K4" s="1033"/>
      <c r="L4" s="1033"/>
      <c r="M4" s="1033"/>
      <c r="N4" s="1033"/>
      <c r="O4" s="1036"/>
      <c r="P4" s="1035">
        <v>2024</v>
      </c>
      <c r="Q4" s="1036"/>
      <c r="R4" s="187" t="s">
        <v>171</v>
      </c>
      <c r="S4" s="188" t="s">
        <v>334</v>
      </c>
      <c r="T4" s="656" t="s">
        <v>154</v>
      </c>
      <c r="V4" s="221" t="s">
        <v>333</v>
      </c>
    </row>
    <row r="5" spans="1:22" ht="15.6" customHeight="1" x14ac:dyDescent="0.2">
      <c r="A5" s="188"/>
      <c r="B5" s="656" t="s">
        <v>938</v>
      </c>
      <c r="C5" s="188" t="s">
        <v>115</v>
      </c>
      <c r="D5" s="187" t="s">
        <v>287</v>
      </c>
      <c r="E5" s="187" t="s">
        <v>286</v>
      </c>
      <c r="F5" s="187" t="s">
        <v>285</v>
      </c>
      <c r="G5" s="187" t="s">
        <v>284</v>
      </c>
      <c r="H5" s="187" t="s">
        <v>283</v>
      </c>
      <c r="I5" s="187" t="s">
        <v>282</v>
      </c>
      <c r="J5" s="187" t="s">
        <v>281</v>
      </c>
      <c r="K5" s="187" t="s">
        <v>280</v>
      </c>
      <c r="L5" s="187" t="s">
        <v>279</v>
      </c>
      <c r="M5" s="187" t="s">
        <v>278</v>
      </c>
      <c r="N5" s="187" t="s">
        <v>277</v>
      </c>
      <c r="O5" s="188" t="s">
        <v>276</v>
      </c>
      <c r="P5" s="656" t="s">
        <v>114</v>
      </c>
      <c r="Q5" s="188" t="s">
        <v>210</v>
      </c>
      <c r="R5" s="41" t="s">
        <v>332</v>
      </c>
      <c r="S5" s="40" t="s">
        <v>332</v>
      </c>
      <c r="T5" s="656"/>
      <c r="V5" s="221" t="s">
        <v>331</v>
      </c>
    </row>
    <row r="6" spans="1:22" ht="15.75" x14ac:dyDescent="0.2">
      <c r="A6" s="188"/>
      <c r="B6" s="656"/>
      <c r="C6" s="188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656"/>
      <c r="Q6" s="188"/>
      <c r="R6" s="41"/>
      <c r="S6" s="40" t="s">
        <v>330</v>
      </c>
      <c r="T6" s="656"/>
      <c r="V6" s="267"/>
    </row>
    <row r="7" spans="1:22" s="335" customFormat="1" ht="15.75" x14ac:dyDescent="0.2">
      <c r="A7" s="215" t="s">
        <v>167</v>
      </c>
      <c r="B7" s="266">
        <f>'2. Variable (LC)'!B6</f>
        <v>50414410.311999999</v>
      </c>
      <c r="C7" s="80">
        <f>'2. Variable (LC)'!C6</f>
        <v>133169528.691</v>
      </c>
      <c r="D7" s="78">
        <f>'P&amp;L_seasonal'!D8</f>
        <v>15924993.796</v>
      </c>
      <c r="E7" s="78">
        <f>'P&amp;L_seasonal'!E8</f>
        <v>14138873.407</v>
      </c>
      <c r="F7" s="78">
        <f>'P&amp;L_seasonal'!F8</f>
        <v>15464984.203</v>
      </c>
      <c r="G7" s="78">
        <f>'P&amp;L_seasonal'!G8</f>
        <v>16060070.305</v>
      </c>
      <c r="H7" s="78">
        <f>'P&amp;L_seasonal'!H8</f>
        <v>16393335.776000001</v>
      </c>
      <c r="I7" s="78">
        <f>'P&amp;L_seasonal'!I8</f>
        <v>15267090.880000001</v>
      </c>
      <c r="J7" s="78">
        <f>'P&amp;L_seasonal'!J8</f>
        <v>17520240.607000001</v>
      </c>
      <c r="K7" s="78">
        <f>'P&amp;L_seasonal'!K8</f>
        <v>13577475.045</v>
      </c>
      <c r="L7" s="78">
        <f>'P&amp;L_seasonal'!L8</f>
        <v>14709743.471000001</v>
      </c>
      <c r="M7" s="78">
        <f>'P&amp;L_seasonal'!M8</f>
        <v>16405514.567</v>
      </c>
      <c r="N7" s="78">
        <f>'P&amp;L_seasonal'!N8</f>
        <v>16405514.567</v>
      </c>
      <c r="O7" s="78">
        <f>'P&amp;L_seasonal'!O8</f>
        <v>16405514.564999999</v>
      </c>
      <c r="P7" s="266">
        <f>'2. Variable (LC)'!M6</f>
        <v>188273351.18900001</v>
      </c>
      <c r="Q7" s="80">
        <f>'2. Variable (LC)'!L6</f>
        <v>188273351.18900001</v>
      </c>
      <c r="R7" s="78">
        <f t="shared" ref="R7:R34" si="0">P7-C7</f>
        <v>55103822.498000011</v>
      </c>
      <c r="S7" s="264">
        <f t="shared" ref="S7:S34" si="1">IFERROR(P7/C7-1,0)</f>
        <v>0.41378702049670979</v>
      </c>
      <c r="T7" s="936"/>
      <c r="V7" s="19" t="s">
        <v>974</v>
      </c>
    </row>
    <row r="8" spans="1:22" s="366" customFormat="1" ht="15" outlineLevel="1" x14ac:dyDescent="0.2">
      <c r="A8" s="357" t="s">
        <v>329</v>
      </c>
      <c r="B8" s="370">
        <f>KeyData!F33</f>
        <v>-1936448.267</v>
      </c>
      <c r="C8" s="364">
        <f>KeyData!G33</f>
        <v>-3829884.7459999998</v>
      </c>
      <c r="D8" s="365">
        <f>KeyData_seasonal!D33</f>
        <v>-381948.70799999998</v>
      </c>
      <c r="E8" s="365">
        <f>KeyData_seasonal!E33</f>
        <v>-381945.63900000002</v>
      </c>
      <c r="F8" s="365">
        <f>KeyData_seasonal!F33</f>
        <v>-381778.114</v>
      </c>
      <c r="G8" s="365">
        <f>KeyData_seasonal!G33</f>
        <v>-349221.68900000001</v>
      </c>
      <c r="H8" s="365">
        <f>KeyData_seasonal!H33</f>
        <v>-369005.27399999998</v>
      </c>
      <c r="I8" s="365">
        <f>KeyData_seasonal!I33</f>
        <v>-377461.51799999998</v>
      </c>
      <c r="J8" s="365">
        <f>KeyData_seasonal!J33</f>
        <v>-487739.49400000001</v>
      </c>
      <c r="K8" s="365">
        <f>KeyData_seasonal!K33</f>
        <v>-453250.174</v>
      </c>
      <c r="L8" s="365">
        <f>KeyData_seasonal!L33</f>
        <v>-415635.01699999999</v>
      </c>
      <c r="M8" s="365">
        <f>KeyData_seasonal!M33</f>
        <v>-416513.19400000002</v>
      </c>
      <c r="N8" s="365">
        <f>KeyData_seasonal!N33</f>
        <v>-409462.40899999999</v>
      </c>
      <c r="O8" s="364">
        <f>KeyData_seasonal!O33</f>
        <v>-424063.26799999998</v>
      </c>
      <c r="P8" s="354">
        <f>KeyData!H33</f>
        <v>-4848024.4979999997</v>
      </c>
      <c r="Q8" s="359">
        <v>-6118463.5</v>
      </c>
      <c r="R8" s="356">
        <f t="shared" si="0"/>
        <v>-1018139.7519999999</v>
      </c>
      <c r="S8" s="363">
        <f t="shared" si="1"/>
        <v>0.26584083321655139</v>
      </c>
      <c r="T8" s="352" t="s">
        <v>1560</v>
      </c>
      <c r="U8" s="221"/>
      <c r="V8" s="267" t="s">
        <v>328</v>
      </c>
    </row>
    <row r="9" spans="1:22" s="366" customFormat="1" ht="15" outlineLevel="1" x14ac:dyDescent="0.2">
      <c r="A9" s="357" t="s">
        <v>327</v>
      </c>
      <c r="B9" s="370">
        <f>KeyData!F34</f>
        <v>-71054.043999999994</v>
      </c>
      <c r="C9" s="364">
        <f>KeyData!G34</f>
        <v>-197800.21</v>
      </c>
      <c r="D9" s="365">
        <f>KeyData_seasonal!D34</f>
        <v>-24299.433000000001</v>
      </c>
      <c r="E9" s="365">
        <f>KeyData_seasonal!E34</f>
        <v>-21474.04</v>
      </c>
      <c r="F9" s="365">
        <f>KeyData_seasonal!F34</f>
        <v>-23299.741999999998</v>
      </c>
      <c r="G9" s="365">
        <f>KeyData_seasonal!G34</f>
        <v>-20025.524000000001</v>
      </c>
      <c r="H9" s="365">
        <f>KeyData_seasonal!H34</f>
        <v>-20643.78</v>
      </c>
      <c r="I9" s="365">
        <f>KeyData_seasonal!I34</f>
        <v>-19847.84</v>
      </c>
      <c r="J9" s="365">
        <f>KeyData_seasonal!J34</f>
        <v>-25603.786</v>
      </c>
      <c r="K9" s="365">
        <f>KeyData_seasonal!K34</f>
        <v>-19357.576000000001</v>
      </c>
      <c r="L9" s="365">
        <f>KeyData_seasonal!L34</f>
        <v>-21009.716</v>
      </c>
      <c r="M9" s="365">
        <f>KeyData_seasonal!M34</f>
        <v>-21476.274000000001</v>
      </c>
      <c r="N9" s="365">
        <f>KeyData_seasonal!N34</f>
        <v>-20709.050999999999</v>
      </c>
      <c r="O9" s="364">
        <f>KeyData_seasonal!O34</f>
        <v>-20996.880000000001</v>
      </c>
      <c r="P9" s="354">
        <f>KeyData!H34</f>
        <v>-258743.64199999999</v>
      </c>
      <c r="Q9" s="359"/>
      <c r="R9" s="356">
        <f t="shared" si="0"/>
        <v>-60943.432000000001</v>
      </c>
      <c r="S9" s="363">
        <f t="shared" si="1"/>
        <v>0.30810600251637754</v>
      </c>
      <c r="T9" s="352" t="s">
        <v>1561</v>
      </c>
      <c r="U9" s="221"/>
      <c r="V9" s="267" t="s">
        <v>980</v>
      </c>
    </row>
    <row r="10" spans="1:22" s="366" customFormat="1" ht="51" outlineLevel="1" x14ac:dyDescent="0.2">
      <c r="A10" s="357" t="s">
        <v>326</v>
      </c>
      <c r="B10" s="370">
        <f>KeyData!F35</f>
        <v>-496516.79399999999</v>
      </c>
      <c r="C10" s="364">
        <f>KeyData!G35</f>
        <v>-1035484.872</v>
      </c>
      <c r="D10" s="365">
        <f>KeyData_seasonal!D35</f>
        <v>-174371.33199999999</v>
      </c>
      <c r="E10" s="365">
        <f>KeyData_seasonal!E35</f>
        <v>-205801.08100000001</v>
      </c>
      <c r="F10" s="365">
        <f>KeyData_seasonal!F35</f>
        <v>-158228.53099999999</v>
      </c>
      <c r="G10" s="365">
        <f>KeyData_seasonal!G35</f>
        <v>-102979.909</v>
      </c>
      <c r="H10" s="365">
        <f>KeyData_seasonal!H35</f>
        <v>-124304.068</v>
      </c>
      <c r="I10" s="365">
        <f>KeyData_seasonal!I35</f>
        <v>-102718.327</v>
      </c>
      <c r="J10" s="365">
        <f>KeyData_seasonal!J35</f>
        <v>-130567.876</v>
      </c>
      <c r="K10" s="365">
        <f>KeyData_seasonal!K35</f>
        <v>-103503.268</v>
      </c>
      <c r="L10" s="365">
        <f>KeyData_seasonal!L35</f>
        <v>-141985.32399999999</v>
      </c>
      <c r="M10" s="365">
        <f>KeyData_seasonal!M35</f>
        <v>-103505.28200000001</v>
      </c>
      <c r="N10" s="365">
        <f>KeyData_seasonal!N35</f>
        <v>-122923.92</v>
      </c>
      <c r="O10" s="364">
        <f>KeyData_seasonal!O35</f>
        <v>-104268.548</v>
      </c>
      <c r="P10" s="354">
        <f>KeyData!H35</f>
        <v>-1575157.466</v>
      </c>
      <c r="Q10" s="359"/>
      <c r="R10" s="356">
        <f t="shared" si="0"/>
        <v>-539672.59400000004</v>
      </c>
      <c r="S10" s="363">
        <f t="shared" si="1"/>
        <v>0.52117863678456522</v>
      </c>
      <c r="T10" s="994" t="s">
        <v>1562</v>
      </c>
      <c r="U10" s="221"/>
      <c r="V10" s="267" t="s">
        <v>1416</v>
      </c>
    </row>
    <row r="11" spans="1:22" ht="15" outlineLevel="1" x14ac:dyDescent="0.2">
      <c r="A11" s="357" t="s">
        <v>325</v>
      </c>
      <c r="B11" s="370">
        <f>KeyData!F36</f>
        <v>-8234.0149999999994</v>
      </c>
      <c r="C11" s="332">
        <f>KeyData!G36</f>
        <v>-17500.001</v>
      </c>
      <c r="D11" s="365">
        <f>KeyData_seasonal!D36</f>
        <v>-2540.482</v>
      </c>
      <c r="E11" s="365">
        <f>KeyData_seasonal!E36</f>
        <v>-1040.4829999999999</v>
      </c>
      <c r="F11" s="365">
        <f>KeyData_seasonal!F36</f>
        <v>-1040.4829999999999</v>
      </c>
      <c r="G11" s="365">
        <f>KeyData_seasonal!G36</f>
        <v>-3040.4830000000002</v>
      </c>
      <c r="H11" s="365">
        <f>KeyData_seasonal!H36</f>
        <v>-4040.482</v>
      </c>
      <c r="I11" s="365">
        <f>KeyData_seasonal!I36</f>
        <v>-1040.4829999999999</v>
      </c>
      <c r="J11" s="365">
        <f>KeyData_seasonal!J36</f>
        <v>-2540.482</v>
      </c>
      <c r="K11" s="365">
        <f>KeyData_seasonal!K36</f>
        <v>-60040.483</v>
      </c>
      <c r="L11" s="365">
        <f>KeyData_seasonal!L36</f>
        <v>-1040.4829999999999</v>
      </c>
      <c r="M11" s="365">
        <f>KeyData_seasonal!M36</f>
        <v>-6040.4830000000002</v>
      </c>
      <c r="N11" s="365">
        <f>KeyData_seasonal!N36</f>
        <v>-1040.4829999999999</v>
      </c>
      <c r="O11" s="364">
        <f>KeyData_seasonal!O36</f>
        <v>-1040.4829999999999</v>
      </c>
      <c r="P11" s="354">
        <f>KeyData!H36</f>
        <v>-84485.793000000005</v>
      </c>
      <c r="Q11" s="359"/>
      <c r="R11" s="356">
        <f t="shared" si="0"/>
        <v>-66985.792000000001</v>
      </c>
      <c r="S11" s="363">
        <f t="shared" si="1"/>
        <v>3.8277593241280385</v>
      </c>
      <c r="T11" s="352"/>
      <c r="V11" s="978" t="s">
        <v>1478</v>
      </c>
    </row>
    <row r="12" spans="1:22" ht="15" outlineLevel="1" x14ac:dyDescent="0.2">
      <c r="A12" s="357" t="s">
        <v>324</v>
      </c>
      <c r="B12" s="370">
        <f>KeyData!F37</f>
        <v>-1152494.851</v>
      </c>
      <c r="C12" s="332">
        <f>KeyData!G37</f>
        <v>-1082078.1270000001</v>
      </c>
      <c r="D12" s="365">
        <f>KeyData_seasonal!D37</f>
        <v>-11415.487999999999</v>
      </c>
      <c r="E12" s="365">
        <f>KeyData_seasonal!E37</f>
        <v>-11415.487999999999</v>
      </c>
      <c r="F12" s="365">
        <f>KeyData_seasonal!F37</f>
        <v>-11415.487999999999</v>
      </c>
      <c r="G12" s="365">
        <f>KeyData_seasonal!G37</f>
        <v>-11415.487999999999</v>
      </c>
      <c r="H12" s="365">
        <f>KeyData_seasonal!H37</f>
        <v>-11415.487999999999</v>
      </c>
      <c r="I12" s="365">
        <f>KeyData_seasonal!I37</f>
        <v>-11415.487999999999</v>
      </c>
      <c r="J12" s="365">
        <f>KeyData_seasonal!J37</f>
        <v>-11415.487999999999</v>
      </c>
      <c r="K12" s="365">
        <f>KeyData_seasonal!K37</f>
        <v>-11415.487999999999</v>
      </c>
      <c r="L12" s="365">
        <f>KeyData_seasonal!L37</f>
        <v>-11415.487999999999</v>
      </c>
      <c r="M12" s="365">
        <f>KeyData_seasonal!M37</f>
        <v>-11415.487999999999</v>
      </c>
      <c r="N12" s="365">
        <f>KeyData_seasonal!N37</f>
        <v>-11415.487999999999</v>
      </c>
      <c r="O12" s="364">
        <f>KeyData_seasonal!O37</f>
        <v>-11415.487999999999</v>
      </c>
      <c r="P12" s="354">
        <f>KeyData!H37</f>
        <v>-136985.856</v>
      </c>
      <c r="Q12" s="359">
        <v>-507500</v>
      </c>
      <c r="R12" s="356">
        <f t="shared" si="0"/>
        <v>945092.27100000007</v>
      </c>
      <c r="S12" s="363">
        <f t="shared" si="1"/>
        <v>-0.87340483780058886</v>
      </c>
      <c r="T12" s="352" t="s">
        <v>1563</v>
      </c>
      <c r="V12" s="267" t="s">
        <v>323</v>
      </c>
    </row>
    <row r="13" spans="1:22" ht="15" outlineLevel="1" x14ac:dyDescent="0.2">
      <c r="A13" s="357" t="s">
        <v>322</v>
      </c>
      <c r="B13" s="370">
        <f>KeyData!F38</f>
        <v>-172827.50399999999</v>
      </c>
      <c r="C13" s="332">
        <f>KeyData!G38</f>
        <v>-289947.94799999997</v>
      </c>
      <c r="D13" s="365">
        <f>KeyData_seasonal!D38</f>
        <v>-15708.333000000001</v>
      </c>
      <c r="E13" s="365">
        <f>KeyData_seasonal!E38</f>
        <v>-15708.333000000001</v>
      </c>
      <c r="F13" s="365">
        <f>KeyData_seasonal!F38</f>
        <v>-15708.333000000001</v>
      </c>
      <c r="G13" s="365">
        <f>KeyData_seasonal!G38</f>
        <v>-15708.333000000001</v>
      </c>
      <c r="H13" s="365">
        <f>KeyData_seasonal!H38</f>
        <v>-15708.333000000001</v>
      </c>
      <c r="I13" s="365">
        <f>KeyData_seasonal!I38</f>
        <v>-15708.333000000001</v>
      </c>
      <c r="J13" s="365">
        <f>KeyData_seasonal!J38</f>
        <v>-15708.333000000001</v>
      </c>
      <c r="K13" s="365">
        <f>KeyData_seasonal!K38</f>
        <v>-15708.333000000001</v>
      </c>
      <c r="L13" s="365">
        <f>KeyData_seasonal!L38</f>
        <v>-15708.333000000001</v>
      </c>
      <c r="M13" s="365">
        <f>KeyData_seasonal!M38</f>
        <v>-15708.333000000001</v>
      </c>
      <c r="N13" s="365">
        <f>KeyData_seasonal!N38</f>
        <v>-15708.333000000001</v>
      </c>
      <c r="O13" s="364">
        <f>KeyData_seasonal!O38</f>
        <v>-15708.333000000001</v>
      </c>
      <c r="P13" s="354">
        <f>KeyData!H38</f>
        <v>-188499.99600000001</v>
      </c>
      <c r="Q13" s="359">
        <v>-188500</v>
      </c>
      <c r="R13" s="356">
        <f t="shared" si="0"/>
        <v>101447.95199999996</v>
      </c>
      <c r="S13" s="363">
        <f t="shared" si="1"/>
        <v>-0.34988332457520954</v>
      </c>
      <c r="T13" s="352" t="s">
        <v>1564</v>
      </c>
      <c r="V13" s="267" t="s">
        <v>1443</v>
      </c>
    </row>
    <row r="14" spans="1:22" ht="15" outlineLevel="1" x14ac:dyDescent="0.2">
      <c r="A14" s="357" t="s">
        <v>304</v>
      </c>
      <c r="B14" s="370">
        <f>KeyData!F39</f>
        <v>-105623.374</v>
      </c>
      <c r="C14" s="332">
        <f>KeyData!G39</f>
        <v>-247726.40700000001</v>
      </c>
      <c r="D14" s="365">
        <f>KeyData_seasonal!D39</f>
        <v>-27705.281999999999</v>
      </c>
      <c r="E14" s="365">
        <f>KeyData_seasonal!E39</f>
        <v>-44906.260999999999</v>
      </c>
      <c r="F14" s="365">
        <f>KeyData_seasonal!F39</f>
        <v>-35680.697</v>
      </c>
      <c r="G14" s="365">
        <f>KeyData_seasonal!G39</f>
        <v>-34679.364000000001</v>
      </c>
      <c r="H14" s="365">
        <f>KeyData_seasonal!H39</f>
        <v>-30554.492999999999</v>
      </c>
      <c r="I14" s="365">
        <f>KeyData_seasonal!I39</f>
        <v>-32556.473000000002</v>
      </c>
      <c r="J14" s="365">
        <f>KeyData_seasonal!J39</f>
        <v>-32360.457999999999</v>
      </c>
      <c r="K14" s="365">
        <f>KeyData_seasonal!K39</f>
        <v>-58594.993999999999</v>
      </c>
      <c r="L14" s="365">
        <f>KeyData_seasonal!L39</f>
        <v>-32462.166000000001</v>
      </c>
      <c r="M14" s="365">
        <f>KeyData_seasonal!M39</f>
        <v>-44109.247000000003</v>
      </c>
      <c r="N14" s="365">
        <f>KeyData_seasonal!N39</f>
        <v>-28572.978999999999</v>
      </c>
      <c r="O14" s="364">
        <f>KeyData_seasonal!O39</f>
        <v>-26494.525000000001</v>
      </c>
      <c r="P14" s="354">
        <f>KeyData!H39</f>
        <v>-428676.93900000001</v>
      </c>
      <c r="Q14" s="359"/>
      <c r="R14" s="356">
        <f t="shared" si="0"/>
        <v>-180950.53200000001</v>
      </c>
      <c r="S14" s="363">
        <f t="shared" si="1"/>
        <v>0.73044506716637603</v>
      </c>
      <c r="T14" s="352" t="s">
        <v>1565</v>
      </c>
      <c r="V14" s="267" t="s">
        <v>1477</v>
      </c>
    </row>
    <row r="15" spans="1:22" s="335" customFormat="1" ht="15.75" outlineLevel="1" x14ac:dyDescent="0.2">
      <c r="A15" s="341" t="s">
        <v>321</v>
      </c>
      <c r="B15" s="346">
        <f>SUM(B8:B14)</f>
        <v>-3943198.8489999999</v>
      </c>
      <c r="C15" s="340">
        <f t="shared" ref="C15:Q15" si="2">SUM(C8:C14)</f>
        <v>-6700422.3109999998</v>
      </c>
      <c r="D15" s="337">
        <f t="shared" si="2"/>
        <v>-637989.05799999996</v>
      </c>
      <c r="E15" s="337">
        <f t="shared" si="2"/>
        <v>-682291.32499999995</v>
      </c>
      <c r="F15" s="337">
        <f t="shared" si="2"/>
        <v>-627151.38800000004</v>
      </c>
      <c r="G15" s="337">
        <f t="shared" si="2"/>
        <v>-537070.79</v>
      </c>
      <c r="H15" s="337">
        <f t="shared" si="2"/>
        <v>-575671.91799999995</v>
      </c>
      <c r="I15" s="337">
        <f t="shared" si="2"/>
        <v>-560748.46200000006</v>
      </c>
      <c r="J15" s="337">
        <f t="shared" si="2"/>
        <v>-705935.91700000002</v>
      </c>
      <c r="K15" s="337">
        <f t="shared" si="2"/>
        <v>-721870.31599999999</v>
      </c>
      <c r="L15" s="337">
        <f t="shared" si="2"/>
        <v>-639256.527</v>
      </c>
      <c r="M15" s="337">
        <f t="shared" si="2"/>
        <v>-618768.30099999998</v>
      </c>
      <c r="N15" s="337">
        <f t="shared" si="2"/>
        <v>-609832.66300000006</v>
      </c>
      <c r="O15" s="340">
        <f t="shared" si="2"/>
        <v>-603987.52500000002</v>
      </c>
      <c r="P15" s="337">
        <f t="shared" si="2"/>
        <v>-7520574.1899999995</v>
      </c>
      <c r="Q15" s="340">
        <f t="shared" si="2"/>
        <v>-6814463.5</v>
      </c>
      <c r="R15" s="337">
        <f t="shared" si="0"/>
        <v>-820151.87899999972</v>
      </c>
      <c r="S15" s="336">
        <f t="shared" si="1"/>
        <v>0.12240301296435696</v>
      </c>
      <c r="T15" s="362"/>
      <c r="V15" s="19"/>
    </row>
    <row r="16" spans="1:22" ht="15" outlineLevel="1" x14ac:dyDescent="0.2">
      <c r="A16" s="357" t="s">
        <v>305</v>
      </c>
      <c r="B16" s="370">
        <f>KeyData!F41</f>
        <v>-1983782.412</v>
      </c>
      <c r="C16" s="332">
        <f>KeyData!G41</f>
        <v>-3969724.452</v>
      </c>
      <c r="D16" s="365">
        <f>KeyData_seasonal!D41</f>
        <v>-418700.84</v>
      </c>
      <c r="E16" s="365">
        <f>KeyData_seasonal!E41</f>
        <v>-418700.84</v>
      </c>
      <c r="F16" s="365">
        <f>KeyData_seasonal!F41</f>
        <v>-418700.84</v>
      </c>
      <c r="G16" s="365">
        <f>KeyData_seasonal!G41</f>
        <v>-418700.84</v>
      </c>
      <c r="H16" s="365">
        <f>KeyData_seasonal!H41</f>
        <v>-418700.84</v>
      </c>
      <c r="I16" s="365">
        <f>KeyData_seasonal!I41</f>
        <v>-418700.84</v>
      </c>
      <c r="J16" s="365">
        <f>KeyData_seasonal!J41</f>
        <v>-418700.84</v>
      </c>
      <c r="K16" s="365">
        <f>KeyData_seasonal!K41</f>
        <v>-418700.84</v>
      </c>
      <c r="L16" s="365">
        <f>KeyData_seasonal!L41</f>
        <v>-418700.84</v>
      </c>
      <c r="M16" s="365">
        <f>KeyData_seasonal!M41</f>
        <v>-418700.84</v>
      </c>
      <c r="N16" s="365">
        <f>KeyData_seasonal!N41</f>
        <v>-418700.84</v>
      </c>
      <c r="O16" s="364">
        <f>KeyData_seasonal!O41</f>
        <v>-418700.84</v>
      </c>
      <c r="P16" s="354">
        <f>KeyData!H41</f>
        <v>-5024410.08</v>
      </c>
      <c r="Q16" s="359"/>
      <c r="R16" s="356">
        <f t="shared" si="0"/>
        <v>-1054685.628</v>
      </c>
      <c r="S16" s="363">
        <f t="shared" si="1"/>
        <v>0.26568232650723034</v>
      </c>
      <c r="T16" s="352" t="s">
        <v>115</v>
      </c>
      <c r="V16" s="267" t="s">
        <v>987</v>
      </c>
    </row>
    <row r="17" spans="1:22" ht="15" outlineLevel="1" x14ac:dyDescent="0.2">
      <c r="A17" s="357" t="s">
        <v>307</v>
      </c>
      <c r="B17" s="370">
        <f>KeyData!F42</f>
        <v>-864339.69400000002</v>
      </c>
      <c r="C17" s="332">
        <f>KeyData!G42</f>
        <v>-1709481.412</v>
      </c>
      <c r="D17" s="365">
        <f>KeyData_seasonal!D42</f>
        <v>-187800.26300000001</v>
      </c>
      <c r="E17" s="365">
        <f>KeyData_seasonal!E42</f>
        <v>-187800.26300000001</v>
      </c>
      <c r="F17" s="365">
        <f>KeyData_seasonal!F42</f>
        <v>-187800.26300000001</v>
      </c>
      <c r="G17" s="365">
        <f>KeyData_seasonal!G42</f>
        <v>-187800.26300000001</v>
      </c>
      <c r="H17" s="365">
        <f>KeyData_seasonal!H42</f>
        <v>-187800.26300000001</v>
      </c>
      <c r="I17" s="365">
        <f>KeyData_seasonal!I42</f>
        <v>-187800.26300000001</v>
      </c>
      <c r="J17" s="365">
        <f>KeyData_seasonal!J42</f>
        <v>-187800.26300000001</v>
      </c>
      <c r="K17" s="365">
        <f>KeyData_seasonal!K42</f>
        <v>-187800.26300000001</v>
      </c>
      <c r="L17" s="365">
        <f>KeyData_seasonal!L42</f>
        <v>-187800.26300000001</v>
      </c>
      <c r="M17" s="365">
        <f>KeyData_seasonal!M42</f>
        <v>-187800.26300000001</v>
      </c>
      <c r="N17" s="365">
        <f>KeyData_seasonal!N42</f>
        <v>-187800.26300000001</v>
      </c>
      <c r="O17" s="364">
        <f>KeyData_seasonal!O42</f>
        <v>-187800.26300000001</v>
      </c>
      <c r="P17" s="354">
        <f>KeyData!H42</f>
        <v>-2253603.156</v>
      </c>
      <c r="Q17" s="359"/>
      <c r="R17" s="356">
        <f t="shared" si="0"/>
        <v>-544121.74399999995</v>
      </c>
      <c r="S17" s="363">
        <f t="shared" si="1"/>
        <v>0.31829637934665067</v>
      </c>
      <c r="T17" s="352" t="s">
        <v>115</v>
      </c>
      <c r="V17" s="267" t="s">
        <v>975</v>
      </c>
    </row>
    <row r="18" spans="1:22" s="366" customFormat="1" ht="15" outlineLevel="1" x14ac:dyDescent="0.2">
      <c r="A18" s="357" t="s">
        <v>320</v>
      </c>
      <c r="B18" s="370">
        <f>KeyData!F43</f>
        <v>-49511.201999999997</v>
      </c>
      <c r="C18" s="332">
        <f>KeyData!G43</f>
        <v>-99022.403999999995</v>
      </c>
      <c r="D18" s="365">
        <f>KeyData_seasonal!D43</f>
        <v>105649.02099999999</v>
      </c>
      <c r="E18" s="365">
        <f>KeyData_seasonal!E43</f>
        <v>105649.02099999999</v>
      </c>
      <c r="F18" s="365">
        <f>KeyData_seasonal!F43</f>
        <v>105649.02099999999</v>
      </c>
      <c r="G18" s="365">
        <f>KeyData_seasonal!G43</f>
        <v>105649.02099999999</v>
      </c>
      <c r="H18" s="365">
        <f>KeyData_seasonal!H43</f>
        <v>105649.02099999999</v>
      </c>
      <c r="I18" s="365">
        <f>KeyData_seasonal!I43</f>
        <v>1121635.442</v>
      </c>
      <c r="J18" s="365">
        <f>KeyData_seasonal!J43</f>
        <v>1089521.3640000001</v>
      </c>
      <c r="K18" s="365">
        <f>KeyData_seasonal!K43</f>
        <v>1003782.835</v>
      </c>
      <c r="L18" s="365">
        <f>KeyData_seasonal!L43</f>
        <v>875478.00399999996</v>
      </c>
      <c r="M18" s="365">
        <f>KeyData_seasonal!M43</f>
        <v>1003782.835</v>
      </c>
      <c r="N18" s="365">
        <f>KeyData_seasonal!N43</f>
        <v>1003782.835</v>
      </c>
      <c r="O18" s="364">
        <f>KeyData_seasonal!O43</f>
        <v>1306745.835</v>
      </c>
      <c r="P18" s="354">
        <f>KeyData!H43</f>
        <v>7932974.2549999999</v>
      </c>
      <c r="Q18" s="359"/>
      <c r="R18" s="356">
        <f t="shared" si="0"/>
        <v>8031996.659</v>
      </c>
      <c r="S18" s="363">
        <f t="shared" si="1"/>
        <v>-81.112923283502596</v>
      </c>
      <c r="T18" s="352" t="s">
        <v>1578</v>
      </c>
      <c r="U18" s="221"/>
      <c r="V18" s="752" t="s">
        <v>960</v>
      </c>
    </row>
    <row r="19" spans="1:22" ht="15" outlineLevel="1" x14ac:dyDescent="0.2">
      <c r="A19" s="357" t="s">
        <v>319</v>
      </c>
      <c r="B19" s="370">
        <f>KeyData!F44</f>
        <v>0</v>
      </c>
      <c r="C19" s="332">
        <f>KeyData!G44</f>
        <v>0</v>
      </c>
      <c r="D19" s="365">
        <f>KeyData_seasonal!D44</f>
        <v>0</v>
      </c>
      <c r="E19" s="365">
        <f>KeyData_seasonal!E44</f>
        <v>0</v>
      </c>
      <c r="F19" s="365">
        <f>KeyData_seasonal!F44</f>
        <v>0</v>
      </c>
      <c r="G19" s="365">
        <f>KeyData_seasonal!G44</f>
        <v>0</v>
      </c>
      <c r="H19" s="365">
        <f>KeyData_seasonal!H44</f>
        <v>0</v>
      </c>
      <c r="I19" s="365">
        <f>KeyData_seasonal!I44</f>
        <v>0</v>
      </c>
      <c r="J19" s="365">
        <f>KeyData_seasonal!J44</f>
        <v>0</v>
      </c>
      <c r="K19" s="365">
        <f>KeyData_seasonal!K44</f>
        <v>0</v>
      </c>
      <c r="L19" s="365">
        <f>KeyData_seasonal!L44</f>
        <v>0</v>
      </c>
      <c r="M19" s="365">
        <f>KeyData_seasonal!M44</f>
        <v>0</v>
      </c>
      <c r="N19" s="365">
        <f>KeyData_seasonal!N44</f>
        <v>0</v>
      </c>
      <c r="O19" s="364">
        <f>KeyData_seasonal!O44</f>
        <v>0</v>
      </c>
      <c r="P19" s="354">
        <f>KeyData!H44</f>
        <v>0</v>
      </c>
      <c r="Q19" s="359"/>
      <c r="R19" s="356">
        <f t="shared" si="0"/>
        <v>0</v>
      </c>
      <c r="S19" s="363">
        <f t="shared" si="1"/>
        <v>0</v>
      </c>
      <c r="T19" s="352"/>
      <c r="V19" s="267" t="s">
        <v>318</v>
      </c>
    </row>
    <row r="20" spans="1:22" ht="15" outlineLevel="1" x14ac:dyDescent="0.2">
      <c r="A20" s="357" t="s">
        <v>317</v>
      </c>
      <c r="B20" s="370">
        <f>KeyData!F45</f>
        <v>-1260937.5530000001</v>
      </c>
      <c r="C20" s="332">
        <f>KeyData!G45</f>
        <v>-4081080.892</v>
      </c>
      <c r="D20" s="365">
        <f>KeyData_seasonal!D45</f>
        <v>-504032.94</v>
      </c>
      <c r="E20" s="365">
        <f>KeyData_seasonal!E45</f>
        <v>-519620.43900000001</v>
      </c>
      <c r="F20" s="365">
        <f>KeyData_seasonal!F45</f>
        <v>-542488.14800000004</v>
      </c>
      <c r="G20" s="365">
        <f>KeyData_seasonal!G45</f>
        <v>-548273.04299999995</v>
      </c>
      <c r="H20" s="365">
        <f>KeyData_seasonal!H45</f>
        <v>-554088.147</v>
      </c>
      <c r="I20" s="365">
        <f>KeyData_seasonal!I45</f>
        <v>-555538.14800000004</v>
      </c>
      <c r="J20" s="365">
        <f>KeyData_seasonal!J45</f>
        <v>-555538.14800000004</v>
      </c>
      <c r="K20" s="365">
        <f>KeyData_seasonal!K45</f>
        <v>-556673.98100000003</v>
      </c>
      <c r="L20" s="365">
        <f>KeyData_seasonal!L45</f>
        <v>-557867.21100000001</v>
      </c>
      <c r="M20" s="365">
        <f>KeyData_seasonal!M45</f>
        <v>-557867.21100000001</v>
      </c>
      <c r="N20" s="365">
        <f>KeyData_seasonal!N45</f>
        <v>-557867.21100000001</v>
      </c>
      <c r="O20" s="364">
        <f>KeyData_seasonal!O45</f>
        <v>-566808.87699999998</v>
      </c>
      <c r="P20" s="354">
        <f>KeyData!H45</f>
        <v>-6576663.5039999997</v>
      </c>
      <c r="Q20" s="359"/>
      <c r="R20" s="356">
        <f t="shared" si="0"/>
        <v>-2495582.6119999997</v>
      </c>
      <c r="S20" s="363">
        <f t="shared" si="1"/>
        <v>0.61150040345732992</v>
      </c>
      <c r="T20" s="352" t="s">
        <v>1580</v>
      </c>
      <c r="V20" s="267" t="s">
        <v>976</v>
      </c>
    </row>
    <row r="21" spans="1:22" s="335" customFormat="1" ht="15.75" outlineLevel="1" x14ac:dyDescent="0.2">
      <c r="A21" s="341" t="s">
        <v>316</v>
      </c>
      <c r="B21" s="346">
        <f>SUM(B16:B20)</f>
        <v>-4158570.8610000005</v>
      </c>
      <c r="C21" s="340">
        <f t="shared" ref="C21:Q21" si="3">SUM(C16:C20)</f>
        <v>-9859309.1600000001</v>
      </c>
      <c r="D21" s="337">
        <f t="shared" si="3"/>
        <v>-1004885.022</v>
      </c>
      <c r="E21" s="337">
        <f t="shared" si="3"/>
        <v>-1020472.5209999999</v>
      </c>
      <c r="F21" s="337">
        <f t="shared" si="3"/>
        <v>-1043340.23</v>
      </c>
      <c r="G21" s="337">
        <f t="shared" si="3"/>
        <v>-1049125.125</v>
      </c>
      <c r="H21" s="337">
        <f t="shared" si="3"/>
        <v>-1054940.2290000001</v>
      </c>
      <c r="I21" s="337">
        <f t="shared" si="3"/>
        <v>-40403.809000000008</v>
      </c>
      <c r="J21" s="337">
        <f t="shared" si="3"/>
        <v>-72517.886999999988</v>
      </c>
      <c r="K21" s="337">
        <f t="shared" si="3"/>
        <v>-159392.24900000007</v>
      </c>
      <c r="L21" s="337">
        <f t="shared" si="3"/>
        <v>-288890.31000000006</v>
      </c>
      <c r="M21" s="337">
        <f t="shared" si="3"/>
        <v>-160585.47900000005</v>
      </c>
      <c r="N21" s="337">
        <f t="shared" si="3"/>
        <v>-160585.47900000005</v>
      </c>
      <c r="O21" s="340">
        <f t="shared" si="3"/>
        <v>133435.85499999998</v>
      </c>
      <c r="P21" s="346">
        <f t="shared" si="3"/>
        <v>-5921702.4849999994</v>
      </c>
      <c r="Q21" s="340">
        <f t="shared" si="3"/>
        <v>0</v>
      </c>
      <c r="R21" s="337">
        <f t="shared" si="0"/>
        <v>3937606.6750000007</v>
      </c>
      <c r="S21" s="336">
        <f t="shared" si="1"/>
        <v>-0.39937957224986753</v>
      </c>
      <c r="T21" s="362"/>
      <c r="V21" s="919"/>
    </row>
    <row r="22" spans="1:22" ht="15" outlineLevel="1" x14ac:dyDescent="0.2">
      <c r="A22" s="357" t="s">
        <v>315</v>
      </c>
      <c r="B22" s="96">
        <f>+B23-B21-B15</f>
        <v>0</v>
      </c>
      <c r="C22" s="96">
        <f t="shared" ref="C22:P22" si="4">+C23-C21-C15</f>
        <v>0</v>
      </c>
      <c r="D22" s="763">
        <f t="shared" si="4"/>
        <v>0</v>
      </c>
      <c r="E22" s="96">
        <f t="shared" si="4"/>
        <v>0</v>
      </c>
      <c r="F22" s="96">
        <f t="shared" si="4"/>
        <v>0</v>
      </c>
      <c r="G22" s="96">
        <f t="shared" si="4"/>
        <v>0</v>
      </c>
      <c r="H22" s="96">
        <f t="shared" si="4"/>
        <v>0</v>
      </c>
      <c r="I22" s="96">
        <f t="shared" si="4"/>
        <v>0</v>
      </c>
      <c r="J22" s="96">
        <f t="shared" si="4"/>
        <v>0</v>
      </c>
      <c r="K22" s="96">
        <f t="shared" si="4"/>
        <v>0</v>
      </c>
      <c r="L22" s="96">
        <f t="shared" si="4"/>
        <v>0</v>
      </c>
      <c r="M22" s="96">
        <f t="shared" si="4"/>
        <v>0</v>
      </c>
      <c r="N22" s="96">
        <f t="shared" si="4"/>
        <v>0</v>
      </c>
      <c r="O22" s="96">
        <f t="shared" si="4"/>
        <v>0</v>
      </c>
      <c r="P22" s="763">
        <f t="shared" si="4"/>
        <v>0</v>
      </c>
      <c r="Q22" s="355"/>
      <c r="R22" s="356"/>
      <c r="S22" s="363"/>
      <c r="T22" s="352"/>
      <c r="V22" s="649"/>
    </row>
    <row r="23" spans="1:22" s="335" customFormat="1" ht="15.75" x14ac:dyDescent="0.2">
      <c r="A23" s="341" t="s">
        <v>292</v>
      </c>
      <c r="B23" s="346">
        <f>'P&amp;L'!F55+'P&amp;L'!F56+'P&amp;L'!F57+'P&amp;L'!F59</f>
        <v>-8101769.71</v>
      </c>
      <c r="C23" s="340">
        <f>'P&amp;L'!H55+'P&amp;L'!H56+'P&amp;L'!H57+'P&amp;L'!H59</f>
        <v>-16559731.471000001</v>
      </c>
      <c r="D23" s="337">
        <f>+'P&amp;L_seasonal'!D55+'P&amp;L_seasonal'!D56+'P&amp;L_seasonal'!D57+'P&amp;L_seasonal'!D59</f>
        <v>-1642874.0799999998</v>
      </c>
      <c r="E23" s="337">
        <f>+'P&amp;L_seasonal'!E55+'P&amp;L_seasonal'!E56+'P&amp;L_seasonal'!E57+'P&amp;L_seasonal'!E59</f>
        <v>-1702763.8459999999</v>
      </c>
      <c r="F23" s="337">
        <f>+'P&amp;L_seasonal'!F55+'P&amp;L_seasonal'!F56+'P&amp;L_seasonal'!F57+'P&amp;L_seasonal'!F59</f>
        <v>-1670491.618</v>
      </c>
      <c r="G23" s="337">
        <f>+'P&amp;L_seasonal'!G55+'P&amp;L_seasonal'!G56+'P&amp;L_seasonal'!G57+'P&amp;L_seasonal'!G59</f>
        <v>-1586195.915</v>
      </c>
      <c r="H23" s="337">
        <f>+'P&amp;L_seasonal'!H55+'P&amp;L_seasonal'!H56+'P&amp;L_seasonal'!H57+'P&amp;L_seasonal'!H59</f>
        <v>-1630612.1470000001</v>
      </c>
      <c r="I23" s="337">
        <f>+'P&amp;L_seasonal'!I55+'P&amp;L_seasonal'!I56+'P&amp;L_seasonal'!I57+'P&amp;L_seasonal'!I59</f>
        <v>-601152.27100000007</v>
      </c>
      <c r="J23" s="337">
        <f>+'P&amp;L_seasonal'!J55+'P&amp;L_seasonal'!J56+'P&amp;L_seasonal'!J57+'P&amp;L_seasonal'!J59</f>
        <v>-778453.804</v>
      </c>
      <c r="K23" s="337">
        <f>+'P&amp;L_seasonal'!K55+'P&amp;L_seasonal'!K56+'P&amp;L_seasonal'!K57+'P&amp;L_seasonal'!K59</f>
        <v>-881262.56500000006</v>
      </c>
      <c r="L23" s="337">
        <f>+'P&amp;L_seasonal'!L55+'P&amp;L_seasonal'!L56+'P&amp;L_seasonal'!L57+'P&amp;L_seasonal'!L59</f>
        <v>-928146.83699999994</v>
      </c>
      <c r="M23" s="337">
        <f>+'P&amp;L_seasonal'!M55+'P&amp;L_seasonal'!M56+'P&amp;L_seasonal'!M57+'P&amp;L_seasonal'!M59</f>
        <v>-779353.78</v>
      </c>
      <c r="N23" s="337">
        <f>+'P&amp;L_seasonal'!N55+'P&amp;L_seasonal'!N56+'P&amp;L_seasonal'!N57+'P&amp;L_seasonal'!N59</f>
        <v>-770418.14199999999</v>
      </c>
      <c r="O23" s="340">
        <f>+'P&amp;L_seasonal'!O55+'P&amp;L_seasonal'!O56+'P&amp;L_seasonal'!O57+'P&amp;L_seasonal'!O59</f>
        <v>-470551.67</v>
      </c>
      <c r="P23" s="346">
        <f>'P&amp;L'!I55+'P&amp;L'!I56+'P&amp;L'!I57+'P&amp;L'!I59</f>
        <v>-13442276.675000001</v>
      </c>
      <c r="Q23" s="340">
        <f>+Q21+Q15</f>
        <v>-6814463.5</v>
      </c>
      <c r="R23" s="337">
        <f t="shared" si="0"/>
        <v>3117454.7960000001</v>
      </c>
      <c r="S23" s="336">
        <f t="shared" si="1"/>
        <v>-0.18825515386281466</v>
      </c>
      <c r="T23" s="362"/>
      <c r="V23" s="19" t="s">
        <v>314</v>
      </c>
    </row>
    <row r="24" spans="1:22" s="335" customFormat="1" ht="15.75" x14ac:dyDescent="0.2">
      <c r="A24" s="341" t="s">
        <v>313</v>
      </c>
      <c r="B24" s="346">
        <f>'P&amp;L'!F58</f>
        <v>-1217.4749999999999</v>
      </c>
      <c r="C24" s="340">
        <f>'P&amp;L'!H58</f>
        <v>-1217.4749999999999</v>
      </c>
      <c r="D24" s="337">
        <f>+'P&amp;L_seasonal'!D58</f>
        <v>0</v>
      </c>
      <c r="E24" s="337">
        <f>+'P&amp;L_seasonal'!E58</f>
        <v>0</v>
      </c>
      <c r="F24" s="337">
        <f>+'P&amp;L_seasonal'!F58</f>
        <v>0</v>
      </c>
      <c r="G24" s="337">
        <f>+'P&amp;L_seasonal'!G58</f>
        <v>0</v>
      </c>
      <c r="H24" s="337">
        <f>+'P&amp;L_seasonal'!H58</f>
        <v>0</v>
      </c>
      <c r="I24" s="337">
        <f>+'P&amp;L_seasonal'!I58</f>
        <v>-1015986.421</v>
      </c>
      <c r="J24" s="337">
        <f>+'P&amp;L_seasonal'!J58</f>
        <v>-983872.34299999999</v>
      </c>
      <c r="K24" s="337">
        <f>+'P&amp;L_seasonal'!K58</f>
        <v>-898133.81400000001</v>
      </c>
      <c r="L24" s="337">
        <f>+'P&amp;L_seasonal'!L58</f>
        <v>-769828.98300000001</v>
      </c>
      <c r="M24" s="337">
        <f>+'P&amp;L_seasonal'!M58</f>
        <v>-898133.81400000001</v>
      </c>
      <c r="N24" s="337">
        <f>+'P&amp;L_seasonal'!N58</f>
        <v>-898133.81400000001</v>
      </c>
      <c r="O24" s="340">
        <f>+'P&amp;L_seasonal'!O58</f>
        <v>-1201096.811</v>
      </c>
      <c r="P24" s="346">
        <f>'P&amp;L'!I58</f>
        <v>-6665186</v>
      </c>
      <c r="Q24" s="340"/>
      <c r="R24" s="337">
        <f t="shared" si="0"/>
        <v>-6663968.5250000004</v>
      </c>
      <c r="S24" s="336">
        <f t="shared" si="1"/>
        <v>5473.5978356845117</v>
      </c>
      <c r="T24" s="362" t="s">
        <v>1579</v>
      </c>
      <c r="V24" s="19" t="s">
        <v>312</v>
      </c>
    </row>
    <row r="25" spans="1:22" ht="15" outlineLevel="1" x14ac:dyDescent="0.2">
      <c r="A25" s="357" t="s">
        <v>311</v>
      </c>
      <c r="B25" s="682">
        <v>-5957.6329999999998</v>
      </c>
      <c r="C25" s="359">
        <v>-13553.903</v>
      </c>
      <c r="D25" s="361">
        <v>-2670.9</v>
      </c>
      <c r="E25" s="361">
        <v>-2918.1790000000001</v>
      </c>
      <c r="F25" s="361">
        <v>-1929.393</v>
      </c>
      <c r="G25" s="361">
        <v>-931.40700000000004</v>
      </c>
      <c r="H25" s="361">
        <v>-1343.4449999999999</v>
      </c>
      <c r="I25" s="361">
        <v>-926.35299999999995</v>
      </c>
      <c r="J25" s="361">
        <v>-1091.9090000000001</v>
      </c>
      <c r="K25" s="361">
        <v>-818.73400000000004</v>
      </c>
      <c r="L25" s="361">
        <v>-1991.894</v>
      </c>
      <c r="M25" s="361">
        <v>-888.33500000000004</v>
      </c>
      <c r="N25" s="361">
        <v>-1263.5530000000001</v>
      </c>
      <c r="O25" s="360">
        <v>-903.08299999999997</v>
      </c>
      <c r="P25" s="354">
        <f>SUM(D25:O25)</f>
        <v>-17677.184999999998</v>
      </c>
      <c r="Q25" s="353"/>
      <c r="R25" s="223">
        <f t="shared" si="0"/>
        <v>-4123.2819999999974</v>
      </c>
      <c r="S25" s="298">
        <f t="shared" si="1"/>
        <v>0.30421362761707815</v>
      </c>
      <c r="T25" s="352"/>
      <c r="V25" s="267" t="s">
        <v>310</v>
      </c>
    </row>
    <row r="26" spans="1:22" ht="15" outlineLevel="1" x14ac:dyDescent="0.2">
      <c r="A26" s="357" t="s">
        <v>309</v>
      </c>
      <c r="B26" s="711">
        <v>-411137.27</v>
      </c>
      <c r="C26" s="712">
        <v>-780467.0469999999</v>
      </c>
      <c r="D26" s="713">
        <v>-86341.981</v>
      </c>
      <c r="E26" s="714">
        <v>-73954.660999999993</v>
      </c>
      <c r="F26" s="714">
        <v>-73932.842000000004</v>
      </c>
      <c r="G26" s="714">
        <v>-69408.009000000005</v>
      </c>
      <c r="H26" s="714">
        <v>-73456.66</v>
      </c>
      <c r="I26" s="714">
        <v>-71482.850000000006</v>
      </c>
      <c r="J26" s="714">
        <v>-90691.191000000006</v>
      </c>
      <c r="K26" s="714">
        <v>-76059.365999999995</v>
      </c>
      <c r="L26" s="714">
        <v>-75245.157000000007</v>
      </c>
      <c r="M26" s="714">
        <v>-71943.692999999999</v>
      </c>
      <c r="N26" s="714">
        <v>-73083.088000000003</v>
      </c>
      <c r="O26" s="714">
        <v>-73764.998000000007</v>
      </c>
      <c r="P26" s="354">
        <f>SUM(D26:O26)</f>
        <v>-909364.49600000004</v>
      </c>
      <c r="Q26" s="353"/>
      <c r="R26" s="223">
        <f t="shared" si="0"/>
        <v>-128897.44900000014</v>
      </c>
      <c r="S26" s="298">
        <f t="shared" si="1"/>
        <v>0.16515424897881714</v>
      </c>
      <c r="T26" s="352"/>
      <c r="V26" s="267" t="s">
        <v>308</v>
      </c>
    </row>
    <row r="27" spans="1:22" ht="15" outlineLevel="1" x14ac:dyDescent="0.2">
      <c r="A27" s="357" t="s">
        <v>981</v>
      </c>
      <c r="B27" s="682">
        <v>0</v>
      </c>
      <c r="C27" s="359">
        <v>0</v>
      </c>
      <c r="D27" s="356">
        <f t="shared" ref="D27:O29" si="5">$P27/12</f>
        <v>0</v>
      </c>
      <c r="E27" s="356">
        <f t="shared" si="5"/>
        <v>0</v>
      </c>
      <c r="F27" s="356">
        <f t="shared" si="5"/>
        <v>0</v>
      </c>
      <c r="G27" s="356">
        <f t="shared" si="5"/>
        <v>0</v>
      </c>
      <c r="H27" s="356">
        <f t="shared" si="5"/>
        <v>0</v>
      </c>
      <c r="I27" s="356">
        <f t="shared" si="5"/>
        <v>0</v>
      </c>
      <c r="J27" s="356">
        <f t="shared" si="5"/>
        <v>0</v>
      </c>
      <c r="K27" s="356">
        <f t="shared" si="5"/>
        <v>0</v>
      </c>
      <c r="L27" s="356">
        <f t="shared" si="5"/>
        <v>0</v>
      </c>
      <c r="M27" s="356">
        <f t="shared" si="5"/>
        <v>0</v>
      </c>
      <c r="N27" s="356">
        <f t="shared" si="5"/>
        <v>0</v>
      </c>
      <c r="O27" s="355">
        <f t="shared" si="5"/>
        <v>0</v>
      </c>
      <c r="P27" s="358">
        <v>0</v>
      </c>
      <c r="Q27" s="353"/>
      <c r="R27" s="223">
        <f t="shared" si="0"/>
        <v>0</v>
      </c>
      <c r="S27" s="298">
        <f t="shared" si="1"/>
        <v>0</v>
      </c>
      <c r="T27" s="352"/>
      <c r="V27" s="267" t="s">
        <v>306</v>
      </c>
    </row>
    <row r="28" spans="1:22" ht="15" outlineLevel="1" x14ac:dyDescent="0.2">
      <c r="A28" s="357" t="s">
        <v>982</v>
      </c>
      <c r="B28" s="682">
        <v>0</v>
      </c>
      <c r="C28" s="359">
        <v>0</v>
      </c>
      <c r="D28" s="223">
        <f t="shared" si="5"/>
        <v>0</v>
      </c>
      <c r="E28" s="223">
        <f t="shared" si="5"/>
        <v>0</v>
      </c>
      <c r="F28" s="223">
        <f t="shared" si="5"/>
        <v>0</v>
      </c>
      <c r="G28" s="223">
        <f t="shared" si="5"/>
        <v>0</v>
      </c>
      <c r="H28" s="223">
        <f t="shared" si="5"/>
        <v>0</v>
      </c>
      <c r="I28" s="223">
        <f t="shared" si="5"/>
        <v>0</v>
      </c>
      <c r="J28" s="223">
        <f t="shared" si="5"/>
        <v>0</v>
      </c>
      <c r="K28" s="223">
        <f t="shared" si="5"/>
        <v>0</v>
      </c>
      <c r="L28" s="223">
        <f t="shared" si="5"/>
        <v>0</v>
      </c>
      <c r="M28" s="223">
        <f t="shared" si="5"/>
        <v>0</v>
      </c>
      <c r="N28" s="223">
        <f t="shared" si="5"/>
        <v>0</v>
      </c>
      <c r="O28" s="332">
        <f t="shared" si="5"/>
        <v>0</v>
      </c>
      <c r="P28" s="358">
        <v>0</v>
      </c>
      <c r="Q28" s="353"/>
      <c r="R28" s="223">
        <f t="shared" si="0"/>
        <v>0</v>
      </c>
      <c r="S28" s="298">
        <f t="shared" si="1"/>
        <v>0</v>
      </c>
      <c r="T28" s="352"/>
      <c r="V28" s="267" t="s">
        <v>988</v>
      </c>
    </row>
    <row r="29" spans="1:22" ht="15" outlineLevel="1" x14ac:dyDescent="0.2">
      <c r="A29" s="357" t="s">
        <v>304</v>
      </c>
      <c r="B29" s="354">
        <f>B30-B25-B27-B28-B26</f>
        <v>0</v>
      </c>
      <c r="C29" s="355">
        <f>C30-C25-C27-C28-C26</f>
        <v>0</v>
      </c>
      <c r="D29" s="356">
        <f t="shared" si="5"/>
        <v>-1745.292666666656</v>
      </c>
      <c r="E29" s="356">
        <f t="shared" si="5"/>
        <v>-1745.292666666656</v>
      </c>
      <c r="F29" s="356">
        <f t="shared" si="5"/>
        <v>-1745.292666666656</v>
      </c>
      <c r="G29" s="356">
        <f t="shared" si="5"/>
        <v>-1745.292666666656</v>
      </c>
      <c r="H29" s="356">
        <f t="shared" si="5"/>
        <v>-1745.292666666656</v>
      </c>
      <c r="I29" s="356">
        <f t="shared" si="5"/>
        <v>-1745.292666666656</v>
      </c>
      <c r="J29" s="356">
        <f t="shared" si="5"/>
        <v>-1745.292666666656</v>
      </c>
      <c r="K29" s="356">
        <f t="shared" si="5"/>
        <v>-1745.292666666656</v>
      </c>
      <c r="L29" s="356">
        <f t="shared" si="5"/>
        <v>-1745.292666666656</v>
      </c>
      <c r="M29" s="356">
        <f t="shared" si="5"/>
        <v>-1745.292666666656</v>
      </c>
      <c r="N29" s="356">
        <f t="shared" si="5"/>
        <v>-1745.292666666656</v>
      </c>
      <c r="O29" s="355">
        <f t="shared" si="5"/>
        <v>-1745.292666666656</v>
      </c>
      <c r="P29" s="354">
        <f>P30-P25-P27-P28-P26</f>
        <v>-20943.511999999871</v>
      </c>
      <c r="Q29" s="353"/>
      <c r="R29" s="223">
        <f t="shared" si="0"/>
        <v>-20943.511999999871</v>
      </c>
      <c r="S29" s="298">
        <f t="shared" si="1"/>
        <v>0</v>
      </c>
      <c r="T29" s="352"/>
      <c r="V29" s="267" t="s">
        <v>303</v>
      </c>
    </row>
    <row r="30" spans="1:22" s="335" customFormat="1" ht="15.75" x14ac:dyDescent="0.2">
      <c r="A30" s="341" t="s">
        <v>302</v>
      </c>
      <c r="B30" s="346">
        <f>'P&amp;L'!F83</f>
        <v>-417094.90299999999</v>
      </c>
      <c r="C30" s="340">
        <f>'P&amp;L'!H83</f>
        <v>-794020.95</v>
      </c>
      <c r="D30" s="337">
        <f t="shared" ref="D30:O30" si="6">+D25+D27+D26+D28+D29</f>
        <v>-90758.173666666655</v>
      </c>
      <c r="E30" s="337">
        <f t="shared" si="6"/>
        <v>-78618.132666666657</v>
      </c>
      <c r="F30" s="337">
        <f t="shared" si="6"/>
        <v>-77607.527666666661</v>
      </c>
      <c r="G30" s="337">
        <f t="shared" si="6"/>
        <v>-72084.708666666673</v>
      </c>
      <c r="H30" s="337">
        <f t="shared" si="6"/>
        <v>-76545.397666666671</v>
      </c>
      <c r="I30" s="337">
        <f t="shared" si="6"/>
        <v>-74154.495666666669</v>
      </c>
      <c r="J30" s="337">
        <f t="shared" si="6"/>
        <v>-93528.392666666667</v>
      </c>
      <c r="K30" s="337">
        <f t="shared" si="6"/>
        <v>-78623.392666666652</v>
      </c>
      <c r="L30" s="337">
        <f t="shared" si="6"/>
        <v>-78982.343666666668</v>
      </c>
      <c r="M30" s="337">
        <f t="shared" si="6"/>
        <v>-74577.320666666667</v>
      </c>
      <c r="N30" s="337">
        <f t="shared" si="6"/>
        <v>-76091.933666666664</v>
      </c>
      <c r="O30" s="340">
        <f t="shared" si="6"/>
        <v>-76413.373666666666</v>
      </c>
      <c r="P30" s="346">
        <f>'P&amp;L'!I83</f>
        <v>-947985.19299999997</v>
      </c>
      <c r="Q30" s="340">
        <f>SUM(Q25:Q29)</f>
        <v>0</v>
      </c>
      <c r="R30" s="337">
        <f t="shared" si="0"/>
        <v>-153964.24300000002</v>
      </c>
      <c r="S30" s="336">
        <f t="shared" si="1"/>
        <v>0.19390450969839024</v>
      </c>
      <c r="T30" s="922"/>
      <c r="V30" s="19" t="s">
        <v>301</v>
      </c>
    </row>
    <row r="31" spans="1:22" s="335" customFormat="1" ht="15.75" x14ac:dyDescent="0.2">
      <c r="A31" s="341" t="s">
        <v>300</v>
      </c>
      <c r="B31" s="346">
        <f>'P&amp;L'!F80-'P&amp;L'!F83</f>
        <v>-712603.86900000018</v>
      </c>
      <c r="C31" s="340">
        <f>'P&amp;L'!H80-'P&amp;L'!H83</f>
        <v>-1289794.179</v>
      </c>
      <c r="D31" s="337">
        <f t="shared" ref="D31:O31" si="7">$P$31/12</f>
        <v>-174580.329</v>
      </c>
      <c r="E31" s="337">
        <f t="shared" si="7"/>
        <v>-174580.329</v>
      </c>
      <c r="F31" s="337">
        <f t="shared" si="7"/>
        <v>-174580.329</v>
      </c>
      <c r="G31" s="337">
        <f t="shared" si="7"/>
        <v>-174580.329</v>
      </c>
      <c r="H31" s="337">
        <f t="shared" si="7"/>
        <v>-174580.329</v>
      </c>
      <c r="I31" s="337">
        <f t="shared" si="7"/>
        <v>-174580.329</v>
      </c>
      <c r="J31" s="337">
        <f t="shared" si="7"/>
        <v>-174580.329</v>
      </c>
      <c r="K31" s="337">
        <f t="shared" si="7"/>
        <v>-174580.329</v>
      </c>
      <c r="L31" s="337">
        <f t="shared" si="7"/>
        <v>-174580.329</v>
      </c>
      <c r="M31" s="337">
        <f t="shared" si="7"/>
        <v>-174580.329</v>
      </c>
      <c r="N31" s="337">
        <f t="shared" si="7"/>
        <v>-174580.329</v>
      </c>
      <c r="O31" s="340">
        <f t="shared" si="7"/>
        <v>-174580.329</v>
      </c>
      <c r="P31" s="346">
        <f>'P&amp;L'!I80-'P&amp;L'!I83</f>
        <v>-2094963.9479999999</v>
      </c>
      <c r="Q31" s="340"/>
      <c r="R31" s="337">
        <f t="shared" si="0"/>
        <v>-805169.76899999985</v>
      </c>
      <c r="S31" s="336">
        <f t="shared" si="1"/>
        <v>0.62426221338993959</v>
      </c>
      <c r="T31" s="922"/>
      <c r="V31" s="19" t="s">
        <v>978</v>
      </c>
    </row>
    <row r="32" spans="1:22" s="335" customFormat="1" ht="15.75" x14ac:dyDescent="0.2">
      <c r="A32" s="341" t="s">
        <v>299</v>
      </c>
      <c r="B32" s="346">
        <f>'P&amp;L'!F65</f>
        <v>883284.97600000002</v>
      </c>
      <c r="C32" s="340">
        <f>'P&amp;L'!H65</f>
        <v>-4475564.2170000002</v>
      </c>
      <c r="D32" s="337">
        <f t="shared" ref="D32:O32" si="8">$P$32/12</f>
        <v>-1329832.5900000001</v>
      </c>
      <c r="E32" s="337">
        <f t="shared" si="8"/>
        <v>-1329832.5900000001</v>
      </c>
      <c r="F32" s="337">
        <f t="shared" si="8"/>
        <v>-1329832.5900000001</v>
      </c>
      <c r="G32" s="337">
        <f t="shared" si="8"/>
        <v>-1329832.5900000001</v>
      </c>
      <c r="H32" s="337">
        <f t="shared" si="8"/>
        <v>-1329832.5900000001</v>
      </c>
      <c r="I32" s="337">
        <f t="shared" si="8"/>
        <v>-1329832.5900000001</v>
      </c>
      <c r="J32" s="337">
        <f t="shared" si="8"/>
        <v>-1329832.5900000001</v>
      </c>
      <c r="K32" s="337">
        <f t="shared" si="8"/>
        <v>-1329832.5900000001</v>
      </c>
      <c r="L32" s="337">
        <f t="shared" si="8"/>
        <v>-1329832.5900000001</v>
      </c>
      <c r="M32" s="337">
        <f t="shared" si="8"/>
        <v>-1329832.5900000001</v>
      </c>
      <c r="N32" s="337">
        <f t="shared" si="8"/>
        <v>-1329832.5900000001</v>
      </c>
      <c r="O32" s="340">
        <f t="shared" si="8"/>
        <v>-1329832.5900000001</v>
      </c>
      <c r="P32" s="346">
        <f>'P&amp;L'!I65</f>
        <v>-15957991.08</v>
      </c>
      <c r="Q32" s="340"/>
      <c r="R32" s="337">
        <f t="shared" si="0"/>
        <v>-11482426.863</v>
      </c>
      <c r="S32" s="336">
        <f t="shared" si="1"/>
        <v>2.565581970511138</v>
      </c>
      <c r="T32" s="922"/>
      <c r="V32" s="19" t="s">
        <v>298</v>
      </c>
    </row>
    <row r="33" spans="1:22" s="335" customFormat="1" ht="15.75" x14ac:dyDescent="0.2">
      <c r="A33" s="341" t="s">
        <v>297</v>
      </c>
      <c r="B33" s="346">
        <f>'P&amp;L'!F85</f>
        <v>-1526850.706</v>
      </c>
      <c r="C33" s="340">
        <f>'P&amp;L'!H85</f>
        <v>-2869279.0839999998</v>
      </c>
      <c r="D33" s="337">
        <f t="shared" ref="D33:O33" si="9">$P$33/12</f>
        <v>-315174.37666666665</v>
      </c>
      <c r="E33" s="337">
        <f t="shared" si="9"/>
        <v>-315174.37666666665</v>
      </c>
      <c r="F33" s="337">
        <f t="shared" si="9"/>
        <v>-315174.37666666665</v>
      </c>
      <c r="G33" s="337">
        <f t="shared" si="9"/>
        <v>-315174.37666666665</v>
      </c>
      <c r="H33" s="337">
        <f t="shared" si="9"/>
        <v>-315174.37666666665</v>
      </c>
      <c r="I33" s="337">
        <f t="shared" si="9"/>
        <v>-315174.37666666665</v>
      </c>
      <c r="J33" s="337">
        <f t="shared" si="9"/>
        <v>-315174.37666666665</v>
      </c>
      <c r="K33" s="337">
        <f t="shared" si="9"/>
        <v>-315174.37666666665</v>
      </c>
      <c r="L33" s="337">
        <f t="shared" si="9"/>
        <v>-315174.37666666665</v>
      </c>
      <c r="M33" s="337">
        <f t="shared" si="9"/>
        <v>-315174.37666666665</v>
      </c>
      <c r="N33" s="337">
        <f t="shared" si="9"/>
        <v>-315174.37666666665</v>
      </c>
      <c r="O33" s="340">
        <f t="shared" si="9"/>
        <v>-315174.37666666665</v>
      </c>
      <c r="P33" s="346">
        <f>'P&amp;L'!I85</f>
        <v>-3782092.52</v>
      </c>
      <c r="Q33" s="340"/>
      <c r="R33" s="337">
        <f t="shared" si="0"/>
        <v>-912813.43600000022</v>
      </c>
      <c r="S33" s="336">
        <f t="shared" si="1"/>
        <v>0.31813337402071973</v>
      </c>
      <c r="T33" s="922"/>
      <c r="V33" s="19" t="s">
        <v>977</v>
      </c>
    </row>
    <row r="34" spans="1:22" s="335" customFormat="1" ht="15.75" x14ac:dyDescent="0.2">
      <c r="A34" s="341" t="s">
        <v>296</v>
      </c>
      <c r="B34" s="344">
        <f t="shared" ref="B34" si="10">+B23+B24+B30+B31+B32+B33</f>
        <v>-9876251.6870000008</v>
      </c>
      <c r="C34" s="343">
        <f t="shared" ref="C34:Q34" si="11">+C23+C24+C30+C31+C32+C33</f>
        <v>-25989607.376000002</v>
      </c>
      <c r="D34" s="345">
        <f t="shared" si="11"/>
        <v>-3553219.549333333</v>
      </c>
      <c r="E34" s="345">
        <f t="shared" si="11"/>
        <v>-3600969.2743333331</v>
      </c>
      <c r="F34" s="345">
        <f t="shared" si="11"/>
        <v>-3567686.4413333335</v>
      </c>
      <c r="G34" s="345">
        <f t="shared" si="11"/>
        <v>-3477867.9193333331</v>
      </c>
      <c r="H34" s="345">
        <f t="shared" si="11"/>
        <v>-3526744.8403333332</v>
      </c>
      <c r="I34" s="345">
        <f t="shared" si="11"/>
        <v>-3510880.4833333329</v>
      </c>
      <c r="J34" s="345">
        <f t="shared" si="11"/>
        <v>-3675441.8353333329</v>
      </c>
      <c r="K34" s="345">
        <f t="shared" si="11"/>
        <v>-3677607.0673333337</v>
      </c>
      <c r="L34" s="345">
        <f t="shared" si="11"/>
        <v>-3596545.4593333327</v>
      </c>
      <c r="M34" s="345">
        <f t="shared" si="11"/>
        <v>-3571652.2103333329</v>
      </c>
      <c r="N34" s="345">
        <f t="shared" si="11"/>
        <v>-3564231.1853333334</v>
      </c>
      <c r="O34" s="343">
        <f t="shared" si="11"/>
        <v>-3567649.1503333333</v>
      </c>
      <c r="P34" s="344">
        <f t="shared" si="11"/>
        <v>-42890495.416000001</v>
      </c>
      <c r="Q34" s="343">
        <f t="shared" si="11"/>
        <v>-6814463.5</v>
      </c>
      <c r="R34" s="345">
        <f t="shared" si="0"/>
        <v>-16900888.039999999</v>
      </c>
      <c r="S34" s="336">
        <f t="shared" si="1"/>
        <v>0.65029408853659931</v>
      </c>
      <c r="T34" s="937"/>
      <c r="V34" s="19" t="s">
        <v>295</v>
      </c>
    </row>
    <row r="35" spans="1:22" ht="15" x14ac:dyDescent="0.25">
      <c r="A35" s="351"/>
      <c r="B35" s="347"/>
      <c r="C35" s="350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50"/>
      <c r="P35" s="347"/>
      <c r="Q35" s="350"/>
      <c r="R35" s="349"/>
      <c r="S35" s="348"/>
      <c r="T35" s="347"/>
      <c r="V35" s="267"/>
    </row>
    <row r="36" spans="1:22" s="335" customFormat="1" ht="15.75" x14ac:dyDescent="0.2">
      <c r="A36" s="341" t="s">
        <v>294</v>
      </c>
      <c r="B36" s="346">
        <f t="shared" ref="B36" si="12">+B15</f>
        <v>-3943198.8489999999</v>
      </c>
      <c r="C36" s="340">
        <f t="shared" ref="C36:R36" si="13">+C15</f>
        <v>-6700422.3109999998</v>
      </c>
      <c r="D36" s="337">
        <f t="shared" si="13"/>
        <v>-637989.05799999996</v>
      </c>
      <c r="E36" s="337">
        <f t="shared" si="13"/>
        <v>-682291.32499999995</v>
      </c>
      <c r="F36" s="337">
        <f t="shared" si="13"/>
        <v>-627151.38800000004</v>
      </c>
      <c r="G36" s="337">
        <f t="shared" si="13"/>
        <v>-537070.79</v>
      </c>
      <c r="H36" s="337">
        <f t="shared" si="13"/>
        <v>-575671.91799999995</v>
      </c>
      <c r="I36" s="337">
        <f t="shared" si="13"/>
        <v>-560748.46200000006</v>
      </c>
      <c r="J36" s="337">
        <f t="shared" si="13"/>
        <v>-705935.91700000002</v>
      </c>
      <c r="K36" s="337">
        <f t="shared" si="13"/>
        <v>-721870.31599999999</v>
      </c>
      <c r="L36" s="337">
        <f t="shared" si="13"/>
        <v>-639256.527</v>
      </c>
      <c r="M36" s="337">
        <f t="shared" si="13"/>
        <v>-618768.30099999998</v>
      </c>
      <c r="N36" s="337">
        <f t="shared" si="13"/>
        <v>-609832.66300000006</v>
      </c>
      <c r="O36" s="340">
        <f t="shared" si="13"/>
        <v>-603987.52500000002</v>
      </c>
      <c r="P36" s="346">
        <f t="shared" si="13"/>
        <v>-7520574.1899999995</v>
      </c>
      <c r="Q36" s="340">
        <f t="shared" si="13"/>
        <v>-6814463.5</v>
      </c>
      <c r="R36" s="337">
        <f t="shared" si="13"/>
        <v>-820151.87899999972</v>
      </c>
      <c r="S36" s="336">
        <f>IFERROR(P36/C36-1,0)</f>
        <v>0.12240301296435696</v>
      </c>
      <c r="T36" s="921"/>
      <c r="V36" s="19"/>
    </row>
    <row r="37" spans="1:22" ht="15.75" x14ac:dyDescent="0.2">
      <c r="A37" s="923" t="s">
        <v>290</v>
      </c>
      <c r="B37" s="924">
        <f t="shared" ref="B37" si="14">IFERROR(B36/B$7,0)</f>
        <v>-7.8215709052167792E-2</v>
      </c>
      <c r="C37" s="926">
        <f t="shared" ref="C37:R37" si="15">IFERROR(C36/C$7,0)</f>
        <v>-5.0314981038547708E-2</v>
      </c>
      <c r="D37" s="925">
        <f t="shared" si="15"/>
        <v>-4.0062122859994359E-2</v>
      </c>
      <c r="E37" s="925">
        <f t="shared" si="15"/>
        <v>-4.8256413743842215E-2</v>
      </c>
      <c r="F37" s="925">
        <f t="shared" si="15"/>
        <v>-4.0552992474337031E-2</v>
      </c>
      <c r="G37" s="925">
        <f t="shared" si="15"/>
        <v>-3.3441372285449661E-2</v>
      </c>
      <c r="H37" s="925">
        <f t="shared" si="15"/>
        <v>-3.5116215873696011E-2</v>
      </c>
      <c r="I37" s="925">
        <f t="shared" si="15"/>
        <v>-3.6729228011250302E-2</v>
      </c>
      <c r="J37" s="925">
        <f t="shared" si="15"/>
        <v>-4.0292592598183373E-2</v>
      </c>
      <c r="K37" s="925">
        <f t="shared" si="15"/>
        <v>-5.316675697119648E-2</v>
      </c>
      <c r="L37" s="925">
        <f t="shared" si="15"/>
        <v>-4.3458033667295622E-2</v>
      </c>
      <c r="M37" s="925">
        <f t="shared" si="15"/>
        <v>-3.7717091924971621E-2</v>
      </c>
      <c r="N37" s="925">
        <f t="shared" si="15"/>
        <v>-3.7172419097825184E-2</v>
      </c>
      <c r="O37" s="926">
        <f t="shared" si="15"/>
        <v>-3.6816128052975829E-2</v>
      </c>
      <c r="P37" s="924">
        <f t="shared" si="15"/>
        <v>-3.9944974381692491E-2</v>
      </c>
      <c r="Q37" s="926">
        <f t="shared" si="15"/>
        <v>-3.6194519601232544E-2</v>
      </c>
      <c r="R37" s="925">
        <f t="shared" si="15"/>
        <v>-1.4883756549371272E-2</v>
      </c>
      <c r="S37" s="927"/>
      <c r="T37" s="921"/>
      <c r="V37" s="267"/>
    </row>
    <row r="38" spans="1:22" s="335" customFormat="1" ht="15.75" x14ac:dyDescent="0.2">
      <c r="A38" s="341" t="s">
        <v>293</v>
      </c>
      <c r="B38" s="346">
        <f t="shared" ref="B38" si="16">+B21+B22</f>
        <v>-4158570.8610000005</v>
      </c>
      <c r="C38" s="340">
        <f>+C21</f>
        <v>-9859309.1600000001</v>
      </c>
      <c r="D38" s="337">
        <f t="shared" ref="D38:R38" si="17">+D21+D22</f>
        <v>-1004885.022</v>
      </c>
      <c r="E38" s="337">
        <f t="shared" si="17"/>
        <v>-1020472.5209999999</v>
      </c>
      <c r="F38" s="337">
        <f t="shared" si="17"/>
        <v>-1043340.23</v>
      </c>
      <c r="G38" s="337">
        <f t="shared" si="17"/>
        <v>-1049125.125</v>
      </c>
      <c r="H38" s="337">
        <f t="shared" si="17"/>
        <v>-1054940.2290000001</v>
      </c>
      <c r="I38" s="337">
        <f t="shared" si="17"/>
        <v>-40403.809000000008</v>
      </c>
      <c r="J38" s="337">
        <f t="shared" si="17"/>
        <v>-72517.886999999988</v>
      </c>
      <c r="K38" s="337">
        <f t="shared" si="17"/>
        <v>-159392.24900000007</v>
      </c>
      <c r="L38" s="337">
        <f t="shared" si="17"/>
        <v>-288890.31000000006</v>
      </c>
      <c r="M38" s="337">
        <f t="shared" si="17"/>
        <v>-160585.47900000005</v>
      </c>
      <c r="N38" s="337">
        <f t="shared" si="17"/>
        <v>-160585.47900000005</v>
      </c>
      <c r="O38" s="340">
        <f t="shared" si="17"/>
        <v>133435.85499999998</v>
      </c>
      <c r="P38" s="346">
        <f t="shared" si="17"/>
        <v>-5921702.4849999994</v>
      </c>
      <c r="Q38" s="340">
        <f t="shared" si="17"/>
        <v>0</v>
      </c>
      <c r="R38" s="337">
        <f t="shared" si="17"/>
        <v>3937606.6750000007</v>
      </c>
      <c r="S38" s="336">
        <f>IFERROR(P38/C38-1,0)</f>
        <v>-0.39937957224986753</v>
      </c>
      <c r="T38" s="921"/>
      <c r="V38" s="19"/>
    </row>
    <row r="39" spans="1:22" ht="15.75" x14ac:dyDescent="0.25">
      <c r="A39" s="923" t="s">
        <v>290</v>
      </c>
      <c r="B39" s="924">
        <f t="shared" ref="B39" si="18">IFERROR(B38/B$7,0)</f>
        <v>-8.2487741803659406E-2</v>
      </c>
      <c r="C39" s="926">
        <f t="shared" ref="C39:R39" si="19">IFERROR(C38/C$7,0)</f>
        <v>-7.4035774226377679E-2</v>
      </c>
      <c r="D39" s="925">
        <f t="shared" si="19"/>
        <v>-6.3101124865267103E-2</v>
      </c>
      <c r="E39" s="925">
        <f t="shared" si="19"/>
        <v>-7.2174952814470728E-2</v>
      </c>
      <c r="F39" s="925">
        <f t="shared" si="19"/>
        <v>-6.7464681263470411E-2</v>
      </c>
      <c r="G39" s="925">
        <f t="shared" si="19"/>
        <v>-6.532506427903835E-2</v>
      </c>
      <c r="H39" s="925">
        <f t="shared" si="19"/>
        <v>-6.4351773392236772E-2</v>
      </c>
      <c r="I39" s="925">
        <f t="shared" si="19"/>
        <v>-2.6464641703894806E-3</v>
      </c>
      <c r="J39" s="925">
        <f t="shared" si="19"/>
        <v>-4.139091958076554E-3</v>
      </c>
      <c r="K39" s="925">
        <f t="shared" si="19"/>
        <v>-1.1739461753508977E-2</v>
      </c>
      <c r="L39" s="925">
        <f t="shared" si="19"/>
        <v>-1.963938464117625E-2</v>
      </c>
      <c r="M39" s="925">
        <f t="shared" si="19"/>
        <v>-9.7885060748427091E-3</v>
      </c>
      <c r="N39" s="925">
        <f t="shared" si="19"/>
        <v>-9.7885060748427091E-3</v>
      </c>
      <c r="O39" s="926">
        <f t="shared" si="19"/>
        <v>8.1335976674987015E-3</v>
      </c>
      <c r="P39" s="924">
        <f t="shared" si="19"/>
        <v>-3.145268540450763E-2</v>
      </c>
      <c r="Q39" s="926">
        <f t="shared" si="19"/>
        <v>0</v>
      </c>
      <c r="R39" s="925">
        <f t="shared" si="19"/>
        <v>7.1457958749466352E-2</v>
      </c>
      <c r="S39" s="927"/>
      <c r="T39" s="921"/>
      <c r="U39" s="349"/>
      <c r="V39" s="267"/>
    </row>
    <row r="40" spans="1:22" s="335" customFormat="1" ht="15.75" x14ac:dyDescent="0.2">
      <c r="A40" s="341" t="s">
        <v>292</v>
      </c>
      <c r="B40" s="344">
        <f t="shared" ref="B40" si="20">+B36+B38</f>
        <v>-8101769.7100000009</v>
      </c>
      <c r="C40" s="343">
        <f>+C36+C38</f>
        <v>-16559731.471000001</v>
      </c>
      <c r="D40" s="345">
        <f t="shared" ref="D40:R40" si="21">+D36+D38</f>
        <v>-1642874.08</v>
      </c>
      <c r="E40" s="345">
        <f t="shared" si="21"/>
        <v>-1702763.8459999999</v>
      </c>
      <c r="F40" s="345">
        <f t="shared" si="21"/>
        <v>-1670491.618</v>
      </c>
      <c r="G40" s="345">
        <f t="shared" si="21"/>
        <v>-1586195.915</v>
      </c>
      <c r="H40" s="345">
        <f t="shared" si="21"/>
        <v>-1630612.1469999999</v>
      </c>
      <c r="I40" s="345">
        <f t="shared" si="21"/>
        <v>-601152.27100000007</v>
      </c>
      <c r="J40" s="345">
        <f t="shared" si="21"/>
        <v>-778453.804</v>
      </c>
      <c r="K40" s="345">
        <f t="shared" si="21"/>
        <v>-881262.56500000006</v>
      </c>
      <c r="L40" s="345">
        <f t="shared" si="21"/>
        <v>-928146.83700000006</v>
      </c>
      <c r="M40" s="345">
        <f t="shared" si="21"/>
        <v>-779353.78</v>
      </c>
      <c r="N40" s="345">
        <f t="shared" si="21"/>
        <v>-770418.14200000011</v>
      </c>
      <c r="O40" s="343">
        <f t="shared" si="21"/>
        <v>-470551.67000000004</v>
      </c>
      <c r="P40" s="344">
        <f t="shared" si="21"/>
        <v>-13442276.674999999</v>
      </c>
      <c r="Q40" s="343">
        <f t="shared" si="21"/>
        <v>-6814463.5</v>
      </c>
      <c r="R40" s="337">
        <f t="shared" si="21"/>
        <v>3117454.796000001</v>
      </c>
      <c r="S40" s="336">
        <f>IFERROR(P40/C40-1,0)</f>
        <v>-0.18825515386281477</v>
      </c>
      <c r="T40" s="921"/>
      <c r="V40" s="19"/>
    </row>
    <row r="41" spans="1:22" ht="15.75" x14ac:dyDescent="0.25">
      <c r="A41" s="923" t="s">
        <v>290</v>
      </c>
      <c r="B41" s="929">
        <f t="shared" ref="B41" si="22">IFERROR(B40/B$7,0)</f>
        <v>-0.16070345085582721</v>
      </c>
      <c r="C41" s="933">
        <f t="shared" ref="C41:R41" si="23">IFERROR(C40/C$7,0)</f>
        <v>-0.12435075526492539</v>
      </c>
      <c r="D41" s="932">
        <f t="shared" si="23"/>
        <v>-0.10316324772526148</v>
      </c>
      <c r="E41" s="932">
        <f t="shared" si="23"/>
        <v>-0.12043136655831294</v>
      </c>
      <c r="F41" s="932">
        <f t="shared" si="23"/>
        <v>-0.10801767373780743</v>
      </c>
      <c r="G41" s="932">
        <f t="shared" si="23"/>
        <v>-9.8766436564488011E-2</v>
      </c>
      <c r="H41" s="932">
        <f t="shared" si="23"/>
        <v>-9.9467989265932782E-2</v>
      </c>
      <c r="I41" s="932">
        <f t="shared" si="23"/>
        <v>-3.9375692181639783E-2</v>
      </c>
      <c r="J41" s="932">
        <f t="shared" si="23"/>
        <v>-4.4431684556259926E-2</v>
      </c>
      <c r="K41" s="932">
        <f t="shared" si="23"/>
        <v>-6.490621872470545E-2</v>
      </c>
      <c r="L41" s="932">
        <f t="shared" si="23"/>
        <v>-6.3097418308471875E-2</v>
      </c>
      <c r="M41" s="932">
        <f t="shared" si="23"/>
        <v>-4.7505597999814332E-2</v>
      </c>
      <c r="N41" s="932">
        <f t="shared" si="23"/>
        <v>-4.6960925172667894E-2</v>
      </c>
      <c r="O41" s="933">
        <f t="shared" si="23"/>
        <v>-2.8682530385477127E-2</v>
      </c>
      <c r="P41" s="934">
        <f t="shared" si="23"/>
        <v>-7.1397659786200121E-2</v>
      </c>
      <c r="Q41" s="933">
        <f t="shared" si="23"/>
        <v>-3.6194519601232544E-2</v>
      </c>
      <c r="R41" s="932">
        <f t="shared" si="23"/>
        <v>5.6574202200095083E-2</v>
      </c>
      <c r="S41" s="933"/>
      <c r="T41" s="922"/>
      <c r="U41" s="342"/>
    </row>
    <row r="42" spans="1:22" s="335" customFormat="1" ht="15.75" x14ac:dyDescent="0.2">
      <c r="A42" s="341" t="s">
        <v>291</v>
      </c>
      <c r="B42" s="339">
        <f t="shared" ref="B42" si="24">+B8+B26</f>
        <v>-2347585.537</v>
      </c>
      <c r="C42" s="340">
        <f t="shared" ref="C42:R42" si="25">+C8+C26</f>
        <v>-4610351.7929999996</v>
      </c>
      <c r="D42" s="337">
        <f t="shared" si="25"/>
        <v>-468290.68900000001</v>
      </c>
      <c r="E42" s="337">
        <f t="shared" si="25"/>
        <v>-455900.30000000005</v>
      </c>
      <c r="F42" s="337">
        <f t="shared" si="25"/>
        <v>-455710.95600000001</v>
      </c>
      <c r="G42" s="337">
        <f t="shared" si="25"/>
        <v>-418629.69800000003</v>
      </c>
      <c r="H42" s="337">
        <f t="shared" si="25"/>
        <v>-442461.93400000001</v>
      </c>
      <c r="I42" s="337">
        <f t="shared" si="25"/>
        <v>-448944.36800000002</v>
      </c>
      <c r="J42" s="337">
        <f t="shared" si="25"/>
        <v>-578430.68500000006</v>
      </c>
      <c r="K42" s="337">
        <f t="shared" si="25"/>
        <v>-529309.54</v>
      </c>
      <c r="L42" s="337">
        <f t="shared" si="25"/>
        <v>-490880.174</v>
      </c>
      <c r="M42" s="337">
        <f t="shared" si="25"/>
        <v>-488456.88699999999</v>
      </c>
      <c r="N42" s="337">
        <f t="shared" si="25"/>
        <v>-482545.49699999997</v>
      </c>
      <c r="O42" s="340">
        <f t="shared" si="25"/>
        <v>-497828.266</v>
      </c>
      <c r="P42" s="339">
        <f t="shared" si="25"/>
        <v>-5757388.9939999999</v>
      </c>
      <c r="Q42" s="338">
        <f t="shared" si="25"/>
        <v>-6118463.5</v>
      </c>
      <c r="R42" s="337">
        <f t="shared" si="25"/>
        <v>-1147037.2009999999</v>
      </c>
      <c r="S42" s="336">
        <f>IFERROR(P42/C42-1,0)</f>
        <v>0.24879602522774347</v>
      </c>
      <c r="T42" s="922"/>
      <c r="V42" s="19"/>
    </row>
    <row r="43" spans="1:22" ht="15.75" x14ac:dyDescent="0.2">
      <c r="A43" s="923" t="s">
        <v>290</v>
      </c>
      <c r="B43" s="935">
        <f t="shared" ref="B43" si="26">IFERROR(B42/B$7,0)</f>
        <v>-4.6565764083552334E-2</v>
      </c>
      <c r="C43" s="920">
        <f t="shared" ref="C43:R43" si="27">IFERROR(C42/C$7,0)</f>
        <v>-3.4620170532386821E-2</v>
      </c>
      <c r="D43" s="925">
        <f t="shared" si="27"/>
        <v>-2.9406020184298224E-2</v>
      </c>
      <c r="E43" s="925">
        <f t="shared" si="27"/>
        <v>-3.224445731116659E-2</v>
      </c>
      <c r="F43" s="925">
        <f t="shared" si="27"/>
        <v>-2.9467275880669712E-2</v>
      </c>
      <c r="G43" s="925">
        <f t="shared" si="27"/>
        <v>-2.6066492241299068E-2</v>
      </c>
      <c r="H43" s="925">
        <f t="shared" si="27"/>
        <v>-2.6990353888057882E-2</v>
      </c>
      <c r="I43" s="925">
        <f t="shared" si="27"/>
        <v>-2.9406019229774833E-2</v>
      </c>
      <c r="J43" s="925">
        <f t="shared" si="27"/>
        <v>-3.3014996653008014E-2</v>
      </c>
      <c r="K43" s="925">
        <f t="shared" si="27"/>
        <v>-3.8984386879423648E-2</v>
      </c>
      <c r="L43" s="925">
        <f t="shared" si="27"/>
        <v>-3.3371090051146142E-2</v>
      </c>
      <c r="M43" s="925">
        <f t="shared" si="27"/>
        <v>-2.9773944913775528E-2</v>
      </c>
      <c r="N43" s="925">
        <f t="shared" si="27"/>
        <v>-2.9413615466268233E-2</v>
      </c>
      <c r="O43" s="926">
        <f t="shared" si="27"/>
        <v>-3.0345178386667691E-2</v>
      </c>
      <c r="P43" s="935">
        <f t="shared" si="27"/>
        <v>-3.0579946432357227E-2</v>
      </c>
      <c r="Q43" s="926">
        <f t="shared" si="27"/>
        <v>-3.2497767003987314E-2</v>
      </c>
      <c r="R43" s="925">
        <f t="shared" si="27"/>
        <v>-2.0815927988328424E-2</v>
      </c>
      <c r="S43" s="927"/>
      <c r="T43" s="921"/>
      <c r="V43" s="267"/>
    </row>
    <row r="44" spans="1:22" x14ac:dyDescent="0.2"/>
    <row r="45" spans="1:22" x14ac:dyDescent="0.2"/>
    <row r="46" spans="1:22" x14ac:dyDescent="0.2">
      <c r="A46" s="221" t="s">
        <v>910</v>
      </c>
      <c r="B46" s="96">
        <f>+B40-B23</f>
        <v>0</v>
      </c>
      <c r="C46" s="96">
        <f t="shared" ref="C46:Q46" si="28">+C40-C23</f>
        <v>0</v>
      </c>
      <c r="D46" s="96">
        <f t="shared" si="28"/>
        <v>0</v>
      </c>
      <c r="E46" s="96">
        <f t="shared" si="28"/>
        <v>0</v>
      </c>
      <c r="F46" s="96">
        <f t="shared" si="28"/>
        <v>0</v>
      </c>
      <c r="G46" s="96">
        <f t="shared" si="28"/>
        <v>0</v>
      </c>
      <c r="H46" s="96">
        <f t="shared" si="28"/>
        <v>0</v>
      </c>
      <c r="I46" s="96">
        <f t="shared" si="28"/>
        <v>0</v>
      </c>
      <c r="J46" s="96">
        <f t="shared" si="28"/>
        <v>0</v>
      </c>
      <c r="K46" s="96">
        <f t="shared" si="28"/>
        <v>0</v>
      </c>
      <c r="L46" s="96">
        <f t="shared" si="28"/>
        <v>0</v>
      </c>
      <c r="M46" s="96">
        <f t="shared" si="28"/>
        <v>0</v>
      </c>
      <c r="N46" s="96">
        <f t="shared" si="28"/>
        <v>0</v>
      </c>
      <c r="O46" s="96">
        <f t="shared" si="28"/>
        <v>0</v>
      </c>
      <c r="P46" s="96">
        <f t="shared" si="28"/>
        <v>0</v>
      </c>
      <c r="Q46" s="96">
        <f t="shared" si="28"/>
        <v>0</v>
      </c>
      <c r="R46" s="96"/>
    </row>
  </sheetData>
  <mergeCells count="3">
    <mergeCell ref="D4:O4"/>
    <mergeCell ref="P4:Q4"/>
    <mergeCell ref="B4:C4"/>
  </mergeCells>
  <conditionalFormatting sqref="B22:P22">
    <cfRule type="cellIs" dxfId="7" priority="1" operator="notEqual">
      <formula>0</formula>
    </cfRule>
  </conditionalFormatting>
  <conditionalFormatting sqref="B46:R46">
    <cfRule type="cellIs" dxfId="6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46"/>
  <sheetViews>
    <sheetView showGridLines="0" zoomScale="90" zoomScaleNormal="90" workbookViewId="0">
      <pane xSplit="1" ySplit="6" topLeftCell="B7" activePane="bottomRight" state="frozen"/>
      <selection activeCell="F20" sqref="F20"/>
      <selection pane="topRight" activeCell="F20" sqref="F20"/>
      <selection pane="bottomLeft" activeCell="F20" sqref="F20"/>
      <selection pane="bottomRight" activeCell="E29" sqref="E29"/>
    </sheetView>
  </sheetViews>
  <sheetFormatPr defaultColWidth="8.7109375" defaultRowHeight="12.75" customHeight="1" outlineLevelRow="1" outlineLevelCol="1" x14ac:dyDescent="0.2"/>
  <cols>
    <col min="1" max="1" width="52.28515625" style="221" customWidth="1"/>
    <col min="2" max="2" width="22" style="221" customWidth="1"/>
    <col min="3" max="4" width="17.28515625" style="221" customWidth="1"/>
    <col min="5" max="16" width="15.7109375" style="221" customWidth="1" outlineLevel="1"/>
    <col min="17" max="17" width="17.28515625" style="221" customWidth="1"/>
    <col min="18" max="18" width="10.7109375" style="221" customWidth="1"/>
    <col min="19" max="19" width="17" style="221" customWidth="1"/>
    <col min="20" max="22" width="19.28515625" style="221" customWidth="1"/>
    <col min="23" max="23" width="72.140625" style="221" customWidth="1"/>
    <col min="24" max="24" width="8.7109375" style="221"/>
    <col min="25" max="25" width="146.28515625" style="221" customWidth="1"/>
    <col min="26" max="16384" width="8.7109375" style="221"/>
  </cols>
  <sheetData>
    <row r="1" spans="1:25" ht="20.100000000000001" customHeight="1" x14ac:dyDescent="0.25">
      <c r="A1" s="60" t="str">
        <f>+'0. Instructions'!A1</f>
        <v>Budget 2024</v>
      </c>
      <c r="B1" s="60"/>
      <c r="C1" s="219"/>
      <c r="D1" s="219"/>
      <c r="E1" s="219"/>
      <c r="F1" s="219"/>
      <c r="G1" s="219"/>
      <c r="H1" s="58"/>
      <c r="I1" s="60"/>
      <c r="J1" s="60"/>
      <c r="K1" s="60"/>
      <c r="L1" s="219"/>
      <c r="M1" s="219"/>
      <c r="N1" s="219"/>
      <c r="O1" s="58"/>
      <c r="P1" s="219"/>
      <c r="Q1" s="60"/>
      <c r="R1" s="60"/>
      <c r="S1" s="219"/>
      <c r="T1" s="219"/>
      <c r="U1" s="219"/>
      <c r="V1" s="219"/>
      <c r="W1" s="57" t="str">
        <f>'Input-FX Rates'!$H$1</f>
        <v>Plant ICH Icheon (242)</v>
      </c>
      <c r="X1" s="367"/>
      <c r="Y1" s="56" t="s">
        <v>144</v>
      </c>
    </row>
    <row r="2" spans="1:25" ht="20.100000000000001" customHeight="1" thickBot="1" x14ac:dyDescent="0.3">
      <c r="A2" s="55" t="s">
        <v>335</v>
      </c>
      <c r="B2" s="55"/>
      <c r="C2" s="218"/>
      <c r="D2" s="218"/>
      <c r="E2" s="218"/>
      <c r="F2" s="218"/>
      <c r="G2" s="218"/>
      <c r="H2" s="54"/>
      <c r="I2" s="55"/>
      <c r="J2" s="218"/>
      <c r="K2" s="218"/>
      <c r="L2" s="218"/>
      <c r="M2" s="218"/>
      <c r="N2" s="218"/>
      <c r="O2" s="54"/>
      <c r="P2" s="55"/>
      <c r="Q2" s="218"/>
      <c r="R2" s="218"/>
      <c r="S2" s="218"/>
      <c r="T2" s="218"/>
      <c r="U2" s="218"/>
      <c r="V2" s="218"/>
      <c r="W2" s="54" t="str">
        <f>'Input-FX Rates'!$H$2</f>
        <v>7851 PL eMotor Controls</v>
      </c>
      <c r="Y2" s="95" t="s">
        <v>142</v>
      </c>
    </row>
    <row r="4" spans="1:25" ht="27.6" customHeight="1" x14ac:dyDescent="0.2">
      <c r="A4" s="188" t="str">
        <f>"in '000 "&amp;"EUR"</f>
        <v>in '000 EUR</v>
      </c>
      <c r="B4" s="1033">
        <v>2023</v>
      </c>
      <c r="C4" s="1033"/>
      <c r="D4" s="1033"/>
      <c r="E4" s="1035">
        <v>2024</v>
      </c>
      <c r="F4" s="1033"/>
      <c r="G4" s="1033"/>
      <c r="H4" s="1033"/>
      <c r="I4" s="1033"/>
      <c r="J4" s="1033"/>
      <c r="K4" s="1033"/>
      <c r="L4" s="1033"/>
      <c r="M4" s="1033"/>
      <c r="N4" s="1033"/>
      <c r="O4" s="1033"/>
      <c r="P4" s="1036"/>
      <c r="Q4" s="1035">
        <v>2024</v>
      </c>
      <c r="R4" s="1036"/>
      <c r="S4" s="187" t="s">
        <v>1007</v>
      </c>
      <c r="T4" s="188" t="s">
        <v>1007</v>
      </c>
      <c r="U4" s="187" t="s">
        <v>1007</v>
      </c>
      <c r="V4" s="188" t="s">
        <v>1007</v>
      </c>
      <c r="W4" s="656" t="s">
        <v>154</v>
      </c>
      <c r="Y4" s="221" t="s">
        <v>333</v>
      </c>
    </row>
    <row r="5" spans="1:25" ht="15.6" customHeight="1" x14ac:dyDescent="0.2">
      <c r="A5" s="188"/>
      <c r="B5" s="656" t="s">
        <v>938</v>
      </c>
      <c r="C5" s="187" t="s">
        <v>115</v>
      </c>
      <c r="D5" s="650" t="s">
        <v>115</v>
      </c>
      <c r="E5" s="187" t="s">
        <v>287</v>
      </c>
      <c r="F5" s="187" t="s">
        <v>286</v>
      </c>
      <c r="G5" s="187" t="s">
        <v>285</v>
      </c>
      <c r="H5" s="187" t="s">
        <v>284</v>
      </c>
      <c r="I5" s="187" t="s">
        <v>283</v>
      </c>
      <c r="J5" s="187" t="s">
        <v>282</v>
      </c>
      <c r="K5" s="187" t="s">
        <v>281</v>
      </c>
      <c r="L5" s="187" t="s">
        <v>280</v>
      </c>
      <c r="M5" s="187" t="s">
        <v>279</v>
      </c>
      <c r="N5" s="187" t="s">
        <v>278</v>
      </c>
      <c r="O5" s="187" t="s">
        <v>277</v>
      </c>
      <c r="P5" s="188" t="s">
        <v>276</v>
      </c>
      <c r="Q5" s="656" t="s">
        <v>114</v>
      </c>
      <c r="R5" s="188" t="s">
        <v>210</v>
      </c>
      <c r="S5" s="774" t="s">
        <v>1008</v>
      </c>
      <c r="T5" s="775" t="s">
        <v>1008</v>
      </c>
      <c r="U5" s="774" t="s">
        <v>1043</v>
      </c>
      <c r="V5" s="774" t="s">
        <v>1043</v>
      </c>
      <c r="W5" s="656"/>
      <c r="Y5" s="221" t="s">
        <v>331</v>
      </c>
    </row>
    <row r="6" spans="1:25" ht="15.75" x14ac:dyDescent="0.2">
      <c r="A6" s="188"/>
      <c r="B6" s="683" t="s">
        <v>942</v>
      </c>
      <c r="C6" s="520" t="s">
        <v>943</v>
      </c>
      <c r="D6" s="650" t="s">
        <v>1122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  <c r="Q6" s="656"/>
      <c r="R6" s="188"/>
      <c r="S6" s="41"/>
      <c r="T6" s="40" t="s">
        <v>330</v>
      </c>
      <c r="U6" s="41"/>
      <c r="V6" s="40" t="s">
        <v>330</v>
      </c>
      <c r="W6" s="656"/>
      <c r="Y6" s="267"/>
    </row>
    <row r="7" spans="1:25" s="335" customFormat="1" ht="15.75" x14ac:dyDescent="0.2">
      <c r="A7" s="215" t="s">
        <v>167</v>
      </c>
      <c r="B7" s="266">
        <f>IFERROR('4. Fix Cost (LC) '!B7/'Input-FX Rates'!$E$16,0)</f>
        <v>35988.371534659054</v>
      </c>
      <c r="C7" s="78">
        <f>IFERROR('4. Fix Cost (LC) '!C7/'Input-FX Rates'!$G$16,0)</f>
        <v>94871.705380828425</v>
      </c>
      <c r="D7" s="80">
        <f>IFERROR('4. Fix Cost (LC) '!C7/'Input-FX Rates'!$H$16,0)</f>
        <v>91841.054269655171</v>
      </c>
      <c r="E7" s="78">
        <f>IFERROR('4. Fix Cost (LC) '!D7/'Input-FX Rates'!$H$16,0)</f>
        <v>10982.754342068965</v>
      </c>
      <c r="F7" s="78">
        <f>IFERROR('4. Fix Cost (LC) '!E7/'Input-FX Rates'!$H$16,0)</f>
        <v>9750.9471772413799</v>
      </c>
      <c r="G7" s="78">
        <f>IFERROR('4. Fix Cost (LC) '!F7/'Input-FX Rates'!$H$16,0)</f>
        <v>10665.506346896551</v>
      </c>
      <c r="H7" s="78">
        <f>IFERROR('4. Fix Cost (LC) '!G7/'Input-FX Rates'!$H$16,0)</f>
        <v>11075.910555172413</v>
      </c>
      <c r="I7" s="78">
        <f>IFERROR('4. Fix Cost (LC) '!H7/'Input-FX Rates'!$H$16,0)</f>
        <v>11305.748811034484</v>
      </c>
      <c r="J7" s="78">
        <f>IFERROR('4. Fix Cost (LC) '!I7/'Input-FX Rates'!$H$16,0)</f>
        <v>10529.02819310345</v>
      </c>
      <c r="K7" s="78">
        <f>IFERROR('4. Fix Cost (LC) '!J7/'Input-FX Rates'!$H$16,0)</f>
        <v>12082.924556551725</v>
      </c>
      <c r="L7" s="78">
        <f>IFERROR('4. Fix Cost (LC) '!K7/'Input-FX Rates'!$H$16,0)</f>
        <v>9363.7758931034477</v>
      </c>
      <c r="M7" s="78">
        <f>IFERROR('4. Fix Cost (LC) '!L7/'Input-FX Rates'!$H$16,0)</f>
        <v>10144.650669655173</v>
      </c>
      <c r="N7" s="78">
        <f>IFERROR('4. Fix Cost (LC) '!M7/'Input-FX Rates'!$H$16,0)</f>
        <v>11314.147977241379</v>
      </c>
      <c r="O7" s="78">
        <f>IFERROR('4. Fix Cost (LC) '!N7/'Input-FX Rates'!$H$16,0)</f>
        <v>11314.147977241379</v>
      </c>
      <c r="P7" s="80">
        <f>IFERROR('4. Fix Cost (LC) '!O7/'Input-FX Rates'!$H$16,0)</f>
        <v>11314.147975862068</v>
      </c>
      <c r="Q7" s="266">
        <f>IFERROR('4. Fix Cost (LC) '!P7/'Input-FX Rates'!$H$16,0)</f>
        <v>129843.69047517242</v>
      </c>
      <c r="R7" s="80">
        <f>IFERROR('4. Fix Cost (LC) '!Q7/'Input-FX Rates'!$H$16,0)</f>
        <v>129843.69047517242</v>
      </c>
      <c r="S7" s="78">
        <f>Q7-C7</f>
        <v>34971.985094343996</v>
      </c>
      <c r="T7" s="264">
        <f>IFERROR(Q7/C7-1,0)</f>
        <v>0.36862397438689976</v>
      </c>
      <c r="U7" s="78">
        <f>Q7-D7</f>
        <v>38002.63620551725</v>
      </c>
      <c r="V7" s="264">
        <f>IFERROR(Q7/D7-1,0)</f>
        <v>0.41378702049670979</v>
      </c>
      <c r="W7" s="936" t="str">
        <f>IF(ISBLANK('4. Fix Cost (LC) '!T7),"",'4. Fix Cost (LC) '!T7)</f>
        <v/>
      </c>
      <c r="Y7" s="19" t="s">
        <v>974</v>
      </c>
    </row>
    <row r="8" spans="1:25" ht="15" outlineLevel="1" x14ac:dyDescent="0.2">
      <c r="A8" s="357" t="s">
        <v>329</v>
      </c>
      <c r="B8" s="370">
        <f>IFERROR('4. Fix Cost (LC) '!B8/'Input-FX Rates'!$E$16,0)</f>
        <v>-1382.3353136365979</v>
      </c>
      <c r="C8" s="365">
        <f>IFERROR('4. Fix Cost (LC) '!C8/'Input-FX Rates'!$G$16,0)</f>
        <v>-2728.4597372731937</v>
      </c>
      <c r="D8" s="364">
        <f>IFERROR('4. Fix Cost (LC) '!C8/'Input-FX Rates'!$H$16,0)</f>
        <v>-2641.2998248275862</v>
      </c>
      <c r="E8" s="365">
        <f>IFERROR('4. Fix Cost (LC) '!D8/'Input-FX Rates'!$H$16,0)</f>
        <v>-263.41290206896548</v>
      </c>
      <c r="F8" s="365">
        <f>IFERROR('4. Fix Cost (LC) '!E8/'Input-FX Rates'!$H$16,0)</f>
        <v>-263.41078551724138</v>
      </c>
      <c r="G8" s="365">
        <f>IFERROR('4. Fix Cost (LC) '!F8/'Input-FX Rates'!$H$16,0)</f>
        <v>-263.29525103448276</v>
      </c>
      <c r="H8" s="365">
        <f>IFERROR('4. Fix Cost (LC) '!G8/'Input-FX Rates'!$H$16,0)</f>
        <v>-240.84254413793104</v>
      </c>
      <c r="I8" s="365">
        <f>IFERROR('4. Fix Cost (LC) '!H8/'Input-FX Rates'!$H$16,0)</f>
        <v>-254.48639586206895</v>
      </c>
      <c r="J8" s="365">
        <f>IFERROR('4. Fix Cost (LC) '!I8/'Input-FX Rates'!$H$16,0)</f>
        <v>-260.31828827586207</v>
      </c>
      <c r="K8" s="365">
        <f>IFERROR('4. Fix Cost (LC) '!J8/'Input-FX Rates'!$H$16,0)</f>
        <v>-336.3720648275862</v>
      </c>
      <c r="L8" s="365">
        <f>IFERROR('4. Fix Cost (LC) '!K8/'Input-FX Rates'!$H$16,0)</f>
        <v>-312.58632689655172</v>
      </c>
      <c r="M8" s="365">
        <f>IFERROR('4. Fix Cost (LC) '!L8/'Input-FX Rates'!$H$16,0)</f>
        <v>-286.64483931034482</v>
      </c>
      <c r="N8" s="365">
        <f>IFERROR('4. Fix Cost (LC) '!M8/'Input-FX Rates'!$H$16,0)</f>
        <v>-287.25047862068965</v>
      </c>
      <c r="O8" s="365">
        <f>IFERROR('4. Fix Cost (LC) '!N8/'Input-FX Rates'!$H$16,0)</f>
        <v>-282.38786827586205</v>
      </c>
      <c r="P8" s="364">
        <f>IFERROR('4. Fix Cost (LC) '!O8/'Input-FX Rates'!$H$16,0)</f>
        <v>-292.45742620689651</v>
      </c>
      <c r="Q8" s="354">
        <f>IFERROR('4. Fix Cost (LC) '!P8/'Input-FX Rates'!$H$16,0)</f>
        <v>-3343.4651710344824</v>
      </c>
      <c r="R8" s="355">
        <f>IFERROR('4. Fix Cost (LC) '!Q8/'Input-FX Rates'!$H$16,0)</f>
        <v>-4219.63</v>
      </c>
      <c r="S8" s="356">
        <f t="shared" ref="S8:S34" si="0">Q8-C8</f>
        <v>-615.00543376128871</v>
      </c>
      <c r="T8" s="363">
        <f t="shared" ref="T8:T34" si="1">IFERROR(Q8/C8-1,0)</f>
        <v>0.2254038882669831</v>
      </c>
      <c r="U8" s="356">
        <f t="shared" ref="U8:U34" si="2">Q8-D8</f>
        <v>-702.16534620689617</v>
      </c>
      <c r="V8" s="771">
        <f t="shared" ref="V8:V40" si="3">IFERROR(Q8/D8-1,0)</f>
        <v>0.26584083321655116</v>
      </c>
      <c r="W8" s="373" t="str">
        <f>IF(ISBLANK('4. Fix Cost (LC) '!T8),"",'4. Fix Cost (LC) '!T8)</f>
        <v>Comparing to FC, Central assessment cost increase as sales amount decrease</v>
      </c>
      <c r="Y8" s="267" t="s">
        <v>328</v>
      </c>
    </row>
    <row r="9" spans="1:25" ht="15" outlineLevel="1" x14ac:dyDescent="0.2">
      <c r="A9" s="357" t="s">
        <v>327</v>
      </c>
      <c r="B9" s="370">
        <f>IFERROR('4. Fix Cost (LC) '!B9/'Input-FX Rates'!$E$16,0)</f>
        <v>-50.721992356684332</v>
      </c>
      <c r="C9" s="365">
        <f>IFERROR('4. Fix Cost (LC) '!C9/'Input-FX Rates'!$G$16,0)</f>
        <v>-140.91544388453056</v>
      </c>
      <c r="D9" s="364">
        <f>IFERROR('4. Fix Cost (LC) '!C9/'Input-FX Rates'!$H$16,0)</f>
        <v>-136.41393793103447</v>
      </c>
      <c r="E9" s="365">
        <f>IFERROR('4. Fix Cost (LC) '!D9/'Input-FX Rates'!$H$16,0)</f>
        <v>-16.758229655172414</v>
      </c>
      <c r="F9" s="365">
        <f>IFERROR('4. Fix Cost (LC) '!E9/'Input-FX Rates'!$H$16,0)</f>
        <v>-14.80968275862069</v>
      </c>
      <c r="G9" s="365">
        <f>IFERROR('4. Fix Cost (LC) '!F9/'Input-FX Rates'!$H$16,0)</f>
        <v>-16.068787586206895</v>
      </c>
      <c r="H9" s="365">
        <f>IFERROR('4. Fix Cost (LC) '!G9/'Input-FX Rates'!$H$16,0)</f>
        <v>-13.810706206896553</v>
      </c>
      <c r="I9" s="365">
        <f>IFERROR('4. Fix Cost (LC) '!H9/'Input-FX Rates'!$H$16,0)</f>
        <v>-14.237089655172413</v>
      </c>
      <c r="J9" s="365">
        <f>IFERROR('4. Fix Cost (LC) '!I9/'Input-FX Rates'!$H$16,0)</f>
        <v>-13.68816551724138</v>
      </c>
      <c r="K9" s="365">
        <f>IFERROR('4. Fix Cost (LC) '!J9/'Input-FX Rates'!$H$16,0)</f>
        <v>-17.657783448275861</v>
      </c>
      <c r="L9" s="365">
        <f>IFERROR('4. Fix Cost (LC) '!K9/'Input-FX Rates'!$H$16,0)</f>
        <v>-13.350052413793104</v>
      </c>
      <c r="M9" s="365">
        <f>IFERROR('4. Fix Cost (LC) '!L9/'Input-FX Rates'!$H$16,0)</f>
        <v>-14.489459310344827</v>
      </c>
      <c r="N9" s="365">
        <f>IFERROR('4. Fix Cost (LC) '!M9/'Input-FX Rates'!$H$16,0)</f>
        <v>-14.811223448275863</v>
      </c>
      <c r="O9" s="365">
        <f>IFERROR('4. Fix Cost (LC) '!N9/'Input-FX Rates'!$H$16,0)</f>
        <v>-14.282104137931034</v>
      </c>
      <c r="P9" s="364">
        <f>IFERROR('4. Fix Cost (LC) '!O9/'Input-FX Rates'!$H$16,0)</f>
        <v>-14.480606896551725</v>
      </c>
      <c r="Q9" s="354">
        <f>IFERROR('4. Fix Cost (LC) '!P9/'Input-FX Rates'!$H$16,0)</f>
        <v>-178.44389103448276</v>
      </c>
      <c r="R9" s="355">
        <f>IFERROR('4. Fix Cost (LC) '!Q9/'Input-FX Rates'!$H$16,0)</f>
        <v>0</v>
      </c>
      <c r="S9" s="356">
        <f t="shared" si="0"/>
        <v>-37.5284471499522</v>
      </c>
      <c r="T9" s="363">
        <f t="shared" si="1"/>
        <v>0.26631890810139947</v>
      </c>
      <c r="U9" s="356">
        <f t="shared" si="2"/>
        <v>-42.029953103448292</v>
      </c>
      <c r="V9" s="771">
        <f t="shared" si="3"/>
        <v>0.30810600251637776</v>
      </c>
      <c r="W9" s="373" t="str">
        <f>IF(ISBLANK('4. Fix Cost (LC) '!T9),"",'4. Fix Cost (LC) '!T9)</f>
        <v>CM sales decrease leads to FFQ cost assessment increase</v>
      </c>
      <c r="Y9" s="267" t="s">
        <v>980</v>
      </c>
    </row>
    <row r="10" spans="1:25" ht="51" outlineLevel="1" x14ac:dyDescent="0.2">
      <c r="A10" s="357" t="s">
        <v>326</v>
      </c>
      <c r="B10" s="370">
        <f>IFERROR('4. Fix Cost (LC) '!B10/'Input-FX Rates'!$E$16,0)</f>
        <v>-354.43895396345647</v>
      </c>
      <c r="C10" s="365">
        <f>IFERROR('4. Fix Cost (LC) '!C10/'Input-FX Rates'!$G$16,0)</f>
        <v>-737.69289918143318</v>
      </c>
      <c r="D10" s="364">
        <f>IFERROR('4. Fix Cost (LC) '!C10/'Input-FX Rates'!$H$16,0)</f>
        <v>-714.12749793103444</v>
      </c>
      <c r="E10" s="365">
        <f>IFERROR('4. Fix Cost (LC) '!D10/'Input-FX Rates'!$H$16,0)</f>
        <v>-120.25609103448275</v>
      </c>
      <c r="F10" s="365">
        <f>IFERROR('4. Fix Cost (LC) '!E10/'Input-FX Rates'!$H$16,0)</f>
        <v>-141.93178</v>
      </c>
      <c r="G10" s="365">
        <f>IFERROR('4. Fix Cost (LC) '!F10/'Input-FX Rates'!$H$16,0)</f>
        <v>-109.1231248275862</v>
      </c>
      <c r="H10" s="365">
        <f>IFERROR('4. Fix Cost (LC) '!G10/'Input-FX Rates'!$H$16,0)</f>
        <v>-71.020626896551718</v>
      </c>
      <c r="I10" s="365">
        <f>IFERROR('4. Fix Cost (LC) '!H10/'Input-FX Rates'!$H$16,0)</f>
        <v>-85.726943448275861</v>
      </c>
      <c r="J10" s="365">
        <f>IFERROR('4. Fix Cost (LC) '!I10/'Input-FX Rates'!$H$16,0)</f>
        <v>-70.840225517241379</v>
      </c>
      <c r="K10" s="365">
        <f>IFERROR('4. Fix Cost (LC) '!J10/'Input-FX Rates'!$H$16,0)</f>
        <v>-90.046811034482758</v>
      </c>
      <c r="L10" s="365">
        <f>IFERROR('4. Fix Cost (LC) '!K10/'Input-FX Rates'!$H$16,0)</f>
        <v>-71.381564137931036</v>
      </c>
      <c r="M10" s="365">
        <f>IFERROR('4. Fix Cost (LC) '!L10/'Input-FX Rates'!$H$16,0)</f>
        <v>-97.920913103448271</v>
      </c>
      <c r="N10" s="365">
        <f>IFERROR('4. Fix Cost (LC) '!M10/'Input-FX Rates'!$H$16,0)</f>
        <v>-71.382953103448287</v>
      </c>
      <c r="O10" s="365">
        <f>IFERROR('4. Fix Cost (LC) '!N10/'Input-FX Rates'!$H$16,0)</f>
        <v>-84.775117241379306</v>
      </c>
      <c r="P10" s="364">
        <f>IFERROR('4. Fix Cost (LC) '!O10/'Input-FX Rates'!$H$16,0)</f>
        <v>-71.909343448275862</v>
      </c>
      <c r="Q10" s="354">
        <f>IFERROR('4. Fix Cost (LC) '!P10/'Input-FX Rates'!$H$16,0)</f>
        <v>-1086.3154937931035</v>
      </c>
      <c r="R10" s="355">
        <f>IFERROR('4. Fix Cost (LC) '!Q10/'Input-FX Rates'!$H$16,0)</f>
        <v>0</v>
      </c>
      <c r="S10" s="356">
        <f t="shared" si="0"/>
        <v>-348.62259461167037</v>
      </c>
      <c r="T10" s="363">
        <f t="shared" si="1"/>
        <v>0.47258499437708124</v>
      </c>
      <c r="U10" s="356">
        <f t="shared" si="2"/>
        <v>-372.1879958620691</v>
      </c>
      <c r="V10" s="771">
        <f t="shared" si="3"/>
        <v>0.52117863678456544</v>
      </c>
      <c r="W10" s="996" t="s">
        <v>1562</v>
      </c>
      <c r="Y10" s="267" t="s">
        <v>1416</v>
      </c>
    </row>
    <row r="11" spans="1:25" ht="15" outlineLevel="1" x14ac:dyDescent="0.2">
      <c r="A11" s="357" t="s">
        <v>325</v>
      </c>
      <c r="B11" s="333">
        <f>IFERROR('4. Fix Cost (LC) '!B11/'Input-FX Rates'!$E$16,0)</f>
        <v>-5.8778589139109965</v>
      </c>
      <c r="C11" s="223">
        <f>IFERROR('4. Fix Cost (LC) '!C11/'Input-FX Rates'!$G$16,0)</f>
        <v>-12.467228467020984</v>
      </c>
      <c r="D11" s="332">
        <f>IFERROR('4. Fix Cost (LC) '!C11/'Input-FX Rates'!$H$16,0)</f>
        <v>-12.068966206896551</v>
      </c>
      <c r="E11" s="365">
        <f>IFERROR('4. Fix Cost (LC) '!D11/'Input-FX Rates'!$H$16,0)</f>
        <v>-1.752056551724138</v>
      </c>
      <c r="F11" s="365">
        <f>IFERROR('4. Fix Cost (LC) '!E11/'Input-FX Rates'!$H$16,0)</f>
        <v>-0.71757448275862068</v>
      </c>
      <c r="G11" s="365">
        <f>IFERROR('4. Fix Cost (LC) '!F11/'Input-FX Rates'!$H$16,0)</f>
        <v>-0.71757448275862068</v>
      </c>
      <c r="H11" s="365">
        <f>IFERROR('4. Fix Cost (LC) '!G11/'Input-FX Rates'!$H$16,0)</f>
        <v>-2.0968848275862069</v>
      </c>
      <c r="I11" s="365">
        <f>IFERROR('4. Fix Cost (LC) '!H11/'Input-FX Rates'!$H$16,0)</f>
        <v>-2.7865393103448275</v>
      </c>
      <c r="J11" s="365">
        <f>IFERROR('4. Fix Cost (LC) '!I11/'Input-FX Rates'!$H$16,0)</f>
        <v>-0.71757448275862068</v>
      </c>
      <c r="K11" s="365">
        <f>IFERROR('4. Fix Cost (LC) '!J11/'Input-FX Rates'!$H$16,0)</f>
        <v>-1.752056551724138</v>
      </c>
      <c r="L11" s="365">
        <f>IFERROR('4. Fix Cost (LC) '!K11/'Input-FX Rates'!$H$16,0)</f>
        <v>-41.407229655172415</v>
      </c>
      <c r="M11" s="365">
        <f>IFERROR('4. Fix Cost (LC) '!L11/'Input-FX Rates'!$H$16,0)</f>
        <v>-0.71757448275862068</v>
      </c>
      <c r="N11" s="365">
        <f>IFERROR('4. Fix Cost (LC) '!M11/'Input-FX Rates'!$H$16,0)</f>
        <v>-4.1658503448275868</v>
      </c>
      <c r="O11" s="365">
        <f>IFERROR('4. Fix Cost (LC) '!N11/'Input-FX Rates'!$H$16,0)</f>
        <v>-0.71757448275862068</v>
      </c>
      <c r="P11" s="364">
        <f>IFERROR('4. Fix Cost (LC) '!O11/'Input-FX Rates'!$H$16,0)</f>
        <v>-0.71757448275862068</v>
      </c>
      <c r="Q11" s="354">
        <f>IFERROR('4. Fix Cost (LC) '!P11/'Input-FX Rates'!$H$16,0)</f>
        <v>-58.266064137931039</v>
      </c>
      <c r="R11" s="355">
        <f>IFERROR('4. Fix Cost (LC) '!Q11/'Input-FX Rates'!$H$16,0)</f>
        <v>0</v>
      </c>
      <c r="S11" s="356">
        <f t="shared" si="0"/>
        <v>-45.798835670910051</v>
      </c>
      <c r="T11" s="363">
        <f t="shared" si="1"/>
        <v>3.6735378510195522</v>
      </c>
      <c r="U11" s="356">
        <f t="shared" si="2"/>
        <v>-46.197097931034492</v>
      </c>
      <c r="V11" s="771">
        <f t="shared" si="3"/>
        <v>3.8277593241280394</v>
      </c>
      <c r="W11" s="373" t="str">
        <f>IF(ISBLANK('4. Fix Cost (LC) '!T11),"",'4. Fix Cost (LC) '!T11)</f>
        <v/>
      </c>
      <c r="Y11" s="978" t="s">
        <v>1478</v>
      </c>
    </row>
    <row r="12" spans="1:25" ht="15" outlineLevel="1" x14ac:dyDescent="0.2">
      <c r="A12" s="357" t="s">
        <v>324</v>
      </c>
      <c r="B12" s="333">
        <f>IFERROR('4. Fix Cost (LC) '!B12/'Input-FX Rates'!$E$16,0)</f>
        <v>-822.70947201175568</v>
      </c>
      <c r="C12" s="223">
        <f>IFERROR('4. Fix Cost (LC) '!C12/'Input-FX Rates'!$G$16,0)</f>
        <v>-770.88654043363476</v>
      </c>
      <c r="D12" s="332">
        <f>IFERROR('4. Fix Cost (LC) '!C12/'Input-FX Rates'!$H$16,0)</f>
        <v>-746.2607772413794</v>
      </c>
      <c r="E12" s="365">
        <f>IFERROR('4. Fix Cost (LC) '!D12/'Input-FX Rates'!$H$16,0)</f>
        <v>-7.872750344827586</v>
      </c>
      <c r="F12" s="365">
        <f>IFERROR('4. Fix Cost (LC) '!E12/'Input-FX Rates'!$H$16,0)</f>
        <v>-7.872750344827586</v>
      </c>
      <c r="G12" s="365">
        <f>IFERROR('4. Fix Cost (LC) '!F12/'Input-FX Rates'!$H$16,0)</f>
        <v>-7.872750344827586</v>
      </c>
      <c r="H12" s="365">
        <f>IFERROR('4. Fix Cost (LC) '!G12/'Input-FX Rates'!$H$16,0)</f>
        <v>-7.872750344827586</v>
      </c>
      <c r="I12" s="365">
        <f>IFERROR('4. Fix Cost (LC) '!H12/'Input-FX Rates'!$H$16,0)</f>
        <v>-7.872750344827586</v>
      </c>
      <c r="J12" s="365">
        <f>IFERROR('4. Fix Cost (LC) '!I12/'Input-FX Rates'!$H$16,0)</f>
        <v>-7.872750344827586</v>
      </c>
      <c r="K12" s="365">
        <f>IFERROR('4. Fix Cost (LC) '!J12/'Input-FX Rates'!$H$16,0)</f>
        <v>-7.872750344827586</v>
      </c>
      <c r="L12" s="365">
        <f>IFERROR('4. Fix Cost (LC) '!K12/'Input-FX Rates'!$H$16,0)</f>
        <v>-7.872750344827586</v>
      </c>
      <c r="M12" s="365">
        <f>IFERROR('4. Fix Cost (LC) '!L12/'Input-FX Rates'!$H$16,0)</f>
        <v>-7.872750344827586</v>
      </c>
      <c r="N12" s="365">
        <f>IFERROR('4. Fix Cost (LC) '!M12/'Input-FX Rates'!$H$16,0)</f>
        <v>-7.872750344827586</v>
      </c>
      <c r="O12" s="365">
        <f>IFERROR('4. Fix Cost (LC) '!N12/'Input-FX Rates'!$H$16,0)</f>
        <v>-7.872750344827586</v>
      </c>
      <c r="P12" s="364">
        <f>IFERROR('4. Fix Cost (LC) '!O12/'Input-FX Rates'!$H$16,0)</f>
        <v>-7.872750344827586</v>
      </c>
      <c r="Q12" s="354">
        <f>IFERROR('4. Fix Cost (LC) '!P12/'Input-FX Rates'!$H$16,0)</f>
        <v>-94.473004137931028</v>
      </c>
      <c r="R12" s="355">
        <f>IFERROR('4. Fix Cost (LC) '!Q12/'Input-FX Rates'!$H$16,0)</f>
        <v>-350</v>
      </c>
      <c r="S12" s="356">
        <f t="shared" si="0"/>
        <v>676.41353629570369</v>
      </c>
      <c r="T12" s="363">
        <f t="shared" si="1"/>
        <v>-0.87744888620731576</v>
      </c>
      <c r="U12" s="356">
        <f t="shared" si="2"/>
        <v>651.78777310344833</v>
      </c>
      <c r="V12" s="771">
        <f t="shared" si="3"/>
        <v>-0.87340483780058886</v>
      </c>
      <c r="W12" s="373" t="str">
        <f>IF(ISBLANK('4. Fix Cost (LC) '!T12),"",'4. Fix Cost (LC) '!T12)</f>
        <v>Target amount is applied rather than VT lab survey result</v>
      </c>
      <c r="Y12" s="267" t="s">
        <v>323</v>
      </c>
    </row>
    <row r="13" spans="1:25" ht="15" outlineLevel="1" x14ac:dyDescent="0.2">
      <c r="A13" s="357" t="s">
        <v>322</v>
      </c>
      <c r="B13" s="333">
        <f>IFERROR('4. Fix Cost (LC) '!B13/'Input-FX Rates'!$E$16,0)</f>
        <v>-123.37306708275226</v>
      </c>
      <c r="C13" s="223">
        <f>IFERROR('4. Fix Cost (LC) '!C13/'Input-FX Rates'!$G$16,0)</f>
        <v>-206.56269169698447</v>
      </c>
      <c r="D13" s="332">
        <f>IFERROR('4. Fix Cost (LC) '!C13/'Input-FX Rates'!$H$16,0)</f>
        <v>-199.9641020689655</v>
      </c>
      <c r="E13" s="365">
        <f>IFERROR('4. Fix Cost (LC) '!D13/'Input-FX Rates'!$H$16,0)</f>
        <v>-10.833333103448275</v>
      </c>
      <c r="F13" s="365">
        <f>IFERROR('4. Fix Cost (LC) '!E13/'Input-FX Rates'!$H$16,0)</f>
        <v>-10.833333103448275</v>
      </c>
      <c r="G13" s="365">
        <f>IFERROR('4. Fix Cost (LC) '!F13/'Input-FX Rates'!$H$16,0)</f>
        <v>-10.833333103448275</v>
      </c>
      <c r="H13" s="365">
        <f>IFERROR('4. Fix Cost (LC) '!G13/'Input-FX Rates'!$H$16,0)</f>
        <v>-10.833333103448275</v>
      </c>
      <c r="I13" s="365">
        <f>IFERROR('4. Fix Cost (LC) '!H13/'Input-FX Rates'!$H$16,0)</f>
        <v>-10.833333103448275</v>
      </c>
      <c r="J13" s="365">
        <f>IFERROR('4. Fix Cost (LC) '!I13/'Input-FX Rates'!$H$16,0)</f>
        <v>-10.833333103448275</v>
      </c>
      <c r="K13" s="365">
        <f>IFERROR('4. Fix Cost (LC) '!J13/'Input-FX Rates'!$H$16,0)</f>
        <v>-10.833333103448275</v>
      </c>
      <c r="L13" s="365">
        <f>IFERROR('4. Fix Cost (LC) '!K13/'Input-FX Rates'!$H$16,0)</f>
        <v>-10.833333103448275</v>
      </c>
      <c r="M13" s="365">
        <f>IFERROR('4. Fix Cost (LC) '!L13/'Input-FX Rates'!$H$16,0)</f>
        <v>-10.833333103448275</v>
      </c>
      <c r="N13" s="365">
        <f>IFERROR('4. Fix Cost (LC) '!M13/'Input-FX Rates'!$H$16,0)</f>
        <v>-10.833333103448275</v>
      </c>
      <c r="O13" s="365">
        <f>IFERROR('4. Fix Cost (LC) '!N13/'Input-FX Rates'!$H$16,0)</f>
        <v>-10.833333103448275</v>
      </c>
      <c r="P13" s="364">
        <f>IFERROR('4. Fix Cost (LC) '!O13/'Input-FX Rates'!$H$16,0)</f>
        <v>-10.833333103448275</v>
      </c>
      <c r="Q13" s="354">
        <f>IFERROR('4. Fix Cost (LC) '!P13/'Input-FX Rates'!$H$16,0)</f>
        <v>-129.99999724137933</v>
      </c>
      <c r="R13" s="355">
        <f>IFERROR('4. Fix Cost (LC) '!Q13/'Input-FX Rates'!$H$16,0)</f>
        <v>-130</v>
      </c>
      <c r="S13" s="356">
        <f t="shared" si="0"/>
        <v>76.56269445560514</v>
      </c>
      <c r="T13" s="363">
        <f t="shared" si="1"/>
        <v>-0.37065112691268653</v>
      </c>
      <c r="U13" s="356">
        <f t="shared" si="2"/>
        <v>69.964104827586169</v>
      </c>
      <c r="V13" s="771">
        <f t="shared" si="3"/>
        <v>-0.34988332457520943</v>
      </c>
      <c r="W13" s="373" t="str">
        <f>IF(ISBLANK('4. Fix Cost (LC) '!T13),"",'4. Fix Cost (LC) '!T13)</f>
        <v>EPF4 40K, HPCU 40K, Board 50K EUR</v>
      </c>
      <c r="Y13" s="267" t="s">
        <v>1443</v>
      </c>
    </row>
    <row r="14" spans="1:25" ht="15" outlineLevel="1" x14ac:dyDescent="0.2">
      <c r="A14" s="357" t="s">
        <v>304</v>
      </c>
      <c r="B14" s="333">
        <f>IFERROR('4. Fix Cost (LC) '!B14/'Input-FX Rates'!$E$16,0)</f>
        <v>-75.399339251052496</v>
      </c>
      <c r="C14" s="223">
        <f>IFERROR('4. Fix Cost (LC) '!C14/'Input-FX Rates'!$G$16,0)</f>
        <v>-176.48351639426915</v>
      </c>
      <c r="D14" s="332">
        <f>IFERROR('4. Fix Cost (LC) '!C14/'Input-FX Rates'!$H$16,0)</f>
        <v>-170.8457979310345</v>
      </c>
      <c r="E14" s="365">
        <f>IFERROR('4. Fix Cost (LC) '!D14/'Input-FX Rates'!$H$16,0)</f>
        <v>-19.107091034482757</v>
      </c>
      <c r="F14" s="365">
        <f>IFERROR('4. Fix Cost (LC) '!E14/'Input-FX Rates'!$H$16,0)</f>
        <v>-30.969835172413791</v>
      </c>
      <c r="G14" s="365">
        <f>IFERROR('4. Fix Cost (LC) '!F14/'Input-FX Rates'!$H$16,0)</f>
        <v>-24.607377241379311</v>
      </c>
      <c r="H14" s="365">
        <f>IFERROR('4. Fix Cost (LC) '!G14/'Input-FX Rates'!$H$16,0)</f>
        <v>-23.91680275862069</v>
      </c>
      <c r="I14" s="365">
        <f>IFERROR('4. Fix Cost (LC) '!H14/'Input-FX Rates'!$H$16,0)</f>
        <v>-21.072064137931033</v>
      </c>
      <c r="J14" s="365">
        <f>IFERROR('4. Fix Cost (LC) '!I14/'Input-FX Rates'!$H$16,0)</f>
        <v>-22.452740000000002</v>
      </c>
      <c r="K14" s="365">
        <f>IFERROR('4. Fix Cost (LC) '!J14/'Input-FX Rates'!$H$16,0)</f>
        <v>-22.317557241379308</v>
      </c>
      <c r="L14" s="365">
        <f>IFERROR('4. Fix Cost (LC) '!K14/'Input-FX Rates'!$H$16,0)</f>
        <v>-40.410340689655172</v>
      </c>
      <c r="M14" s="365">
        <f>IFERROR('4. Fix Cost (LC) '!L14/'Input-FX Rates'!$H$16,0)</f>
        <v>-22.387700689655173</v>
      </c>
      <c r="N14" s="365">
        <f>IFERROR('4. Fix Cost (LC) '!M14/'Input-FX Rates'!$H$16,0)</f>
        <v>-30.420170344827589</v>
      </c>
      <c r="O14" s="365">
        <f>IFERROR('4. Fix Cost (LC) '!N14/'Input-FX Rates'!$H$16,0)</f>
        <v>-19.705502758620689</v>
      </c>
      <c r="P14" s="364">
        <f>IFERROR('4. Fix Cost (LC) '!O14/'Input-FX Rates'!$H$16,0)</f>
        <v>-18.272086206896553</v>
      </c>
      <c r="Q14" s="354">
        <f>IFERROR('4. Fix Cost (LC) '!P14/'Input-FX Rates'!$H$16,0)</f>
        <v>-295.63926827586209</v>
      </c>
      <c r="R14" s="355">
        <f>IFERROR('4. Fix Cost (LC) '!Q14/'Input-FX Rates'!$H$16,0)</f>
        <v>0</v>
      </c>
      <c r="S14" s="356">
        <f t="shared" si="0"/>
        <v>-119.15575188159295</v>
      </c>
      <c r="T14" s="363">
        <f t="shared" si="1"/>
        <v>0.67516646492579868</v>
      </c>
      <c r="U14" s="356">
        <f t="shared" si="2"/>
        <v>-124.7934703448276</v>
      </c>
      <c r="V14" s="771">
        <f t="shared" si="3"/>
        <v>0.73044506716637603</v>
      </c>
      <c r="W14" s="373" t="str">
        <f>IF(ISBLANK('4. Fix Cost (LC) '!T14),"",'4. Fix Cost (LC) '!T14)</f>
        <v>Calibration and Inspection fee</v>
      </c>
      <c r="Y14" s="267" t="s">
        <v>1477</v>
      </c>
    </row>
    <row r="15" spans="1:25" s="335" customFormat="1" ht="15.75" outlineLevel="1" x14ac:dyDescent="0.2">
      <c r="A15" s="341" t="s">
        <v>321</v>
      </c>
      <c r="B15" s="346">
        <f>IFERROR('4. Fix Cost (LC) '!B15/'Input-FX Rates'!$E$16,0)</f>
        <v>-2814.8559972162102</v>
      </c>
      <c r="C15" s="337">
        <f>IFERROR('4. Fix Cost (LC) '!C15/'Input-FX Rates'!$G$16,0)</f>
        <v>-4773.468057331067</v>
      </c>
      <c r="D15" s="340">
        <f>IFERROR('4. Fix Cost (LC) '!C15/'Input-FX Rates'!$H$16,0)</f>
        <v>-4620.9809041379312</v>
      </c>
      <c r="E15" s="337">
        <f>IFERROR('4. Fix Cost (LC) '!D15/'Input-FX Rates'!$H$16,0)</f>
        <v>-439.99245379310344</v>
      </c>
      <c r="F15" s="337">
        <f>IFERROR('4. Fix Cost (LC) '!E15/'Input-FX Rates'!$H$16,0)</f>
        <v>-470.5457413793103</v>
      </c>
      <c r="G15" s="337">
        <f>IFERROR('4. Fix Cost (LC) '!F15/'Input-FX Rates'!$H$16,0)</f>
        <v>-432.5181986206897</v>
      </c>
      <c r="H15" s="337">
        <f>IFERROR('4. Fix Cost (LC) '!G15/'Input-FX Rates'!$H$16,0)</f>
        <v>-370.39364827586212</v>
      </c>
      <c r="I15" s="337">
        <f>IFERROR('4. Fix Cost (LC) '!H15/'Input-FX Rates'!$H$16,0)</f>
        <v>-397.01511586206891</v>
      </c>
      <c r="J15" s="337">
        <f>IFERROR('4. Fix Cost (LC) '!I15/'Input-FX Rates'!$H$16,0)</f>
        <v>-386.72307724137937</v>
      </c>
      <c r="K15" s="337">
        <f>IFERROR('4. Fix Cost (LC) '!J15/'Input-FX Rates'!$H$16,0)</f>
        <v>-486.85235655172414</v>
      </c>
      <c r="L15" s="337">
        <f>IFERROR('4. Fix Cost (LC) '!K15/'Input-FX Rates'!$H$16,0)</f>
        <v>-497.8415972413793</v>
      </c>
      <c r="M15" s="337">
        <f>IFERROR('4. Fix Cost (LC) '!L15/'Input-FX Rates'!$H$16,0)</f>
        <v>-440.86657034482761</v>
      </c>
      <c r="N15" s="337">
        <f>IFERROR('4. Fix Cost (LC) '!M15/'Input-FX Rates'!$H$16,0)</f>
        <v>-426.73675931034484</v>
      </c>
      <c r="O15" s="337">
        <f>IFERROR('4. Fix Cost (LC) '!N15/'Input-FX Rates'!$H$16,0)</f>
        <v>-420.57425034482765</v>
      </c>
      <c r="P15" s="340">
        <f>IFERROR('4. Fix Cost (LC) '!O15/'Input-FX Rates'!$H$16,0)</f>
        <v>-416.54312068965521</v>
      </c>
      <c r="Q15" s="337">
        <f>IFERROR('4. Fix Cost (LC) '!P15/'Input-FX Rates'!$H$16,0)</f>
        <v>-5186.6028896551725</v>
      </c>
      <c r="R15" s="340">
        <f>IFERROR('4. Fix Cost (LC) '!Q15/'Input-FX Rates'!$H$16,0)</f>
        <v>-4699.63</v>
      </c>
      <c r="S15" s="337">
        <f t="shared" si="0"/>
        <v>-413.13483232410545</v>
      </c>
      <c r="T15" s="336">
        <f t="shared" si="1"/>
        <v>8.654815060291754E-2</v>
      </c>
      <c r="U15" s="337">
        <f t="shared" si="2"/>
        <v>-565.62198551724123</v>
      </c>
      <c r="V15" s="772">
        <f t="shared" si="3"/>
        <v>0.12240301296435696</v>
      </c>
      <c r="W15" s="362" t="str">
        <f>IF(ISBLANK('4. Fix Cost (LC) '!T15),"",'4. Fix Cost (LC) '!T15)</f>
        <v/>
      </c>
      <c r="Y15" s="19"/>
    </row>
    <row r="16" spans="1:25" ht="15" outlineLevel="1" x14ac:dyDescent="0.2">
      <c r="A16" s="357" t="s">
        <v>305</v>
      </c>
      <c r="B16" s="370">
        <f>IFERROR('4. Fix Cost (LC) '!B16/'Input-FX Rates'!$E$16,0)</f>
        <v>-1416.1248350451217</v>
      </c>
      <c r="C16" s="223">
        <f>IFERROR('4. Fix Cost (LC) '!C16/'Input-FX Rates'!$G$16,0)</f>
        <v>-2828.0833637783035</v>
      </c>
      <c r="D16" s="332">
        <f>IFERROR('4. Fix Cost (LC) '!C16/'Input-FX Rates'!$H$16,0)</f>
        <v>-2737.7410013793105</v>
      </c>
      <c r="E16" s="365">
        <f>IFERROR('4. Fix Cost (LC) '!D16/'Input-FX Rates'!$H$16,0)</f>
        <v>-288.75920000000002</v>
      </c>
      <c r="F16" s="365">
        <f>IFERROR('4. Fix Cost (LC) '!E16/'Input-FX Rates'!$H$16,0)</f>
        <v>-288.75920000000002</v>
      </c>
      <c r="G16" s="365">
        <f>IFERROR('4. Fix Cost (LC) '!F16/'Input-FX Rates'!$H$16,0)</f>
        <v>-288.75920000000002</v>
      </c>
      <c r="H16" s="365">
        <f>IFERROR('4. Fix Cost (LC) '!G16/'Input-FX Rates'!$H$16,0)</f>
        <v>-288.75920000000002</v>
      </c>
      <c r="I16" s="365">
        <f>IFERROR('4. Fix Cost (LC) '!H16/'Input-FX Rates'!$H$16,0)</f>
        <v>-288.75920000000002</v>
      </c>
      <c r="J16" s="365">
        <f>IFERROR('4. Fix Cost (LC) '!I16/'Input-FX Rates'!$H$16,0)</f>
        <v>-288.75920000000002</v>
      </c>
      <c r="K16" s="365">
        <f>IFERROR('4. Fix Cost (LC) '!J16/'Input-FX Rates'!$H$16,0)</f>
        <v>-288.75920000000002</v>
      </c>
      <c r="L16" s="365">
        <f>IFERROR('4. Fix Cost (LC) '!K16/'Input-FX Rates'!$H$16,0)</f>
        <v>-288.75920000000002</v>
      </c>
      <c r="M16" s="365">
        <f>IFERROR('4. Fix Cost (LC) '!L16/'Input-FX Rates'!$H$16,0)</f>
        <v>-288.75920000000002</v>
      </c>
      <c r="N16" s="365">
        <f>IFERROR('4. Fix Cost (LC) '!M16/'Input-FX Rates'!$H$16,0)</f>
        <v>-288.75920000000002</v>
      </c>
      <c r="O16" s="365">
        <f>IFERROR('4. Fix Cost (LC) '!N16/'Input-FX Rates'!$H$16,0)</f>
        <v>-288.75920000000002</v>
      </c>
      <c r="P16" s="364">
        <f>IFERROR('4. Fix Cost (LC) '!O16/'Input-FX Rates'!$H$16,0)</f>
        <v>-288.75920000000002</v>
      </c>
      <c r="Q16" s="354">
        <f>IFERROR('4. Fix Cost (LC) '!P16/'Input-FX Rates'!$H$16,0)</f>
        <v>-3465.1104</v>
      </c>
      <c r="R16" s="355">
        <f>IFERROR('4. Fix Cost (LC) '!Q16/'Input-FX Rates'!$H$16,0)</f>
        <v>0</v>
      </c>
      <c r="S16" s="356">
        <f t="shared" si="0"/>
        <v>-637.02703622169656</v>
      </c>
      <c r="T16" s="363">
        <f t="shared" si="1"/>
        <v>0.22525044501185842</v>
      </c>
      <c r="U16" s="356">
        <f t="shared" si="2"/>
        <v>-727.36939862068948</v>
      </c>
      <c r="V16" s="771">
        <f t="shared" si="3"/>
        <v>0.26568232650723034</v>
      </c>
      <c r="W16" s="373" t="str">
        <f>IF(ISBLANK('4. Fix Cost (LC) '!T16),"",'4. Fix Cost (LC) '!T16)</f>
        <v>FC 7+5</v>
      </c>
      <c r="Y16" s="267" t="s">
        <v>987</v>
      </c>
    </row>
    <row r="17" spans="1:25" ht="15" outlineLevel="1" x14ac:dyDescent="0.2">
      <c r="A17" s="357" t="s">
        <v>307</v>
      </c>
      <c r="B17" s="333">
        <f>IFERROR('4. Fix Cost (LC) '!B17/'Input-FX Rates'!$E$16,0)</f>
        <v>-617.00965750305329</v>
      </c>
      <c r="C17" s="223">
        <f>IFERROR('4. Fix Cost (LC) '!C17/'Input-FX Rates'!$G$16,0)</f>
        <v>-1217.8568060384471</v>
      </c>
      <c r="D17" s="332">
        <f>IFERROR('4. Fix Cost (LC) '!C17/'Input-FX Rates'!$H$16,0)</f>
        <v>-1178.9526979310344</v>
      </c>
      <c r="E17" s="365">
        <f>IFERROR('4. Fix Cost (LC) '!D17/'Input-FX Rates'!$H$16,0)</f>
        <v>-129.51742275862068</v>
      </c>
      <c r="F17" s="365">
        <f>IFERROR('4. Fix Cost (LC) '!E17/'Input-FX Rates'!$H$16,0)</f>
        <v>-129.51742275862068</v>
      </c>
      <c r="G17" s="365">
        <f>IFERROR('4. Fix Cost (LC) '!F17/'Input-FX Rates'!$H$16,0)</f>
        <v>-129.51742275862068</v>
      </c>
      <c r="H17" s="365">
        <f>IFERROR('4. Fix Cost (LC) '!G17/'Input-FX Rates'!$H$16,0)</f>
        <v>-129.51742275862068</v>
      </c>
      <c r="I17" s="365">
        <f>IFERROR('4. Fix Cost (LC) '!H17/'Input-FX Rates'!$H$16,0)</f>
        <v>-129.51742275862068</v>
      </c>
      <c r="J17" s="365">
        <f>IFERROR('4. Fix Cost (LC) '!I17/'Input-FX Rates'!$H$16,0)</f>
        <v>-129.51742275862068</v>
      </c>
      <c r="K17" s="365">
        <f>IFERROR('4. Fix Cost (LC) '!J17/'Input-FX Rates'!$H$16,0)</f>
        <v>-129.51742275862068</v>
      </c>
      <c r="L17" s="365">
        <f>IFERROR('4. Fix Cost (LC) '!K17/'Input-FX Rates'!$H$16,0)</f>
        <v>-129.51742275862068</v>
      </c>
      <c r="M17" s="365">
        <f>IFERROR('4. Fix Cost (LC) '!L17/'Input-FX Rates'!$H$16,0)</f>
        <v>-129.51742275862068</v>
      </c>
      <c r="N17" s="365">
        <f>IFERROR('4. Fix Cost (LC) '!M17/'Input-FX Rates'!$H$16,0)</f>
        <v>-129.51742275862068</v>
      </c>
      <c r="O17" s="365">
        <f>IFERROR('4. Fix Cost (LC) '!N17/'Input-FX Rates'!$H$16,0)</f>
        <v>-129.51742275862068</v>
      </c>
      <c r="P17" s="364">
        <f>IFERROR('4. Fix Cost (LC) '!O17/'Input-FX Rates'!$H$16,0)</f>
        <v>-129.51742275862068</v>
      </c>
      <c r="Q17" s="354">
        <f>IFERROR('4. Fix Cost (LC) '!P17/'Input-FX Rates'!$H$16,0)</f>
        <v>-1554.2090731034482</v>
      </c>
      <c r="R17" s="355">
        <f>IFERROR('4. Fix Cost (LC) '!Q17/'Input-FX Rates'!$H$16,0)</f>
        <v>0</v>
      </c>
      <c r="S17" s="356">
        <f t="shared" si="0"/>
        <v>-336.35226706500112</v>
      </c>
      <c r="T17" s="363">
        <f t="shared" si="1"/>
        <v>0.27618375608468915</v>
      </c>
      <c r="U17" s="356">
        <f t="shared" si="2"/>
        <v>-375.25637517241375</v>
      </c>
      <c r="V17" s="771">
        <f t="shared" si="3"/>
        <v>0.31829637934665067</v>
      </c>
      <c r="W17" s="373" t="str">
        <f>IF(ISBLANK('4. Fix Cost (LC) '!T17),"",'4. Fix Cost (LC) '!T17)</f>
        <v>FC 7+5</v>
      </c>
      <c r="Y17" s="267" t="s">
        <v>975</v>
      </c>
    </row>
    <row r="18" spans="1:25" ht="15" outlineLevel="1" x14ac:dyDescent="0.2">
      <c r="A18" s="357" t="s">
        <v>320</v>
      </c>
      <c r="B18" s="370">
        <f>IFERROR('4. Fix Cost (LC) '!B18/'Input-FX Rates'!$E$16,0)</f>
        <v>-35.343615479708014</v>
      </c>
      <c r="C18" s="365">
        <f>IFERROR('4. Fix Cost (LC) '!C18/'Input-FX Rates'!$G$16,0)</f>
        <v>-70.544849341531616</v>
      </c>
      <c r="D18" s="364">
        <f>IFERROR('4. Fix Cost (LC) '!C18/'Input-FX Rates'!$H$16,0)</f>
        <v>-68.291313103448275</v>
      </c>
      <c r="E18" s="365">
        <f>IFERROR('4. Fix Cost (LC) '!D18/'Input-FX Rates'!$H$16,0)</f>
        <v>72.861393793103446</v>
      </c>
      <c r="F18" s="365">
        <f>IFERROR('4. Fix Cost (LC) '!E18/'Input-FX Rates'!$H$16,0)</f>
        <v>72.861393793103446</v>
      </c>
      <c r="G18" s="365">
        <f>IFERROR('4. Fix Cost (LC) '!F18/'Input-FX Rates'!$H$16,0)</f>
        <v>72.861393793103446</v>
      </c>
      <c r="H18" s="365">
        <f>IFERROR('4. Fix Cost (LC) '!G18/'Input-FX Rates'!$H$16,0)</f>
        <v>72.861393793103446</v>
      </c>
      <c r="I18" s="365">
        <f>IFERROR('4. Fix Cost (LC) '!H18/'Input-FX Rates'!$H$16,0)</f>
        <v>72.861393793103446</v>
      </c>
      <c r="J18" s="365">
        <f>IFERROR('4. Fix Cost (LC) '!I18/'Input-FX Rates'!$H$16,0)</f>
        <v>773.54168413793104</v>
      </c>
      <c r="K18" s="365">
        <f>IFERROR('4. Fix Cost (LC) '!J18/'Input-FX Rates'!$H$16,0)</f>
        <v>751.39404413793113</v>
      </c>
      <c r="L18" s="365">
        <f>IFERROR('4. Fix Cost (LC) '!K18/'Input-FX Rates'!$H$16,0)</f>
        <v>692.26402413793096</v>
      </c>
      <c r="M18" s="365">
        <f>IFERROR('4. Fix Cost (LC) '!L18/'Input-FX Rates'!$H$16,0)</f>
        <v>603.77793379310344</v>
      </c>
      <c r="N18" s="365">
        <f>IFERROR('4. Fix Cost (LC) '!M18/'Input-FX Rates'!$H$16,0)</f>
        <v>692.26402413793096</v>
      </c>
      <c r="O18" s="365">
        <f>IFERROR('4. Fix Cost (LC) '!N18/'Input-FX Rates'!$H$16,0)</f>
        <v>692.26402413793096</v>
      </c>
      <c r="P18" s="364">
        <f>IFERROR('4. Fix Cost (LC) '!O18/'Input-FX Rates'!$H$16,0)</f>
        <v>901.20402413793101</v>
      </c>
      <c r="Q18" s="354">
        <f>IFERROR('4. Fix Cost (LC) '!P18/'Input-FX Rates'!$H$16,0)</f>
        <v>5471.0167275862068</v>
      </c>
      <c r="R18" s="355">
        <f>IFERROR('4. Fix Cost (LC) '!Q18/'Input-FX Rates'!$H$16,0)</f>
        <v>0</v>
      </c>
      <c r="S18" s="356">
        <f t="shared" si="0"/>
        <v>5541.5615769277383</v>
      </c>
      <c r="T18" s="363">
        <f t="shared" si="1"/>
        <v>-78.553737496824937</v>
      </c>
      <c r="U18" s="356">
        <f t="shared" si="2"/>
        <v>5539.3080406896552</v>
      </c>
      <c r="V18" s="771">
        <f t="shared" si="3"/>
        <v>-81.112923283502596</v>
      </c>
      <c r="W18" s="373" t="str">
        <f>IF(ISBLANK('4. Fix Cost (LC) '!T18),"",'4. Fix Cost (LC) '!T18)</f>
        <v>Line share cost increase + PE ICO 4.6M EUR</v>
      </c>
      <c r="Y18" s="752" t="s">
        <v>960</v>
      </c>
    </row>
    <row r="19" spans="1:25" ht="15" outlineLevel="1" x14ac:dyDescent="0.2">
      <c r="A19" s="357" t="s">
        <v>319</v>
      </c>
      <c r="B19" s="333">
        <f>IFERROR('4. Fix Cost (LC) '!B19/'Input-FX Rates'!$E$16,0)</f>
        <v>0</v>
      </c>
      <c r="C19" s="223">
        <f>IFERROR('4. Fix Cost (LC) '!C19/'Input-FX Rates'!$G$16,0)</f>
        <v>0</v>
      </c>
      <c r="D19" s="332">
        <f>IFERROR('4. Fix Cost (LC) '!C19/'Input-FX Rates'!$H$16,0)</f>
        <v>0</v>
      </c>
      <c r="E19" s="365">
        <f>IFERROR('4. Fix Cost (LC) '!D19/'Input-FX Rates'!$H$16,0)</f>
        <v>0</v>
      </c>
      <c r="F19" s="365">
        <f>IFERROR('4. Fix Cost (LC) '!E19/'Input-FX Rates'!$H$16,0)</f>
        <v>0</v>
      </c>
      <c r="G19" s="365">
        <f>IFERROR('4. Fix Cost (LC) '!F19/'Input-FX Rates'!$H$16,0)</f>
        <v>0</v>
      </c>
      <c r="H19" s="365">
        <f>IFERROR('4. Fix Cost (LC) '!G19/'Input-FX Rates'!$H$16,0)</f>
        <v>0</v>
      </c>
      <c r="I19" s="365">
        <f>IFERROR('4. Fix Cost (LC) '!H19/'Input-FX Rates'!$H$16,0)</f>
        <v>0</v>
      </c>
      <c r="J19" s="365">
        <f>IFERROR('4. Fix Cost (LC) '!I19/'Input-FX Rates'!$H$16,0)</f>
        <v>0</v>
      </c>
      <c r="K19" s="365">
        <f>IFERROR('4. Fix Cost (LC) '!J19/'Input-FX Rates'!$H$16,0)</f>
        <v>0</v>
      </c>
      <c r="L19" s="365">
        <f>IFERROR('4. Fix Cost (LC) '!K19/'Input-FX Rates'!$H$16,0)</f>
        <v>0</v>
      </c>
      <c r="M19" s="365">
        <f>IFERROR('4. Fix Cost (LC) '!L19/'Input-FX Rates'!$H$16,0)</f>
        <v>0</v>
      </c>
      <c r="N19" s="365">
        <f>IFERROR('4. Fix Cost (LC) '!M19/'Input-FX Rates'!$H$16,0)</f>
        <v>0</v>
      </c>
      <c r="O19" s="365">
        <f>IFERROR('4. Fix Cost (LC) '!N19/'Input-FX Rates'!$H$16,0)</f>
        <v>0</v>
      </c>
      <c r="P19" s="364">
        <f>IFERROR('4. Fix Cost (LC) '!O19/'Input-FX Rates'!$H$16,0)</f>
        <v>0</v>
      </c>
      <c r="Q19" s="354">
        <f>IFERROR('4. Fix Cost (LC) '!P19/'Input-FX Rates'!$H$16,0)</f>
        <v>0</v>
      </c>
      <c r="R19" s="355">
        <f>IFERROR('4. Fix Cost (LC) '!Q19/'Input-FX Rates'!$H$16,0)</f>
        <v>0</v>
      </c>
      <c r="S19" s="356">
        <f t="shared" si="0"/>
        <v>0</v>
      </c>
      <c r="T19" s="363">
        <f t="shared" si="1"/>
        <v>0</v>
      </c>
      <c r="U19" s="356">
        <f t="shared" si="2"/>
        <v>0</v>
      </c>
      <c r="V19" s="771">
        <f t="shared" si="3"/>
        <v>0</v>
      </c>
      <c r="W19" s="373" t="str">
        <f>IF(ISBLANK('4. Fix Cost (LC) '!T19),"",'4. Fix Cost (LC) '!T19)</f>
        <v/>
      </c>
      <c r="Y19" s="267" t="s">
        <v>318</v>
      </c>
    </row>
    <row r="20" spans="1:25" ht="15" outlineLevel="1" x14ac:dyDescent="0.2">
      <c r="A20" s="357" t="s">
        <v>317</v>
      </c>
      <c r="B20" s="333">
        <f>IFERROR('4. Fix Cost (LC) '!B20/'Input-FX Rates'!$E$16,0)</f>
        <v>-900.12139105723884</v>
      </c>
      <c r="C20" s="223">
        <f>IFERROR('4. Fix Cost (LC) '!C20/'Input-FX Rates'!$G$16,0)</f>
        <v>-2907.4151408881517</v>
      </c>
      <c r="D20" s="332">
        <f>IFERROR('4. Fix Cost (LC) '!C20/'Input-FX Rates'!$H$16,0)</f>
        <v>-2814.5385462068966</v>
      </c>
      <c r="E20" s="365">
        <f>IFERROR('4. Fix Cost (LC) '!D20/'Input-FX Rates'!$H$16,0)</f>
        <v>-347.60892413793101</v>
      </c>
      <c r="F20" s="365">
        <f>IFERROR('4. Fix Cost (LC) '!E20/'Input-FX Rates'!$H$16,0)</f>
        <v>-358.35892344827585</v>
      </c>
      <c r="G20" s="365">
        <f>IFERROR('4. Fix Cost (LC) '!F20/'Input-FX Rates'!$H$16,0)</f>
        <v>-374.12975724137937</v>
      </c>
      <c r="H20" s="365">
        <f>IFERROR('4. Fix Cost (LC) '!G20/'Input-FX Rates'!$H$16,0)</f>
        <v>-378.11933999999997</v>
      </c>
      <c r="I20" s="365">
        <f>IFERROR('4. Fix Cost (LC) '!H20/'Input-FX Rates'!$H$16,0)</f>
        <v>-382.12975655172414</v>
      </c>
      <c r="J20" s="365">
        <f>IFERROR('4. Fix Cost (LC) '!I20/'Input-FX Rates'!$H$16,0)</f>
        <v>-383.12975724137937</v>
      </c>
      <c r="K20" s="365">
        <f>IFERROR('4. Fix Cost (LC) '!J20/'Input-FX Rates'!$H$16,0)</f>
        <v>-383.12975724137937</v>
      </c>
      <c r="L20" s="365">
        <f>IFERROR('4. Fix Cost (LC) '!K20/'Input-FX Rates'!$H$16,0)</f>
        <v>-383.91309034482759</v>
      </c>
      <c r="M20" s="365">
        <f>IFERROR('4. Fix Cost (LC) '!L20/'Input-FX Rates'!$H$16,0)</f>
        <v>-384.73600758620688</v>
      </c>
      <c r="N20" s="365">
        <f>IFERROR('4. Fix Cost (LC) '!M20/'Input-FX Rates'!$H$16,0)</f>
        <v>-384.73600758620688</v>
      </c>
      <c r="O20" s="365">
        <f>IFERROR('4. Fix Cost (LC) '!N20/'Input-FX Rates'!$H$16,0)</f>
        <v>-384.73600758620688</v>
      </c>
      <c r="P20" s="364">
        <f>IFERROR('4. Fix Cost (LC) '!O20/'Input-FX Rates'!$H$16,0)</f>
        <v>-390.90267379310342</v>
      </c>
      <c r="Q20" s="354">
        <f>IFERROR('4. Fix Cost (LC) '!P20/'Input-FX Rates'!$H$16,0)</f>
        <v>-4535.6300027586203</v>
      </c>
      <c r="R20" s="355">
        <f>IFERROR('4. Fix Cost (LC) '!Q20/'Input-FX Rates'!$H$16,0)</f>
        <v>0</v>
      </c>
      <c r="S20" s="356">
        <f t="shared" si="0"/>
        <v>-1628.2148618704687</v>
      </c>
      <c r="T20" s="363">
        <f t="shared" si="1"/>
        <v>0.56002145650692481</v>
      </c>
      <c r="U20" s="356">
        <f t="shared" si="2"/>
        <v>-1721.0914565517237</v>
      </c>
      <c r="V20" s="771">
        <f t="shared" si="3"/>
        <v>0.6115004034573297</v>
      </c>
      <c r="W20" s="373" t="str">
        <f>IF(ISBLANK('4. Fix Cost (LC) '!T20),"",'4. Fix Cost (LC) '!T20)</f>
        <v>mainly due to new project for HPCU and SVCT (463K EUR will be charged)</v>
      </c>
      <c r="Y20" s="267" t="s">
        <v>976</v>
      </c>
    </row>
    <row r="21" spans="1:25" s="335" customFormat="1" ht="15.75" outlineLevel="1" x14ac:dyDescent="0.2">
      <c r="A21" s="341" t="s">
        <v>316</v>
      </c>
      <c r="B21" s="346">
        <f>IFERROR('4. Fix Cost (LC) '!B21/'Input-FX Rates'!$E$16,0)</f>
        <v>-2968.5994990851223</v>
      </c>
      <c r="C21" s="337">
        <f>IFERROR('4. Fix Cost (LC) '!C21/'Input-FX Rates'!$G$16,0)</f>
        <v>-7023.9001600464335</v>
      </c>
      <c r="D21" s="340">
        <f>IFERROR('4. Fix Cost (LC) '!C21/'Input-FX Rates'!$H$16,0)</f>
        <v>-6799.52355862069</v>
      </c>
      <c r="E21" s="337">
        <f>IFERROR('4. Fix Cost (LC) '!D21/'Input-FX Rates'!$H$16,0)</f>
        <v>-693.02415310344827</v>
      </c>
      <c r="F21" s="337">
        <f>IFERROR('4. Fix Cost (LC) '!E21/'Input-FX Rates'!$H$16,0)</f>
        <v>-703.7741524137931</v>
      </c>
      <c r="G21" s="337">
        <f>IFERROR('4. Fix Cost (LC) '!F21/'Input-FX Rates'!$H$16,0)</f>
        <v>-719.54498620689651</v>
      </c>
      <c r="H21" s="337">
        <f>IFERROR('4. Fix Cost (LC) '!G21/'Input-FX Rates'!$H$16,0)</f>
        <v>-723.53456896551722</v>
      </c>
      <c r="I21" s="337">
        <f>IFERROR('4. Fix Cost (LC) '!H21/'Input-FX Rates'!$H$16,0)</f>
        <v>-727.54498551724146</v>
      </c>
      <c r="J21" s="337">
        <f>IFERROR('4. Fix Cost (LC) '!I21/'Input-FX Rates'!$H$16,0)</f>
        <v>-27.86469586206897</v>
      </c>
      <c r="K21" s="337">
        <f>IFERROR('4. Fix Cost (LC) '!J21/'Input-FX Rates'!$H$16,0)</f>
        <v>-50.012335862068959</v>
      </c>
      <c r="L21" s="337">
        <f>IFERROR('4. Fix Cost (LC) '!K21/'Input-FX Rates'!$H$16,0)</f>
        <v>-109.9256889655173</v>
      </c>
      <c r="M21" s="337">
        <f>IFERROR('4. Fix Cost (LC) '!L21/'Input-FX Rates'!$H$16,0)</f>
        <v>-199.23469655172417</v>
      </c>
      <c r="N21" s="337">
        <f>IFERROR('4. Fix Cost (LC) '!M21/'Input-FX Rates'!$H$16,0)</f>
        <v>-110.74860620689658</v>
      </c>
      <c r="O21" s="337">
        <f>IFERROR('4. Fix Cost (LC) '!N21/'Input-FX Rates'!$H$16,0)</f>
        <v>-110.74860620689658</v>
      </c>
      <c r="P21" s="340">
        <f>IFERROR('4. Fix Cost (LC) '!O21/'Input-FX Rates'!$H$16,0)</f>
        <v>92.024727586206879</v>
      </c>
      <c r="Q21" s="346">
        <f>IFERROR('4. Fix Cost (LC) '!P21/'Input-FX Rates'!$H$16,0)</f>
        <v>-4083.9327482758617</v>
      </c>
      <c r="R21" s="340">
        <f>IFERROR('4. Fix Cost (LC) '!Q21/'Input-FX Rates'!$H$16,0)</f>
        <v>0</v>
      </c>
      <c r="S21" s="337">
        <f t="shared" si="0"/>
        <v>2939.9674117705717</v>
      </c>
      <c r="T21" s="336">
        <f t="shared" si="1"/>
        <v>-0.41856623026816153</v>
      </c>
      <c r="U21" s="337">
        <f t="shared" si="2"/>
        <v>2715.5908103448282</v>
      </c>
      <c r="V21" s="772">
        <f t="shared" si="3"/>
        <v>-0.39937957224986753</v>
      </c>
      <c r="W21" s="362" t="str">
        <f>IF(ISBLANK('4. Fix Cost (LC) '!T21),"",'4. Fix Cost (LC) '!T21)</f>
        <v/>
      </c>
      <c r="Y21" s="919"/>
    </row>
    <row r="22" spans="1:25" ht="15" outlineLevel="1" x14ac:dyDescent="0.2">
      <c r="A22" s="357" t="s">
        <v>315</v>
      </c>
      <c r="B22" s="96">
        <f>IFERROR('4. Fix Cost (LC) '!B22/'Input-FX Rates'!$E$16,0)</f>
        <v>0</v>
      </c>
      <c r="C22" s="96">
        <f>IFERROR('4. Fix Cost (LC) '!C22/'Input-FX Rates'!$G$16,0)</f>
        <v>0</v>
      </c>
      <c r="D22" s="96">
        <f>IFERROR('4. Fix Cost (LC) '!C22/'Input-FX Rates'!$H$16,0)</f>
        <v>0</v>
      </c>
      <c r="E22" s="763">
        <f>IFERROR('4. Fix Cost (LC) '!D22/'Input-FX Rates'!$H$16,0)</f>
        <v>0</v>
      </c>
      <c r="F22" s="96">
        <f>IFERROR('4. Fix Cost (LC) '!E22/'Input-FX Rates'!$H$16,0)</f>
        <v>0</v>
      </c>
      <c r="G22" s="96">
        <f>IFERROR('4. Fix Cost (LC) '!F22/'Input-FX Rates'!$H$16,0)</f>
        <v>0</v>
      </c>
      <c r="H22" s="96">
        <f>IFERROR('4. Fix Cost (LC) '!G22/'Input-FX Rates'!$H$16,0)</f>
        <v>0</v>
      </c>
      <c r="I22" s="96">
        <f>IFERROR('4. Fix Cost (LC) '!H22/'Input-FX Rates'!$H$16,0)</f>
        <v>0</v>
      </c>
      <c r="J22" s="96">
        <f>IFERROR('4. Fix Cost (LC) '!I22/'Input-FX Rates'!$H$16,0)</f>
        <v>0</v>
      </c>
      <c r="K22" s="96">
        <f>IFERROR('4. Fix Cost (LC) '!J22/'Input-FX Rates'!$H$16,0)</f>
        <v>0</v>
      </c>
      <c r="L22" s="96">
        <f>IFERROR('4. Fix Cost (LC) '!K22/'Input-FX Rates'!$H$16,0)</f>
        <v>0</v>
      </c>
      <c r="M22" s="96">
        <f>IFERROR('4. Fix Cost (LC) '!L22/'Input-FX Rates'!$H$16,0)</f>
        <v>0</v>
      </c>
      <c r="N22" s="96">
        <f>IFERROR('4. Fix Cost (LC) '!M22/'Input-FX Rates'!$H$16,0)</f>
        <v>0</v>
      </c>
      <c r="O22" s="96">
        <f>IFERROR('4. Fix Cost (LC) '!N22/'Input-FX Rates'!$H$16,0)</f>
        <v>0</v>
      </c>
      <c r="P22" s="96">
        <f>IFERROR('4. Fix Cost (LC) '!O22/'Input-FX Rates'!$H$16,0)</f>
        <v>0</v>
      </c>
      <c r="Q22" s="763">
        <f>IFERROR('4. Fix Cost (LC) '!P22/'Input-FX Rates'!$H$16,0)</f>
        <v>0</v>
      </c>
      <c r="R22" s="96">
        <f>IFERROR('4. Fix Cost (LC) '!Q22/'Input-FX Rates'!$H$16,0)</f>
        <v>0</v>
      </c>
      <c r="S22" s="764"/>
      <c r="T22" s="363"/>
      <c r="U22" s="764">
        <f t="shared" si="2"/>
        <v>0</v>
      </c>
      <c r="V22" s="771">
        <f t="shared" si="3"/>
        <v>0</v>
      </c>
      <c r="W22" s="373" t="str">
        <f>IF(ISBLANK('4. Fix Cost (LC) '!T22),"",'4. Fix Cost (LC) '!T22)</f>
        <v/>
      </c>
      <c r="Y22" s="649"/>
    </row>
    <row r="23" spans="1:25" s="335" customFormat="1" ht="15.75" x14ac:dyDescent="0.2">
      <c r="A23" s="341" t="s">
        <v>292</v>
      </c>
      <c r="B23" s="346">
        <f>IFERROR('4. Fix Cost (LC) '!B23/'Input-FX Rates'!$E$16,0)</f>
        <v>-5783.4554963013316</v>
      </c>
      <c r="C23" s="337">
        <f>IFERROR('4. Fix Cost (LC) '!C23/'Input-FX Rates'!$G$16,0)</f>
        <v>-11797.368217377501</v>
      </c>
      <c r="D23" s="340">
        <f>IFERROR('4. Fix Cost (LC) '!C23/'Input-FX Rates'!$H$16,0)</f>
        <v>-11420.504462758621</v>
      </c>
      <c r="E23" s="337">
        <f>IFERROR('4. Fix Cost (LC) '!D23/'Input-FX Rates'!$H$16,0)</f>
        <v>-1133.0166068965516</v>
      </c>
      <c r="F23" s="337">
        <f>IFERROR('4. Fix Cost (LC) '!E23/'Input-FX Rates'!$H$16,0)</f>
        <v>-1174.3198937931033</v>
      </c>
      <c r="G23" s="337">
        <f>IFERROR('4. Fix Cost (LC) '!F23/'Input-FX Rates'!$H$16,0)</f>
        <v>-1152.0631848275862</v>
      </c>
      <c r="H23" s="337">
        <f>IFERROR('4. Fix Cost (LC) '!G23/'Input-FX Rates'!$H$16,0)</f>
        <v>-1093.9282172413793</v>
      </c>
      <c r="I23" s="337">
        <f>IFERROR('4. Fix Cost (LC) '!H23/'Input-FX Rates'!$H$16,0)</f>
        <v>-1124.5601013793105</v>
      </c>
      <c r="J23" s="337">
        <f>IFERROR('4. Fix Cost (LC) '!I23/'Input-FX Rates'!$H$16,0)</f>
        <v>-414.58777310344834</v>
      </c>
      <c r="K23" s="337">
        <f>IFERROR('4. Fix Cost (LC) '!J23/'Input-FX Rates'!$H$16,0)</f>
        <v>-536.86469241379314</v>
      </c>
      <c r="L23" s="337">
        <f>IFERROR('4. Fix Cost (LC) '!K23/'Input-FX Rates'!$H$16,0)</f>
        <v>-607.76728620689664</v>
      </c>
      <c r="M23" s="337">
        <f>IFERROR('4. Fix Cost (LC) '!L23/'Input-FX Rates'!$H$16,0)</f>
        <v>-640.10126689655169</v>
      </c>
      <c r="N23" s="337">
        <f>IFERROR('4. Fix Cost (LC) '!M23/'Input-FX Rates'!$H$16,0)</f>
        <v>-537.48536551724135</v>
      </c>
      <c r="O23" s="337">
        <f>IFERROR('4. Fix Cost (LC) '!N23/'Input-FX Rates'!$H$16,0)</f>
        <v>-531.32285655172416</v>
      </c>
      <c r="P23" s="340">
        <f>IFERROR('4. Fix Cost (LC) '!O23/'Input-FX Rates'!$H$16,0)</f>
        <v>-324.51839310344826</v>
      </c>
      <c r="Q23" s="346">
        <f>IFERROR('4. Fix Cost (LC) '!P23/'Input-FX Rates'!$H$16,0)</f>
        <v>-9270.5356379310342</v>
      </c>
      <c r="R23" s="340">
        <f>IFERROR('4. Fix Cost (LC) '!Q23/'Input-FX Rates'!$H$16,0)</f>
        <v>-4699.63</v>
      </c>
      <c r="S23" s="337">
        <f t="shared" si="0"/>
        <v>2526.8325794464672</v>
      </c>
      <c r="T23" s="336">
        <f t="shared" si="1"/>
        <v>-0.21418612464129483</v>
      </c>
      <c r="U23" s="337">
        <f t="shared" si="2"/>
        <v>2149.968824827587</v>
      </c>
      <c r="V23" s="772">
        <f t="shared" si="3"/>
        <v>-0.18825515386281477</v>
      </c>
      <c r="W23" s="362" t="str">
        <f>IF(ISBLANK('4. Fix Cost (LC) '!T23),"",'4. Fix Cost (LC) '!T23)</f>
        <v/>
      </c>
      <c r="Y23" s="19" t="s">
        <v>314</v>
      </c>
    </row>
    <row r="24" spans="1:25" s="335" customFormat="1" ht="15.75" x14ac:dyDescent="0.2">
      <c r="A24" s="341" t="s">
        <v>313</v>
      </c>
      <c r="B24" s="346">
        <f>IFERROR('4. Fix Cost (LC) '!B24/'Input-FX Rates'!$E$16,0)</f>
        <v>-0.86909560903323468</v>
      </c>
      <c r="C24" s="337">
        <f>IFERROR('4. Fix Cost (LC) '!C24/'Input-FX Rates'!$G$16,0)</f>
        <v>-0.86734503488807635</v>
      </c>
      <c r="D24" s="340">
        <f>IFERROR('4. Fix Cost (LC) '!C24/'Input-FX Rates'!$H$16,0)</f>
        <v>-0.8396379310344827</v>
      </c>
      <c r="E24" s="337">
        <f>IFERROR('4. Fix Cost (LC) '!D24/'Input-FX Rates'!$H$16,0)</f>
        <v>0</v>
      </c>
      <c r="F24" s="337">
        <f>IFERROR('4. Fix Cost (LC) '!E24/'Input-FX Rates'!$H$16,0)</f>
        <v>0</v>
      </c>
      <c r="G24" s="337">
        <f>IFERROR('4. Fix Cost (LC) '!F24/'Input-FX Rates'!$H$16,0)</f>
        <v>0</v>
      </c>
      <c r="H24" s="337">
        <f>IFERROR('4. Fix Cost (LC) '!G24/'Input-FX Rates'!$H$16,0)</f>
        <v>0</v>
      </c>
      <c r="I24" s="337">
        <f>IFERROR('4. Fix Cost (LC) '!H24/'Input-FX Rates'!$H$16,0)</f>
        <v>0</v>
      </c>
      <c r="J24" s="337">
        <f>IFERROR('4. Fix Cost (LC) '!I24/'Input-FX Rates'!$H$16,0)</f>
        <v>-700.68029034482754</v>
      </c>
      <c r="K24" s="337">
        <f>IFERROR('4. Fix Cost (LC) '!J24/'Input-FX Rates'!$H$16,0)</f>
        <v>-678.53265034482763</v>
      </c>
      <c r="L24" s="337">
        <f>IFERROR('4. Fix Cost (LC) '!K24/'Input-FX Rates'!$H$16,0)</f>
        <v>-619.40263034482757</v>
      </c>
      <c r="M24" s="337">
        <f>IFERROR('4. Fix Cost (LC) '!L24/'Input-FX Rates'!$H$16,0)</f>
        <v>-530.91654000000005</v>
      </c>
      <c r="N24" s="337">
        <f>IFERROR('4. Fix Cost (LC) '!M24/'Input-FX Rates'!$H$16,0)</f>
        <v>-619.40263034482757</v>
      </c>
      <c r="O24" s="337">
        <f>IFERROR('4. Fix Cost (LC) '!N24/'Input-FX Rates'!$H$16,0)</f>
        <v>-619.40263034482757</v>
      </c>
      <c r="P24" s="340">
        <f>IFERROR('4. Fix Cost (LC) '!O24/'Input-FX Rates'!$H$16,0)</f>
        <v>-828.34262827586201</v>
      </c>
      <c r="Q24" s="346">
        <f>IFERROR('4. Fix Cost (LC) '!P24/'Input-FX Rates'!$H$16,0)</f>
        <v>-4596.68</v>
      </c>
      <c r="R24" s="340">
        <f>IFERROR('4. Fix Cost (LC) '!Q24/'Input-FX Rates'!$H$16,0)</f>
        <v>0</v>
      </c>
      <c r="S24" s="337">
        <f t="shared" si="0"/>
        <v>-4595.8126549651124</v>
      </c>
      <c r="T24" s="336">
        <f t="shared" si="1"/>
        <v>5298.7132803016084</v>
      </c>
      <c r="U24" s="337">
        <f t="shared" si="2"/>
        <v>-4595.840362068966</v>
      </c>
      <c r="V24" s="772">
        <f t="shared" si="3"/>
        <v>5473.5978356845117</v>
      </c>
      <c r="W24" s="362" t="str">
        <f>IF(ISBLANK('4. Fix Cost (LC) '!T24),"",'4. Fix Cost (LC) '!T24)</f>
        <v>PE ICO will be shown at final version -4.6M EUR</v>
      </c>
      <c r="Y24" s="19" t="s">
        <v>312</v>
      </c>
    </row>
    <row r="25" spans="1:25" s="243" customFormat="1" ht="15" outlineLevel="1" x14ac:dyDescent="0.2">
      <c r="A25" s="369" t="s">
        <v>311</v>
      </c>
      <c r="B25" s="333">
        <f>IFERROR('4. Fix Cost (LC) '!B25/'Input-FX Rates'!$E$16,0)</f>
        <v>-4.2528616033442148</v>
      </c>
      <c r="C25" s="223">
        <f>IFERROR('4. Fix Cost (LC) '!C25/'Input-FX Rates'!$G$16,0)</f>
        <v>-9.6559768951350993</v>
      </c>
      <c r="D25" s="332">
        <f>IFERROR('4. Fix Cost (LC) '!C25/'Input-FX Rates'!$H$16,0)</f>
        <v>-9.3475193103448273</v>
      </c>
      <c r="E25" s="365">
        <f>IFERROR('4. Fix Cost (LC) '!D25/'Input-FX Rates'!$H$16,0)</f>
        <v>-1.8420000000000001</v>
      </c>
      <c r="F25" s="365">
        <f>IFERROR('4. Fix Cost (LC) '!E25/'Input-FX Rates'!$H$16,0)</f>
        <v>-2.0125372413793103</v>
      </c>
      <c r="G25" s="365">
        <f>IFERROR('4. Fix Cost (LC) '!F25/'Input-FX Rates'!$H$16,0)</f>
        <v>-1.3306158620689654</v>
      </c>
      <c r="H25" s="365">
        <f>IFERROR('4. Fix Cost (LC) '!G25/'Input-FX Rates'!$H$16,0)</f>
        <v>-0.64234965517241382</v>
      </c>
      <c r="I25" s="365">
        <f>IFERROR('4. Fix Cost (LC) '!H25/'Input-FX Rates'!$H$16,0)</f>
        <v>-0.92651379310344828</v>
      </c>
      <c r="J25" s="365">
        <f>IFERROR('4. Fix Cost (LC) '!I25/'Input-FX Rates'!$H$16,0)</f>
        <v>-0.63886413793103447</v>
      </c>
      <c r="K25" s="365">
        <f>IFERROR('4. Fix Cost (LC) '!J25/'Input-FX Rates'!$H$16,0)</f>
        <v>-0.75304068965517246</v>
      </c>
      <c r="L25" s="365">
        <f>IFERROR('4. Fix Cost (LC) '!K25/'Input-FX Rates'!$H$16,0)</f>
        <v>-0.56464413793103452</v>
      </c>
      <c r="M25" s="365">
        <f>IFERROR('4. Fix Cost (LC) '!L25/'Input-FX Rates'!$H$16,0)</f>
        <v>-1.3737200000000001</v>
      </c>
      <c r="N25" s="365">
        <f>IFERROR('4. Fix Cost (LC) '!M25/'Input-FX Rates'!$H$16,0)</f>
        <v>-0.61264482758620697</v>
      </c>
      <c r="O25" s="365">
        <f>IFERROR('4. Fix Cost (LC) '!N25/'Input-FX Rates'!$H$16,0)</f>
        <v>-0.8714158620689656</v>
      </c>
      <c r="P25" s="364">
        <f>IFERROR('4. Fix Cost (LC) '!O25/'Input-FX Rates'!$H$16,0)</f>
        <v>-0.62281586206896544</v>
      </c>
      <c r="Q25" s="333">
        <f>IFERROR('4. Fix Cost (LC) '!P25/'Input-FX Rates'!$H$16,0)</f>
        <v>-12.191162068965516</v>
      </c>
      <c r="R25" s="364">
        <f>IFERROR('4. Fix Cost (LC) '!Q25/'Input-FX Rates'!$H$16,0)</f>
        <v>0</v>
      </c>
      <c r="S25" s="223">
        <f t="shared" si="0"/>
        <v>-2.535185173830417</v>
      </c>
      <c r="T25" s="298">
        <f t="shared" si="1"/>
        <v>0.26255087407134337</v>
      </c>
      <c r="U25" s="223">
        <f t="shared" si="2"/>
        <v>-2.8436427586206889</v>
      </c>
      <c r="V25" s="224">
        <f t="shared" si="3"/>
        <v>0.30421362761707815</v>
      </c>
      <c r="W25" s="368" t="str">
        <f>IF(ISBLANK('4. Fix Cost (LC) '!T25),"",'4. Fix Cost (LC) '!T25)</f>
        <v/>
      </c>
      <c r="Y25" s="267" t="s">
        <v>310</v>
      </c>
    </row>
    <row r="26" spans="1:25" s="243" customFormat="1" ht="15" outlineLevel="1" x14ac:dyDescent="0.2">
      <c r="A26" s="369" t="s">
        <v>309</v>
      </c>
      <c r="B26" s="333">
        <f>IFERROR('4. Fix Cost (LC) '!B26/'Input-FX Rates'!$E$16,0)</f>
        <v>-293.49070499756584</v>
      </c>
      <c r="C26" s="223">
        <f>IFERROR('4. Fix Cost (LC) '!C26/'Input-FX Rates'!$G$16,0)</f>
        <v>-556.01488170944697</v>
      </c>
      <c r="D26" s="332">
        <f>IFERROR('4. Fix Cost (LC) '!C26/'Input-FX Rates'!$H$16,0)</f>
        <v>-538.25313586206892</v>
      </c>
      <c r="E26" s="372">
        <f>IFERROR('4. Fix Cost (LC) '!D26/'Input-FX Rates'!$H$16,0)</f>
        <v>-59.546193793103448</v>
      </c>
      <c r="F26" s="371">
        <f>IFERROR('4. Fix Cost (LC) '!E26/'Input-FX Rates'!$H$16,0)</f>
        <v>-51.003214482758615</v>
      </c>
      <c r="G26" s="371">
        <f>IFERROR('4. Fix Cost (LC) '!F26/'Input-FX Rates'!$H$16,0)</f>
        <v>-50.988166896551725</v>
      </c>
      <c r="H26" s="371">
        <f>IFERROR('4. Fix Cost (LC) '!G26/'Input-FX Rates'!$H$16,0)</f>
        <v>-47.867592413793105</v>
      </c>
      <c r="I26" s="371">
        <f>IFERROR('4. Fix Cost (LC) '!H26/'Input-FX Rates'!$H$16,0)</f>
        <v>-50.659765517241382</v>
      </c>
      <c r="J26" s="371">
        <f>IFERROR('4. Fix Cost (LC) '!I26/'Input-FX Rates'!$H$16,0)</f>
        <v>-49.298517241379315</v>
      </c>
      <c r="K26" s="371">
        <f>IFERROR('4. Fix Cost (LC) '!J26/'Input-FX Rates'!$H$16,0)</f>
        <v>-62.545648965517245</v>
      </c>
      <c r="L26" s="371">
        <f>IFERROR('4. Fix Cost (LC) '!K26/'Input-FX Rates'!$H$16,0)</f>
        <v>-52.454735172413791</v>
      </c>
      <c r="M26" s="371">
        <f>IFERROR('4. Fix Cost (LC) '!L26/'Input-FX Rates'!$H$16,0)</f>
        <v>-51.893211724137934</v>
      </c>
      <c r="N26" s="371">
        <f>IFERROR('4. Fix Cost (LC) '!M26/'Input-FX Rates'!$H$16,0)</f>
        <v>-49.616340000000001</v>
      </c>
      <c r="O26" s="371">
        <f>IFERROR('4. Fix Cost (LC) '!N26/'Input-FX Rates'!$H$16,0)</f>
        <v>-50.402129655172416</v>
      </c>
      <c r="P26" s="371">
        <f>IFERROR('4. Fix Cost (LC) '!O26/'Input-FX Rates'!$H$16,0)</f>
        <v>-50.872412413793107</v>
      </c>
      <c r="Q26" s="333">
        <f>IFERROR('4. Fix Cost (LC) '!P26/'Input-FX Rates'!$H$16,0)</f>
        <v>-627.14792827586211</v>
      </c>
      <c r="R26" s="364">
        <f>IFERROR('4. Fix Cost (LC) '!Q26/'Input-FX Rates'!$H$16,0)</f>
        <v>0</v>
      </c>
      <c r="S26" s="223">
        <f t="shared" si="0"/>
        <v>-71.133046566415146</v>
      </c>
      <c r="T26" s="298">
        <f t="shared" si="1"/>
        <v>0.12793370988150388</v>
      </c>
      <c r="U26" s="223">
        <f t="shared" si="2"/>
        <v>-88.894792413793198</v>
      </c>
      <c r="V26" s="224">
        <f t="shared" si="3"/>
        <v>0.16515424897881714</v>
      </c>
      <c r="W26" s="368" t="str">
        <f>IF(ISBLANK('4. Fix Cost (LC) '!T26),"",'4. Fix Cost (LC) '!T26)</f>
        <v/>
      </c>
      <c r="Y26" s="267" t="s">
        <v>308</v>
      </c>
    </row>
    <row r="27" spans="1:25" s="243" customFormat="1" ht="15" outlineLevel="1" x14ac:dyDescent="0.2">
      <c r="A27" s="369" t="s">
        <v>981</v>
      </c>
      <c r="B27" s="333">
        <f>IFERROR('4. Fix Cost (LC) '!B27/'Input-FX Rates'!$E$16,0)</f>
        <v>0</v>
      </c>
      <c r="C27" s="223">
        <f>IFERROR('4. Fix Cost (LC) '!C27/'Input-FX Rates'!$G$16,0)</f>
        <v>0</v>
      </c>
      <c r="D27" s="332">
        <f>IFERROR('4. Fix Cost (LC) '!C27/'Input-FX Rates'!$H$16,0)</f>
        <v>0</v>
      </c>
      <c r="E27" s="223">
        <f>IFERROR('4. Fix Cost (LC) '!D27/'Input-FX Rates'!$H$16,0)</f>
        <v>0</v>
      </c>
      <c r="F27" s="223">
        <f>IFERROR('4. Fix Cost (LC) '!E27/'Input-FX Rates'!$H$16,0)</f>
        <v>0</v>
      </c>
      <c r="G27" s="223">
        <f>IFERROR('4. Fix Cost (LC) '!F27/'Input-FX Rates'!$H$16,0)</f>
        <v>0</v>
      </c>
      <c r="H27" s="223">
        <f>IFERROR('4. Fix Cost (LC) '!G27/'Input-FX Rates'!$H$16,0)</f>
        <v>0</v>
      </c>
      <c r="I27" s="223">
        <f>IFERROR('4. Fix Cost (LC) '!H27/'Input-FX Rates'!$H$16,0)</f>
        <v>0</v>
      </c>
      <c r="J27" s="223">
        <f>IFERROR('4. Fix Cost (LC) '!I27/'Input-FX Rates'!$H$16,0)</f>
        <v>0</v>
      </c>
      <c r="K27" s="223">
        <f>IFERROR('4. Fix Cost (LC) '!J27/'Input-FX Rates'!$H$16,0)</f>
        <v>0</v>
      </c>
      <c r="L27" s="223">
        <f>IFERROR('4. Fix Cost (LC) '!K27/'Input-FX Rates'!$H$16,0)</f>
        <v>0</v>
      </c>
      <c r="M27" s="223">
        <f>IFERROR('4. Fix Cost (LC) '!L27/'Input-FX Rates'!$H$16,0)</f>
        <v>0</v>
      </c>
      <c r="N27" s="223">
        <f>IFERROR('4. Fix Cost (LC) '!M27/'Input-FX Rates'!$H$16,0)</f>
        <v>0</v>
      </c>
      <c r="O27" s="223">
        <f>IFERROR('4. Fix Cost (LC) '!N27/'Input-FX Rates'!$H$16,0)</f>
        <v>0</v>
      </c>
      <c r="P27" s="332">
        <f>IFERROR('4. Fix Cost (LC) '!O27/'Input-FX Rates'!$H$16,0)</f>
        <v>0</v>
      </c>
      <c r="Q27" s="370">
        <f>IFERROR('4. Fix Cost (LC) '!P27/'Input-FX Rates'!$H$16,0)</f>
        <v>0</v>
      </c>
      <c r="R27" s="364">
        <f>IFERROR('4. Fix Cost (LC) '!Q27/'Input-FX Rates'!$H$16,0)</f>
        <v>0</v>
      </c>
      <c r="S27" s="223">
        <f t="shared" si="0"/>
        <v>0</v>
      </c>
      <c r="T27" s="298">
        <f t="shared" si="1"/>
        <v>0</v>
      </c>
      <c r="U27" s="223">
        <f t="shared" si="2"/>
        <v>0</v>
      </c>
      <c r="V27" s="224">
        <f t="shared" si="3"/>
        <v>0</v>
      </c>
      <c r="W27" s="368" t="str">
        <f>IF(ISBLANK('4. Fix Cost (LC) '!T27),"",'4. Fix Cost (LC) '!T27)</f>
        <v/>
      </c>
      <c r="Y27" s="267" t="s">
        <v>306</v>
      </c>
    </row>
    <row r="28" spans="1:25" s="243" customFormat="1" ht="15" outlineLevel="1" x14ac:dyDescent="0.2">
      <c r="A28" s="369" t="s">
        <v>982</v>
      </c>
      <c r="B28" s="333">
        <f>IFERROR('4. Fix Cost (LC) '!B28/'Input-FX Rates'!$E$16,0)</f>
        <v>0</v>
      </c>
      <c r="C28" s="223">
        <f>IFERROR('4. Fix Cost (LC) '!C28/'Input-FX Rates'!$G$16,0)</f>
        <v>0</v>
      </c>
      <c r="D28" s="332">
        <f>IFERROR('4. Fix Cost (LC) '!C28/'Input-FX Rates'!$H$16,0)</f>
        <v>0</v>
      </c>
      <c r="E28" s="223">
        <f>IFERROR('4. Fix Cost (LC) '!D28/'Input-FX Rates'!$H$16,0)</f>
        <v>0</v>
      </c>
      <c r="F28" s="223">
        <f>IFERROR('4. Fix Cost (LC) '!E28/'Input-FX Rates'!$H$16,0)</f>
        <v>0</v>
      </c>
      <c r="G28" s="223">
        <f>IFERROR('4. Fix Cost (LC) '!F28/'Input-FX Rates'!$H$16,0)</f>
        <v>0</v>
      </c>
      <c r="H28" s="223">
        <f>IFERROR('4. Fix Cost (LC) '!G28/'Input-FX Rates'!$H$16,0)</f>
        <v>0</v>
      </c>
      <c r="I28" s="223">
        <f>IFERROR('4. Fix Cost (LC) '!H28/'Input-FX Rates'!$H$16,0)</f>
        <v>0</v>
      </c>
      <c r="J28" s="223">
        <f>IFERROR('4. Fix Cost (LC) '!I28/'Input-FX Rates'!$H$16,0)</f>
        <v>0</v>
      </c>
      <c r="K28" s="223">
        <f>IFERROR('4. Fix Cost (LC) '!J28/'Input-FX Rates'!$H$16,0)</f>
        <v>0</v>
      </c>
      <c r="L28" s="223">
        <f>IFERROR('4. Fix Cost (LC) '!K28/'Input-FX Rates'!$H$16,0)</f>
        <v>0</v>
      </c>
      <c r="M28" s="223">
        <f>IFERROR('4. Fix Cost (LC) '!L28/'Input-FX Rates'!$H$16,0)</f>
        <v>0</v>
      </c>
      <c r="N28" s="223">
        <f>IFERROR('4. Fix Cost (LC) '!M28/'Input-FX Rates'!$H$16,0)</f>
        <v>0</v>
      </c>
      <c r="O28" s="223">
        <f>IFERROR('4. Fix Cost (LC) '!N28/'Input-FX Rates'!$H$16,0)</f>
        <v>0</v>
      </c>
      <c r="P28" s="332">
        <f>IFERROR('4. Fix Cost (LC) '!O28/'Input-FX Rates'!$H$16,0)</f>
        <v>0</v>
      </c>
      <c r="Q28" s="370">
        <f>IFERROR('4. Fix Cost (LC) '!P28/'Input-FX Rates'!$H$16,0)</f>
        <v>0</v>
      </c>
      <c r="R28" s="364">
        <f>IFERROR('4. Fix Cost (LC) '!Q28/'Input-FX Rates'!$H$16,0)</f>
        <v>0</v>
      </c>
      <c r="S28" s="223">
        <f t="shared" si="0"/>
        <v>0</v>
      </c>
      <c r="T28" s="298">
        <f t="shared" si="1"/>
        <v>0</v>
      </c>
      <c r="U28" s="223">
        <f t="shared" si="2"/>
        <v>0</v>
      </c>
      <c r="V28" s="224">
        <f t="shared" si="3"/>
        <v>0</v>
      </c>
      <c r="W28" s="368" t="str">
        <f>IF(ISBLANK('4. Fix Cost (LC) '!T28),"",'4. Fix Cost (LC) '!T28)</f>
        <v/>
      </c>
      <c r="Y28" s="267" t="s">
        <v>988</v>
      </c>
    </row>
    <row r="29" spans="1:25" s="243" customFormat="1" ht="15" outlineLevel="1" x14ac:dyDescent="0.2">
      <c r="A29" s="369" t="s">
        <v>304</v>
      </c>
      <c r="B29" s="333">
        <f>IFERROR('4. Fix Cost (LC) '!B29/'Input-FX Rates'!$E$16,0)</f>
        <v>0</v>
      </c>
      <c r="C29" s="223">
        <f>IFERROR('4. Fix Cost (LC) '!C29/'Input-FX Rates'!$G$16,0)</f>
        <v>0</v>
      </c>
      <c r="D29" s="332">
        <f>IFERROR('4. Fix Cost (LC) '!C29/'Input-FX Rates'!$H$16,0)</f>
        <v>0</v>
      </c>
      <c r="E29" s="223">
        <f>IFERROR('4. Fix Cost (LC) '!D29/'Input-FX Rates'!$H$16,0)</f>
        <v>-1.2036501149425214</v>
      </c>
      <c r="F29" s="223">
        <f>IFERROR('4. Fix Cost (LC) '!E29/'Input-FX Rates'!$H$16,0)</f>
        <v>-1.2036501149425214</v>
      </c>
      <c r="G29" s="223">
        <f>IFERROR('4. Fix Cost (LC) '!F29/'Input-FX Rates'!$H$16,0)</f>
        <v>-1.2036501149425214</v>
      </c>
      <c r="H29" s="223">
        <f>IFERROR('4. Fix Cost (LC) '!G29/'Input-FX Rates'!$H$16,0)</f>
        <v>-1.2036501149425214</v>
      </c>
      <c r="I29" s="223">
        <f>IFERROR('4. Fix Cost (LC) '!H29/'Input-FX Rates'!$H$16,0)</f>
        <v>-1.2036501149425214</v>
      </c>
      <c r="J29" s="223">
        <f>IFERROR('4. Fix Cost (LC) '!I29/'Input-FX Rates'!$H$16,0)</f>
        <v>-1.2036501149425214</v>
      </c>
      <c r="K29" s="223">
        <f>IFERROR('4. Fix Cost (LC) '!J29/'Input-FX Rates'!$H$16,0)</f>
        <v>-1.2036501149425214</v>
      </c>
      <c r="L29" s="223">
        <f>IFERROR('4. Fix Cost (LC) '!K29/'Input-FX Rates'!$H$16,0)</f>
        <v>-1.2036501149425214</v>
      </c>
      <c r="M29" s="223">
        <f>IFERROR('4. Fix Cost (LC) '!L29/'Input-FX Rates'!$H$16,0)</f>
        <v>-1.2036501149425214</v>
      </c>
      <c r="N29" s="223">
        <f>IFERROR('4. Fix Cost (LC) '!M29/'Input-FX Rates'!$H$16,0)</f>
        <v>-1.2036501149425214</v>
      </c>
      <c r="O29" s="223">
        <f>IFERROR('4. Fix Cost (LC) '!N29/'Input-FX Rates'!$H$16,0)</f>
        <v>-1.2036501149425214</v>
      </c>
      <c r="P29" s="332">
        <f>IFERROR('4. Fix Cost (LC) '!O29/'Input-FX Rates'!$H$16,0)</f>
        <v>-1.2036501149425214</v>
      </c>
      <c r="Q29" s="333">
        <f>IFERROR('4. Fix Cost (LC) '!P29/'Input-FX Rates'!$H$16,0)</f>
        <v>-14.443801379310257</v>
      </c>
      <c r="R29" s="364">
        <f>IFERROR('4. Fix Cost (LC) '!Q29/'Input-FX Rates'!$H$16,0)</f>
        <v>0</v>
      </c>
      <c r="S29" s="223">
        <f t="shared" si="0"/>
        <v>-14.443801379310257</v>
      </c>
      <c r="T29" s="298">
        <f t="shared" si="1"/>
        <v>0</v>
      </c>
      <c r="U29" s="223">
        <f t="shared" si="2"/>
        <v>-14.443801379310257</v>
      </c>
      <c r="V29" s="224">
        <f t="shared" si="3"/>
        <v>0</v>
      </c>
      <c r="W29" s="368" t="str">
        <f>IF(ISBLANK('4. Fix Cost (LC) '!T29),"",'4. Fix Cost (LC) '!T29)</f>
        <v/>
      </c>
      <c r="Y29" s="267" t="s">
        <v>303</v>
      </c>
    </row>
    <row r="30" spans="1:25" s="335" customFormat="1" ht="15.75" x14ac:dyDescent="0.2">
      <c r="A30" s="341" t="s">
        <v>302</v>
      </c>
      <c r="B30" s="346">
        <f>IFERROR('4. Fix Cost (LC) '!B30/'Input-FX Rates'!$E$16,0)</f>
        <v>-297.74356660091007</v>
      </c>
      <c r="C30" s="337">
        <f>IFERROR('4. Fix Cost (LC) '!C30/'Input-FX Rates'!$G$16,0)</f>
        <v>-565.67085860458212</v>
      </c>
      <c r="D30" s="340">
        <f>IFERROR('4. Fix Cost (LC) '!C30/'Input-FX Rates'!$H$16,0)</f>
        <v>-547.60065517241378</v>
      </c>
      <c r="E30" s="337">
        <f>IFERROR('4. Fix Cost (LC) '!D30/'Input-FX Rates'!$H$16,0)</f>
        <v>-62.591843908045966</v>
      </c>
      <c r="F30" s="337">
        <f>IFERROR('4. Fix Cost (LC) '!E30/'Input-FX Rates'!$H$16,0)</f>
        <v>-54.219401839080454</v>
      </c>
      <c r="G30" s="337">
        <f>IFERROR('4. Fix Cost (LC) '!F30/'Input-FX Rates'!$H$16,0)</f>
        <v>-53.522432873563211</v>
      </c>
      <c r="H30" s="337">
        <f>IFERROR('4. Fix Cost (LC) '!G30/'Input-FX Rates'!$H$16,0)</f>
        <v>-49.713592183908048</v>
      </c>
      <c r="I30" s="337">
        <f>IFERROR('4. Fix Cost (LC) '!H30/'Input-FX Rates'!$H$16,0)</f>
        <v>-52.789929425287362</v>
      </c>
      <c r="J30" s="337">
        <f>IFERROR('4. Fix Cost (LC) '!I30/'Input-FX Rates'!$H$16,0)</f>
        <v>-51.141031494252879</v>
      </c>
      <c r="K30" s="337">
        <f>IFERROR('4. Fix Cost (LC) '!J30/'Input-FX Rates'!$H$16,0)</f>
        <v>-64.502339770114943</v>
      </c>
      <c r="L30" s="337">
        <f>IFERROR('4. Fix Cost (LC) '!K30/'Input-FX Rates'!$H$16,0)</f>
        <v>-54.223029425287343</v>
      </c>
      <c r="M30" s="337">
        <f>IFERROR('4. Fix Cost (LC) '!L30/'Input-FX Rates'!$H$16,0)</f>
        <v>-54.470581839080459</v>
      </c>
      <c r="N30" s="337">
        <f>IFERROR('4. Fix Cost (LC) '!M30/'Input-FX Rates'!$H$16,0)</f>
        <v>-51.432634942528736</v>
      </c>
      <c r="O30" s="337">
        <f>IFERROR('4. Fix Cost (LC) '!N30/'Input-FX Rates'!$H$16,0)</f>
        <v>-52.477195632183907</v>
      </c>
      <c r="P30" s="340">
        <f>IFERROR('4. Fix Cost (LC) '!O30/'Input-FX Rates'!$H$16,0)</f>
        <v>-52.698878390804595</v>
      </c>
      <c r="Q30" s="346">
        <f>IFERROR('4. Fix Cost (LC) '!P30/'Input-FX Rates'!$H$16,0)</f>
        <v>-653.78289172413793</v>
      </c>
      <c r="R30" s="340">
        <f>IFERROR('4. Fix Cost (LC) '!Q30/'Input-FX Rates'!$H$16,0)</f>
        <v>0</v>
      </c>
      <c r="S30" s="337">
        <f t="shared" si="0"/>
        <v>-88.112033119555804</v>
      </c>
      <c r="T30" s="336">
        <f t="shared" si="1"/>
        <v>0.15576555125521896</v>
      </c>
      <c r="U30" s="337">
        <f t="shared" si="2"/>
        <v>-106.18223655172415</v>
      </c>
      <c r="V30" s="772">
        <f t="shared" si="3"/>
        <v>0.19390450969839024</v>
      </c>
      <c r="W30" s="922" t="str">
        <f>IF(ISBLANK('4. Fix Cost (LC) '!T30),"",'4. Fix Cost (LC) '!T30)</f>
        <v/>
      </c>
      <c r="Y30" s="19" t="s">
        <v>301</v>
      </c>
    </row>
    <row r="31" spans="1:25" s="335" customFormat="1" ht="15.75" x14ac:dyDescent="0.2">
      <c r="A31" s="341" t="s">
        <v>300</v>
      </c>
      <c r="B31" s="346">
        <f>IFERROR('4. Fix Cost (LC) '!B31/'Input-FX Rates'!$E$16,0)</f>
        <v>-508.69290418940398</v>
      </c>
      <c r="C31" s="337">
        <f>IFERROR('4. Fix Cost (LC) '!C31/'Input-FX Rates'!$G$16,0)</f>
        <v>-918.86615920917711</v>
      </c>
      <c r="D31" s="340">
        <f>IFERROR('4. Fix Cost (LC) '!C31/'Input-FX Rates'!$H$16,0)</f>
        <v>-889.51322689655171</v>
      </c>
      <c r="E31" s="337">
        <f>IFERROR('4. Fix Cost (LC) '!D31/'Input-FX Rates'!$H$16,0)</f>
        <v>-120.40022689655173</v>
      </c>
      <c r="F31" s="337">
        <f>IFERROR('4. Fix Cost (LC) '!E31/'Input-FX Rates'!$H$16,0)</f>
        <v>-120.40022689655173</v>
      </c>
      <c r="G31" s="337">
        <f>IFERROR('4. Fix Cost (LC) '!F31/'Input-FX Rates'!$H$16,0)</f>
        <v>-120.40022689655173</v>
      </c>
      <c r="H31" s="337">
        <f>IFERROR('4. Fix Cost (LC) '!G31/'Input-FX Rates'!$H$16,0)</f>
        <v>-120.40022689655173</v>
      </c>
      <c r="I31" s="337">
        <f>IFERROR('4. Fix Cost (LC) '!H31/'Input-FX Rates'!$H$16,0)</f>
        <v>-120.40022689655173</v>
      </c>
      <c r="J31" s="337">
        <f>IFERROR('4. Fix Cost (LC) '!I31/'Input-FX Rates'!$H$16,0)</f>
        <v>-120.40022689655173</v>
      </c>
      <c r="K31" s="337">
        <f>IFERROR('4. Fix Cost (LC) '!J31/'Input-FX Rates'!$H$16,0)</f>
        <v>-120.40022689655173</v>
      </c>
      <c r="L31" s="337">
        <f>IFERROR('4. Fix Cost (LC) '!K31/'Input-FX Rates'!$H$16,0)</f>
        <v>-120.40022689655173</v>
      </c>
      <c r="M31" s="337">
        <f>IFERROR('4. Fix Cost (LC) '!L31/'Input-FX Rates'!$H$16,0)</f>
        <v>-120.40022689655173</v>
      </c>
      <c r="N31" s="337">
        <f>IFERROR('4. Fix Cost (LC) '!M31/'Input-FX Rates'!$H$16,0)</f>
        <v>-120.40022689655173</v>
      </c>
      <c r="O31" s="337">
        <f>IFERROR('4. Fix Cost (LC) '!N31/'Input-FX Rates'!$H$16,0)</f>
        <v>-120.40022689655173</v>
      </c>
      <c r="P31" s="340">
        <f>IFERROR('4. Fix Cost (LC) '!O31/'Input-FX Rates'!$H$16,0)</f>
        <v>-120.40022689655173</v>
      </c>
      <c r="Q31" s="346">
        <f>IFERROR('4. Fix Cost (LC) '!P31/'Input-FX Rates'!$H$16,0)</f>
        <v>-1444.8027227586206</v>
      </c>
      <c r="R31" s="340">
        <f>IFERROR('4. Fix Cost (LC) '!Q31/'Input-FX Rates'!$H$16,0)</f>
        <v>0</v>
      </c>
      <c r="S31" s="337">
        <f t="shared" si="0"/>
        <v>-525.93656354944346</v>
      </c>
      <c r="T31" s="336">
        <f t="shared" si="1"/>
        <v>0.57237559385372427</v>
      </c>
      <c r="U31" s="337">
        <f t="shared" si="2"/>
        <v>-555.28949586206886</v>
      </c>
      <c r="V31" s="772">
        <f t="shared" si="3"/>
        <v>0.62426221338993959</v>
      </c>
      <c r="W31" s="922" t="str">
        <f>IF(ISBLANK('4. Fix Cost (LC) '!T31),"",'4. Fix Cost (LC) '!T31)</f>
        <v/>
      </c>
      <c r="Y31" s="19" t="s">
        <v>978</v>
      </c>
    </row>
    <row r="32" spans="1:25" s="335" customFormat="1" ht="15.75" x14ac:dyDescent="0.2">
      <c r="A32" s="341" t="s">
        <v>299</v>
      </c>
      <c r="B32" s="346">
        <f>IFERROR('4. Fix Cost (LC) '!B32/'Input-FX Rates'!$E$16,0)</f>
        <v>630.53376386917694</v>
      </c>
      <c r="C32" s="337">
        <f>IFERROR('4. Fix Cost (LC) '!C32/'Input-FX Rates'!$G$16,0)</f>
        <v>-3188.4501956407253</v>
      </c>
      <c r="D32" s="340">
        <f>IFERROR('4. Fix Cost (LC) '!C32/'Input-FX Rates'!$H$16,0)</f>
        <v>-3086.596011724138</v>
      </c>
      <c r="E32" s="337">
        <f>IFERROR('4. Fix Cost (LC) '!D32/'Input-FX Rates'!$H$16,0)</f>
        <v>-917.12592413793107</v>
      </c>
      <c r="F32" s="337">
        <f>IFERROR('4. Fix Cost (LC) '!E32/'Input-FX Rates'!$H$16,0)</f>
        <v>-917.12592413793107</v>
      </c>
      <c r="G32" s="337">
        <f>IFERROR('4. Fix Cost (LC) '!F32/'Input-FX Rates'!$H$16,0)</f>
        <v>-917.12592413793107</v>
      </c>
      <c r="H32" s="337">
        <f>IFERROR('4. Fix Cost (LC) '!G32/'Input-FX Rates'!$H$16,0)</f>
        <v>-917.12592413793107</v>
      </c>
      <c r="I32" s="337">
        <f>IFERROR('4. Fix Cost (LC) '!H32/'Input-FX Rates'!$H$16,0)</f>
        <v>-917.12592413793107</v>
      </c>
      <c r="J32" s="337">
        <f>IFERROR('4. Fix Cost (LC) '!I32/'Input-FX Rates'!$H$16,0)</f>
        <v>-917.12592413793107</v>
      </c>
      <c r="K32" s="337">
        <f>IFERROR('4. Fix Cost (LC) '!J32/'Input-FX Rates'!$H$16,0)</f>
        <v>-917.12592413793107</v>
      </c>
      <c r="L32" s="337">
        <f>IFERROR('4. Fix Cost (LC) '!K32/'Input-FX Rates'!$H$16,0)</f>
        <v>-917.12592413793107</v>
      </c>
      <c r="M32" s="337">
        <f>IFERROR('4. Fix Cost (LC) '!L32/'Input-FX Rates'!$H$16,0)</f>
        <v>-917.12592413793107</v>
      </c>
      <c r="N32" s="337">
        <f>IFERROR('4. Fix Cost (LC) '!M32/'Input-FX Rates'!$H$16,0)</f>
        <v>-917.12592413793107</v>
      </c>
      <c r="O32" s="337">
        <f>IFERROR('4. Fix Cost (LC) '!N32/'Input-FX Rates'!$H$16,0)</f>
        <v>-917.12592413793107</v>
      </c>
      <c r="P32" s="340">
        <f>IFERROR('4. Fix Cost (LC) '!O32/'Input-FX Rates'!$H$16,0)</f>
        <v>-917.12592413793107</v>
      </c>
      <c r="Q32" s="346">
        <f>IFERROR('4. Fix Cost (LC) '!P32/'Input-FX Rates'!$H$16,0)</f>
        <v>-11005.511089655172</v>
      </c>
      <c r="R32" s="340">
        <f>IFERROR('4. Fix Cost (LC) '!Q32/'Input-FX Rates'!$H$16,0)</f>
        <v>0</v>
      </c>
      <c r="S32" s="337">
        <f t="shared" si="0"/>
        <v>-7817.0608940144466</v>
      </c>
      <c r="T32" s="336">
        <f t="shared" si="1"/>
        <v>2.4516804134817587</v>
      </c>
      <c r="U32" s="337">
        <f t="shared" si="2"/>
        <v>-7918.9150779310348</v>
      </c>
      <c r="V32" s="772">
        <f t="shared" si="3"/>
        <v>2.5655819705111385</v>
      </c>
      <c r="W32" s="922" t="str">
        <f>IF(ISBLANK('4. Fix Cost (LC) '!T32),"",'4. Fix Cost (LC) '!T32)</f>
        <v/>
      </c>
      <c r="Y32" s="19" t="s">
        <v>298</v>
      </c>
    </row>
    <row r="33" spans="1:25" s="335" customFormat="1" ht="15.75" x14ac:dyDescent="0.2">
      <c r="A33" s="341" t="s">
        <v>297</v>
      </c>
      <c r="B33" s="346">
        <f>IFERROR('4. Fix Cost (LC) '!B33/'Input-FX Rates'!$E$16,0)</f>
        <v>-1089.9437312748883</v>
      </c>
      <c r="C33" s="337">
        <f>IFERROR('4. Fix Cost (LC) '!C33/'Input-FX Rates'!$G$16,0)</f>
        <v>-2044.1117618149103</v>
      </c>
      <c r="D33" s="340">
        <f>IFERROR('4. Fix Cost (LC) '!C33/'Input-FX Rates'!$H$16,0)</f>
        <v>-1978.8131613793103</v>
      </c>
      <c r="E33" s="337">
        <f>IFERROR('4. Fix Cost (LC) '!D33/'Input-FX Rates'!$H$16,0)</f>
        <v>-217.36163908045975</v>
      </c>
      <c r="F33" s="337">
        <f>IFERROR('4. Fix Cost (LC) '!E33/'Input-FX Rates'!$H$16,0)</f>
        <v>-217.36163908045975</v>
      </c>
      <c r="G33" s="337">
        <f>IFERROR('4. Fix Cost (LC) '!F33/'Input-FX Rates'!$H$16,0)</f>
        <v>-217.36163908045975</v>
      </c>
      <c r="H33" s="337">
        <f>IFERROR('4. Fix Cost (LC) '!G33/'Input-FX Rates'!$H$16,0)</f>
        <v>-217.36163908045975</v>
      </c>
      <c r="I33" s="337">
        <f>IFERROR('4. Fix Cost (LC) '!H33/'Input-FX Rates'!$H$16,0)</f>
        <v>-217.36163908045975</v>
      </c>
      <c r="J33" s="337">
        <f>IFERROR('4. Fix Cost (LC) '!I33/'Input-FX Rates'!$H$16,0)</f>
        <v>-217.36163908045975</v>
      </c>
      <c r="K33" s="337">
        <f>IFERROR('4. Fix Cost (LC) '!J33/'Input-FX Rates'!$H$16,0)</f>
        <v>-217.36163908045975</v>
      </c>
      <c r="L33" s="337">
        <f>IFERROR('4. Fix Cost (LC) '!K33/'Input-FX Rates'!$H$16,0)</f>
        <v>-217.36163908045975</v>
      </c>
      <c r="M33" s="337">
        <f>IFERROR('4. Fix Cost (LC) '!L33/'Input-FX Rates'!$H$16,0)</f>
        <v>-217.36163908045975</v>
      </c>
      <c r="N33" s="337">
        <f>IFERROR('4. Fix Cost (LC) '!M33/'Input-FX Rates'!$H$16,0)</f>
        <v>-217.36163908045975</v>
      </c>
      <c r="O33" s="337">
        <f>IFERROR('4. Fix Cost (LC) '!N33/'Input-FX Rates'!$H$16,0)</f>
        <v>-217.36163908045975</v>
      </c>
      <c r="P33" s="340">
        <f>IFERROR('4. Fix Cost (LC) '!O33/'Input-FX Rates'!$H$16,0)</f>
        <v>-217.36163908045975</v>
      </c>
      <c r="Q33" s="346">
        <f>IFERROR('4. Fix Cost (LC) '!P33/'Input-FX Rates'!$H$16,0)</f>
        <v>-2608.3396689655174</v>
      </c>
      <c r="R33" s="340">
        <f>IFERROR('4. Fix Cost (LC) '!Q33/'Input-FX Rates'!$H$16,0)</f>
        <v>0</v>
      </c>
      <c r="S33" s="337">
        <f t="shared" si="0"/>
        <v>-564.22790715060705</v>
      </c>
      <c r="T33" s="336">
        <f t="shared" si="1"/>
        <v>0.27602595792005258</v>
      </c>
      <c r="U33" s="337">
        <f t="shared" si="2"/>
        <v>-629.52650758620712</v>
      </c>
      <c r="V33" s="772">
        <f t="shared" si="3"/>
        <v>0.31813337402071973</v>
      </c>
      <c r="W33" s="922" t="str">
        <f>IF(ISBLANK('4. Fix Cost (LC) '!T33),"",'4. Fix Cost (LC) '!T33)</f>
        <v/>
      </c>
      <c r="Y33" s="19" t="s">
        <v>977</v>
      </c>
    </row>
    <row r="34" spans="1:25" ht="15.75" x14ac:dyDescent="0.2">
      <c r="A34" s="341" t="s">
        <v>296</v>
      </c>
      <c r="B34" s="344">
        <f>IFERROR('4. Fix Cost (LC) '!B34/'Input-FX Rates'!$E$16,0)</f>
        <v>-7050.1710301063904</v>
      </c>
      <c r="C34" s="345">
        <f>IFERROR('4. Fix Cost (LC) '!C34/'Input-FX Rates'!$G$16,0)</f>
        <v>-18515.334537681785</v>
      </c>
      <c r="D34" s="343">
        <f>IFERROR('4. Fix Cost (LC) '!C34/'Input-FX Rates'!$H$16,0)</f>
        <v>-17923.86715586207</v>
      </c>
      <c r="E34" s="345">
        <f>IFERROR('4. Fix Cost (LC) '!D34/'Input-FX Rates'!$H$16,0)</f>
        <v>-2450.49624091954</v>
      </c>
      <c r="F34" s="345">
        <f>IFERROR('4. Fix Cost (LC) '!E34/'Input-FX Rates'!$H$16,0)</f>
        <v>-2483.4270857471265</v>
      </c>
      <c r="G34" s="345">
        <f>IFERROR('4. Fix Cost (LC) '!F34/'Input-FX Rates'!$H$16,0)</f>
        <v>-2460.4734078160923</v>
      </c>
      <c r="H34" s="345">
        <f>IFERROR('4. Fix Cost (LC) '!G34/'Input-FX Rates'!$H$16,0)</f>
        <v>-2398.5295995402298</v>
      </c>
      <c r="I34" s="345">
        <f>IFERROR('4. Fix Cost (LC) '!H34/'Input-FX Rates'!$H$16,0)</f>
        <v>-2432.2378209195404</v>
      </c>
      <c r="J34" s="345">
        <f>IFERROR('4. Fix Cost (LC) '!I34/'Input-FX Rates'!$H$16,0)</f>
        <v>-2421.2968850574712</v>
      </c>
      <c r="K34" s="345">
        <f>IFERROR('4. Fix Cost (LC) '!J34/'Input-FX Rates'!$H$16,0)</f>
        <v>-2534.787472643678</v>
      </c>
      <c r="L34" s="345">
        <f>IFERROR('4. Fix Cost (LC) '!K34/'Input-FX Rates'!$H$16,0)</f>
        <v>-2536.2807360919542</v>
      </c>
      <c r="M34" s="345">
        <f>IFERROR('4. Fix Cost (LC) '!L34/'Input-FX Rates'!$H$16,0)</f>
        <v>-2480.3761788505744</v>
      </c>
      <c r="N34" s="345">
        <f>IFERROR('4. Fix Cost (LC) '!M34/'Input-FX Rates'!$H$16,0)</f>
        <v>-2463.20842091954</v>
      </c>
      <c r="O34" s="345">
        <f>IFERROR('4. Fix Cost (LC) '!N34/'Input-FX Rates'!$H$16,0)</f>
        <v>-2458.0904726436784</v>
      </c>
      <c r="P34" s="343">
        <f>IFERROR('4. Fix Cost (LC) '!O34/'Input-FX Rates'!$H$16,0)</f>
        <v>-2460.4476898850576</v>
      </c>
      <c r="Q34" s="344">
        <f>IFERROR('4. Fix Cost (LC) '!P34/'Input-FX Rates'!$H$16,0)</f>
        <v>-29579.652011034483</v>
      </c>
      <c r="R34" s="343">
        <f>IFERROR('4. Fix Cost (LC) '!Q34/'Input-FX Rates'!$H$16,0)</f>
        <v>-4699.63</v>
      </c>
      <c r="S34" s="345">
        <f t="shared" si="0"/>
        <v>-11064.317473352698</v>
      </c>
      <c r="T34" s="336">
        <f t="shared" si="1"/>
        <v>0.59757588775050063</v>
      </c>
      <c r="U34" s="345">
        <f t="shared" si="2"/>
        <v>-11655.784855172413</v>
      </c>
      <c r="V34" s="772">
        <f t="shared" si="3"/>
        <v>0.65029408853659931</v>
      </c>
      <c r="W34" s="937" t="str">
        <f>IF(ISBLANK('4. Fix Cost (LC) '!T34),"",'4. Fix Cost (LC) '!T34)</f>
        <v/>
      </c>
      <c r="Y34" s="19" t="s">
        <v>295</v>
      </c>
    </row>
    <row r="35" spans="1:25" ht="15" x14ac:dyDescent="0.25">
      <c r="A35" s="351"/>
      <c r="B35" s="347"/>
      <c r="C35" s="349"/>
      <c r="D35" s="349"/>
      <c r="E35" s="762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347"/>
      <c r="R35" s="350"/>
      <c r="S35" s="349"/>
      <c r="T35" s="348"/>
      <c r="U35" s="349"/>
      <c r="V35" s="773"/>
      <c r="W35" s="347" t="str">
        <f>IF(ISBLANK('4. Fix Cost (LC) '!T35),"",'4. Fix Cost (LC) '!T35)</f>
        <v/>
      </c>
      <c r="Y35" s="267"/>
    </row>
    <row r="36" spans="1:25" s="335" customFormat="1" ht="15.75" x14ac:dyDescent="0.2">
      <c r="A36" s="341" t="s">
        <v>294</v>
      </c>
      <c r="B36" s="344">
        <f>IFERROR('4. Fix Cost (LC) '!B36/'Input-FX Rates'!$E$16,0)</f>
        <v>-2814.8559972162102</v>
      </c>
      <c r="C36" s="345">
        <f>IFERROR('4. Fix Cost (LC) '!C36/'Input-FX Rates'!$G$16,0)</f>
        <v>-4773.468057331067</v>
      </c>
      <c r="D36" s="343">
        <f>IFERROR('4. Fix Cost (LC) '!C36/'Input-FX Rates'!$H$16,0)</f>
        <v>-4620.9809041379312</v>
      </c>
      <c r="E36" s="345">
        <f>IFERROR('4. Fix Cost (LC) '!D36/'Input-FX Rates'!$H$16,0)</f>
        <v>-439.99245379310344</v>
      </c>
      <c r="F36" s="337">
        <f>IFERROR('4. Fix Cost (LC) '!E36/'Input-FX Rates'!$H$16,0)</f>
        <v>-470.5457413793103</v>
      </c>
      <c r="G36" s="337">
        <f>IFERROR('4. Fix Cost (LC) '!F36/'Input-FX Rates'!$H$16,0)</f>
        <v>-432.5181986206897</v>
      </c>
      <c r="H36" s="337">
        <f>IFERROR('4. Fix Cost (LC) '!G36/'Input-FX Rates'!$H$16,0)</f>
        <v>-370.39364827586212</v>
      </c>
      <c r="I36" s="337">
        <f>IFERROR('4. Fix Cost (LC) '!H36/'Input-FX Rates'!$H$16,0)</f>
        <v>-397.01511586206891</v>
      </c>
      <c r="J36" s="337">
        <f>IFERROR('4. Fix Cost (LC) '!I36/'Input-FX Rates'!$H$16,0)</f>
        <v>-386.72307724137937</v>
      </c>
      <c r="K36" s="337">
        <f>IFERROR('4. Fix Cost (LC) '!J36/'Input-FX Rates'!$H$16,0)</f>
        <v>-486.85235655172414</v>
      </c>
      <c r="L36" s="337">
        <f>IFERROR('4. Fix Cost (LC) '!K36/'Input-FX Rates'!$H$16,0)</f>
        <v>-497.8415972413793</v>
      </c>
      <c r="M36" s="337">
        <f>IFERROR('4. Fix Cost (LC) '!L36/'Input-FX Rates'!$H$16,0)</f>
        <v>-440.86657034482761</v>
      </c>
      <c r="N36" s="337">
        <f>IFERROR('4. Fix Cost (LC) '!M36/'Input-FX Rates'!$H$16,0)</f>
        <v>-426.73675931034484</v>
      </c>
      <c r="O36" s="337">
        <f>IFERROR('4. Fix Cost (LC) '!N36/'Input-FX Rates'!$H$16,0)</f>
        <v>-420.57425034482765</v>
      </c>
      <c r="P36" s="340">
        <f>IFERROR('4. Fix Cost (LC) '!O36/'Input-FX Rates'!$H$16,0)</f>
        <v>-416.54312068965521</v>
      </c>
      <c r="Q36" s="344">
        <f>IFERROR('4. Fix Cost (LC) '!P36/'Input-FX Rates'!$H$16,0)</f>
        <v>-5186.6028896551725</v>
      </c>
      <c r="R36" s="343">
        <f>IFERROR('4. Fix Cost (LC) '!Q36/'Input-FX Rates'!$H$16,0)</f>
        <v>-4699.63</v>
      </c>
      <c r="S36" s="337">
        <f>+S15</f>
        <v>-413.13483232410545</v>
      </c>
      <c r="T36" s="336">
        <f>IFERROR(Q36/C36-1,0)</f>
        <v>8.654815060291754E-2</v>
      </c>
      <c r="U36" s="337">
        <f>+U15</f>
        <v>-565.62198551724123</v>
      </c>
      <c r="V36" s="772">
        <f t="shared" si="3"/>
        <v>0.12240301296435696</v>
      </c>
      <c r="W36" s="921" t="str">
        <f>IF(ISBLANK('4. Fix Cost (LC) '!T36),"",'4. Fix Cost (LC) '!T36)</f>
        <v/>
      </c>
      <c r="Y36" s="19"/>
    </row>
    <row r="37" spans="1:25" ht="15.75" x14ac:dyDescent="0.2">
      <c r="A37" s="923" t="s">
        <v>290</v>
      </c>
      <c r="B37" s="924">
        <f t="shared" ref="B37" si="4">IFERROR(B36/B$7,0)</f>
        <v>-7.8215709052167806E-2</v>
      </c>
      <c r="C37" s="925">
        <f t="shared" ref="C37:S37" si="5">IFERROR(C36/C$7,0)</f>
        <v>-5.0314981038547708E-2</v>
      </c>
      <c r="D37" s="926">
        <f t="shared" si="5"/>
        <v>-5.0314981038547708E-2</v>
      </c>
      <c r="E37" s="925">
        <f t="shared" si="5"/>
        <v>-4.0062122859994359E-2</v>
      </c>
      <c r="F37" s="925">
        <f t="shared" si="5"/>
        <v>-4.8256413743842208E-2</v>
      </c>
      <c r="G37" s="925">
        <f t="shared" si="5"/>
        <v>-4.0552992474337031E-2</v>
      </c>
      <c r="H37" s="925">
        <f t="shared" si="5"/>
        <v>-3.3441372285449661E-2</v>
      </c>
      <c r="I37" s="925">
        <f t="shared" si="5"/>
        <v>-3.5116215873696011E-2</v>
      </c>
      <c r="J37" s="925">
        <f t="shared" si="5"/>
        <v>-3.6729228011250302E-2</v>
      </c>
      <c r="K37" s="925">
        <f t="shared" si="5"/>
        <v>-4.0292592598183373E-2</v>
      </c>
      <c r="L37" s="925">
        <f t="shared" si="5"/>
        <v>-5.316675697119648E-2</v>
      </c>
      <c r="M37" s="925">
        <f t="shared" si="5"/>
        <v>-4.3458033667295622E-2</v>
      </c>
      <c r="N37" s="925">
        <f t="shared" si="5"/>
        <v>-3.7717091924971621E-2</v>
      </c>
      <c r="O37" s="925">
        <f t="shared" si="5"/>
        <v>-3.7172419097825191E-2</v>
      </c>
      <c r="P37" s="926">
        <f t="shared" si="5"/>
        <v>-3.6816128052975829E-2</v>
      </c>
      <c r="Q37" s="924">
        <f t="shared" si="5"/>
        <v>-3.9944974381692498E-2</v>
      </c>
      <c r="R37" s="926">
        <f t="shared" si="5"/>
        <v>-3.6194519601232551E-2</v>
      </c>
      <c r="S37" s="925">
        <f t="shared" si="5"/>
        <v>-1.1813308029543956E-2</v>
      </c>
      <c r="T37" s="927"/>
      <c r="U37" s="925">
        <f>IFERROR(U36/U$7,0)</f>
        <v>-1.4883756549371272E-2</v>
      </c>
      <c r="V37" s="928"/>
      <c r="W37" s="921" t="str">
        <f>IF(ISBLANK('4. Fix Cost (LC) '!T37),"",'4. Fix Cost (LC) '!T37)</f>
        <v/>
      </c>
      <c r="Y37" s="267"/>
    </row>
    <row r="38" spans="1:25" s="335" customFormat="1" ht="15.75" x14ac:dyDescent="0.2">
      <c r="A38" s="341" t="s">
        <v>293</v>
      </c>
      <c r="B38" s="344">
        <f>IFERROR('4. Fix Cost (LC) '!B38/'Input-FX Rates'!$E$16,0)</f>
        <v>-2968.5994990851223</v>
      </c>
      <c r="C38" s="345">
        <f>IFERROR('4. Fix Cost (LC) '!C38/'Input-FX Rates'!$G$16,0)</f>
        <v>-7023.9001600464335</v>
      </c>
      <c r="D38" s="343">
        <f>IFERROR('4. Fix Cost (LC) '!C38/'Input-FX Rates'!$H$16,0)</f>
        <v>-6799.52355862069</v>
      </c>
      <c r="E38" s="345">
        <f>IFERROR('4. Fix Cost (LC) '!D38/'Input-FX Rates'!$H$16,0)</f>
        <v>-693.02415310344827</v>
      </c>
      <c r="F38" s="337">
        <f>IFERROR('4. Fix Cost (LC) '!E38/'Input-FX Rates'!$H$16,0)</f>
        <v>-703.7741524137931</v>
      </c>
      <c r="G38" s="337">
        <f>IFERROR('4. Fix Cost (LC) '!F38/'Input-FX Rates'!$H$16,0)</f>
        <v>-719.54498620689651</v>
      </c>
      <c r="H38" s="337">
        <f>IFERROR('4. Fix Cost (LC) '!G38/'Input-FX Rates'!$H$16,0)</f>
        <v>-723.53456896551722</v>
      </c>
      <c r="I38" s="337">
        <f>IFERROR('4. Fix Cost (LC) '!H38/'Input-FX Rates'!$H$16,0)</f>
        <v>-727.54498551724146</v>
      </c>
      <c r="J38" s="337">
        <f>IFERROR('4. Fix Cost (LC) '!I38/'Input-FX Rates'!$H$16,0)</f>
        <v>-27.86469586206897</v>
      </c>
      <c r="K38" s="337">
        <f>IFERROR('4. Fix Cost (LC) '!J38/'Input-FX Rates'!$H$16,0)</f>
        <v>-50.012335862068959</v>
      </c>
      <c r="L38" s="337">
        <f>IFERROR('4. Fix Cost (LC) '!K38/'Input-FX Rates'!$H$16,0)</f>
        <v>-109.9256889655173</v>
      </c>
      <c r="M38" s="337">
        <f>IFERROR('4. Fix Cost (LC) '!L38/'Input-FX Rates'!$H$16,0)</f>
        <v>-199.23469655172417</v>
      </c>
      <c r="N38" s="337">
        <f>IFERROR('4. Fix Cost (LC) '!M38/'Input-FX Rates'!$H$16,0)</f>
        <v>-110.74860620689658</v>
      </c>
      <c r="O38" s="337">
        <f>IFERROR('4. Fix Cost (LC) '!N38/'Input-FX Rates'!$H$16,0)</f>
        <v>-110.74860620689658</v>
      </c>
      <c r="P38" s="340">
        <f>IFERROR('4. Fix Cost (LC) '!O38/'Input-FX Rates'!$H$16,0)</f>
        <v>92.024727586206879</v>
      </c>
      <c r="Q38" s="344">
        <f>IFERROR('4. Fix Cost (LC) '!P38/'Input-FX Rates'!$H$16,0)</f>
        <v>-4083.9327482758617</v>
      </c>
      <c r="R38" s="343">
        <f>IFERROR('4. Fix Cost (LC) '!Q38/'Input-FX Rates'!$H$16,0)</f>
        <v>0</v>
      </c>
      <c r="S38" s="337">
        <f>+S21+S22</f>
        <v>2939.9674117705717</v>
      </c>
      <c r="T38" s="336">
        <f>IFERROR(Q38/C38-1,0)</f>
        <v>-0.41856623026816153</v>
      </c>
      <c r="U38" s="337">
        <f>+U21+U22</f>
        <v>2715.5908103448282</v>
      </c>
      <c r="V38" s="772">
        <f t="shared" si="3"/>
        <v>-0.39937957224986753</v>
      </c>
      <c r="W38" s="921" t="str">
        <f>IF(ISBLANK('4. Fix Cost (LC) '!T38),"",'4. Fix Cost (LC) '!T38)</f>
        <v/>
      </c>
      <c r="Y38" s="19"/>
    </row>
    <row r="39" spans="1:25" ht="15.75" x14ac:dyDescent="0.25">
      <c r="A39" s="923" t="s">
        <v>290</v>
      </c>
      <c r="B39" s="924">
        <f t="shared" ref="B39" si="6">IFERROR(B38/B$7,0)</f>
        <v>-8.248774180365942E-2</v>
      </c>
      <c r="C39" s="925">
        <f t="shared" ref="C39:U39" si="7">IFERROR(C38/C$7,0)</f>
        <v>-7.4035774226377679E-2</v>
      </c>
      <c r="D39" s="926">
        <f t="shared" si="7"/>
        <v>-7.4035774226377679E-2</v>
      </c>
      <c r="E39" s="925">
        <f t="shared" si="7"/>
        <v>-6.3101124865267103E-2</v>
      </c>
      <c r="F39" s="925">
        <f t="shared" si="7"/>
        <v>-7.2174952814470728E-2</v>
      </c>
      <c r="G39" s="925">
        <f t="shared" si="7"/>
        <v>-6.7464681263470411E-2</v>
      </c>
      <c r="H39" s="925">
        <f t="shared" si="7"/>
        <v>-6.532506427903835E-2</v>
      </c>
      <c r="I39" s="925">
        <f t="shared" si="7"/>
        <v>-6.4351773392236772E-2</v>
      </c>
      <c r="J39" s="925">
        <f t="shared" si="7"/>
        <v>-2.6464641703894802E-3</v>
      </c>
      <c r="K39" s="925">
        <f t="shared" si="7"/>
        <v>-4.139091958076554E-3</v>
      </c>
      <c r="L39" s="925">
        <f t="shared" si="7"/>
        <v>-1.1739461753508977E-2</v>
      </c>
      <c r="M39" s="925">
        <f t="shared" si="7"/>
        <v>-1.963938464117625E-2</v>
      </c>
      <c r="N39" s="925">
        <f t="shared" si="7"/>
        <v>-9.7885060748427091E-3</v>
      </c>
      <c r="O39" s="925">
        <f t="shared" si="7"/>
        <v>-9.7885060748427091E-3</v>
      </c>
      <c r="P39" s="926">
        <f t="shared" si="7"/>
        <v>8.1335976674987015E-3</v>
      </c>
      <c r="Q39" s="924">
        <f t="shared" si="7"/>
        <v>-3.145268540450763E-2</v>
      </c>
      <c r="R39" s="926">
        <f t="shared" si="7"/>
        <v>0</v>
      </c>
      <c r="S39" s="925">
        <f t="shared" si="7"/>
        <v>8.4066357795801863E-2</v>
      </c>
      <c r="T39" s="927"/>
      <c r="U39" s="925">
        <f t="shared" si="7"/>
        <v>7.1457958749466352E-2</v>
      </c>
      <c r="V39" s="928"/>
      <c r="W39" s="921" t="str">
        <f>IF(ISBLANK('4. Fix Cost (LC) '!T39),"",'4. Fix Cost (LC) '!T39)</f>
        <v/>
      </c>
      <c r="X39" s="349"/>
      <c r="Y39" s="267"/>
    </row>
    <row r="40" spans="1:25" s="335" customFormat="1" ht="15.75" x14ac:dyDescent="0.2">
      <c r="A40" s="341" t="s">
        <v>292</v>
      </c>
      <c r="B40" s="344">
        <f>IFERROR('4. Fix Cost (LC) '!B40/'Input-FX Rates'!$E$16,0)</f>
        <v>-5783.4554963013325</v>
      </c>
      <c r="C40" s="345">
        <f>IFERROR('4. Fix Cost (LC) '!C40/'Input-FX Rates'!$G$16,0)</f>
        <v>-11797.368217377501</v>
      </c>
      <c r="D40" s="343">
        <f>IFERROR('4. Fix Cost (LC) '!C40/'Input-FX Rates'!$H$16,0)</f>
        <v>-11420.504462758621</v>
      </c>
      <c r="E40" s="345">
        <f>IFERROR('4. Fix Cost (LC) '!D40/'Input-FX Rates'!$H$16,0)</f>
        <v>-1133.0166068965518</v>
      </c>
      <c r="F40" s="345">
        <f>IFERROR('4. Fix Cost (LC) '!E40/'Input-FX Rates'!$H$16,0)</f>
        <v>-1174.3198937931033</v>
      </c>
      <c r="G40" s="345">
        <f>IFERROR('4. Fix Cost (LC) '!F40/'Input-FX Rates'!$H$16,0)</f>
        <v>-1152.0631848275862</v>
      </c>
      <c r="H40" s="345">
        <f>IFERROR('4. Fix Cost (LC) '!G40/'Input-FX Rates'!$H$16,0)</f>
        <v>-1093.9282172413793</v>
      </c>
      <c r="I40" s="345">
        <f>IFERROR('4. Fix Cost (LC) '!H40/'Input-FX Rates'!$H$16,0)</f>
        <v>-1124.5601013793103</v>
      </c>
      <c r="J40" s="345">
        <f>IFERROR('4. Fix Cost (LC) '!I40/'Input-FX Rates'!$H$16,0)</f>
        <v>-414.58777310344834</v>
      </c>
      <c r="K40" s="345">
        <f>IFERROR('4. Fix Cost (LC) '!J40/'Input-FX Rates'!$H$16,0)</f>
        <v>-536.86469241379314</v>
      </c>
      <c r="L40" s="345">
        <f>IFERROR('4. Fix Cost (LC) '!K40/'Input-FX Rates'!$H$16,0)</f>
        <v>-607.76728620689664</v>
      </c>
      <c r="M40" s="345">
        <f>IFERROR('4. Fix Cost (LC) '!L40/'Input-FX Rates'!$H$16,0)</f>
        <v>-640.10126689655181</v>
      </c>
      <c r="N40" s="345">
        <f>IFERROR('4. Fix Cost (LC) '!M40/'Input-FX Rates'!$H$16,0)</f>
        <v>-537.48536551724135</v>
      </c>
      <c r="O40" s="345">
        <f>IFERROR('4. Fix Cost (LC) '!N40/'Input-FX Rates'!$H$16,0)</f>
        <v>-531.32285655172416</v>
      </c>
      <c r="P40" s="343">
        <f>IFERROR('4. Fix Cost (LC) '!O40/'Input-FX Rates'!$H$16,0)</f>
        <v>-324.51839310344832</v>
      </c>
      <c r="Q40" s="344">
        <f>IFERROR('4. Fix Cost (LC) '!P40/'Input-FX Rates'!$H$16,0)</f>
        <v>-9270.5356379310342</v>
      </c>
      <c r="R40" s="343">
        <f>IFERROR('4. Fix Cost (LC) '!Q40/'Input-FX Rates'!$H$16,0)</f>
        <v>-4699.63</v>
      </c>
      <c r="S40" s="337">
        <f>+S36+S38</f>
        <v>2526.8325794464663</v>
      </c>
      <c r="T40" s="336">
        <f>IFERROR(Q40/C40-1,0)</f>
        <v>-0.21418612464129483</v>
      </c>
      <c r="U40" s="337">
        <f>+U36+U38</f>
        <v>2149.968824827587</v>
      </c>
      <c r="V40" s="772">
        <f t="shared" si="3"/>
        <v>-0.18825515386281477</v>
      </c>
      <c r="W40" s="921" t="str">
        <f>IF(ISBLANK('4. Fix Cost (LC) '!T40),"",'4. Fix Cost (LC) '!T40)</f>
        <v/>
      </c>
      <c r="Y40" s="19"/>
    </row>
    <row r="41" spans="1:25" ht="15.75" x14ac:dyDescent="0.25">
      <c r="A41" s="923" t="s">
        <v>290</v>
      </c>
      <c r="B41" s="929">
        <f t="shared" ref="B41" si="8">IFERROR(B40/B$7,0)</f>
        <v>-0.16070345085582721</v>
      </c>
      <c r="C41" s="930">
        <f t="shared" ref="C41:U41" si="9">IFERROR(C40/C$7,0)</f>
        <v>-0.12435075526492539</v>
      </c>
      <c r="D41" s="931">
        <f t="shared" si="9"/>
        <v>-0.12435075526492539</v>
      </c>
      <c r="E41" s="932">
        <f t="shared" si="9"/>
        <v>-0.10316324772526148</v>
      </c>
      <c r="F41" s="932">
        <f t="shared" si="9"/>
        <v>-0.12043136655831292</v>
      </c>
      <c r="G41" s="932">
        <f t="shared" si="9"/>
        <v>-0.10801767373780745</v>
      </c>
      <c r="H41" s="932">
        <f t="shared" si="9"/>
        <v>-9.8766436564488011E-2</v>
      </c>
      <c r="I41" s="932">
        <f t="shared" si="9"/>
        <v>-9.9467989265932769E-2</v>
      </c>
      <c r="J41" s="932">
        <f t="shared" si="9"/>
        <v>-3.9375692181639783E-2</v>
      </c>
      <c r="K41" s="932">
        <f t="shared" si="9"/>
        <v>-4.4431684556259933E-2</v>
      </c>
      <c r="L41" s="932">
        <f t="shared" si="9"/>
        <v>-6.4906218724705464E-2</v>
      </c>
      <c r="M41" s="932">
        <f t="shared" si="9"/>
        <v>-6.3097418308471875E-2</v>
      </c>
      <c r="N41" s="932">
        <f t="shared" si="9"/>
        <v>-4.7505597999814325E-2</v>
      </c>
      <c r="O41" s="932">
        <f t="shared" si="9"/>
        <v>-4.6960925172667894E-2</v>
      </c>
      <c r="P41" s="933">
        <f t="shared" si="9"/>
        <v>-2.8682530385477127E-2</v>
      </c>
      <c r="Q41" s="934">
        <f t="shared" si="9"/>
        <v>-7.1397659786200121E-2</v>
      </c>
      <c r="R41" s="933">
        <f t="shared" si="9"/>
        <v>-3.6194519601232551E-2</v>
      </c>
      <c r="S41" s="932">
        <f t="shared" si="9"/>
        <v>7.2253049766257904E-2</v>
      </c>
      <c r="T41" s="933"/>
      <c r="U41" s="932">
        <f t="shared" si="9"/>
        <v>5.6574202200095083E-2</v>
      </c>
      <c r="V41" s="932"/>
      <c r="W41" s="922" t="str">
        <f>IF(ISBLANK('4. Fix Cost (LC) '!T41),"",'4. Fix Cost (LC) '!T41)</f>
        <v/>
      </c>
      <c r="X41" s="342"/>
    </row>
    <row r="42" spans="1:25" s="335" customFormat="1" ht="15.75" x14ac:dyDescent="0.2">
      <c r="A42" s="341" t="s">
        <v>291</v>
      </c>
      <c r="B42" s="344">
        <f>IFERROR('4. Fix Cost (LC) '!B42/'Input-FX Rates'!$E$16,0)</f>
        <v>-1675.8260186341638</v>
      </c>
      <c r="C42" s="345">
        <f>IFERROR('4. Fix Cost (LC) '!C42/'Input-FX Rates'!$G$16,0)</f>
        <v>-3284.4746189826405</v>
      </c>
      <c r="D42" s="343">
        <f>IFERROR('4. Fix Cost (LC) '!C42/'Input-FX Rates'!$H$16,0)</f>
        <v>-3179.5529606896548</v>
      </c>
      <c r="E42" s="345">
        <f>IFERROR('4. Fix Cost (LC) '!D42/'Input-FX Rates'!$H$16,0)</f>
        <v>-322.95909586206898</v>
      </c>
      <c r="F42" s="337">
        <f>IFERROR('4. Fix Cost (LC) '!E42/'Input-FX Rates'!$H$16,0)</f>
        <v>-314.41400000000004</v>
      </c>
      <c r="G42" s="337">
        <f>IFERROR('4. Fix Cost (LC) '!F42/'Input-FX Rates'!$H$16,0)</f>
        <v>-314.28341793103448</v>
      </c>
      <c r="H42" s="337">
        <f>IFERROR('4. Fix Cost (LC) '!G42/'Input-FX Rates'!$H$16,0)</f>
        <v>-288.71013655172413</v>
      </c>
      <c r="I42" s="337">
        <f>IFERROR('4. Fix Cost (LC) '!H42/'Input-FX Rates'!$H$16,0)</f>
        <v>-305.14616137931034</v>
      </c>
      <c r="J42" s="337">
        <f>IFERROR('4. Fix Cost (LC) '!I42/'Input-FX Rates'!$H$16,0)</f>
        <v>-309.6168055172414</v>
      </c>
      <c r="K42" s="337">
        <f>IFERROR('4. Fix Cost (LC) '!J42/'Input-FX Rates'!$H$16,0)</f>
        <v>-398.91771379310347</v>
      </c>
      <c r="L42" s="337">
        <f>IFERROR('4. Fix Cost (LC) '!K42/'Input-FX Rates'!$H$16,0)</f>
        <v>-365.04106206896552</v>
      </c>
      <c r="M42" s="337">
        <f>IFERROR('4. Fix Cost (LC) '!L42/'Input-FX Rates'!$H$16,0)</f>
        <v>-338.53805103448275</v>
      </c>
      <c r="N42" s="337">
        <f>IFERROR('4. Fix Cost (LC) '!M42/'Input-FX Rates'!$H$16,0)</f>
        <v>-336.86681862068963</v>
      </c>
      <c r="O42" s="337">
        <f>IFERROR('4. Fix Cost (LC) '!N42/'Input-FX Rates'!$H$16,0)</f>
        <v>-332.78999793103446</v>
      </c>
      <c r="P42" s="340">
        <f>IFERROR('4. Fix Cost (LC) '!O42/'Input-FX Rates'!$H$16,0)</f>
        <v>-343.32983862068966</v>
      </c>
      <c r="Q42" s="344">
        <f>IFERROR('4. Fix Cost (LC) '!P42/'Input-FX Rates'!$H$16,0)</f>
        <v>-3970.6130993103448</v>
      </c>
      <c r="R42" s="343">
        <f>IFERROR('4. Fix Cost (LC) '!Q42/'Input-FX Rates'!$H$16,0)</f>
        <v>-4219.63</v>
      </c>
      <c r="S42" s="337">
        <f>+S8+S26</f>
        <v>-686.13848032770386</v>
      </c>
      <c r="T42" s="336">
        <f>IFERROR(Q42/C42-1,0)</f>
        <v>0.20890357208491217</v>
      </c>
      <c r="U42" s="337">
        <f>+U8+U26</f>
        <v>-791.06013862068937</v>
      </c>
      <c r="V42" s="772">
        <f>IFERROR(Q42/D42-1,0)</f>
        <v>0.24879602522774347</v>
      </c>
      <c r="W42" s="922" t="str">
        <f>IF(ISBLANK('4. Fix Cost (LC) '!T42),"",'4. Fix Cost (LC) '!T42)</f>
        <v/>
      </c>
      <c r="Y42" s="19"/>
    </row>
    <row r="43" spans="1:25" ht="15.75" x14ac:dyDescent="0.2">
      <c r="A43" s="923" t="s">
        <v>290</v>
      </c>
      <c r="B43" s="924">
        <f t="shared" ref="B43" si="10">IFERROR(B42/B$7,0)</f>
        <v>-4.6565764083552334E-2</v>
      </c>
      <c r="C43" s="925">
        <f t="shared" ref="C43:R43" si="11">IFERROR(C42/C$7,0)</f>
        <v>-3.4620170532386821E-2</v>
      </c>
      <c r="D43" s="926">
        <f t="shared" si="11"/>
        <v>-3.4620170532386821E-2</v>
      </c>
      <c r="E43" s="925">
        <f t="shared" si="11"/>
        <v>-2.9406020184298227E-2</v>
      </c>
      <c r="F43" s="925">
        <f t="shared" si="11"/>
        <v>-3.224445731116659E-2</v>
      </c>
      <c r="G43" s="925">
        <f t="shared" si="11"/>
        <v>-2.9467275880669712E-2</v>
      </c>
      <c r="H43" s="925">
        <f t="shared" si="11"/>
        <v>-2.6066492241299064E-2</v>
      </c>
      <c r="I43" s="925">
        <f t="shared" si="11"/>
        <v>-2.6990353888057879E-2</v>
      </c>
      <c r="J43" s="925">
        <f t="shared" si="11"/>
        <v>-2.9406019229774833E-2</v>
      </c>
      <c r="K43" s="925">
        <f t="shared" si="11"/>
        <v>-3.3014996653008007E-2</v>
      </c>
      <c r="L43" s="925">
        <f t="shared" si="11"/>
        <v>-3.8984386879423648E-2</v>
      </c>
      <c r="M43" s="925">
        <f t="shared" si="11"/>
        <v>-3.3371090051146135E-2</v>
      </c>
      <c r="N43" s="925">
        <f t="shared" si="11"/>
        <v>-2.9773944913775528E-2</v>
      </c>
      <c r="O43" s="925">
        <f t="shared" si="11"/>
        <v>-2.9413615466268233E-2</v>
      </c>
      <c r="P43" s="926">
        <f t="shared" si="11"/>
        <v>-3.0345178386667695E-2</v>
      </c>
      <c r="Q43" s="935">
        <f t="shared" si="11"/>
        <v>-3.0579946432357227E-2</v>
      </c>
      <c r="R43" s="926">
        <f t="shared" si="11"/>
        <v>-3.2497767003987314E-2</v>
      </c>
      <c r="S43" s="925">
        <f>IFERROR(S42/S$7,0)</f>
        <v>-1.9619660664863797E-2</v>
      </c>
      <c r="T43" s="927"/>
      <c r="U43" s="925">
        <f>IFERROR(U42/U$7,0)</f>
        <v>-2.0815927988328417E-2</v>
      </c>
      <c r="V43" s="928"/>
      <c r="W43" s="921" t="str">
        <f>IF(ISBLANK('4. Fix Cost (LC) '!T43),"",'4. Fix Cost (LC) '!T43)</f>
        <v/>
      </c>
      <c r="Y43" s="267"/>
    </row>
    <row r="44" spans="1:25" x14ac:dyDescent="0.2"/>
    <row r="45" spans="1:25" x14ac:dyDescent="0.2"/>
    <row r="46" spans="1:25" x14ac:dyDescent="0.2">
      <c r="A46" s="221" t="s">
        <v>910</v>
      </c>
      <c r="B46" s="96">
        <f t="shared" ref="B46:R46" si="12">+B40-B23</f>
        <v>0</v>
      </c>
      <c r="C46" s="96">
        <f t="shared" si="12"/>
        <v>0</v>
      </c>
      <c r="D46" s="96">
        <f t="shared" si="12"/>
        <v>0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96"/>
    </row>
  </sheetData>
  <mergeCells count="3">
    <mergeCell ref="E4:P4"/>
    <mergeCell ref="Q4:R4"/>
    <mergeCell ref="B4:D4"/>
  </mergeCells>
  <conditionalFormatting sqref="B22:R22">
    <cfRule type="cellIs" dxfId="5" priority="2" operator="notEqual">
      <formula>0</formula>
    </cfRule>
  </conditionalFormatting>
  <conditionalFormatting sqref="B46:S46">
    <cfRule type="cellIs" dxfId="4" priority="1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27"/>
  <sheetViews>
    <sheetView showGridLines="0" zoomScaleNormal="100" workbookViewId="0">
      <pane xSplit="1" ySplit="5" topLeftCell="B6" activePane="bottomRight" state="frozen"/>
      <selection activeCell="F20" sqref="F20"/>
      <selection pane="topRight" activeCell="F20" sqref="F20"/>
      <selection pane="bottomLeft" activeCell="F20" sqref="F20"/>
      <selection pane="bottomRight" activeCell="I22" sqref="I22"/>
    </sheetView>
  </sheetViews>
  <sheetFormatPr defaultColWidth="9.28515625" defaultRowHeight="12.75" customHeight="1" outlineLevelCol="1" x14ac:dyDescent="0.2"/>
  <cols>
    <col min="1" max="1" width="52.28515625" style="221" customWidth="1"/>
    <col min="2" max="5" width="14" style="221" customWidth="1"/>
    <col min="6" max="10" width="14" style="221" customWidth="1" outlineLevel="1"/>
    <col min="11" max="13" width="14" style="221" customWidth="1"/>
    <col min="14" max="14" width="54.7109375" style="221" customWidth="1"/>
    <col min="15" max="15" width="9.28515625" style="221"/>
    <col min="16" max="16" width="148.5703125" style="221" bestFit="1" customWidth="1"/>
    <col min="17" max="20" width="9.28515625" style="221"/>
    <col min="21" max="21" width="9.28515625" style="221" customWidth="1"/>
    <col min="22" max="16384" width="9.28515625" style="221"/>
  </cols>
  <sheetData>
    <row r="1" spans="1:16" ht="19.899999999999999" customHeight="1" x14ac:dyDescent="0.25">
      <c r="A1" s="60" t="str">
        <f>+'0. Instructions'!A1</f>
        <v>Budget 2024</v>
      </c>
      <c r="B1" s="60"/>
      <c r="C1" s="60"/>
      <c r="D1" s="715"/>
      <c r="E1" s="397"/>
      <c r="F1" s="397"/>
      <c r="G1" s="397"/>
      <c r="H1" s="397"/>
      <c r="I1" s="397"/>
      <c r="J1" s="397"/>
      <c r="K1" s="219"/>
      <c r="L1" s="219"/>
      <c r="M1" s="72"/>
      <c r="N1" s="57" t="str">
        <f>'Input-FX Rates'!$H$1</f>
        <v>Plant ICH Icheon (242)</v>
      </c>
      <c r="P1" s="397" t="s">
        <v>144</v>
      </c>
    </row>
    <row r="2" spans="1:16" ht="19.899999999999999" customHeight="1" thickBot="1" x14ac:dyDescent="0.3">
      <c r="A2" s="55" t="s">
        <v>362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55"/>
      <c r="N2" s="54" t="str">
        <f>'Input-FX Rates'!$H$2</f>
        <v>7851 PL eMotor Controls</v>
      </c>
      <c r="P2" s="95" t="s">
        <v>142</v>
      </c>
    </row>
    <row r="3" spans="1:16" ht="12.75" customHeight="1" x14ac:dyDescent="0.2">
      <c r="M3" s="375"/>
    </row>
    <row r="4" spans="1:16" ht="26.65" customHeight="1" x14ac:dyDescent="0.2">
      <c r="A4" s="188" t="str">
        <f>"Logistic Cost"&amp;" in '000 "&amp;'Input-FX Rates'!$B$8</f>
        <v>Logistic Cost in '000 KRW</v>
      </c>
      <c r="B4" s="1035">
        <v>2023</v>
      </c>
      <c r="C4" s="1033"/>
      <c r="D4" s="1033"/>
      <c r="E4" s="1036"/>
      <c r="F4" s="1035" t="s">
        <v>1041</v>
      </c>
      <c r="G4" s="1033"/>
      <c r="H4" s="1033"/>
      <c r="I4" s="1033"/>
      <c r="J4" s="1036"/>
      <c r="K4" s="1035">
        <v>2024</v>
      </c>
      <c r="L4" s="1033"/>
      <c r="M4" s="1034"/>
      <c r="N4" s="304" t="s">
        <v>154</v>
      </c>
    </row>
    <row r="5" spans="1:16" ht="53.65" customHeight="1" x14ac:dyDescent="0.2">
      <c r="A5" s="188"/>
      <c r="B5" s="656" t="s">
        <v>169</v>
      </c>
      <c r="C5" s="187" t="s">
        <v>115</v>
      </c>
      <c r="D5" s="187" t="s">
        <v>361</v>
      </c>
      <c r="E5" s="188" t="s">
        <v>360</v>
      </c>
      <c r="F5" s="656" t="s">
        <v>216</v>
      </c>
      <c r="G5" s="187" t="s">
        <v>215</v>
      </c>
      <c r="H5" s="187" t="s">
        <v>214</v>
      </c>
      <c r="I5" s="187" t="s">
        <v>213</v>
      </c>
      <c r="J5" s="188" t="s">
        <v>211</v>
      </c>
      <c r="K5" s="656" t="s">
        <v>210</v>
      </c>
      <c r="L5" s="187" t="s">
        <v>114</v>
      </c>
      <c r="M5" s="187" t="s">
        <v>209</v>
      </c>
      <c r="N5" s="304"/>
    </row>
    <row r="6" spans="1:16" ht="22.15" customHeight="1" x14ac:dyDescent="0.25">
      <c r="A6" s="79" t="s">
        <v>167</v>
      </c>
      <c r="B6" s="685">
        <f>'P&amp;L'!F8</f>
        <v>50414410.311999999</v>
      </c>
      <c r="C6" s="387">
        <f>'P&amp;L'!H8</f>
        <v>133169528.691</v>
      </c>
      <c r="D6" s="387">
        <f>'2. Variable (LC)'!D6</f>
        <v>1084255.523</v>
      </c>
      <c r="E6" s="384">
        <f>C6-D6</f>
        <v>132085273.168</v>
      </c>
      <c r="F6" s="386">
        <f>'2. Variable (LC)'!F6</f>
        <v>53749816.292600863</v>
      </c>
      <c r="G6" s="385">
        <f>'2. Variable (LC)'!G6</f>
        <v>0</v>
      </c>
      <c r="H6" s="385">
        <f>'2. Variable (LC)'!H6</f>
        <v>-3855985.4235721258</v>
      </c>
      <c r="I6" s="385">
        <f>'2. Variable (LC)'!I6</f>
        <v>0</v>
      </c>
      <c r="J6" s="384">
        <f>'2. Variable (LC)'!K6</f>
        <v>6294247.1519712806</v>
      </c>
      <c r="K6" s="383">
        <f>+'2. Variable (LC)'!L6</f>
        <v>188273351.18900001</v>
      </c>
      <c r="L6" s="382">
        <f>+'2. Variable (LC)'!M6</f>
        <v>188273351.18900001</v>
      </c>
      <c r="M6" s="381">
        <f>IFERROR(L6/C6-1,0)</f>
        <v>0.41378702049670979</v>
      </c>
      <c r="N6" s="380"/>
      <c r="P6" s="220"/>
    </row>
    <row r="7" spans="1:16" ht="22.15" customHeight="1" x14ac:dyDescent="0.25">
      <c r="A7" s="79" t="s">
        <v>359</v>
      </c>
      <c r="B7" s="685">
        <f>'2. Variable (LC)'!B7</f>
        <v>51564412.501000002</v>
      </c>
      <c r="C7" s="387">
        <f>'2. Variable (LC)'!C7</f>
        <v>121329721.927</v>
      </c>
      <c r="D7" s="387">
        <f>'2. Variable (LC)'!D7</f>
        <v>1084255.523</v>
      </c>
      <c r="E7" s="384">
        <f>C7-D7</f>
        <v>120245466.404</v>
      </c>
      <c r="F7" s="386">
        <f>'2. Variable (LC)'!F7</f>
        <v>0</v>
      </c>
      <c r="G7" s="385">
        <f>'2. Variable (LC)'!G7</f>
        <v>0</v>
      </c>
      <c r="H7" s="385">
        <f>'2. Variable (LC)'!H7</f>
        <v>0</v>
      </c>
      <c r="I7" s="385">
        <f>'2. Variable (LC)'!I7</f>
        <v>0</v>
      </c>
      <c r="J7" s="384">
        <f>'2. Variable (LC)'!K7</f>
        <v>0</v>
      </c>
      <c r="K7" s="383">
        <f>+'2. Variable (LC)'!L7</f>
        <v>188273351.18900001</v>
      </c>
      <c r="L7" s="382">
        <f>'2. Variable (LC)'!M7</f>
        <v>188273351.18900001</v>
      </c>
      <c r="M7" s="381">
        <f>IFERROR(L7/C7-1,0)</f>
        <v>0.55174963066574678</v>
      </c>
      <c r="N7" s="380"/>
      <c r="P7" s="220"/>
    </row>
    <row r="8" spans="1:16" ht="15" customHeight="1" x14ac:dyDescent="0.25">
      <c r="A8" s="79" t="s">
        <v>358</v>
      </c>
      <c r="B8" s="685">
        <f>B10+B18</f>
        <v>-956144.79500000004</v>
      </c>
      <c r="C8" s="387">
        <f>C10+C18</f>
        <v>-2582136.6664244272</v>
      </c>
      <c r="D8" s="387">
        <f>D10+D18</f>
        <v>-117750.53640516293</v>
      </c>
      <c r="E8" s="384">
        <f>C8-D8</f>
        <v>-2464386.1300192643</v>
      </c>
      <c r="F8" s="386">
        <f>IF($C$6=0,0,ROUND($F$6/$E$6*E8,0))</f>
        <v>-1002839</v>
      </c>
      <c r="G8" s="385">
        <f>+G10+G18</f>
        <v>0</v>
      </c>
      <c r="H8" s="385">
        <f>+H10+H18</f>
        <v>-35085.405072289228</v>
      </c>
      <c r="I8" s="385">
        <f>+I10+I18</f>
        <v>102285</v>
      </c>
      <c r="J8" s="384"/>
      <c r="K8" s="383">
        <v>0</v>
      </c>
      <c r="L8" s="382">
        <f>L10+L18</f>
        <v>-3528936.2722965516</v>
      </c>
      <c r="M8" s="381">
        <f>IFERROR(L8/C8-1,0)</f>
        <v>0.36667292563688747</v>
      </c>
      <c r="N8" s="380"/>
      <c r="P8" s="220"/>
    </row>
    <row r="9" spans="1:16" ht="18" customHeight="1" x14ac:dyDescent="0.2">
      <c r="A9" s="153" t="s">
        <v>339</v>
      </c>
      <c r="B9" s="392">
        <f>IFERROR(B8/$B$6,0)</f>
        <v>-1.8965704231839672E-2</v>
      </c>
      <c r="C9" s="391">
        <f>IFERROR(C8/$C$6,0)</f>
        <v>-1.9389846099222063E-2</v>
      </c>
      <c r="D9" s="391"/>
      <c r="E9" s="395">
        <f>IFERROR(E8/$E$6,0)</f>
        <v>-1.8657538958826984E-2</v>
      </c>
      <c r="F9" s="392">
        <f>IFERROR(F8/$E$6,0)</f>
        <v>-7.5923604195032666E-3</v>
      </c>
      <c r="G9" s="391"/>
      <c r="H9" s="391"/>
      <c r="I9" s="391"/>
      <c r="J9" s="395"/>
      <c r="K9" s="390">
        <f>IFERROR(K8/$K$6,0)</f>
        <v>0</v>
      </c>
      <c r="L9" s="394">
        <f>IFERROR(L8/$L$6,0)</f>
        <v>-1.8743684382363787E-2</v>
      </c>
      <c r="M9" s="389"/>
      <c r="N9" s="388"/>
    </row>
    <row r="10" spans="1:16" ht="14.65" customHeight="1" x14ac:dyDescent="0.2">
      <c r="A10" s="79" t="s">
        <v>357</v>
      </c>
      <c r="B10" s="685">
        <f>SUM(B11:B17)</f>
        <v>-433029.45100000006</v>
      </c>
      <c r="C10" s="387">
        <f>SUM(C11:C17)</f>
        <v>-1055823.3034411448</v>
      </c>
      <c r="D10" s="387">
        <f>SUM(D11:D17)</f>
        <v>-111300</v>
      </c>
      <c r="E10" s="384">
        <f t="shared" ref="E10:E23" si="0">C10-D10</f>
        <v>-944523.30344114476</v>
      </c>
      <c r="F10" s="386">
        <f t="shared" ref="F10:L10" si="1">SUM(F11:F17)</f>
        <v>-384357</v>
      </c>
      <c r="G10" s="385">
        <f t="shared" si="1"/>
        <v>0</v>
      </c>
      <c r="H10" s="385">
        <f t="shared" si="1"/>
        <v>-23242.824000000022</v>
      </c>
      <c r="I10" s="385">
        <f t="shared" si="1"/>
        <v>0</v>
      </c>
      <c r="J10" s="384">
        <f t="shared" si="1"/>
        <v>-53336.006804879427</v>
      </c>
      <c r="K10" s="382">
        <f t="shared" si="1"/>
        <v>0</v>
      </c>
      <c r="L10" s="382">
        <f t="shared" si="1"/>
        <v>-1405459.1342460243</v>
      </c>
      <c r="M10" s="381">
        <f t="shared" ref="M10:M23" si="2">IFERROR(L10/C10-1,0)</f>
        <v>0.33114994683802168</v>
      </c>
      <c r="N10" s="380"/>
    </row>
    <row r="11" spans="1:16" ht="14.65" customHeight="1" x14ac:dyDescent="0.25">
      <c r="A11" s="379" t="s">
        <v>356</v>
      </c>
      <c r="B11" s="155">
        <v>-215134.24299999999</v>
      </c>
      <c r="C11" s="155">
        <v>-460332.77124199399</v>
      </c>
      <c r="D11" s="140"/>
      <c r="E11" s="147">
        <f t="shared" si="0"/>
        <v>-460332.77124199399</v>
      </c>
      <c r="F11" s="151">
        <f t="shared" ref="F11:F17" si="3">IF($C$6=0,0,ROUND($F$6/$E$6*E11,0))</f>
        <v>-187324</v>
      </c>
      <c r="G11" s="140"/>
      <c r="H11" s="149">
        <f>((L11/(1+'6. HC (LC)'!Q36))-L11)*-1</f>
        <v>-23242.824000000022</v>
      </c>
      <c r="I11" s="140"/>
      <c r="J11" s="147">
        <f t="shared" ref="J11:J17" si="4">+L11-SUM(E11:I11)</f>
        <v>27848.131241993979</v>
      </c>
      <c r="K11" s="141"/>
      <c r="L11" s="165">
        <v>-643051.46400000004</v>
      </c>
      <c r="M11" s="393">
        <f t="shared" si="2"/>
        <v>0.39692740593945675</v>
      </c>
      <c r="N11" s="374"/>
      <c r="P11" s="220" t="s">
        <v>1464</v>
      </c>
    </row>
    <row r="12" spans="1:16" ht="14.65" customHeight="1" x14ac:dyDescent="0.25">
      <c r="A12" s="379" t="s">
        <v>354</v>
      </c>
      <c r="B12" s="155">
        <v>-105249.397</v>
      </c>
      <c r="C12" s="155">
        <v>-345514.77547653619</v>
      </c>
      <c r="D12" s="140">
        <v>0</v>
      </c>
      <c r="E12" s="147">
        <f t="shared" si="0"/>
        <v>-345514.77547653619</v>
      </c>
      <c r="F12" s="151">
        <f t="shared" si="3"/>
        <v>-140601</v>
      </c>
      <c r="G12" s="140"/>
      <c r="H12" s="140"/>
      <c r="I12" s="140"/>
      <c r="J12" s="147">
        <f t="shared" si="4"/>
        <v>137519.37975729391</v>
      </c>
      <c r="K12" s="141"/>
      <c r="L12" s="165">
        <v>-348596.39571924228</v>
      </c>
      <c r="M12" s="393">
        <f t="shared" si="2"/>
        <v>8.9189246348608808E-3</v>
      </c>
      <c r="N12" s="374"/>
      <c r="P12" s="220" t="s">
        <v>1418</v>
      </c>
    </row>
    <row r="13" spans="1:16" ht="14.65" customHeight="1" x14ac:dyDescent="0.25">
      <c r="A13" s="379" t="s">
        <v>353</v>
      </c>
      <c r="B13" s="155">
        <v>-47732.432000000001</v>
      </c>
      <c r="C13" s="155">
        <v>-111300</v>
      </c>
      <c r="D13" s="140">
        <v>-111300</v>
      </c>
      <c r="E13" s="147">
        <f t="shared" si="0"/>
        <v>0</v>
      </c>
      <c r="F13" s="151">
        <f t="shared" si="3"/>
        <v>0</v>
      </c>
      <c r="G13" s="140"/>
      <c r="H13" s="140"/>
      <c r="I13" s="140"/>
      <c r="J13" s="147">
        <f t="shared" si="4"/>
        <v>0</v>
      </c>
      <c r="K13" s="141"/>
      <c r="L13" s="165"/>
      <c r="M13" s="393">
        <f t="shared" si="2"/>
        <v>-1</v>
      </c>
      <c r="N13" s="374"/>
      <c r="P13" s="220" t="s">
        <v>352</v>
      </c>
    </row>
    <row r="14" spans="1:16" ht="14.65" customHeight="1" x14ac:dyDescent="0.25">
      <c r="A14" s="379" t="s">
        <v>351</v>
      </c>
      <c r="B14" s="155"/>
      <c r="C14" s="155">
        <v>0</v>
      </c>
      <c r="D14" s="140">
        <v>0</v>
      </c>
      <c r="E14" s="147">
        <f t="shared" si="0"/>
        <v>0</v>
      </c>
      <c r="F14" s="151">
        <f t="shared" si="3"/>
        <v>0</v>
      </c>
      <c r="G14" s="140"/>
      <c r="H14" s="140"/>
      <c r="I14" s="140"/>
      <c r="J14" s="147">
        <f t="shared" si="4"/>
        <v>0</v>
      </c>
      <c r="K14" s="141"/>
      <c r="L14" s="165"/>
      <c r="M14" s="393">
        <f t="shared" si="2"/>
        <v>0</v>
      </c>
      <c r="N14" s="374"/>
      <c r="P14" s="220" t="s">
        <v>1447</v>
      </c>
    </row>
    <row r="15" spans="1:16" ht="14.65" customHeight="1" x14ac:dyDescent="0.25">
      <c r="A15" s="379" t="s">
        <v>911</v>
      </c>
      <c r="B15" s="155">
        <v>-50863.58</v>
      </c>
      <c r="C15" s="155">
        <v>-97917.371293034332</v>
      </c>
      <c r="D15" s="140">
        <v>0</v>
      </c>
      <c r="E15" s="147">
        <f t="shared" ref="E15" si="5">C15-D15</f>
        <v>-97917.371293034332</v>
      </c>
      <c r="F15" s="151">
        <f t="shared" ref="F15" si="6">IF($C$6=0,0,ROUND($F$6/$E$6*E15,0))</f>
        <v>-39846</v>
      </c>
      <c r="G15" s="140"/>
      <c r="H15" s="140"/>
      <c r="I15" s="140"/>
      <c r="J15" s="147">
        <f t="shared" ref="J15" si="7">+L15-SUM(E15:I15)</f>
        <v>-235367.90323374764</v>
      </c>
      <c r="K15" s="141"/>
      <c r="L15" s="165">
        <v>-373131.27452678198</v>
      </c>
      <c r="M15" s="393">
        <f t="shared" ref="M15" si="8">IFERROR(L15/C15-1,0)</f>
        <v>2.8106749558270248</v>
      </c>
      <c r="N15" s="374" t="s">
        <v>1566</v>
      </c>
      <c r="P15" s="220" t="s">
        <v>914</v>
      </c>
    </row>
    <row r="16" spans="1:16" ht="14.65" customHeight="1" x14ac:dyDescent="0.25">
      <c r="A16" s="379" t="s">
        <v>912</v>
      </c>
      <c r="B16" s="155">
        <v>0</v>
      </c>
      <c r="C16" s="155">
        <v>0</v>
      </c>
      <c r="D16" s="140">
        <v>0</v>
      </c>
      <c r="E16" s="147">
        <f t="shared" si="0"/>
        <v>0</v>
      </c>
      <c r="F16" s="151">
        <f t="shared" si="3"/>
        <v>0</v>
      </c>
      <c r="G16" s="140"/>
      <c r="H16" s="140"/>
      <c r="I16" s="140"/>
      <c r="J16" s="147">
        <f t="shared" si="4"/>
        <v>0</v>
      </c>
      <c r="K16" s="141"/>
      <c r="L16" s="165"/>
      <c r="M16" s="393">
        <f t="shared" si="2"/>
        <v>0</v>
      </c>
      <c r="N16" s="374"/>
      <c r="P16" s="220" t="s">
        <v>913</v>
      </c>
    </row>
    <row r="17" spans="1:16" ht="14.65" customHeight="1" x14ac:dyDescent="0.25">
      <c r="A17" s="379" t="s">
        <v>350</v>
      </c>
      <c r="B17" s="155">
        <v>-14049.799000000001</v>
      </c>
      <c r="C17" s="155">
        <v>-40758.385429580325</v>
      </c>
      <c r="D17" s="140">
        <v>0</v>
      </c>
      <c r="E17" s="147">
        <f t="shared" si="0"/>
        <v>-40758.385429580325</v>
      </c>
      <c r="F17" s="151">
        <f t="shared" si="3"/>
        <v>-16586</v>
      </c>
      <c r="G17" s="140"/>
      <c r="H17" s="140"/>
      <c r="I17" s="140"/>
      <c r="J17" s="147">
        <f t="shared" si="4"/>
        <v>16664.385429580325</v>
      </c>
      <c r="K17" s="141"/>
      <c r="L17" s="165">
        <v>-40680</v>
      </c>
      <c r="M17" s="393">
        <f t="shared" si="2"/>
        <v>-1.9231730784762258E-3</v>
      </c>
      <c r="N17" s="374"/>
      <c r="P17" s="220" t="s">
        <v>349</v>
      </c>
    </row>
    <row r="18" spans="1:16" ht="14.65" customHeight="1" x14ac:dyDescent="0.25">
      <c r="A18" s="79" t="s">
        <v>348</v>
      </c>
      <c r="B18" s="685">
        <f>SUM(B19:B23)</f>
        <v>-523115.34399999998</v>
      </c>
      <c r="C18" s="387">
        <f>SUM(C19:C23)</f>
        <v>-1526313.3629832827</v>
      </c>
      <c r="D18" s="387">
        <f>SUM(D19:D23)</f>
        <v>-6450.536405162924</v>
      </c>
      <c r="E18" s="384">
        <f t="shared" si="0"/>
        <v>-1519862.8265781198</v>
      </c>
      <c r="F18" s="386">
        <f t="shared" ref="F18:L18" si="9">SUM(F19:F23)</f>
        <v>-618483</v>
      </c>
      <c r="G18" s="385">
        <f t="shared" si="9"/>
        <v>0</v>
      </c>
      <c r="H18" s="385">
        <f t="shared" si="9"/>
        <v>-11842.581072289206</v>
      </c>
      <c r="I18" s="385">
        <f t="shared" si="9"/>
        <v>102285</v>
      </c>
      <c r="J18" s="384">
        <f t="shared" si="9"/>
        <v>-75573.730400118744</v>
      </c>
      <c r="K18" s="382">
        <f t="shared" si="9"/>
        <v>0</v>
      </c>
      <c r="L18" s="382">
        <f t="shared" si="9"/>
        <v>-2123477.1380505273</v>
      </c>
      <c r="M18" s="381">
        <f t="shared" si="2"/>
        <v>0.3912458539313628</v>
      </c>
      <c r="N18" s="380"/>
      <c r="P18" s="220"/>
    </row>
    <row r="19" spans="1:16" ht="14.65" customHeight="1" x14ac:dyDescent="0.25">
      <c r="A19" s="379" t="s">
        <v>347</v>
      </c>
      <c r="B19" s="155">
        <v>-86196.678</v>
      </c>
      <c r="C19" s="155">
        <v>-203295.85985852999</v>
      </c>
      <c r="D19" s="140"/>
      <c r="E19" s="147">
        <f t="shared" si="0"/>
        <v>-203295.85985852999</v>
      </c>
      <c r="F19" s="151">
        <f>IF($C$6=0,0,ROUND($F$6/$E$6*E19,0))</f>
        <v>-82728</v>
      </c>
      <c r="G19" s="140"/>
      <c r="H19" s="149">
        <f>((L19/(1+'6. HC (LC)'!Q36))-L19)*-1</f>
        <v>-11842.581072289206</v>
      </c>
      <c r="I19" s="140"/>
      <c r="J19" s="147">
        <f t="shared" ref="J19:J23" si="10">+L19-SUM(E19:I19)</f>
        <v>-29778.30206918082</v>
      </c>
      <c r="K19" s="141"/>
      <c r="L19" s="165">
        <v>-327644.74300000002</v>
      </c>
      <c r="M19" s="393">
        <f t="shared" si="2"/>
        <v>0.6116646115075941</v>
      </c>
      <c r="N19" s="374"/>
      <c r="P19" s="220" t="s">
        <v>346</v>
      </c>
    </row>
    <row r="20" spans="1:16" ht="14.65" customHeight="1" x14ac:dyDescent="0.25">
      <c r="A20" s="379" t="s">
        <v>345</v>
      </c>
      <c r="B20" s="155">
        <v>-221374.98</v>
      </c>
      <c r="C20" s="155">
        <v>-609498.52458586579</v>
      </c>
      <c r="D20" s="140">
        <v>0</v>
      </c>
      <c r="E20" s="147">
        <f t="shared" si="0"/>
        <v>-609498.52458586579</v>
      </c>
      <c r="F20" s="151">
        <f>IF($C$6=0,0,ROUND($F$6/$E$6*E20,0))</f>
        <v>-248025</v>
      </c>
      <c r="G20" s="140"/>
      <c r="H20" s="140"/>
      <c r="I20" s="140"/>
      <c r="J20" s="147">
        <f t="shared" si="10"/>
        <v>73207.439841498155</v>
      </c>
      <c r="K20" s="141"/>
      <c r="L20" s="165">
        <v>-784316.08474436763</v>
      </c>
      <c r="M20" s="393">
        <f t="shared" si="2"/>
        <v>0.2868219578993807</v>
      </c>
      <c r="N20" s="374"/>
      <c r="P20" s="220" t="s">
        <v>1465</v>
      </c>
    </row>
    <row r="21" spans="1:16" ht="14.25" customHeight="1" x14ac:dyDescent="0.25">
      <c r="A21" s="379" t="s">
        <v>344</v>
      </c>
      <c r="B21" s="155">
        <v>-2442</v>
      </c>
      <c r="C21" s="155">
        <v>-6450.536405162924</v>
      </c>
      <c r="D21" s="140">
        <v>-6450.536405162924</v>
      </c>
      <c r="E21" s="147">
        <f t="shared" si="0"/>
        <v>0</v>
      </c>
      <c r="F21" s="151">
        <f>IF($C$6=0,0,ROUND($F$6/$E$6*E21,0))</f>
        <v>0</v>
      </c>
      <c r="G21" s="140"/>
      <c r="H21" s="140"/>
      <c r="I21" s="140"/>
      <c r="J21" s="147">
        <f t="shared" si="10"/>
        <v>0</v>
      </c>
      <c r="K21" s="141"/>
      <c r="L21" s="165"/>
      <c r="M21" s="393">
        <f t="shared" si="2"/>
        <v>-1</v>
      </c>
      <c r="N21" s="374"/>
      <c r="P21" s="220" t="s">
        <v>343</v>
      </c>
    </row>
    <row r="22" spans="1:16" ht="14.65" customHeight="1" x14ac:dyDescent="0.25">
      <c r="A22" s="379" t="s">
        <v>342</v>
      </c>
      <c r="B22" s="155">
        <v>-203427.32</v>
      </c>
      <c r="C22" s="155">
        <v>-525989.99966215587</v>
      </c>
      <c r="D22" s="140">
        <v>0</v>
      </c>
      <c r="E22" s="147">
        <f t="shared" si="0"/>
        <v>-525989.99966215587</v>
      </c>
      <c r="F22" s="151">
        <f>IF($C$6=0,0,ROUND($F$6/$E$6*E22,0))</f>
        <v>-214043</v>
      </c>
      <c r="G22" s="140"/>
      <c r="H22" s="140"/>
      <c r="I22" s="140">
        <v>102285</v>
      </c>
      <c r="J22" s="147">
        <f t="shared" si="10"/>
        <v>4325.8508409206988</v>
      </c>
      <c r="K22" s="141"/>
      <c r="L22" s="165">
        <v>-633422.14882123517</v>
      </c>
      <c r="M22" s="393">
        <f t="shared" si="2"/>
        <v>0.20424751274374642</v>
      </c>
      <c r="N22" s="374"/>
      <c r="P22" s="220" t="s">
        <v>1448</v>
      </c>
    </row>
    <row r="23" spans="1:16" ht="14.65" customHeight="1" x14ac:dyDescent="0.25">
      <c r="A23" s="379" t="s">
        <v>341</v>
      </c>
      <c r="B23" s="716">
        <v>-9674.366</v>
      </c>
      <c r="C23" s="716">
        <v>-181078.44247156795</v>
      </c>
      <c r="D23" s="140">
        <v>0</v>
      </c>
      <c r="E23" s="147">
        <f t="shared" si="0"/>
        <v>-181078.44247156795</v>
      </c>
      <c r="F23" s="151">
        <f>IF($C$6=0,0,ROUND($F$6/$E$6*E23,0))</f>
        <v>-73687</v>
      </c>
      <c r="G23" s="140"/>
      <c r="H23" s="140"/>
      <c r="I23" s="140"/>
      <c r="J23" s="147">
        <f t="shared" si="10"/>
        <v>-123328.71901335678</v>
      </c>
      <c r="K23" s="141"/>
      <c r="L23" s="165">
        <v>-378094.16148492473</v>
      </c>
      <c r="M23" s="393">
        <f t="shared" si="2"/>
        <v>1.0880131081549989</v>
      </c>
      <c r="N23" s="374" t="s">
        <v>1567</v>
      </c>
      <c r="P23" s="220" t="s">
        <v>340</v>
      </c>
    </row>
    <row r="24" spans="1:16" ht="19.899999999999999" customHeight="1" x14ac:dyDescent="0.25">
      <c r="A24" s="79" t="s">
        <v>338</v>
      </c>
      <c r="B24" s="685">
        <f>B25+B26</f>
        <v>7</v>
      </c>
      <c r="C24" s="387">
        <f>C25+C26</f>
        <v>9</v>
      </c>
      <c r="D24" s="387"/>
      <c r="E24" s="384">
        <f>C24-D24</f>
        <v>9</v>
      </c>
      <c r="F24" s="386"/>
      <c r="G24" s="385"/>
      <c r="H24" s="385"/>
      <c r="I24" s="385"/>
      <c r="J24" s="384"/>
      <c r="K24" s="383"/>
      <c r="L24" s="382">
        <f>L25+L26</f>
        <v>12.333</v>
      </c>
      <c r="M24" s="381">
        <f>IFERROR(L24/C24-1,0)</f>
        <v>0.3703333333333334</v>
      </c>
      <c r="N24" s="380"/>
      <c r="P24" s="220" t="s">
        <v>961</v>
      </c>
    </row>
    <row r="25" spans="1:16" ht="14.65" customHeight="1" x14ac:dyDescent="0.2">
      <c r="A25" s="379" t="s">
        <v>337</v>
      </c>
      <c r="B25" s="717">
        <v>7</v>
      </c>
      <c r="C25" s="717">
        <v>9</v>
      </c>
      <c r="D25" s="718"/>
      <c r="E25" s="147">
        <f>C25-D25</f>
        <v>9</v>
      </c>
      <c r="F25" s="378"/>
      <c r="G25" s="377"/>
      <c r="H25" s="377"/>
      <c r="I25" s="377"/>
      <c r="J25" s="376"/>
      <c r="K25" s="718"/>
      <c r="L25" s="719">
        <v>12.333</v>
      </c>
      <c r="M25" s="375">
        <f>IFERROR(L25/C25-1,0)</f>
        <v>0.3703333333333334</v>
      </c>
      <c r="N25" s="374"/>
    </row>
    <row r="26" spans="1:16" ht="14.65" customHeight="1" x14ac:dyDescent="0.2">
      <c r="A26" s="379" t="s">
        <v>336</v>
      </c>
      <c r="B26" s="717"/>
      <c r="C26" s="717"/>
      <c r="D26" s="718"/>
      <c r="E26" s="147">
        <f>C26-D26</f>
        <v>0</v>
      </c>
      <c r="F26" s="378"/>
      <c r="G26" s="377"/>
      <c r="H26" s="377"/>
      <c r="I26" s="377"/>
      <c r="J26" s="376"/>
      <c r="K26" s="718"/>
      <c r="L26" s="719"/>
      <c r="M26" s="375">
        <f>IFERROR(L26/C26-1,0)</f>
        <v>0</v>
      </c>
      <c r="N26" s="374"/>
      <c r="P26" s="221" t="s">
        <v>1417</v>
      </c>
    </row>
    <row r="27" spans="1:16" ht="12.75" customHeight="1" x14ac:dyDescent="0.2">
      <c r="B27" s="684"/>
    </row>
  </sheetData>
  <mergeCells count="3">
    <mergeCell ref="F4:J4"/>
    <mergeCell ref="B4:E4"/>
    <mergeCell ref="K4:M4"/>
  </mergeCells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Normal="100" workbookViewId="0">
      <pane xSplit="1" ySplit="5" topLeftCell="D6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defaultColWidth="9.28515625" defaultRowHeight="12.75" customHeight="1" outlineLevelCol="1" x14ac:dyDescent="0.2"/>
  <cols>
    <col min="1" max="1" width="55.7109375" style="221" customWidth="1"/>
    <col min="2" max="5" width="15.7109375" style="221" customWidth="1"/>
    <col min="6" max="11" width="14.7109375" style="221" customWidth="1" outlineLevel="1"/>
    <col min="12" max="14" width="14.7109375" style="221" customWidth="1"/>
    <col min="15" max="15" width="55.28515625" style="221" customWidth="1"/>
    <col min="16" max="16" width="9.28515625" style="221"/>
    <col min="17" max="17" width="141.42578125" style="221" bestFit="1" customWidth="1"/>
    <col min="18" max="21" width="9.28515625" style="221"/>
    <col min="22" max="22" width="9.28515625" style="221" customWidth="1"/>
    <col min="23" max="16384" width="9.28515625" style="221"/>
  </cols>
  <sheetData>
    <row r="1" spans="1:17" ht="19.899999999999999" customHeight="1" x14ac:dyDescent="0.25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219"/>
      <c r="M1" s="219"/>
      <c r="N1" s="219"/>
      <c r="O1" s="57" t="str">
        <f>'Input-FX Rates'!$H$1</f>
        <v>Plant ICH Icheon (242)</v>
      </c>
      <c r="Q1" s="397" t="s">
        <v>144</v>
      </c>
    </row>
    <row r="2" spans="1:17" ht="19.899999999999999" customHeight="1" thickBot="1" x14ac:dyDescent="0.3">
      <c r="A2" s="55" t="s">
        <v>362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7851 PL eMotor Controls</v>
      </c>
      <c r="Q2" s="95" t="s">
        <v>142</v>
      </c>
    </row>
    <row r="4" spans="1:17" ht="37.5" customHeight="1" x14ac:dyDescent="0.2">
      <c r="A4" s="188" t="str">
        <f>"Logistic Cost"&amp;" in '000 EUR"</f>
        <v>Logistic Cost in '000 EUR</v>
      </c>
      <c r="B4" s="1035">
        <v>2023</v>
      </c>
      <c r="C4" s="1033"/>
      <c r="D4" s="1033"/>
      <c r="E4" s="1036"/>
      <c r="F4" s="1035" t="s">
        <v>1041</v>
      </c>
      <c r="G4" s="1033"/>
      <c r="H4" s="1033"/>
      <c r="I4" s="1033"/>
      <c r="J4" s="1033"/>
      <c r="K4" s="1033"/>
      <c r="L4" s="1038">
        <v>2024</v>
      </c>
      <c r="M4" s="1033"/>
      <c r="N4" s="1034"/>
      <c r="O4" s="304" t="s">
        <v>154</v>
      </c>
    </row>
    <row r="5" spans="1:17" ht="47.25" customHeight="1" x14ac:dyDescent="0.2">
      <c r="A5" s="188"/>
      <c r="B5" s="656" t="s">
        <v>169</v>
      </c>
      <c r="C5" s="187" t="s">
        <v>115</v>
      </c>
      <c r="D5" s="187" t="s">
        <v>361</v>
      </c>
      <c r="E5" s="188" t="s">
        <v>360</v>
      </c>
      <c r="F5" s="656" t="s">
        <v>216</v>
      </c>
      <c r="G5" s="187" t="s">
        <v>215</v>
      </c>
      <c r="H5" s="187" t="s">
        <v>214</v>
      </c>
      <c r="I5" s="187" t="s">
        <v>213</v>
      </c>
      <c r="J5" s="187" t="s">
        <v>211</v>
      </c>
      <c r="K5" s="657" t="s">
        <v>225</v>
      </c>
      <c r="L5" s="657" t="s">
        <v>210</v>
      </c>
      <c r="M5" s="187" t="s">
        <v>114</v>
      </c>
      <c r="N5" s="187" t="s">
        <v>209</v>
      </c>
      <c r="O5" s="304"/>
    </row>
    <row r="6" spans="1:17" ht="15.75" x14ac:dyDescent="0.25">
      <c r="A6" s="79" t="s">
        <v>167</v>
      </c>
      <c r="B6" s="685">
        <f>IFERROR('5. Logistic Cost (LC)'!B6/'Input-FX Rates'!$E$16,0)</f>
        <v>35988.371534659054</v>
      </c>
      <c r="C6" s="387">
        <f>IFERROR('5. Logistic Cost (LC)'!C6/'Input-FX Rates'!$G$16,0)</f>
        <v>94871.705380828425</v>
      </c>
      <c r="D6" s="387">
        <f>IFERROR('5. Logistic Cost (LC)'!D6/'Input-FX Rates'!$G$16,0)</f>
        <v>772.43774568186177</v>
      </c>
      <c r="E6" s="384">
        <f>IFERROR('5. Logistic Cost (LC)'!E6/'Input-FX Rates'!$G$16,0)</f>
        <v>94099.267635146563</v>
      </c>
      <c r="F6" s="386">
        <f>IFERROR('5. Logistic Cost (LC)'!F6/'Input-FX Rates'!$G$16,0)</f>
        <v>38292.068656468182</v>
      </c>
      <c r="G6" s="385">
        <f>IFERROR('5. Logistic Cost (LC)'!G6/'Input-FX Rates'!$G$16,0)</f>
        <v>0</v>
      </c>
      <c r="H6" s="385">
        <f>IFERROR('5. Logistic Cost (LC)'!H6/'Input-FX Rates'!$G$16,0)</f>
        <v>-2747.0541996641246</v>
      </c>
      <c r="I6" s="385">
        <f>IFERROR('5. Logistic Cost (LC)'!I6/'Input-FX Rates'!$G$16,0)</f>
        <v>0</v>
      </c>
      <c r="J6" s="385">
        <f>IFERROR('5. Logistic Cost (LC)'!J6/'Input-FX Rates'!$G$16,0)</f>
        <v>4484.1035878524863</v>
      </c>
      <c r="K6" s="383">
        <f>IFERROR(M6-'5. Logistic Cost (LC)'!L6/'Input-FX Rates'!$G$16,0)</f>
        <v>-4284.6952046306978</v>
      </c>
      <c r="L6" s="383">
        <f>IFERROR('5. Logistic Cost (LC)'!K6/'Input-FX Rates'!$H$16,0)</f>
        <v>129843.69047517242</v>
      </c>
      <c r="M6" s="406">
        <f>IFERROR('5. Logistic Cost (LC)'!L6/'Input-FX Rates'!$H$16,0)</f>
        <v>129843.69047517242</v>
      </c>
      <c r="N6" s="381">
        <f>IFERROR(M6/C6-1,0)</f>
        <v>0.36862397438689976</v>
      </c>
      <c r="O6" s="916" t="str">
        <f>IF(ISBLANK('5. Logistic Cost (LC)'!N6),"",'5. Logistic Cost (LC)'!N6)</f>
        <v/>
      </c>
      <c r="Q6" s="220"/>
    </row>
    <row r="7" spans="1:17" ht="15.75" x14ac:dyDescent="0.25">
      <c r="A7" s="79" t="s">
        <v>359</v>
      </c>
      <c r="B7" s="685">
        <f>IFERROR('5. Logistic Cost (LC)'!B7/'Input-FX Rates'!$E$16,0)</f>
        <v>36809.301617690333</v>
      </c>
      <c r="C7" s="387">
        <f>IFERROR('5. Logistic Cost (LC)'!C7/'Input-FX Rates'!$G$16,0)</f>
        <v>86436.872952409234</v>
      </c>
      <c r="D7" s="387">
        <f>IFERROR('5. Logistic Cost (LC)'!D7/'Input-FX Rates'!$G$16,0)</f>
        <v>772.43774568186177</v>
      </c>
      <c r="E7" s="384">
        <f>IFERROR('5. Logistic Cost (LC)'!E7/'Input-FX Rates'!$G$16,0)</f>
        <v>85664.435206727372</v>
      </c>
      <c r="F7" s="386">
        <f>IFERROR('5. Logistic Cost (LC)'!F7/'Input-FX Rates'!$G$16,0)</f>
        <v>0</v>
      </c>
      <c r="G7" s="385">
        <f>IFERROR('5. Logistic Cost (LC)'!G7/'Input-FX Rates'!$G$16,0)</f>
        <v>0</v>
      </c>
      <c r="H7" s="385">
        <f>IFERROR('5. Logistic Cost (LC)'!H7/'Input-FX Rates'!$G$16,0)</f>
        <v>0</v>
      </c>
      <c r="I7" s="385">
        <f>IFERROR('5. Logistic Cost (LC)'!I7/'Input-FX Rates'!$G$16,0)</f>
        <v>0</v>
      </c>
      <c r="J7" s="385">
        <f>IFERROR('5. Logistic Cost (LC)'!J7/'Input-FX Rates'!$G$16,0)</f>
        <v>0</v>
      </c>
      <c r="K7" s="383">
        <f>IFERROR(M7-'5. Logistic Cost (LC)'!L7/'Input-FX Rates'!$G$16,0)</f>
        <v>-4284.6952046306978</v>
      </c>
      <c r="L7" s="383">
        <f>IFERROR('5. Logistic Cost (LC)'!K7/'Input-FX Rates'!$H$16,0)</f>
        <v>129843.69047517242</v>
      </c>
      <c r="M7" s="406">
        <f>IFERROR('5. Logistic Cost (LC)'!L7/'Input-FX Rates'!$H$16,0)</f>
        <v>129843.69047517242</v>
      </c>
      <c r="N7" s="381">
        <f>IFERROR(M7/C7-1,0)</f>
        <v>0.50217940608127143</v>
      </c>
      <c r="O7" s="916" t="str">
        <f>IF(ISBLANK('5. Logistic Cost (LC)'!N7),"",'5. Logistic Cost (LC)'!N7)</f>
        <v/>
      </c>
      <c r="Q7" s="220"/>
    </row>
    <row r="8" spans="1:17" ht="15.75" x14ac:dyDescent="0.25">
      <c r="A8" s="79" t="s">
        <v>358</v>
      </c>
      <c r="B8" s="685">
        <f>IFERROR('5. Logistic Cost (LC)'!B8/'Input-FX Rates'!$E$16,0)</f>
        <v>-682.54481031190164</v>
      </c>
      <c r="C8" s="387">
        <f>IFERROR('5. Logistic Cost (LC)'!C8/'Input-FX Rates'!$G$16,0)</f>
        <v>-1839.5477665050012</v>
      </c>
      <c r="D8" s="387">
        <f>IFERROR('5. Logistic Cost (LC)'!D8/'Input-FX Rates'!$G$16,0)</f>
        <v>-83.887014605167053</v>
      </c>
      <c r="E8" s="384">
        <f>IFERROR('5. Logistic Cost (LC)'!E8/'Input-FX Rates'!$G$16,0)</f>
        <v>-1755.6607518998342</v>
      </c>
      <c r="F8" s="386">
        <f>IFERROR('5. Logistic Cost (LC)'!F8/'Input-FX Rates'!$G$16,0)</f>
        <v>-714.43555509733153</v>
      </c>
      <c r="G8" s="385">
        <f>IFERROR('5. Logistic Cost (LC)'!G8/'Input-FX Rates'!$G$16,0)</f>
        <v>0</v>
      </c>
      <c r="H8" s="385">
        <f>IFERROR('5. Logistic Cost (LC)'!H8/'Input-FX Rates'!$G$16,0)</f>
        <v>-24.995299194223286</v>
      </c>
      <c r="I8" s="385">
        <f>IFERROR('5. Logistic Cost (LC)'!I8/'Input-FX Rates'!$G$16,0)</f>
        <v>72.869165193147211</v>
      </c>
      <c r="J8" s="385">
        <f>IFERROR('5. Logistic Cost (LC)'!J8/'Input-FX Rates'!$G$16,0)</f>
        <v>0</v>
      </c>
      <c r="K8" s="383">
        <f>IFERROR(M8-'5. Logistic Cost (LC)'!L8/'Input-FX Rates'!$G$16,0)</f>
        <v>80.310974590225214</v>
      </c>
      <c r="L8" s="383">
        <f>IFERROR('5. Logistic Cost (LC)'!K8/'Input-FX Rates'!$H$16,0)</f>
        <v>0</v>
      </c>
      <c r="M8" s="406">
        <f>IFERROR('5. Logistic Cost (LC)'!L8/'Input-FX Rates'!$H$16,0)</f>
        <v>-2433.7491533079665</v>
      </c>
      <c r="N8" s="381">
        <f>IFERROR(M8/C8-1,0)</f>
        <v>0.32301492661530729</v>
      </c>
      <c r="O8" s="916" t="str">
        <f>IF(ISBLANK('5. Logistic Cost (LC)'!N8),"",'5. Logistic Cost (LC)'!N8)</f>
        <v/>
      </c>
      <c r="Q8" s="220"/>
    </row>
    <row r="9" spans="1:17" ht="15.75" x14ac:dyDescent="0.2">
      <c r="A9" s="153" t="s">
        <v>339</v>
      </c>
      <c r="B9" s="408">
        <f>IFERROR(B8/$B$6,0)</f>
        <v>-1.8965704231839672E-2</v>
      </c>
      <c r="C9" s="409">
        <f>IFERROR(C8/$C$6,0)</f>
        <v>-1.9389846099222067E-2</v>
      </c>
      <c r="D9" s="409"/>
      <c r="E9" s="410">
        <f>IFERROR(E8/$E$6,0)</f>
        <v>-1.8657538958826984E-2</v>
      </c>
      <c r="F9" s="408">
        <f>IFERROR(F8/$E$6,0)</f>
        <v>-7.5923604195032666E-3</v>
      </c>
      <c r="G9" s="409"/>
      <c r="H9" s="409"/>
      <c r="I9" s="409"/>
      <c r="J9" s="409"/>
      <c r="K9" s="408"/>
      <c r="L9" s="408">
        <f>IFERROR(L8/$L$6,0)</f>
        <v>0</v>
      </c>
      <c r="M9" s="407">
        <f>IFERROR(M8/$M$6,0)</f>
        <v>-1.8743684382363783E-2</v>
      </c>
      <c r="N9" s="389"/>
      <c r="O9" s="388" t="str">
        <f>IF(ISBLANK('5. Logistic Cost (LC)'!N9),"",'5. Logistic Cost (LC)'!N9)</f>
        <v/>
      </c>
      <c r="P9" s="335"/>
    </row>
    <row r="10" spans="1:17" ht="15.75" x14ac:dyDescent="0.2">
      <c r="A10" s="79" t="s">
        <v>357</v>
      </c>
      <c r="B10" s="685">
        <f>IFERROR('5. Logistic Cost (LC)'!B10/'Input-FX Rates'!$E$16,0)</f>
        <v>-309.11845782966577</v>
      </c>
      <c r="C10" s="387">
        <f>IFERROR('5. Logistic Cost (LC)'!C10/'Input-FX Rates'!$G$16,0)</f>
        <v>-752.18226243561787</v>
      </c>
      <c r="D10" s="387">
        <f>IFERROR('5. Logistic Cost (LC)'!D10/'Input-FX Rates'!$G$16,0)</f>
        <v>-79.291568519306693</v>
      </c>
      <c r="E10" s="384">
        <f>IFERROR('5. Logistic Cost (LC)'!E10/'Input-FX Rates'!$G$16,0)</f>
        <v>-672.89069391631119</v>
      </c>
      <c r="F10" s="386">
        <f>IFERROR('5. Logistic Cost (LC)'!F10/'Input-FX Rates'!$G$16,0)</f>
        <v>-273.82092903302032</v>
      </c>
      <c r="G10" s="385">
        <f>IFERROR('5. Logistic Cost (LC)'!G10/'Input-FX Rates'!$G$16,0)</f>
        <v>0</v>
      </c>
      <c r="H10" s="385">
        <f>IFERROR('5. Logistic Cost (LC)'!H10/'Input-FX Rates'!$G$16,0)</f>
        <v>-16.558490312472486</v>
      </c>
      <c r="I10" s="385">
        <f>IFERROR('5. Logistic Cost (LC)'!I10/'Input-FX Rates'!$G$16,0)</f>
        <v>0</v>
      </c>
      <c r="J10" s="385">
        <f>IFERROR('5. Logistic Cost (LC)'!J10/'Input-FX Rates'!$G$16,0)</f>
        <v>-37.997265391871565</v>
      </c>
      <c r="K10" s="383">
        <f>IFERROR(M10-'5. Logistic Cost (LC)'!L10/'Input-FX Rates'!$G$16,0)</f>
        <v>31.985217104693334</v>
      </c>
      <c r="L10" s="383">
        <f>IFERROR('5. Logistic Cost (LC)'!K10/'Input-FX Rates'!$H$16,0)</f>
        <v>0</v>
      </c>
      <c r="M10" s="406">
        <f>IFERROR('5. Logistic Cost (LC)'!L10/'Input-FX Rates'!$H$16,0)</f>
        <v>-969.28216154898223</v>
      </c>
      <c r="N10" s="381">
        <f>IFERROR(M10/C10-1,0)</f>
        <v>0.28862671981971499</v>
      </c>
      <c r="O10" s="916" t="str">
        <f>IF(ISBLANK('5. Logistic Cost (LC)'!N10),"",'5. Logistic Cost (LC)'!N10)</f>
        <v/>
      </c>
    </row>
    <row r="11" spans="1:17" ht="15" x14ac:dyDescent="0.25">
      <c r="A11" s="398" t="s">
        <v>366</v>
      </c>
      <c r="B11" s="211">
        <f>IFERROR('5. Logistic Cost (LC)'!B11/'Input-FX Rates'!$E$16,0)</f>
        <v>-153.5737702572857</v>
      </c>
      <c r="C11" s="209">
        <f>IFERROR('5. Logistic Cost (LC)'!C11/'Input-FX Rates'!$G$16,0)</f>
        <v>-327.94705725621651</v>
      </c>
      <c r="D11" s="209">
        <f>IFERROR('5. Logistic Cost (LC)'!D11/'Input-FX Rates'!$G$16,0)</f>
        <v>0</v>
      </c>
      <c r="E11" s="210">
        <f>IFERROR('5. Logistic Cost (LC)'!E11/'Input-FX Rates'!$G$16,0)</f>
        <v>-327.94705725621651</v>
      </c>
      <c r="F11" s="211">
        <f>IFERROR('5. Logistic Cost (LC)'!F11/'Input-FX Rates'!$G$16,0)</f>
        <v>-133.45205553738191</v>
      </c>
      <c r="G11" s="209">
        <f>IFERROR('5. Logistic Cost (LC)'!G11/'Input-FX Rates'!$G$16,0)</f>
        <v>0</v>
      </c>
      <c r="H11" s="209">
        <f>IFERROR('5. Logistic Cost (LC)'!H11/'Input-FX Rates'!$G$16,0)</f>
        <v>-16.558490312472486</v>
      </c>
      <c r="I11" s="209">
        <f>IFERROR('5. Logistic Cost (LC)'!I11/'Input-FX Rates'!$G$16,0)</f>
        <v>0</v>
      </c>
      <c r="J11" s="209">
        <f>IFERROR('5. Logistic Cost (LC)'!J11/'Input-FX Rates'!$G$16,0)</f>
        <v>19.839371127665867</v>
      </c>
      <c r="K11" s="211">
        <f>IFERROR(M11-'5. Logistic Cost (LC)'!L11/'Input-FX Rates'!$G$16,0)</f>
        <v>14.634463702542973</v>
      </c>
      <c r="L11" s="211">
        <f>IFERROR('5. Logistic Cost (LC)'!K11/'Input-FX Rates'!$H$16,0)</f>
        <v>0</v>
      </c>
      <c r="M11" s="405">
        <f>IFERROR('5. Logistic Cost (LC)'!L11/'Input-FX Rates'!$H$16,0)</f>
        <v>-443.48376827586208</v>
      </c>
      <c r="N11" s="393">
        <f t="shared" ref="N11:N23" si="0">IFERROR(M11/C11-1,0)</f>
        <v>0.35230293568202309</v>
      </c>
      <c r="O11" s="917" t="str">
        <f>IF(ISBLANK('5. Logistic Cost (LC)'!N11),"",'5. Logistic Cost (LC)'!N11)</f>
        <v/>
      </c>
      <c r="Q11" s="220" t="s">
        <v>355</v>
      </c>
    </row>
    <row r="12" spans="1:17" ht="15" x14ac:dyDescent="0.25">
      <c r="A12" s="398" t="s">
        <v>354</v>
      </c>
      <c r="B12" s="211">
        <f>IFERROR('5. Logistic Cost (LC)'!B12/'Input-FX Rates'!$E$16,0)</f>
        <v>-75.13237543776728</v>
      </c>
      <c r="C12" s="209">
        <f>IFERROR('5. Logistic Cost (LC)'!C12/'Input-FX Rates'!$G$16,0)</f>
        <v>-246.14922276846931</v>
      </c>
      <c r="D12" s="209">
        <f>IFERROR('5. Logistic Cost (LC)'!D12/'Input-FX Rates'!$G$16,0)</f>
        <v>0</v>
      </c>
      <c r="E12" s="210">
        <f>IFERROR('5. Logistic Cost (LC)'!E12/'Input-FX Rates'!$G$16,0)</f>
        <v>-246.14922276846931</v>
      </c>
      <c r="F12" s="211">
        <f>IFERROR('5. Logistic Cost (LC)'!F12/'Input-FX Rates'!$G$16,0)</f>
        <v>-100.16598225860773</v>
      </c>
      <c r="G12" s="209">
        <f>IFERROR('5. Logistic Cost (LC)'!G12/'Input-FX Rates'!$G$16,0)</f>
        <v>0</v>
      </c>
      <c r="H12" s="209">
        <f>IFERROR('5. Logistic Cost (LC)'!H12/'Input-FX Rates'!$G$16,0)</f>
        <v>0</v>
      </c>
      <c r="I12" s="209">
        <f>IFERROR('5. Logistic Cost (LC)'!I12/'Input-FX Rates'!$G$16,0)</f>
        <v>0</v>
      </c>
      <c r="J12" s="209">
        <f>IFERROR('5. Logistic Cost (LC)'!J12/'Input-FX Rates'!$G$16,0)</f>
        <v>97.97059589180617</v>
      </c>
      <c r="K12" s="211">
        <f>IFERROR(M12-'5. Logistic Cost (LC)'!L12/'Input-FX Rates'!$G$16,0)</f>
        <v>7.9333017426899914</v>
      </c>
      <c r="L12" s="211">
        <f>IFERROR('5. Logistic Cost (LC)'!K12/'Input-FX Rates'!$H$16,0)</f>
        <v>0</v>
      </c>
      <c r="M12" s="405">
        <f>IFERROR('5. Logistic Cost (LC)'!L12/'Input-FX Rates'!$H$16,0)</f>
        <v>-240.41130739258088</v>
      </c>
      <c r="N12" s="393">
        <f t="shared" si="0"/>
        <v>-2.3310719048199369E-2</v>
      </c>
      <c r="O12" s="917" t="str">
        <f>IF(ISBLANK('5. Logistic Cost (LC)'!N12),"",'5. Logistic Cost (LC)'!N12)</f>
        <v/>
      </c>
      <c r="Q12" s="220" t="s">
        <v>1418</v>
      </c>
    </row>
    <row r="13" spans="1:17" ht="15" x14ac:dyDescent="0.25">
      <c r="A13" s="398" t="s">
        <v>353</v>
      </c>
      <c r="B13" s="211">
        <f>IFERROR('5. Logistic Cost (LC)'!B13/'Input-FX Rates'!$E$16,0)</f>
        <v>-34.073838936879582</v>
      </c>
      <c r="C13" s="209">
        <f>IFERROR('5. Logistic Cost (LC)'!C13/'Input-FX Rates'!$G$16,0)</f>
        <v>-79.291568519306693</v>
      </c>
      <c r="D13" s="209">
        <f>IFERROR('5. Logistic Cost (LC)'!D13/'Input-FX Rates'!$G$16,0)</f>
        <v>-79.291568519306693</v>
      </c>
      <c r="E13" s="210">
        <f>IFERROR('5. Logistic Cost (LC)'!E13/'Input-FX Rates'!$G$16,0)</f>
        <v>0</v>
      </c>
      <c r="F13" s="211">
        <f>IFERROR('5. Logistic Cost (LC)'!F13/'Input-FX Rates'!$G$16,0)</f>
        <v>0</v>
      </c>
      <c r="G13" s="209">
        <f>IFERROR('5. Logistic Cost (LC)'!G13/'Input-FX Rates'!$G$16,0)</f>
        <v>0</v>
      </c>
      <c r="H13" s="209">
        <f>IFERROR('5. Logistic Cost (LC)'!H13/'Input-FX Rates'!$G$16,0)</f>
        <v>0</v>
      </c>
      <c r="I13" s="209">
        <f>IFERROR('5. Logistic Cost (LC)'!I13/'Input-FX Rates'!$G$16,0)</f>
        <v>0</v>
      </c>
      <c r="J13" s="209">
        <f>IFERROR('5. Logistic Cost (LC)'!J13/'Input-FX Rates'!$G$16,0)</f>
        <v>0</v>
      </c>
      <c r="K13" s="211">
        <f>IFERROR(M13-'5. Logistic Cost (LC)'!L13/'Input-FX Rates'!$G$16,0)</f>
        <v>0</v>
      </c>
      <c r="L13" s="211">
        <f>IFERROR('5. Logistic Cost (LC)'!K13/'Input-FX Rates'!$H$16,0)</f>
        <v>0</v>
      </c>
      <c r="M13" s="405">
        <f>IFERROR('5. Logistic Cost (LC)'!L13/'Input-FX Rates'!$H$16,0)</f>
        <v>0</v>
      </c>
      <c r="N13" s="393">
        <f t="shared" si="0"/>
        <v>-1</v>
      </c>
      <c r="O13" s="917" t="str">
        <f>IF(ISBLANK('5. Logistic Cost (LC)'!N13),"",'5. Logistic Cost (LC)'!N13)</f>
        <v/>
      </c>
      <c r="Q13" s="220" t="s">
        <v>352</v>
      </c>
    </row>
    <row r="14" spans="1:17" ht="15" x14ac:dyDescent="0.25">
      <c r="A14" s="398" t="s">
        <v>351</v>
      </c>
      <c r="B14" s="211">
        <f>IFERROR('5. Logistic Cost (LC)'!B14/'Input-FX Rates'!$E$16,0)</f>
        <v>0</v>
      </c>
      <c r="C14" s="209">
        <f>IFERROR('5. Logistic Cost (LC)'!C14/'Input-FX Rates'!$G$16,0)</f>
        <v>0</v>
      </c>
      <c r="D14" s="209">
        <f>IFERROR('5. Logistic Cost (LC)'!D14/'Input-FX Rates'!$G$16,0)</f>
        <v>0</v>
      </c>
      <c r="E14" s="210">
        <f>IFERROR('5. Logistic Cost (LC)'!E14/'Input-FX Rates'!$G$16,0)</f>
        <v>0</v>
      </c>
      <c r="F14" s="211">
        <f>IFERROR('5. Logistic Cost (LC)'!F14/'Input-FX Rates'!$G$16,0)</f>
        <v>0</v>
      </c>
      <c r="G14" s="209">
        <f>IFERROR('5. Logistic Cost (LC)'!G14/'Input-FX Rates'!$G$16,0)</f>
        <v>0</v>
      </c>
      <c r="H14" s="209">
        <f>IFERROR('5. Logistic Cost (LC)'!H14/'Input-FX Rates'!$G$16,0)</f>
        <v>0</v>
      </c>
      <c r="I14" s="209">
        <f>IFERROR('5. Logistic Cost (LC)'!I14/'Input-FX Rates'!$G$16,0)</f>
        <v>0</v>
      </c>
      <c r="J14" s="209">
        <f>IFERROR('5. Logistic Cost (LC)'!J14/'Input-FX Rates'!$G$16,0)</f>
        <v>0</v>
      </c>
      <c r="K14" s="211">
        <f>IFERROR(M14-'5. Logistic Cost (LC)'!L14/'Input-FX Rates'!$G$16,0)</f>
        <v>0</v>
      </c>
      <c r="L14" s="211">
        <f>IFERROR('5. Logistic Cost (LC)'!K14/'Input-FX Rates'!$H$16,0)</f>
        <v>0</v>
      </c>
      <c r="M14" s="405">
        <f>IFERROR('5. Logistic Cost (LC)'!L14/'Input-FX Rates'!$H$16,0)</f>
        <v>0</v>
      </c>
      <c r="N14" s="393">
        <f t="shared" si="0"/>
        <v>0</v>
      </c>
      <c r="O14" s="917" t="str">
        <f>IF(ISBLANK('5. Logistic Cost (LC)'!N14),"",'5. Logistic Cost (LC)'!N14)</f>
        <v/>
      </c>
      <c r="Q14" s="220" t="s">
        <v>1447</v>
      </c>
    </row>
    <row r="15" spans="1:17" ht="15" x14ac:dyDescent="0.25">
      <c r="A15" s="398" t="s">
        <v>911</v>
      </c>
      <c r="B15" s="211">
        <f>IFERROR('5. Logistic Cost (LC)'!B15/'Input-FX Rates'!$E$16,0)</f>
        <v>-36.309011714992636</v>
      </c>
      <c r="C15" s="209">
        <f>IFERROR('5. Logistic Cost (LC)'!C15/'Input-FX Rates'!$G$16,0)</f>
        <v>-69.757609659586933</v>
      </c>
      <c r="D15" s="209">
        <f>IFERROR('5. Logistic Cost (LC)'!D15/'Input-FX Rates'!$G$16,0)</f>
        <v>0</v>
      </c>
      <c r="E15" s="210">
        <f>IFERROR('5. Logistic Cost (LC)'!E15/'Input-FX Rates'!$G$16,0)</f>
        <v>-69.757609659586933</v>
      </c>
      <c r="F15" s="211">
        <f>IFERROR('5. Logistic Cost (LC)'!F15/'Input-FX Rates'!$G$16,0)</f>
        <v>-28.386808977720523</v>
      </c>
      <c r="G15" s="209">
        <f>IFERROR('5. Logistic Cost (LC)'!G15/'Input-FX Rates'!$G$16,0)</f>
        <v>0</v>
      </c>
      <c r="H15" s="209">
        <f>IFERROR('5. Logistic Cost (LC)'!H15/'Input-FX Rates'!$G$16,0)</f>
        <v>0</v>
      </c>
      <c r="I15" s="209">
        <f>IFERROR('5. Logistic Cost (LC)'!I15/'Input-FX Rates'!$G$16,0)</f>
        <v>0</v>
      </c>
      <c r="J15" s="209">
        <f>IFERROR('5. Logistic Cost (LC)'!J15/'Input-FX Rates'!$G$16,0)</f>
        <v>-167.67915747083779</v>
      </c>
      <c r="K15" s="211">
        <f>IFERROR(M15-'5. Logistic Cost (LC)'!L15/'Input-FX Rates'!$G$16,0)</f>
        <v>8.4916626413991025</v>
      </c>
      <c r="L15" s="211">
        <f>IFERROR('5. Logistic Cost (LC)'!K15/'Input-FX Rates'!$H$16,0)</f>
        <v>0</v>
      </c>
      <c r="M15" s="405">
        <f>IFERROR('5. Logistic Cost (LC)'!L15/'Input-FX Rates'!$H$16,0)</f>
        <v>-257.33191346674619</v>
      </c>
      <c r="N15" s="393">
        <f t="shared" si="0"/>
        <v>2.6889439693032906</v>
      </c>
      <c r="O15" s="917" t="str">
        <f>IF(ISBLANK('5. Logistic Cost (LC)'!N15),"",'5. Logistic Cost (LC)'!N15)</f>
        <v>800V Inverter / EPF4 Material duty increasing</v>
      </c>
      <c r="Q15" s="220" t="s">
        <v>914</v>
      </c>
    </row>
    <row r="16" spans="1:17" ht="15" x14ac:dyDescent="0.25">
      <c r="A16" s="398" t="s">
        <v>912</v>
      </c>
      <c r="B16" s="211">
        <f>IFERROR('5. Logistic Cost (LC)'!B16/'Input-FX Rates'!$E$16,0)</f>
        <v>0</v>
      </c>
      <c r="C16" s="209">
        <f>IFERROR('5. Logistic Cost (LC)'!C16/'Input-FX Rates'!$G$16,0)</f>
        <v>0</v>
      </c>
      <c r="D16" s="209">
        <f>IFERROR('5. Logistic Cost (LC)'!D16/'Input-FX Rates'!$G$16,0)</f>
        <v>0</v>
      </c>
      <c r="E16" s="210">
        <f>IFERROR('5. Logistic Cost (LC)'!E16/'Input-FX Rates'!$G$16,0)</f>
        <v>0</v>
      </c>
      <c r="F16" s="211">
        <f>IFERROR('5. Logistic Cost (LC)'!F16/'Input-FX Rates'!$G$16,0)</f>
        <v>0</v>
      </c>
      <c r="G16" s="209">
        <f>IFERROR('5. Logistic Cost (LC)'!G16/'Input-FX Rates'!$G$16,0)</f>
        <v>0</v>
      </c>
      <c r="H16" s="209">
        <f>IFERROR('5. Logistic Cost (LC)'!H16/'Input-FX Rates'!$G$16,0)</f>
        <v>0</v>
      </c>
      <c r="I16" s="209">
        <f>IFERROR('5. Logistic Cost (LC)'!I16/'Input-FX Rates'!$G$16,0)</f>
        <v>0</v>
      </c>
      <c r="J16" s="209">
        <f>IFERROR('5. Logistic Cost (LC)'!J16/'Input-FX Rates'!$G$16,0)</f>
        <v>0</v>
      </c>
      <c r="K16" s="211">
        <f>IFERROR(M16-'5. Logistic Cost (LC)'!L16/'Input-FX Rates'!$G$16,0)</f>
        <v>0</v>
      </c>
      <c r="L16" s="211">
        <f>IFERROR('5. Logistic Cost (LC)'!K16/'Input-FX Rates'!$H$16,0)</f>
        <v>0</v>
      </c>
      <c r="M16" s="405">
        <f>IFERROR('5. Logistic Cost (LC)'!L16/'Input-FX Rates'!$H$16,0)</f>
        <v>0</v>
      </c>
      <c r="N16" s="393">
        <f t="shared" si="0"/>
        <v>0</v>
      </c>
      <c r="O16" s="917" t="str">
        <f>IF(ISBLANK('5. Logistic Cost (LC)'!N16),"",'5. Logistic Cost (LC)'!N16)</f>
        <v/>
      </c>
      <c r="Q16" s="220" t="s">
        <v>913</v>
      </c>
    </row>
    <row r="17" spans="1:17" ht="15" x14ac:dyDescent="0.25">
      <c r="A17" s="398" t="s">
        <v>365</v>
      </c>
      <c r="B17" s="211">
        <f>IFERROR('5. Logistic Cost (LC)'!B17/'Input-FX Rates'!$E$16,0)</f>
        <v>-10.029461482740535</v>
      </c>
      <c r="C17" s="209">
        <f>IFERROR('5. Logistic Cost (LC)'!C17/'Input-FX Rates'!$G$16,0)</f>
        <v>-29.036804232038453</v>
      </c>
      <c r="D17" s="209">
        <f>IFERROR('5. Logistic Cost (LC)'!D17/'Input-FX Rates'!$G$16,0)</f>
        <v>0</v>
      </c>
      <c r="E17" s="210">
        <f>IFERROR('5. Logistic Cost (LC)'!E17/'Input-FX Rates'!$G$16,0)</f>
        <v>-29.036804232038453</v>
      </c>
      <c r="F17" s="211">
        <f>IFERROR('5. Logistic Cost (LC)'!F17/'Input-FX Rates'!$G$16,0)</f>
        <v>-11.816082259310159</v>
      </c>
      <c r="G17" s="209">
        <f>IFERROR('5. Logistic Cost (LC)'!G17/'Input-FX Rates'!$G$16,0)</f>
        <v>0</v>
      </c>
      <c r="H17" s="209">
        <f>IFERROR('5. Logistic Cost (LC)'!H17/'Input-FX Rates'!$G$16,0)</f>
        <v>0</v>
      </c>
      <c r="I17" s="209">
        <f>IFERROR('5. Logistic Cost (LC)'!I17/'Input-FX Rates'!$G$16,0)</f>
        <v>0</v>
      </c>
      <c r="J17" s="209">
        <f>IFERROR('5. Logistic Cost (LC)'!J17/'Input-FX Rates'!$G$16,0)</f>
        <v>11.871925059494199</v>
      </c>
      <c r="K17" s="211">
        <f>IFERROR(M17-'5. Logistic Cost (LC)'!L17/'Input-FX Rates'!$G$16,0)</f>
        <v>0.92578901806130887</v>
      </c>
      <c r="L17" s="211">
        <f>IFERROR('5. Logistic Cost (LC)'!K17/'Input-FX Rates'!$H$16,0)</f>
        <v>0</v>
      </c>
      <c r="M17" s="405">
        <f>IFERROR('5. Logistic Cost (LC)'!L17/'Input-FX Rates'!$H$16,0)</f>
        <v>-28.055172413793102</v>
      </c>
      <c r="N17" s="393">
        <f t="shared" si="0"/>
        <v>-3.3806468866234396E-2</v>
      </c>
      <c r="O17" s="917" t="str">
        <f>IF(ISBLANK('5. Logistic Cost (LC)'!N17),"",'5. Logistic Cost (LC)'!N17)</f>
        <v/>
      </c>
      <c r="Q17" s="220" t="s">
        <v>349</v>
      </c>
    </row>
    <row r="18" spans="1:17" ht="15.75" x14ac:dyDescent="0.25">
      <c r="A18" s="79" t="s">
        <v>348</v>
      </c>
      <c r="B18" s="686">
        <f>IFERROR('5. Logistic Cost (LC)'!B18/'Input-FX Rates'!$E$16,0)</f>
        <v>-373.42635248223587</v>
      </c>
      <c r="C18" s="404">
        <f>IFERROR('5. Logistic Cost (LC)'!C18/'Input-FX Rates'!$G$16,0)</f>
        <v>-1087.3655040693834</v>
      </c>
      <c r="D18" s="404">
        <f>IFERROR('5. Logistic Cost (LC)'!D18/'Input-FX Rates'!$G$16,0)</f>
        <v>-4.5954460858603614</v>
      </c>
      <c r="E18" s="403">
        <f>IFERROR('5. Logistic Cost (LC)'!E18/'Input-FX Rates'!$G$16,0)</f>
        <v>-1082.7700579835232</v>
      </c>
      <c r="F18" s="402">
        <f>IFERROR('5. Logistic Cost (LC)'!F18/'Input-FX Rates'!$G$16,0)</f>
        <v>-440.61533847732579</v>
      </c>
      <c r="G18" s="401">
        <f>IFERROR('5. Logistic Cost (LC)'!G18/'Input-FX Rates'!$G$16,0)</f>
        <v>0</v>
      </c>
      <c r="H18" s="401">
        <f>IFERROR('5. Logistic Cost (LC)'!H18/'Input-FX Rates'!$G$16,0)</f>
        <v>-8.4368088817507996</v>
      </c>
      <c r="I18" s="401">
        <f>IFERROR('5. Logistic Cost (LC)'!I18/'Input-FX Rates'!$G$16,0)</f>
        <v>72.869165193147211</v>
      </c>
      <c r="J18" s="401">
        <f>IFERROR('5. Logistic Cost (LC)'!J18/'Input-FX Rates'!$G$16,0)</f>
        <v>-53.83970909506403</v>
      </c>
      <c r="K18" s="400">
        <f>IFERROR(M18-'5. Logistic Cost (LC)'!L18/'Input-FX Rates'!$G$16,0)</f>
        <v>48.325757485531994</v>
      </c>
      <c r="L18" s="400">
        <f>IFERROR('5. Logistic Cost (LC)'!K18/'Input-FX Rates'!$H$16,0)</f>
        <v>0</v>
      </c>
      <c r="M18" s="399">
        <f>IFERROR('5. Logistic Cost (LC)'!L18/'Input-FX Rates'!$H$16,0)</f>
        <v>-1464.4669917589842</v>
      </c>
      <c r="N18" s="381">
        <f t="shared" si="0"/>
        <v>0.34680287932468601</v>
      </c>
      <c r="O18" s="918" t="str">
        <f>IF(ISBLANK('5. Logistic Cost (LC)'!N18),"",'5. Logistic Cost (LC)'!N18)</f>
        <v/>
      </c>
      <c r="Q18" s="220"/>
    </row>
    <row r="19" spans="1:17" ht="15" x14ac:dyDescent="0.25">
      <c r="A19" s="398" t="s">
        <v>364</v>
      </c>
      <c r="B19" s="211">
        <f>IFERROR('5. Logistic Cost (LC)'!B19/'Input-FX Rates'!$E$16,0)</f>
        <v>-61.531575073863223</v>
      </c>
      <c r="C19" s="209">
        <f>IFERROR('5. Logistic Cost (LC)'!C19/'Input-FX Rates'!$G$16,0)</f>
        <v>-144.83061636715186</v>
      </c>
      <c r="D19" s="209">
        <f>IFERROR('5. Logistic Cost (LC)'!D19/'Input-FX Rates'!$G$16,0)</f>
        <v>0</v>
      </c>
      <c r="E19" s="210">
        <f>IFERROR('5. Logistic Cost (LC)'!E19/'Input-FX Rates'!$G$16,0)</f>
        <v>-144.83061636715186</v>
      </c>
      <c r="F19" s="211">
        <f>IFERROR('5. Logistic Cost (LC)'!F19/'Input-FX Rates'!$G$16,0)</f>
        <v>-58.93650386761189</v>
      </c>
      <c r="G19" s="209">
        <f>IFERROR('5. Logistic Cost (LC)'!G19/'Input-FX Rates'!$G$16,0)</f>
        <v>0</v>
      </c>
      <c r="H19" s="209">
        <f>IFERROR('5. Logistic Cost (LC)'!H19/'Input-FX Rates'!$G$16,0)</f>
        <v>-8.4368088817507996</v>
      </c>
      <c r="I19" s="209">
        <f>IFERROR('5. Logistic Cost (LC)'!I19/'Input-FX Rates'!$G$16,0)</f>
        <v>0</v>
      </c>
      <c r="J19" s="209">
        <f>IFERROR('5. Logistic Cost (LC)'!J19/'Input-FX Rates'!$G$16,0)</f>
        <v>-21.214449945256632</v>
      </c>
      <c r="K19" s="211">
        <f>IFERROR(M19-'5. Logistic Cost (LC)'!L19/'Input-FX Rates'!$G$16,0)</f>
        <v>7.4564873376332059</v>
      </c>
      <c r="L19" s="211">
        <f>IFERROR('5. Logistic Cost (LC)'!K19/'Input-FX Rates'!$H$16,0)</f>
        <v>0</v>
      </c>
      <c r="M19" s="405">
        <f>IFERROR('5. Logistic Cost (LC)'!L19/'Input-FX Rates'!$H$16,0)</f>
        <v>-225.96189172413796</v>
      </c>
      <c r="N19" s="393">
        <f t="shared" si="0"/>
        <v>0.56018041897518978</v>
      </c>
      <c r="O19" s="917" t="str">
        <f>IF(ISBLANK('5. Logistic Cost (LC)'!N19),"",'5. Logistic Cost (LC)'!N19)</f>
        <v/>
      </c>
      <c r="Q19" s="220" t="s">
        <v>346</v>
      </c>
    </row>
    <row r="20" spans="1:17" ht="15" x14ac:dyDescent="0.25">
      <c r="A20" s="398" t="s">
        <v>345</v>
      </c>
      <c r="B20" s="211">
        <f>IFERROR('5. Logistic Cost (LC)'!B20/'Input-FX Rates'!$E$16,0)</f>
        <v>-158.02872590223222</v>
      </c>
      <c r="C20" s="209">
        <f>IFERROR('5. Logistic Cost (LC)'!C20/'Input-FX Rates'!$G$16,0)</f>
        <v>-434.21468126340079</v>
      </c>
      <c r="D20" s="209">
        <f>IFERROR('5. Logistic Cost (LC)'!D20/'Input-FX Rates'!$G$16,0)</f>
        <v>0</v>
      </c>
      <c r="E20" s="210">
        <f>IFERROR('5. Logistic Cost (LC)'!E20/'Input-FX Rates'!$G$16,0)</f>
        <v>-434.21468126340079</v>
      </c>
      <c r="F20" s="211">
        <f>IFERROR('5. Logistic Cost (LC)'!F20/'Input-FX Rates'!$G$16,0)</f>
        <v>-176.69623793352238</v>
      </c>
      <c r="G20" s="209">
        <f>IFERROR('5. Logistic Cost (LC)'!G20/'Input-FX Rates'!$G$16,0)</f>
        <v>0</v>
      </c>
      <c r="H20" s="209">
        <f>IFERROR('5. Logistic Cost (LC)'!H20/'Input-FX Rates'!$G$16,0)</f>
        <v>0</v>
      </c>
      <c r="I20" s="209">
        <f>IFERROR('5. Logistic Cost (LC)'!I20/'Input-FX Rates'!$G$16,0)</f>
        <v>0</v>
      </c>
      <c r="J20" s="209">
        <f>IFERROR('5. Logistic Cost (LC)'!J20/'Input-FX Rates'!$G$16,0)</f>
        <v>52.153932904898234</v>
      </c>
      <c r="K20" s="211">
        <f>IFERROR(M20-'5. Logistic Cost (LC)'!L20/'Input-FX Rates'!$G$16,0)</f>
        <v>17.849341640736952</v>
      </c>
      <c r="L20" s="211">
        <f>IFERROR('5. Logistic Cost (LC)'!K20/'Input-FX Rates'!$H$16,0)</f>
        <v>0</v>
      </c>
      <c r="M20" s="405">
        <f>IFERROR('5. Logistic Cost (LC)'!L20/'Input-FX Rates'!$H$16,0)</f>
        <v>-540.90764465128802</v>
      </c>
      <c r="N20" s="393">
        <f t="shared" si="0"/>
        <v>0.2457147765650185</v>
      </c>
      <c r="O20" s="917" t="str">
        <f>IF(ISBLANK('5. Logistic Cost (LC)'!N20),"",'5. Logistic Cost (LC)'!N20)</f>
        <v/>
      </c>
      <c r="Q20" s="220" t="s">
        <v>1419</v>
      </c>
    </row>
    <row r="21" spans="1:17" ht="15" x14ac:dyDescent="0.25">
      <c r="A21" s="398" t="s">
        <v>344</v>
      </c>
      <c r="B21" s="211">
        <f>IFERROR('5. Logistic Cost (LC)'!B21/'Input-FX Rates'!$E$16,0)</f>
        <v>-1.7432238668220368</v>
      </c>
      <c r="C21" s="209">
        <f>IFERROR('5. Logistic Cost (LC)'!C21/'Input-FX Rates'!$G$16,0)</f>
        <v>-4.5954460858603614</v>
      </c>
      <c r="D21" s="209">
        <f>IFERROR('5. Logistic Cost (LC)'!D21/'Input-FX Rates'!$G$16,0)</f>
        <v>-4.5954460858603614</v>
      </c>
      <c r="E21" s="210">
        <f>IFERROR('5. Logistic Cost (LC)'!E21/'Input-FX Rates'!$G$16,0)</f>
        <v>0</v>
      </c>
      <c r="F21" s="211">
        <f>IFERROR('5. Logistic Cost (LC)'!F21/'Input-FX Rates'!$G$16,0)</f>
        <v>0</v>
      </c>
      <c r="G21" s="209">
        <f>IFERROR('5. Logistic Cost (LC)'!G21/'Input-FX Rates'!$G$16,0)</f>
        <v>0</v>
      </c>
      <c r="H21" s="209">
        <f>IFERROR('5. Logistic Cost (LC)'!H21/'Input-FX Rates'!$G$16,0)</f>
        <v>0</v>
      </c>
      <c r="I21" s="209">
        <f>IFERROR('5. Logistic Cost (LC)'!I21/'Input-FX Rates'!$G$16,0)</f>
        <v>0</v>
      </c>
      <c r="J21" s="209">
        <f>IFERROR('5. Logistic Cost (LC)'!J21/'Input-FX Rates'!$G$16,0)</f>
        <v>0</v>
      </c>
      <c r="K21" s="211">
        <f>IFERROR(M21-'5. Logistic Cost (LC)'!L21/'Input-FX Rates'!$G$16,0)</f>
        <v>0</v>
      </c>
      <c r="L21" s="211">
        <f>IFERROR('5. Logistic Cost (LC)'!K21/'Input-FX Rates'!$H$16,0)</f>
        <v>0</v>
      </c>
      <c r="M21" s="405">
        <f>IFERROR('5. Logistic Cost (LC)'!L21/'Input-FX Rates'!$H$16,0)</f>
        <v>0</v>
      </c>
      <c r="N21" s="393">
        <f t="shared" si="0"/>
        <v>-1</v>
      </c>
      <c r="O21" s="917" t="str">
        <f>IF(ISBLANK('5. Logistic Cost (LC)'!N21),"",'5. Logistic Cost (LC)'!N21)</f>
        <v/>
      </c>
      <c r="Q21" s="220" t="s">
        <v>343</v>
      </c>
    </row>
    <row r="22" spans="1:17" ht="15" x14ac:dyDescent="0.25">
      <c r="A22" s="398" t="s">
        <v>342</v>
      </c>
      <c r="B22" s="211">
        <f>IFERROR('5. Logistic Cost (LC)'!B22/'Input-FX Rates'!$E$16,0)</f>
        <v>-145.21677288601305</v>
      </c>
      <c r="C22" s="209">
        <f>IFERROR('5. Logistic Cost (LC)'!C22/'Input-FX Rates'!$G$16,0)</f>
        <v>-374.7221212819581</v>
      </c>
      <c r="D22" s="209">
        <f>IFERROR('5. Logistic Cost (LC)'!D22/'Input-FX Rates'!$G$16,0)</f>
        <v>0</v>
      </c>
      <c r="E22" s="210">
        <f>IFERROR('5. Logistic Cost (LC)'!E22/'Input-FX Rates'!$G$16,0)</f>
        <v>-374.7221212819581</v>
      </c>
      <c r="F22" s="211">
        <f>IFERROR('5. Logistic Cost (LC)'!F22/'Input-FX Rates'!$G$16,0)</f>
        <v>-152.48701887311736</v>
      </c>
      <c r="G22" s="209">
        <f>IFERROR('5. Logistic Cost (LC)'!G22/'Input-FX Rates'!$G$16,0)</f>
        <v>0</v>
      </c>
      <c r="H22" s="209">
        <f>IFERROR('5. Logistic Cost (LC)'!H22/'Input-FX Rates'!$G$16,0)</f>
        <v>0</v>
      </c>
      <c r="I22" s="209">
        <f>IFERROR('5. Logistic Cost (LC)'!I22/'Input-FX Rates'!$G$16,0)</f>
        <v>72.869165193147211</v>
      </c>
      <c r="J22" s="209">
        <f>IFERROR('5. Logistic Cost (LC)'!J22/'Input-FX Rates'!$G$16,0)</f>
        <v>3.0817924380697579</v>
      </c>
      <c r="K22" s="211">
        <f>IFERROR(M22-'5. Logistic Cost (LC)'!L22/'Input-FX Rates'!$G$16,0)</f>
        <v>14.415321267834202</v>
      </c>
      <c r="L22" s="211">
        <f>IFERROR('5. Logistic Cost (LC)'!K22/'Input-FX Rates'!$H$16,0)</f>
        <v>0</v>
      </c>
      <c r="M22" s="405">
        <f>IFERROR('5. Logistic Cost (LC)'!L22/'Input-FX Rates'!$H$16,0)</f>
        <v>-436.84286125602426</v>
      </c>
      <c r="N22" s="393">
        <f t="shared" si="0"/>
        <v>0.16577814985020245</v>
      </c>
      <c r="O22" s="917" t="str">
        <f>IF(ISBLANK('5. Logistic Cost (LC)'!N22),"",'5. Logistic Cost (LC)'!N22)</f>
        <v/>
      </c>
      <c r="Q22" s="220" t="s">
        <v>1448</v>
      </c>
    </row>
    <row r="23" spans="1:17" ht="15" x14ac:dyDescent="0.25">
      <c r="A23" s="398" t="s">
        <v>363</v>
      </c>
      <c r="B23" s="211">
        <f>IFERROR('5. Logistic Cost (LC)'!B23/'Input-FX Rates'!$E$16,0)</f>
        <v>-6.9060547533053409</v>
      </c>
      <c r="C23" s="209">
        <f>IFERROR('5. Logistic Cost (LC)'!C23/'Input-FX Rates'!$G$16,0)</f>
        <v>-129.00263907101225</v>
      </c>
      <c r="D23" s="209">
        <f>IFERROR('5. Logistic Cost (LC)'!D23/'Input-FX Rates'!$G$16,0)</f>
        <v>0</v>
      </c>
      <c r="E23" s="210">
        <f>IFERROR('5. Logistic Cost (LC)'!E23/'Input-FX Rates'!$G$16,0)</f>
        <v>-129.00263907101225</v>
      </c>
      <c r="F23" s="211">
        <f>IFERROR('5. Logistic Cost (LC)'!F23/'Input-FX Rates'!$G$16,0)</f>
        <v>-52.495577803074141</v>
      </c>
      <c r="G23" s="209">
        <f>IFERROR('5. Logistic Cost (LC)'!G23/'Input-FX Rates'!$G$16,0)</f>
        <v>0</v>
      </c>
      <c r="H23" s="209">
        <f>IFERROR('5. Logistic Cost (LC)'!H23/'Input-FX Rates'!$G$16,0)</f>
        <v>0</v>
      </c>
      <c r="I23" s="209">
        <f>IFERROR('5. Logistic Cost (LC)'!I23/'Input-FX Rates'!$G$16,0)</f>
        <v>0</v>
      </c>
      <c r="J23" s="209">
        <f>IFERROR('5. Logistic Cost (LC)'!J23/'Input-FX Rates'!$G$16,0)</f>
        <v>-87.860984492775387</v>
      </c>
      <c r="K23" s="211">
        <f>IFERROR(M23-'5. Logistic Cost (LC)'!L23/'Input-FX Rates'!$G$16,0)</f>
        <v>8.6046072393274926</v>
      </c>
      <c r="L23" s="211">
        <f>IFERROR('5. Logistic Cost (LC)'!K23/'Input-FX Rates'!$H$16,0)</f>
        <v>0</v>
      </c>
      <c r="M23" s="405">
        <f>IFERROR('5. Logistic Cost (LC)'!L23/'Input-FX Rates'!$H$16,0)</f>
        <v>-260.75459412753429</v>
      </c>
      <c r="N23" s="393">
        <f t="shared" si="0"/>
        <v>1.0213120910185127</v>
      </c>
      <c r="O23" s="917" t="str">
        <f>IF(ISBLANK('5. Logistic Cost (LC)'!N23),"",'5. Logistic Cost (LC)'!N23)</f>
        <v>800v inverter / HPCU product MIX impact --&gt; Depot outsourcing cost</v>
      </c>
      <c r="Q23" s="220" t="s">
        <v>340</v>
      </c>
    </row>
    <row r="24" spans="1:17" ht="15.75" x14ac:dyDescent="0.25">
      <c r="A24" s="79" t="s">
        <v>338</v>
      </c>
      <c r="B24" s="686">
        <f>'5. Logistic Cost (LC)'!B24</f>
        <v>7</v>
      </c>
      <c r="C24" s="404">
        <f>'5. Logistic Cost (LC)'!C24</f>
        <v>9</v>
      </c>
      <c r="D24" s="404"/>
      <c r="E24" s="403">
        <f>'5. Logistic Cost (LC)'!E24</f>
        <v>9</v>
      </c>
      <c r="F24" s="402"/>
      <c r="G24" s="401"/>
      <c r="H24" s="401"/>
      <c r="I24" s="401"/>
      <c r="J24" s="401"/>
      <c r="K24" s="400"/>
      <c r="L24" s="400"/>
      <c r="M24" s="399">
        <f>'5. Logistic Cost (LC)'!L24</f>
        <v>12.333</v>
      </c>
      <c r="N24" s="381">
        <f>IFERROR(M24/C24-1,0)</f>
        <v>0.3703333333333334</v>
      </c>
      <c r="O24" s="918" t="str">
        <f>IF(ISBLANK('5. Logistic Cost (LC)'!N24),"",'5. Logistic Cost (LC)'!N24)</f>
        <v/>
      </c>
      <c r="Q24" s="220" t="s">
        <v>961</v>
      </c>
    </row>
    <row r="25" spans="1:17" ht="15" x14ac:dyDescent="0.2">
      <c r="A25" s="398" t="s">
        <v>337</v>
      </c>
      <c r="B25" s="211">
        <f>'5. Logistic Cost (LC)'!B25</f>
        <v>7</v>
      </c>
      <c r="C25" s="209">
        <f>'5. Logistic Cost (LC)'!C25</f>
        <v>9</v>
      </c>
      <c r="D25" s="209"/>
      <c r="E25" s="210">
        <f>'5. Logistic Cost (LC)'!E25</f>
        <v>9</v>
      </c>
      <c r="F25" s="211"/>
      <c r="G25" s="209"/>
      <c r="H25" s="209"/>
      <c r="I25" s="209"/>
      <c r="J25" s="209"/>
      <c r="K25" s="211"/>
      <c r="L25" s="211"/>
      <c r="M25" s="405">
        <f>'5. Logistic Cost (LC)'!L25</f>
        <v>12.333</v>
      </c>
      <c r="N25" s="375">
        <f>IFERROR(M25/C25-1,0)</f>
        <v>0.3703333333333334</v>
      </c>
      <c r="O25" s="917" t="str">
        <f>IF(ISBLANK('5. Logistic Cost (LC)'!N25),"",'5. Logistic Cost (LC)'!N25)</f>
        <v/>
      </c>
    </row>
    <row r="26" spans="1:17" ht="15" x14ac:dyDescent="0.2">
      <c r="A26" s="398" t="s">
        <v>336</v>
      </c>
      <c r="B26" s="211">
        <f>'5. Logistic Cost (LC)'!B26</f>
        <v>0</v>
      </c>
      <c r="C26" s="209">
        <f>'5. Logistic Cost (LC)'!C26</f>
        <v>0</v>
      </c>
      <c r="D26" s="209"/>
      <c r="E26" s="210">
        <f>'5. Logistic Cost (LC)'!E26</f>
        <v>0</v>
      </c>
      <c r="F26" s="211"/>
      <c r="G26" s="209"/>
      <c r="H26" s="209"/>
      <c r="I26" s="209"/>
      <c r="J26" s="209"/>
      <c r="K26" s="211"/>
      <c r="L26" s="211"/>
      <c r="M26" s="405">
        <f>'5. Logistic Cost (LC)'!L26</f>
        <v>0</v>
      </c>
      <c r="N26" s="375">
        <f>IFERROR(M26/C26-1,0)</f>
        <v>0</v>
      </c>
      <c r="O26" s="917" t="str">
        <f>IF(ISBLANK('5. Logistic Cost (LC)'!N26),"",'5. Logistic Cost (LC)'!N26)</f>
        <v/>
      </c>
      <c r="Q26" s="221" t="s">
        <v>1417</v>
      </c>
    </row>
  </sheetData>
  <mergeCells count="3">
    <mergeCell ref="F4:K4"/>
    <mergeCell ref="L4:N4"/>
    <mergeCell ref="B4:E4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Normal="100" workbookViewId="0">
      <pane xSplit="2" ySplit="6" topLeftCell="C7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defaultColWidth="11.42578125" defaultRowHeight="15" x14ac:dyDescent="0.25"/>
  <cols>
    <col min="1" max="1" width="21.42578125" style="722" customWidth="1"/>
    <col min="2" max="2" width="43" style="722" customWidth="1"/>
    <col min="3" max="3" width="20.28515625" style="722" customWidth="1"/>
    <col min="4" max="5" width="16.7109375" style="722" customWidth="1"/>
    <col min="6" max="17" width="13.7109375" style="722" customWidth="1"/>
    <col min="18" max="18" width="44.7109375" style="722" customWidth="1"/>
    <col min="19" max="19" width="11.42578125" style="722"/>
    <col min="20" max="20" width="59.28515625" style="722" customWidth="1"/>
    <col min="21" max="16384" width="11.42578125" style="411"/>
  </cols>
  <sheetData>
    <row r="1" spans="1:20" s="419" customFormat="1" ht="18" x14ac:dyDescent="0.25">
      <c r="A1" s="60" t="str">
        <f>+'0. Instructions'!A1</f>
        <v>Budget 2024</v>
      </c>
      <c r="B1" s="423"/>
      <c r="C1" s="423"/>
      <c r="D1" s="423"/>
      <c r="E1" s="423"/>
      <c r="F1" s="423"/>
      <c r="G1" s="720"/>
      <c r="H1" s="422"/>
      <c r="I1" s="422"/>
      <c r="J1" s="422"/>
      <c r="K1" s="422"/>
      <c r="L1" s="422"/>
      <c r="M1" s="422"/>
      <c r="N1" s="421"/>
      <c r="O1" s="421"/>
      <c r="P1" s="420"/>
      <c r="Q1" s="420"/>
      <c r="R1" s="420" t="str">
        <f>'Input-FX Rates'!$H$1</f>
        <v>Plant ICH Icheon (242)</v>
      </c>
      <c r="S1" s="243"/>
      <c r="T1" s="397" t="s">
        <v>144</v>
      </c>
    </row>
    <row r="2" spans="1:20" s="419" customFormat="1" ht="18.75" thickBot="1" x14ac:dyDescent="0.3">
      <c r="A2" s="55" t="s">
        <v>385</v>
      </c>
      <c r="B2" s="218"/>
      <c r="C2" s="218"/>
      <c r="D2" s="218"/>
      <c r="E2" s="218"/>
      <c r="F2" s="218"/>
      <c r="G2" s="218"/>
      <c r="H2" s="218"/>
      <c r="I2" s="218"/>
      <c r="J2" s="54"/>
      <c r="K2" s="55"/>
      <c r="L2" s="218"/>
      <c r="M2" s="218"/>
      <c r="N2" s="218"/>
      <c r="O2" s="218"/>
      <c r="P2" s="396"/>
      <c r="Q2" s="396"/>
      <c r="R2" s="54" t="str">
        <f>'Input-FX Rates'!$H$2</f>
        <v>7851 PL eMotor Controls</v>
      </c>
      <c r="S2" s="243"/>
      <c r="T2" s="95" t="s">
        <v>142</v>
      </c>
    </row>
    <row r="3" spans="1:20" s="419" customFormat="1" ht="12.75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21"/>
    </row>
    <row r="4" spans="1:20" s="419" customFormat="1" ht="12.75" x14ac:dyDescent="0.2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s="418" customFormat="1" ht="31.5" x14ac:dyDescent="0.25">
      <c r="A5" s="187"/>
      <c r="B5" s="687" t="str">
        <f>"Inventory Details"&amp;" in '000 "&amp;'Input-FX Rates'!$B$8</f>
        <v>Inventory Details in '000 KRW</v>
      </c>
      <c r="C5" s="688" t="s">
        <v>1044</v>
      </c>
      <c r="D5" s="188" t="s">
        <v>1045</v>
      </c>
      <c r="E5" s="187" t="s">
        <v>1046</v>
      </c>
      <c r="F5" s="187" t="s">
        <v>1047</v>
      </c>
      <c r="G5" s="187" t="s">
        <v>1048</v>
      </c>
      <c r="H5" s="187" t="s">
        <v>1049</v>
      </c>
      <c r="I5" s="187" t="s">
        <v>1050</v>
      </c>
      <c r="J5" s="187" t="s">
        <v>1051</v>
      </c>
      <c r="K5" s="187" t="s">
        <v>1052</v>
      </c>
      <c r="L5" s="187" t="s">
        <v>1053</v>
      </c>
      <c r="M5" s="187" t="s">
        <v>1054</v>
      </c>
      <c r="N5" s="187" t="s">
        <v>1055</v>
      </c>
      <c r="O5" s="187" t="s">
        <v>1056</v>
      </c>
      <c r="P5" s="188" t="s">
        <v>1057</v>
      </c>
      <c r="Q5" s="188" t="s">
        <v>1058</v>
      </c>
      <c r="R5" s="187" t="s">
        <v>154</v>
      </c>
      <c r="S5" s="721"/>
      <c r="T5" s="721"/>
    </row>
    <row r="6" spans="1:20" x14ac:dyDescent="0.25">
      <c r="B6" s="723"/>
      <c r="C6" s="724"/>
      <c r="D6" s="725"/>
      <c r="P6" s="725"/>
      <c r="Q6" s="725"/>
    </row>
    <row r="7" spans="1:20" ht="15.75" x14ac:dyDescent="0.25">
      <c r="A7" s="214" t="s">
        <v>384</v>
      </c>
      <c r="B7" s="690">
        <f>'P&amp;L'!I8</f>
        <v>188273351.18900001</v>
      </c>
      <c r="C7" s="689">
        <f>+'P&amp;L'!F8</f>
        <v>50414410.311999999</v>
      </c>
      <c r="D7" s="80">
        <f>+'P&amp;L'!H8</f>
        <v>133169528.691</v>
      </c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6"/>
      <c r="Q7" s="415"/>
      <c r="R7" s="214"/>
      <c r="T7" s="722" t="s">
        <v>1420</v>
      </c>
    </row>
    <row r="8" spans="1:20" ht="15.75" x14ac:dyDescent="0.25">
      <c r="A8" s="214" t="s">
        <v>383</v>
      </c>
      <c r="B8" s="691"/>
      <c r="C8" s="689">
        <f t="shared" ref="C8:Q8" si="0">SUM(C9:C23)</f>
        <v>3751693.37</v>
      </c>
      <c r="D8" s="80">
        <f t="shared" si="0"/>
        <v>3144226.385458889</v>
      </c>
      <c r="E8" s="78">
        <f t="shared" si="0"/>
        <v>4952885.56458221</v>
      </c>
      <c r="F8" s="78">
        <f t="shared" si="0"/>
        <v>4149761.6091309064</v>
      </c>
      <c r="G8" s="78">
        <f t="shared" si="0"/>
        <v>3659703.1897015627</v>
      </c>
      <c r="H8" s="78">
        <f t="shared" si="0"/>
        <v>3758092.1021013879</v>
      </c>
      <c r="I8" s="78">
        <f t="shared" si="0"/>
        <v>3476245.6012986531</v>
      </c>
      <c r="J8" s="78">
        <f t="shared" si="0"/>
        <v>3697769.2228084635</v>
      </c>
      <c r="K8" s="78">
        <f t="shared" si="0"/>
        <v>3806471.3716689642</v>
      </c>
      <c r="L8" s="78">
        <f t="shared" si="0"/>
        <v>3067126.2836100343</v>
      </c>
      <c r="M8" s="78">
        <f t="shared" si="0"/>
        <v>3223513.6422312153</v>
      </c>
      <c r="N8" s="78">
        <f t="shared" si="0"/>
        <v>3389736.1408234923</v>
      </c>
      <c r="O8" s="78">
        <f t="shared" si="0"/>
        <v>2734951.0139536266</v>
      </c>
      <c r="P8" s="78">
        <f t="shared" si="0"/>
        <v>3066825.8628186551</v>
      </c>
      <c r="Q8" s="414">
        <f t="shared" si="0"/>
        <v>3581923.4670607639</v>
      </c>
      <c r="R8" s="214"/>
      <c r="T8" s="722" t="s">
        <v>1421</v>
      </c>
    </row>
    <row r="9" spans="1:20" x14ac:dyDescent="0.25">
      <c r="A9" s="1040" t="s">
        <v>1128</v>
      </c>
      <c r="B9" s="723" t="s">
        <v>382</v>
      </c>
      <c r="C9" s="155">
        <v>1446631.37</v>
      </c>
      <c r="D9" s="712">
        <v>1687891.1693647578</v>
      </c>
      <c r="E9" s="726">
        <v>2319679.2776837852</v>
      </c>
      <c r="F9" s="726">
        <v>1827588.2403896358</v>
      </c>
      <c r="G9" s="155">
        <v>1561741.4844375935</v>
      </c>
      <c r="H9" s="155">
        <v>1862238.6726509363</v>
      </c>
      <c r="I9" s="155">
        <v>1762495.5095051182</v>
      </c>
      <c r="J9" s="155">
        <v>2148098.6114911628</v>
      </c>
      <c r="K9" s="155">
        <v>2404685.8632448842</v>
      </c>
      <c r="L9" s="155">
        <v>1798582.106843214</v>
      </c>
      <c r="M9" s="155">
        <v>2075061.3963291806</v>
      </c>
      <c r="N9" s="155">
        <v>2349514.5588735561</v>
      </c>
      <c r="O9" s="155">
        <v>1792262.6609044676</v>
      </c>
      <c r="P9" s="712">
        <v>2212192.6676002527</v>
      </c>
      <c r="Q9" s="727">
        <f>SUM(E9:P9)/12</f>
        <v>2009511.7541628154</v>
      </c>
      <c r="R9" s="155"/>
    </row>
    <row r="10" spans="1:20" x14ac:dyDescent="0.25">
      <c r="A10" s="1040"/>
      <c r="B10" s="723" t="s">
        <v>381</v>
      </c>
      <c r="C10" s="155">
        <v>0</v>
      </c>
      <c r="D10" s="712">
        <v>0</v>
      </c>
      <c r="E10" s="726">
        <v>0</v>
      </c>
      <c r="F10" s="726">
        <v>0</v>
      </c>
      <c r="G10" s="155">
        <v>0</v>
      </c>
      <c r="H10" s="155">
        <v>0</v>
      </c>
      <c r="I10" s="155"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55">
        <v>0</v>
      </c>
      <c r="P10" s="712">
        <v>0</v>
      </c>
      <c r="Q10" s="727">
        <f t="shared" ref="Q10:Q23" si="1">SUM(E10:P10)/12</f>
        <v>0</v>
      </c>
      <c r="R10" s="155"/>
    </row>
    <row r="11" spans="1:20" x14ac:dyDescent="0.25">
      <c r="A11" s="1040"/>
      <c r="B11" s="723" t="s">
        <v>964</v>
      </c>
      <c r="C11" s="155">
        <v>0</v>
      </c>
      <c r="D11" s="712">
        <v>0</v>
      </c>
      <c r="E11" s="726">
        <v>0</v>
      </c>
      <c r="F11" s="726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v>0</v>
      </c>
      <c r="M11" s="155">
        <v>0</v>
      </c>
      <c r="N11" s="155">
        <v>0</v>
      </c>
      <c r="O11" s="155">
        <v>0</v>
      </c>
      <c r="P11" s="712">
        <v>0</v>
      </c>
      <c r="Q11" s="727">
        <f t="shared" si="1"/>
        <v>0</v>
      </c>
      <c r="R11" s="155"/>
    </row>
    <row r="12" spans="1:20" x14ac:dyDescent="0.25">
      <c r="A12" s="1040"/>
      <c r="B12" s="723" t="s">
        <v>376</v>
      </c>
      <c r="C12" s="155">
        <v>0</v>
      </c>
      <c r="D12" s="712">
        <v>0</v>
      </c>
      <c r="E12" s="726">
        <v>0</v>
      </c>
      <c r="F12" s="726">
        <v>0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0</v>
      </c>
      <c r="M12" s="155">
        <v>0</v>
      </c>
      <c r="N12" s="155">
        <v>0</v>
      </c>
      <c r="O12" s="155">
        <v>0</v>
      </c>
      <c r="P12" s="712">
        <v>0</v>
      </c>
      <c r="Q12" s="727">
        <f t="shared" si="1"/>
        <v>0</v>
      </c>
      <c r="R12" s="155"/>
    </row>
    <row r="13" spans="1:20" x14ac:dyDescent="0.25">
      <c r="A13" s="1040"/>
      <c r="B13" s="723" t="s">
        <v>1123</v>
      </c>
      <c r="C13" s="155">
        <v>0</v>
      </c>
      <c r="D13" s="712">
        <v>0</v>
      </c>
      <c r="E13" s="726">
        <v>0</v>
      </c>
      <c r="F13" s="726">
        <v>0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712">
        <v>0</v>
      </c>
      <c r="Q13" s="727">
        <f t="shared" si="1"/>
        <v>0</v>
      </c>
      <c r="R13" s="155"/>
    </row>
    <row r="14" spans="1:20" x14ac:dyDescent="0.25">
      <c r="A14" s="1039" t="s">
        <v>1127</v>
      </c>
      <c r="B14" s="728" t="s">
        <v>372</v>
      </c>
      <c r="C14" s="155">
        <v>0</v>
      </c>
      <c r="D14" s="712">
        <v>0</v>
      </c>
      <c r="E14" s="726">
        <v>0</v>
      </c>
      <c r="F14" s="726">
        <v>0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5">
        <v>0</v>
      </c>
      <c r="N14" s="155">
        <v>0</v>
      </c>
      <c r="O14" s="155">
        <v>0</v>
      </c>
      <c r="P14" s="712">
        <v>0</v>
      </c>
      <c r="Q14" s="727">
        <f t="shared" si="1"/>
        <v>0</v>
      </c>
      <c r="R14" s="155"/>
    </row>
    <row r="15" spans="1:20" x14ac:dyDescent="0.25">
      <c r="A15" s="1039"/>
      <c r="B15" s="728" t="s">
        <v>1124</v>
      </c>
      <c r="C15" s="155">
        <v>0</v>
      </c>
      <c r="D15" s="712">
        <v>0</v>
      </c>
      <c r="E15" s="726">
        <v>0</v>
      </c>
      <c r="F15" s="726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712">
        <v>0</v>
      </c>
      <c r="Q15" s="727">
        <f t="shared" si="1"/>
        <v>0</v>
      </c>
      <c r="R15" s="155"/>
    </row>
    <row r="16" spans="1:20" x14ac:dyDescent="0.25">
      <c r="A16" s="1039"/>
      <c r="B16" s="728" t="s">
        <v>963</v>
      </c>
      <c r="C16" s="155">
        <v>0</v>
      </c>
      <c r="D16" s="712">
        <v>0</v>
      </c>
      <c r="E16" s="726">
        <v>0</v>
      </c>
      <c r="F16" s="726">
        <v>0</v>
      </c>
      <c r="G16" s="155">
        <v>0</v>
      </c>
      <c r="H16" s="155">
        <v>0</v>
      </c>
      <c r="I16" s="155">
        <v>0</v>
      </c>
      <c r="J16" s="155">
        <v>0</v>
      </c>
      <c r="K16" s="155">
        <v>0</v>
      </c>
      <c r="L16" s="155">
        <v>0</v>
      </c>
      <c r="M16" s="155">
        <v>0</v>
      </c>
      <c r="N16" s="155">
        <v>0</v>
      </c>
      <c r="O16" s="155">
        <v>0</v>
      </c>
      <c r="P16" s="712">
        <v>0</v>
      </c>
      <c r="Q16" s="727">
        <f t="shared" si="1"/>
        <v>0</v>
      </c>
      <c r="R16" s="155"/>
    </row>
    <row r="17" spans="1:18" x14ac:dyDescent="0.25">
      <c r="A17" s="1039"/>
      <c r="B17" s="728" t="s">
        <v>375</v>
      </c>
      <c r="C17" s="155">
        <v>0</v>
      </c>
      <c r="D17" s="712">
        <v>0</v>
      </c>
      <c r="E17" s="726">
        <v>0</v>
      </c>
      <c r="F17" s="726">
        <v>0</v>
      </c>
      <c r="G17" s="155">
        <v>0</v>
      </c>
      <c r="H17" s="155">
        <v>0</v>
      </c>
      <c r="I17" s="155">
        <v>0</v>
      </c>
      <c r="J17" s="155">
        <v>0</v>
      </c>
      <c r="K17" s="155">
        <v>0</v>
      </c>
      <c r="L17" s="155">
        <v>0</v>
      </c>
      <c r="M17" s="155">
        <v>0</v>
      </c>
      <c r="N17" s="155">
        <v>0</v>
      </c>
      <c r="O17" s="155">
        <v>0</v>
      </c>
      <c r="P17" s="712">
        <v>0</v>
      </c>
      <c r="Q17" s="727">
        <f t="shared" si="1"/>
        <v>0</v>
      </c>
      <c r="R17" s="155"/>
    </row>
    <row r="18" spans="1:18" x14ac:dyDescent="0.25">
      <c r="A18" s="1039"/>
      <c r="B18" s="728" t="s">
        <v>376</v>
      </c>
      <c r="C18" s="155">
        <v>0</v>
      </c>
      <c r="D18" s="712">
        <v>0</v>
      </c>
      <c r="E18" s="726">
        <v>0</v>
      </c>
      <c r="F18" s="726">
        <v>0</v>
      </c>
      <c r="G18" s="155">
        <v>0</v>
      </c>
      <c r="H18" s="155">
        <v>0</v>
      </c>
      <c r="I18" s="155">
        <v>0</v>
      </c>
      <c r="J18" s="155">
        <v>0</v>
      </c>
      <c r="K18" s="155">
        <v>0</v>
      </c>
      <c r="L18" s="155">
        <v>0</v>
      </c>
      <c r="M18" s="155">
        <v>0</v>
      </c>
      <c r="N18" s="155">
        <v>0</v>
      </c>
      <c r="O18" s="155">
        <v>0</v>
      </c>
      <c r="P18" s="712">
        <v>0</v>
      </c>
      <c r="Q18" s="727">
        <f t="shared" si="1"/>
        <v>0</v>
      </c>
      <c r="R18" s="155"/>
    </row>
    <row r="19" spans="1:18" x14ac:dyDescent="0.25">
      <c r="A19" s="1039"/>
      <c r="B19" s="728" t="s">
        <v>1125</v>
      </c>
      <c r="C19" s="155">
        <v>2305062</v>
      </c>
      <c r="D19" s="712">
        <v>1300571.1000000001</v>
      </c>
      <c r="E19" s="726">
        <v>2469694.2024490004</v>
      </c>
      <c r="F19" s="726">
        <v>2170619.8140750001</v>
      </c>
      <c r="G19" s="155">
        <v>1957390.0486349999</v>
      </c>
      <c r="H19" s="155">
        <v>1765483.2597390001</v>
      </c>
      <c r="I19" s="155">
        <v>1592767.1497326002</v>
      </c>
      <c r="J19" s="155">
        <v>1437322.6507268404</v>
      </c>
      <c r="K19" s="155">
        <v>1297422.6016216562</v>
      </c>
      <c r="L19" s="155">
        <v>1171512.5574269905</v>
      </c>
      <c r="M19" s="155">
        <v>1058193.5176517915</v>
      </c>
      <c r="N19" s="155">
        <v>956206.38185411226</v>
      </c>
      <c r="O19" s="155">
        <v>864417.95963620103</v>
      </c>
      <c r="P19" s="712">
        <v>781808.37964008097</v>
      </c>
      <c r="Q19" s="727">
        <f t="shared" si="1"/>
        <v>1460236.5435990226</v>
      </c>
      <c r="R19" s="155"/>
    </row>
    <row r="20" spans="1:18" x14ac:dyDescent="0.25">
      <c r="A20" s="1039"/>
      <c r="B20" s="729" t="s">
        <v>1123</v>
      </c>
      <c r="C20" s="155">
        <v>0</v>
      </c>
      <c r="D20" s="712">
        <v>0</v>
      </c>
      <c r="E20" s="726">
        <v>15536.174160000002</v>
      </c>
      <c r="F20" s="726">
        <v>15415.717200000001</v>
      </c>
      <c r="G20" s="155">
        <v>15324.846160000003</v>
      </c>
      <c r="H20" s="155">
        <v>15143.104080000003</v>
      </c>
      <c r="I20" s="155">
        <v>14974.041680000002</v>
      </c>
      <c r="J20" s="155">
        <v>14819.772240000002</v>
      </c>
      <c r="K20" s="155">
        <v>14636.973520000001</v>
      </c>
      <c r="L20" s="155">
        <v>14483.76072</v>
      </c>
      <c r="M20" s="155">
        <v>14314.69832</v>
      </c>
      <c r="N20" s="155">
        <v>14146.692560000001</v>
      </c>
      <c r="O20" s="155">
        <v>13991.366480000001</v>
      </c>
      <c r="P20" s="712">
        <v>13688.1108</v>
      </c>
      <c r="Q20" s="727">
        <f t="shared" si="1"/>
        <v>14706.271493333334</v>
      </c>
      <c r="R20" s="155"/>
    </row>
    <row r="21" spans="1:18" x14ac:dyDescent="0.25">
      <c r="A21" s="1039"/>
      <c r="B21" s="729" t="s">
        <v>373</v>
      </c>
      <c r="C21" s="155">
        <v>0</v>
      </c>
      <c r="D21" s="712">
        <v>0</v>
      </c>
      <c r="E21" s="726">
        <v>0</v>
      </c>
      <c r="F21" s="726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712">
        <v>0</v>
      </c>
      <c r="Q21" s="727">
        <f t="shared" si="1"/>
        <v>0</v>
      </c>
      <c r="R21" s="155"/>
    </row>
    <row r="22" spans="1:18" x14ac:dyDescent="0.25">
      <c r="A22" s="1039"/>
      <c r="B22" s="729" t="s">
        <v>374</v>
      </c>
      <c r="C22" s="155">
        <v>0</v>
      </c>
      <c r="D22" s="712">
        <v>0</v>
      </c>
      <c r="E22" s="726">
        <v>0</v>
      </c>
      <c r="F22" s="726">
        <v>0</v>
      </c>
      <c r="G22" s="155">
        <v>0</v>
      </c>
      <c r="H22" s="155">
        <v>0</v>
      </c>
      <c r="I22" s="155">
        <v>0</v>
      </c>
      <c r="J22" s="155">
        <v>0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712">
        <v>0</v>
      </c>
      <c r="Q22" s="727">
        <f t="shared" si="1"/>
        <v>0</v>
      </c>
      <c r="R22" s="155"/>
    </row>
    <row r="23" spans="1:18" x14ac:dyDescent="0.25">
      <c r="A23" s="1039"/>
      <c r="B23" s="729" t="s">
        <v>1126</v>
      </c>
      <c r="C23" s="155">
        <v>0</v>
      </c>
      <c r="D23" s="712">
        <v>155764.11609413099</v>
      </c>
      <c r="E23" s="726">
        <v>147975.91028942444</v>
      </c>
      <c r="F23" s="726">
        <v>136137.83746627049</v>
      </c>
      <c r="G23" s="155">
        <v>125246.81046896885</v>
      </c>
      <c r="H23" s="155">
        <v>115227.06563145135</v>
      </c>
      <c r="I23" s="155">
        <v>106008.90038093524</v>
      </c>
      <c r="J23" s="155">
        <v>97528.188350460434</v>
      </c>
      <c r="K23" s="155">
        <v>89725.933282423604</v>
      </c>
      <c r="L23" s="155">
        <v>82547.858619829727</v>
      </c>
      <c r="M23" s="155">
        <v>75944.029930243356</v>
      </c>
      <c r="N23" s="155">
        <v>69868.507535823883</v>
      </c>
      <c r="O23" s="155">
        <v>64279.026932957975</v>
      </c>
      <c r="P23" s="712">
        <v>59136.704778321342</v>
      </c>
      <c r="Q23" s="727">
        <f t="shared" si="1"/>
        <v>97468.897805592555</v>
      </c>
      <c r="R23" s="155"/>
    </row>
    <row r="24" spans="1:18" ht="15.75" x14ac:dyDescent="0.25">
      <c r="A24" s="214" t="s">
        <v>380</v>
      </c>
      <c r="B24" s="691"/>
      <c r="C24" s="689">
        <f t="shared" ref="C24:D24" si="2">SUM(C25:C31)</f>
        <v>979827.995</v>
      </c>
      <c r="D24" s="80">
        <f t="shared" si="2"/>
        <v>1229971</v>
      </c>
      <c r="E24" s="78">
        <f>SUM(E25:E31)</f>
        <v>1212078.282169655</v>
      </c>
      <c r="F24" s="78">
        <f t="shared" ref="F24:P24" si="3">SUM(F25:F31)</f>
        <v>1603604.5067680655</v>
      </c>
      <c r="G24" s="78">
        <f t="shared" si="3"/>
        <v>1467719.903987458</v>
      </c>
      <c r="H24" s="78">
        <f t="shared" si="3"/>
        <v>1221821.3523879279</v>
      </c>
      <c r="I24" s="78">
        <f t="shared" si="3"/>
        <v>1248016.0184014942</v>
      </c>
      <c r="J24" s="78">
        <f t="shared" si="3"/>
        <v>4105067.9507097043</v>
      </c>
      <c r="K24" s="78">
        <f t="shared" si="3"/>
        <v>4246794.356203543</v>
      </c>
      <c r="L24" s="78">
        <f t="shared" si="3"/>
        <v>3627479.0293828314</v>
      </c>
      <c r="M24" s="78">
        <f t="shared" si="3"/>
        <v>3126986.4848267185</v>
      </c>
      <c r="N24" s="78">
        <f t="shared" si="3"/>
        <v>3598547.0363730416</v>
      </c>
      <c r="O24" s="78">
        <f t="shared" si="3"/>
        <v>3910790.3542163018</v>
      </c>
      <c r="P24" s="80">
        <f t="shared" si="3"/>
        <v>4391117.0363730416</v>
      </c>
      <c r="Q24" s="80">
        <f>SUM(E24:P24)/12</f>
        <v>2813335.1926499815</v>
      </c>
      <c r="R24" s="214"/>
    </row>
    <row r="25" spans="1:18" x14ac:dyDescent="0.25">
      <c r="A25" s="1040" t="s">
        <v>1128</v>
      </c>
      <c r="B25" s="723" t="s">
        <v>379</v>
      </c>
      <c r="C25" s="155">
        <v>979827.995</v>
      </c>
      <c r="D25" s="712">
        <v>1229971</v>
      </c>
      <c r="E25" s="726">
        <v>1212078.282169655</v>
      </c>
      <c r="F25" s="726">
        <v>1603604.5067680655</v>
      </c>
      <c r="G25" s="155">
        <v>1467719.903987458</v>
      </c>
      <c r="H25" s="155">
        <v>1221821.3523879279</v>
      </c>
      <c r="I25" s="155">
        <v>1248016.0184014942</v>
      </c>
      <c r="J25" s="155">
        <v>4105067.9507097043</v>
      </c>
      <c r="K25" s="155">
        <v>4246794.356203543</v>
      </c>
      <c r="L25" s="155">
        <v>3627479.0293828314</v>
      </c>
      <c r="M25" s="155">
        <v>3126986.4848267185</v>
      </c>
      <c r="N25" s="155">
        <v>3598547.0363730416</v>
      </c>
      <c r="O25" s="155">
        <v>3910790.3542163018</v>
      </c>
      <c r="P25" s="712">
        <v>4391117.0363730416</v>
      </c>
      <c r="Q25" s="727">
        <f t="shared" ref="Q25:Q32" si="4">SUM(E25:P25)/12</f>
        <v>2813335.1926499815</v>
      </c>
      <c r="R25" s="155"/>
    </row>
    <row r="26" spans="1:18" x14ac:dyDescent="0.25">
      <c r="A26" s="1040"/>
      <c r="B26" s="723" t="s">
        <v>376</v>
      </c>
      <c r="C26" s="155">
        <v>0</v>
      </c>
      <c r="D26" s="712">
        <v>0</v>
      </c>
      <c r="E26" s="726">
        <v>0</v>
      </c>
      <c r="F26" s="726">
        <v>0</v>
      </c>
      <c r="G26" s="155">
        <v>0</v>
      </c>
      <c r="H26" s="155">
        <v>0</v>
      </c>
      <c r="I26" s="155">
        <v>0</v>
      </c>
      <c r="J26" s="155">
        <v>0</v>
      </c>
      <c r="K26" s="155">
        <v>0</v>
      </c>
      <c r="L26" s="155">
        <v>0</v>
      </c>
      <c r="M26" s="155">
        <v>0</v>
      </c>
      <c r="N26" s="155">
        <v>0</v>
      </c>
      <c r="O26" s="155">
        <v>0</v>
      </c>
      <c r="P26" s="712">
        <v>0</v>
      </c>
      <c r="Q26" s="727">
        <f t="shared" si="4"/>
        <v>0</v>
      </c>
      <c r="R26" s="155"/>
    </row>
    <row r="27" spans="1:18" x14ac:dyDescent="0.25">
      <c r="A27" s="1039" t="s">
        <v>1127</v>
      </c>
      <c r="B27" s="728" t="s">
        <v>372</v>
      </c>
      <c r="C27" s="155">
        <v>0</v>
      </c>
      <c r="D27" s="712">
        <v>0</v>
      </c>
      <c r="E27" s="726">
        <v>0</v>
      </c>
      <c r="F27" s="726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712">
        <v>0</v>
      </c>
      <c r="Q27" s="727">
        <f t="shared" si="4"/>
        <v>0</v>
      </c>
      <c r="R27" s="155"/>
    </row>
    <row r="28" spans="1:18" x14ac:dyDescent="0.25">
      <c r="A28" s="1039"/>
      <c r="B28" s="728" t="s">
        <v>375</v>
      </c>
      <c r="C28" s="155">
        <v>0</v>
      </c>
      <c r="D28" s="712">
        <v>0</v>
      </c>
      <c r="E28" s="726">
        <v>0</v>
      </c>
      <c r="F28" s="726">
        <v>0</v>
      </c>
      <c r="G28" s="155">
        <v>0</v>
      </c>
      <c r="H28" s="155">
        <v>0</v>
      </c>
      <c r="I28" s="155">
        <v>0</v>
      </c>
      <c r="J28" s="155">
        <v>0</v>
      </c>
      <c r="K28" s="155">
        <v>0</v>
      </c>
      <c r="L28" s="155">
        <v>0</v>
      </c>
      <c r="M28" s="155">
        <v>0</v>
      </c>
      <c r="N28" s="155">
        <v>0</v>
      </c>
      <c r="O28" s="155">
        <v>0</v>
      </c>
      <c r="P28" s="712">
        <v>0</v>
      </c>
      <c r="Q28" s="727">
        <f t="shared" si="4"/>
        <v>0</v>
      </c>
      <c r="R28" s="155"/>
    </row>
    <row r="29" spans="1:18" x14ac:dyDescent="0.25">
      <c r="A29" s="1039"/>
      <c r="B29" s="728" t="s">
        <v>376</v>
      </c>
      <c r="C29" s="155">
        <v>0</v>
      </c>
      <c r="D29" s="712">
        <v>0</v>
      </c>
      <c r="E29" s="726">
        <v>0</v>
      </c>
      <c r="F29" s="726">
        <v>0</v>
      </c>
      <c r="G29" s="155">
        <v>0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  <c r="M29" s="155">
        <v>0</v>
      </c>
      <c r="N29" s="155">
        <v>0</v>
      </c>
      <c r="O29" s="155">
        <v>0</v>
      </c>
      <c r="P29" s="712">
        <v>0</v>
      </c>
      <c r="Q29" s="727">
        <f t="shared" si="4"/>
        <v>0</v>
      </c>
      <c r="R29" s="155"/>
    </row>
    <row r="30" spans="1:18" x14ac:dyDescent="0.25">
      <c r="A30" s="1039"/>
      <c r="B30" s="728" t="s">
        <v>373</v>
      </c>
      <c r="C30" s="155">
        <v>0</v>
      </c>
      <c r="D30" s="712">
        <v>0</v>
      </c>
      <c r="E30" s="726">
        <v>0</v>
      </c>
      <c r="F30" s="726">
        <v>0</v>
      </c>
      <c r="G30" s="155">
        <v>0</v>
      </c>
      <c r="H30" s="155">
        <v>0</v>
      </c>
      <c r="I30" s="155">
        <v>0</v>
      </c>
      <c r="J30" s="155">
        <v>0</v>
      </c>
      <c r="K30" s="155">
        <v>0</v>
      </c>
      <c r="L30" s="155">
        <v>0</v>
      </c>
      <c r="M30" s="155">
        <v>0</v>
      </c>
      <c r="N30" s="155">
        <v>0</v>
      </c>
      <c r="O30" s="155">
        <v>0</v>
      </c>
      <c r="P30" s="712">
        <v>0</v>
      </c>
      <c r="Q30" s="727">
        <f t="shared" si="4"/>
        <v>0</v>
      </c>
      <c r="R30" s="155"/>
    </row>
    <row r="31" spans="1:18" x14ac:dyDescent="0.25">
      <c r="A31" s="1039"/>
      <c r="B31" s="728" t="s">
        <v>374</v>
      </c>
      <c r="C31" s="155">
        <v>0</v>
      </c>
      <c r="D31" s="712">
        <v>0</v>
      </c>
      <c r="E31" s="726">
        <v>0</v>
      </c>
      <c r="F31" s="726">
        <v>0</v>
      </c>
      <c r="G31" s="155">
        <v>0</v>
      </c>
      <c r="H31" s="155">
        <v>0</v>
      </c>
      <c r="I31" s="155">
        <v>0</v>
      </c>
      <c r="J31" s="155">
        <v>0</v>
      </c>
      <c r="K31" s="155">
        <v>0</v>
      </c>
      <c r="L31" s="155">
        <v>0</v>
      </c>
      <c r="M31" s="155">
        <v>0</v>
      </c>
      <c r="N31" s="155">
        <v>0</v>
      </c>
      <c r="O31" s="155">
        <v>0</v>
      </c>
      <c r="P31" s="712">
        <v>0</v>
      </c>
      <c r="Q31" s="727">
        <f t="shared" si="4"/>
        <v>0</v>
      </c>
      <c r="R31" s="155"/>
    </row>
    <row r="32" spans="1:18" ht="15.75" x14ac:dyDescent="0.25">
      <c r="A32" s="214" t="s">
        <v>378</v>
      </c>
      <c r="B32" s="691"/>
      <c r="C32" s="689">
        <f t="shared" ref="C32:D32" si="5">SUM(C33:C43)</f>
        <v>311504.89199999999</v>
      </c>
      <c r="D32" s="80">
        <f t="shared" si="5"/>
        <v>1290876</v>
      </c>
      <c r="E32" s="78">
        <f>SUM(E33:E43)</f>
        <v>1233667.4627680965</v>
      </c>
      <c r="F32" s="78">
        <f t="shared" ref="F32:P32" si="6">SUM(F33:F43)</f>
        <v>1632167.4369140617</v>
      </c>
      <c r="G32" s="78">
        <f t="shared" si="6"/>
        <v>1493862.497697158</v>
      </c>
      <c r="H32" s="78">
        <f t="shared" si="6"/>
        <v>1243584.0736772805</v>
      </c>
      <c r="I32" s="78">
        <f t="shared" si="6"/>
        <v>1270245.3113501212</v>
      </c>
      <c r="J32" s="78">
        <f t="shared" si="6"/>
        <v>1472961.278076035</v>
      </c>
      <c r="K32" s="78">
        <f t="shared" si="6"/>
        <v>1702720.8968992801</v>
      </c>
      <c r="L32" s="78">
        <f t="shared" si="6"/>
        <v>1300666.9357586068</v>
      </c>
      <c r="M32" s="78">
        <f t="shared" si="6"/>
        <v>1132891.7199254134</v>
      </c>
      <c r="N32" s="78">
        <f t="shared" si="6"/>
        <v>1271219.6146290496</v>
      </c>
      <c r="O32" s="78">
        <f t="shared" si="6"/>
        <v>1589024.5182863118</v>
      </c>
      <c r="P32" s="80">
        <f t="shared" si="6"/>
        <v>1271219.6146290496</v>
      </c>
      <c r="Q32" s="80">
        <f t="shared" si="4"/>
        <v>1384519.2800508721</v>
      </c>
      <c r="R32" s="214"/>
    </row>
    <row r="33" spans="1:18" x14ac:dyDescent="0.25">
      <c r="A33" s="1040" t="s">
        <v>1128</v>
      </c>
      <c r="B33" s="723" t="s">
        <v>377</v>
      </c>
      <c r="C33" s="155">
        <v>311504.89199999999</v>
      </c>
      <c r="D33" s="712">
        <v>1290876</v>
      </c>
      <c r="E33" s="726">
        <v>1233667.4627680965</v>
      </c>
      <c r="F33" s="726">
        <v>1632167.4369140617</v>
      </c>
      <c r="G33" s="155">
        <v>1493862.497697158</v>
      </c>
      <c r="H33" s="155">
        <v>1243584.0736772805</v>
      </c>
      <c r="I33" s="155">
        <v>1270245.3113501212</v>
      </c>
      <c r="J33" s="155">
        <v>1472961.278076035</v>
      </c>
      <c r="K33" s="155">
        <v>1702720.8968992801</v>
      </c>
      <c r="L33" s="155">
        <v>1300666.9357586068</v>
      </c>
      <c r="M33" s="155">
        <v>1132891.7199254134</v>
      </c>
      <c r="N33" s="155">
        <v>1271219.6146290496</v>
      </c>
      <c r="O33" s="155">
        <v>1589024.5182863118</v>
      </c>
      <c r="P33" s="712">
        <v>1271219.6146290496</v>
      </c>
      <c r="Q33" s="727">
        <f t="shared" ref="Q33:Q46" si="7">SUM(E33:P33)/12</f>
        <v>1384519.2800508721</v>
      </c>
      <c r="R33" s="155"/>
    </row>
    <row r="34" spans="1:18" x14ac:dyDescent="0.25">
      <c r="A34" s="1040"/>
      <c r="B34" s="723" t="s">
        <v>371</v>
      </c>
      <c r="C34" s="155">
        <v>0</v>
      </c>
      <c r="D34" s="712">
        <v>0</v>
      </c>
      <c r="E34" s="726">
        <v>0</v>
      </c>
      <c r="F34" s="726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712">
        <v>0</v>
      </c>
      <c r="Q34" s="727">
        <f t="shared" si="7"/>
        <v>0</v>
      </c>
      <c r="R34" s="155"/>
    </row>
    <row r="35" spans="1:18" x14ac:dyDescent="0.25">
      <c r="A35" s="1040"/>
      <c r="B35" s="723" t="s">
        <v>376</v>
      </c>
      <c r="C35" s="155">
        <v>0</v>
      </c>
      <c r="D35" s="712">
        <v>0</v>
      </c>
      <c r="E35" s="726">
        <v>0</v>
      </c>
      <c r="F35" s="726">
        <v>0</v>
      </c>
      <c r="G35" s="155">
        <v>0</v>
      </c>
      <c r="H35" s="155">
        <v>0</v>
      </c>
      <c r="I35" s="155">
        <v>0</v>
      </c>
      <c r="J35" s="155">
        <v>0</v>
      </c>
      <c r="K35" s="155">
        <v>0</v>
      </c>
      <c r="L35" s="155">
        <v>0</v>
      </c>
      <c r="M35" s="155">
        <v>0</v>
      </c>
      <c r="N35" s="155">
        <v>0</v>
      </c>
      <c r="O35" s="155">
        <v>0</v>
      </c>
      <c r="P35" s="712">
        <v>0</v>
      </c>
      <c r="Q35" s="727">
        <f t="shared" si="7"/>
        <v>0</v>
      </c>
      <c r="R35" s="155"/>
    </row>
    <row r="36" spans="1:18" x14ac:dyDescent="0.25">
      <c r="A36" s="1040"/>
      <c r="B36" s="723" t="s">
        <v>1123</v>
      </c>
      <c r="C36" s="155">
        <v>0</v>
      </c>
      <c r="D36" s="712">
        <v>0</v>
      </c>
      <c r="E36" s="726">
        <v>0</v>
      </c>
      <c r="F36" s="726">
        <v>0</v>
      </c>
      <c r="G36" s="155">
        <v>0</v>
      </c>
      <c r="H36" s="155">
        <v>0</v>
      </c>
      <c r="I36" s="155">
        <v>0</v>
      </c>
      <c r="J36" s="155">
        <v>0</v>
      </c>
      <c r="K36" s="155">
        <v>0</v>
      </c>
      <c r="L36" s="155">
        <v>0</v>
      </c>
      <c r="M36" s="155">
        <v>0</v>
      </c>
      <c r="N36" s="155">
        <v>0</v>
      </c>
      <c r="O36" s="155">
        <v>0</v>
      </c>
      <c r="P36" s="712">
        <v>0</v>
      </c>
      <c r="Q36" s="727">
        <f t="shared" si="7"/>
        <v>0</v>
      </c>
      <c r="R36" s="155"/>
    </row>
    <row r="37" spans="1:18" x14ac:dyDescent="0.25">
      <c r="A37" s="1039" t="s">
        <v>1127</v>
      </c>
      <c r="B37" s="728" t="s">
        <v>372</v>
      </c>
      <c r="C37" s="155">
        <v>0</v>
      </c>
      <c r="D37" s="712">
        <v>0</v>
      </c>
      <c r="E37" s="726">
        <v>0</v>
      </c>
      <c r="F37" s="726">
        <v>0</v>
      </c>
      <c r="G37" s="155">
        <v>0</v>
      </c>
      <c r="H37" s="155">
        <v>0</v>
      </c>
      <c r="I37" s="155">
        <v>0</v>
      </c>
      <c r="J37" s="155">
        <v>0</v>
      </c>
      <c r="K37" s="155">
        <v>0</v>
      </c>
      <c r="L37" s="155">
        <v>0</v>
      </c>
      <c r="M37" s="155">
        <v>0</v>
      </c>
      <c r="N37" s="155">
        <v>0</v>
      </c>
      <c r="O37" s="155">
        <v>0</v>
      </c>
      <c r="P37" s="712">
        <v>0</v>
      </c>
      <c r="Q37" s="727">
        <f t="shared" si="7"/>
        <v>0</v>
      </c>
      <c r="R37" s="155"/>
    </row>
    <row r="38" spans="1:18" x14ac:dyDescent="0.25">
      <c r="A38" s="1039"/>
      <c r="B38" s="728" t="s">
        <v>375</v>
      </c>
      <c r="C38" s="155">
        <v>0</v>
      </c>
      <c r="D38" s="712">
        <v>0</v>
      </c>
      <c r="E38" s="726">
        <v>0</v>
      </c>
      <c r="F38" s="726">
        <v>0</v>
      </c>
      <c r="G38" s="155">
        <v>0</v>
      </c>
      <c r="H38" s="155">
        <v>0</v>
      </c>
      <c r="I38" s="155">
        <v>0</v>
      </c>
      <c r="J38" s="155">
        <v>0</v>
      </c>
      <c r="K38" s="155">
        <v>0</v>
      </c>
      <c r="L38" s="155">
        <v>0</v>
      </c>
      <c r="M38" s="155">
        <v>0</v>
      </c>
      <c r="N38" s="155">
        <v>0</v>
      </c>
      <c r="O38" s="155">
        <v>0</v>
      </c>
      <c r="P38" s="712">
        <v>0</v>
      </c>
      <c r="Q38" s="727">
        <f t="shared" si="7"/>
        <v>0</v>
      </c>
      <c r="R38" s="155"/>
    </row>
    <row r="39" spans="1:18" x14ac:dyDescent="0.25">
      <c r="A39" s="1039"/>
      <c r="B39" s="728" t="s">
        <v>376</v>
      </c>
      <c r="C39" s="155">
        <v>0</v>
      </c>
      <c r="D39" s="712">
        <v>0</v>
      </c>
      <c r="E39" s="726">
        <v>0</v>
      </c>
      <c r="F39" s="726">
        <v>0</v>
      </c>
      <c r="G39" s="155">
        <v>0</v>
      </c>
      <c r="H39" s="155">
        <v>0</v>
      </c>
      <c r="I39" s="155">
        <v>0</v>
      </c>
      <c r="J39" s="155">
        <v>0</v>
      </c>
      <c r="K39" s="155">
        <v>0</v>
      </c>
      <c r="L39" s="155">
        <v>0</v>
      </c>
      <c r="M39" s="155">
        <v>0</v>
      </c>
      <c r="N39" s="155">
        <v>0</v>
      </c>
      <c r="O39" s="155">
        <v>0</v>
      </c>
      <c r="P39" s="712">
        <v>0</v>
      </c>
      <c r="Q39" s="727">
        <f t="shared" si="7"/>
        <v>0</v>
      </c>
      <c r="R39" s="155"/>
    </row>
    <row r="40" spans="1:18" x14ac:dyDescent="0.25">
      <c r="A40" s="1039"/>
      <c r="B40" s="728" t="s">
        <v>962</v>
      </c>
      <c r="C40" s="155">
        <v>0</v>
      </c>
      <c r="D40" s="712">
        <v>0</v>
      </c>
      <c r="E40" s="726">
        <v>0</v>
      </c>
      <c r="F40" s="726">
        <v>0</v>
      </c>
      <c r="G40" s="155">
        <v>0</v>
      </c>
      <c r="H40" s="155">
        <v>0</v>
      </c>
      <c r="I40" s="155">
        <v>0</v>
      </c>
      <c r="J40" s="155">
        <v>0</v>
      </c>
      <c r="K40" s="155">
        <v>0</v>
      </c>
      <c r="L40" s="155">
        <v>0</v>
      </c>
      <c r="M40" s="155">
        <v>0</v>
      </c>
      <c r="N40" s="155">
        <v>0</v>
      </c>
      <c r="O40" s="155">
        <v>0</v>
      </c>
      <c r="P40" s="712">
        <v>0</v>
      </c>
      <c r="Q40" s="727">
        <f t="shared" si="7"/>
        <v>0</v>
      </c>
      <c r="R40" s="155"/>
    </row>
    <row r="41" spans="1:18" x14ac:dyDescent="0.25">
      <c r="A41" s="1039"/>
      <c r="B41" s="728" t="s">
        <v>1123</v>
      </c>
      <c r="C41" s="155">
        <v>0</v>
      </c>
      <c r="D41" s="712">
        <v>0</v>
      </c>
      <c r="E41" s="726">
        <v>0</v>
      </c>
      <c r="F41" s="726">
        <v>0</v>
      </c>
      <c r="G41" s="155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0</v>
      </c>
      <c r="M41" s="155">
        <v>0</v>
      </c>
      <c r="N41" s="155">
        <v>0</v>
      </c>
      <c r="O41" s="155">
        <v>0</v>
      </c>
      <c r="P41" s="712">
        <v>0</v>
      </c>
      <c r="Q41" s="727">
        <f t="shared" si="7"/>
        <v>0</v>
      </c>
      <c r="R41" s="155"/>
    </row>
    <row r="42" spans="1:18" x14ac:dyDescent="0.25">
      <c r="A42" s="1039"/>
      <c r="B42" s="728" t="s">
        <v>373</v>
      </c>
      <c r="C42" s="726">
        <v>0</v>
      </c>
      <c r="D42" s="712">
        <v>0</v>
      </c>
      <c r="E42" s="726">
        <v>0</v>
      </c>
      <c r="F42" s="726">
        <v>0</v>
      </c>
      <c r="G42" s="155">
        <v>0</v>
      </c>
      <c r="H42" s="155">
        <v>0</v>
      </c>
      <c r="I42" s="155">
        <v>0</v>
      </c>
      <c r="J42" s="155">
        <v>0</v>
      </c>
      <c r="K42" s="155">
        <v>0</v>
      </c>
      <c r="L42" s="155">
        <v>0</v>
      </c>
      <c r="M42" s="155">
        <v>0</v>
      </c>
      <c r="N42" s="155">
        <v>0</v>
      </c>
      <c r="O42" s="155">
        <v>0</v>
      </c>
      <c r="P42" s="712">
        <v>0</v>
      </c>
      <c r="Q42" s="727">
        <f t="shared" si="7"/>
        <v>0</v>
      </c>
      <c r="R42" s="155"/>
    </row>
    <row r="43" spans="1:18" x14ac:dyDescent="0.25">
      <c r="A43" s="1039"/>
      <c r="B43" s="728" t="s">
        <v>374</v>
      </c>
      <c r="C43" s="726">
        <v>0</v>
      </c>
      <c r="D43" s="712">
        <v>0</v>
      </c>
      <c r="E43" s="726">
        <v>0</v>
      </c>
      <c r="F43" s="726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712">
        <v>0</v>
      </c>
      <c r="Q43" s="727">
        <f t="shared" si="7"/>
        <v>0</v>
      </c>
      <c r="R43" s="155"/>
    </row>
    <row r="44" spans="1:18" ht="15.75" x14ac:dyDescent="0.25">
      <c r="A44" s="812" t="s">
        <v>370</v>
      </c>
      <c r="B44" s="901"/>
      <c r="C44" s="902"/>
      <c r="D44" s="903"/>
      <c r="E44" s="904"/>
      <c r="F44" s="904"/>
      <c r="G44" s="813"/>
      <c r="H44" s="813"/>
      <c r="I44" s="813"/>
      <c r="J44" s="813"/>
      <c r="K44" s="813"/>
      <c r="L44" s="813"/>
      <c r="M44" s="813"/>
      <c r="N44" s="813"/>
      <c r="O44" s="813"/>
      <c r="P44" s="905"/>
      <c r="Q44" s="906">
        <f t="shared" si="7"/>
        <v>0</v>
      </c>
      <c r="R44" s="813"/>
    </row>
    <row r="45" spans="1:18" ht="15.75" x14ac:dyDescent="0.25">
      <c r="A45" s="412" t="s">
        <v>369</v>
      </c>
      <c r="B45" s="899"/>
      <c r="C45" s="900"/>
      <c r="D45" s="359"/>
      <c r="E45" s="726"/>
      <c r="F45" s="726"/>
      <c r="G45" s="155"/>
      <c r="H45" s="155"/>
      <c r="I45" s="155"/>
      <c r="J45" s="155"/>
      <c r="K45" s="155"/>
      <c r="L45" s="155"/>
      <c r="M45" s="155"/>
      <c r="N45" s="155"/>
      <c r="O45" s="155"/>
      <c r="P45" s="712"/>
      <c r="Q45" s="896">
        <f t="shared" si="7"/>
        <v>0</v>
      </c>
      <c r="R45" s="155"/>
    </row>
    <row r="46" spans="1:18" ht="15.75" x14ac:dyDescent="0.25">
      <c r="A46" s="214" t="s">
        <v>368</v>
      </c>
      <c r="B46" s="691"/>
      <c r="C46" s="689">
        <f>KeyData!F8</f>
        <v>5043026.2570000002</v>
      </c>
      <c r="D46" s="80">
        <f>+'7. BS-Key Figures (LC)'!E10</f>
        <v>5665073.3849999998</v>
      </c>
      <c r="E46" s="78">
        <f>+'7. BS-Key Figures (LC)'!F10</f>
        <v>7398631.3099999996</v>
      </c>
      <c r="F46" s="78">
        <f>+'7. BS-Key Figures (LC)'!G10</f>
        <v>7385533.5529999994</v>
      </c>
      <c r="G46" s="78">
        <f>+'7. BS-Key Figures (LC)'!H10</f>
        <v>6621285.5919999992</v>
      </c>
      <c r="H46" s="78">
        <f>+'7. BS-Key Figures (LC)'!I10</f>
        <v>6223497.527999999</v>
      </c>
      <c r="I46" s="78">
        <f>+'7. BS-Key Figures (LC)'!J10</f>
        <v>5994506.9299999988</v>
      </c>
      <c r="J46" s="78">
        <f>+'7. BS-Key Figures (LC)'!K10</f>
        <v>9275798.4519999996</v>
      </c>
      <c r="K46" s="78">
        <f>+'7. BS-Key Figures (LC)'!L10</f>
        <v>9755986.625</v>
      </c>
      <c r="L46" s="78">
        <f>+'7. BS-Key Figures (LC)'!M10</f>
        <v>7995272.2489999998</v>
      </c>
      <c r="M46" s="78">
        <f>+'7. BS-Key Figures (LC)'!N10</f>
        <v>7483391.8470000001</v>
      </c>
      <c r="N46" s="78">
        <f>+'7. BS-Key Figures (LC)'!O10</f>
        <v>8259502.7920000004</v>
      </c>
      <c r="O46" s="78">
        <f>+'7. BS-Key Figures (LC)'!P10</f>
        <v>8234765.8859999999</v>
      </c>
      <c r="P46" s="80">
        <f>+'7. BS-Key Figures (LC)'!Q10</f>
        <v>8729162.5140000004</v>
      </c>
      <c r="Q46" s="80">
        <f t="shared" si="7"/>
        <v>7779777.9398333328</v>
      </c>
      <c r="R46" s="214"/>
    </row>
    <row r="47" spans="1:18" ht="15.75" x14ac:dyDescent="0.25">
      <c r="A47" s="214" t="s">
        <v>367</v>
      </c>
      <c r="B47" s="691"/>
      <c r="C47" s="417"/>
      <c r="D47" s="413">
        <f>IFERROR((D7/D46),0)</f>
        <v>23.50711449627585</v>
      </c>
      <c r="E47" s="259">
        <f>IFERROR(($B$7/E46),0)</f>
        <v>25.447051393752993</v>
      </c>
      <c r="F47" s="259">
        <f t="shared" ref="F47:P47" si="8">IFERROR(($B$7/F46),0)</f>
        <v>25.492180062268282</v>
      </c>
      <c r="G47" s="259">
        <f t="shared" si="8"/>
        <v>28.434561320912742</v>
      </c>
      <c r="H47" s="259">
        <f t="shared" si="8"/>
        <v>30.252016706352588</v>
      </c>
      <c r="I47" s="259">
        <f t="shared" si="8"/>
        <v>31.407645931105804</v>
      </c>
      <c r="J47" s="259">
        <f t="shared" si="8"/>
        <v>20.297266285298111</v>
      </c>
      <c r="K47" s="259">
        <f t="shared" si="8"/>
        <v>19.298237935929929</v>
      </c>
      <c r="L47" s="259">
        <f t="shared" si="8"/>
        <v>23.548085083975483</v>
      </c>
      <c r="M47" s="259">
        <f t="shared" si="8"/>
        <v>25.158825708756183</v>
      </c>
      <c r="N47" s="259">
        <f t="shared" si="8"/>
        <v>22.794756044075445</v>
      </c>
      <c r="O47" s="259">
        <f t="shared" si="8"/>
        <v>22.863230575757502</v>
      </c>
      <c r="P47" s="413">
        <f t="shared" si="8"/>
        <v>21.568317795326134</v>
      </c>
      <c r="Q47" s="413">
        <f>IFERROR(($B$7/Q46),0)</f>
        <v>24.200350272855399</v>
      </c>
      <c r="R47" s="214"/>
    </row>
    <row r="49" spans="2:17" x14ac:dyDescent="0.25">
      <c r="B49" s="722" t="s">
        <v>1129</v>
      </c>
      <c r="C49" s="96">
        <f t="shared" ref="C49:P49" si="9">+C46-C32-C24-C8</f>
        <v>0</v>
      </c>
      <c r="D49" s="96">
        <f t="shared" si="9"/>
        <v>-4.5888917520642281E-4</v>
      </c>
      <c r="E49" s="96">
        <f t="shared" si="9"/>
        <v>4.800381138920784E-4</v>
      </c>
      <c r="F49" s="96">
        <f t="shared" si="9"/>
        <v>1.8696533516049385E-4</v>
      </c>
      <c r="G49" s="96">
        <f t="shared" si="9"/>
        <v>6.1382073909044266E-4</v>
      </c>
      <c r="H49" s="96">
        <f t="shared" si="9"/>
        <v>-1.6659777611494064E-4</v>
      </c>
      <c r="I49" s="96">
        <f t="shared" si="9"/>
        <v>-1.0502696968615055E-3</v>
      </c>
      <c r="J49" s="96">
        <f t="shared" si="9"/>
        <v>4.0579680353403091E-4</v>
      </c>
      <c r="K49" s="96">
        <f t="shared" si="9"/>
        <v>2.2821268066763878E-4</v>
      </c>
      <c r="L49" s="96">
        <f t="shared" si="9"/>
        <v>2.4852761998772621E-4</v>
      </c>
      <c r="M49" s="96">
        <f t="shared" si="9"/>
        <v>1.6652513295412064E-5</v>
      </c>
      <c r="N49" s="96">
        <f t="shared" si="9"/>
        <v>1.7441669479012489E-4</v>
      </c>
      <c r="O49" s="96">
        <f t="shared" si="9"/>
        <v>-4.5624049380421638E-4</v>
      </c>
      <c r="P49" s="96">
        <f t="shared" si="9"/>
        <v>1.7925398424267769E-4</v>
      </c>
      <c r="Q49" s="96"/>
    </row>
    <row r="51" spans="2:17" x14ac:dyDescent="0.25">
      <c r="B51" s="722" t="s">
        <v>1130</v>
      </c>
      <c r="C51" s="96">
        <f>KeyData!F9-C8</f>
        <v>0</v>
      </c>
      <c r="D51" s="96">
        <f>KeyData!G9-D8</f>
        <v>-4.5888917520642281E-4</v>
      </c>
      <c r="E51" s="96">
        <f>KeyData_seasonal!D9-E8</f>
        <v>4.1778944432735443E-4</v>
      </c>
      <c r="F51" s="96">
        <f>KeyData_seasonal!E9-F8</f>
        <v>-1.3090716674923897E-4</v>
      </c>
      <c r="G51" s="96">
        <f>KeyData_seasonal!F9-G8</f>
        <v>2.984367311000824E-4</v>
      </c>
      <c r="H51" s="96">
        <f>KeyData_seasonal!G9-H8</f>
        <v>-1.0138843208551407E-4</v>
      </c>
      <c r="I51" s="96">
        <f>KeyData_seasonal!H9-I8</f>
        <v>-2.986537292599678E-4</v>
      </c>
      <c r="J51" s="96">
        <f>KeyData_seasonal!I9-J8</f>
        <v>1.9153580069541931E-4</v>
      </c>
      <c r="K51" s="96">
        <f>KeyData_seasonal!J9-K8</f>
        <v>3.3103534951806068E-4</v>
      </c>
      <c r="L51" s="96">
        <f>KeyData_seasonal!K9-L8</f>
        <v>3.899652510881424E-4</v>
      </c>
      <c r="M51" s="96">
        <f>KeyData_seasonal!L9-M8</f>
        <v>-2.3121573030948639E-4</v>
      </c>
      <c r="N51" s="96">
        <f>KeyData_seasonal!M9-N8</f>
        <v>1.7650704830884933E-4</v>
      </c>
      <c r="O51" s="96">
        <f>KeyData_seasonal!N9-O8</f>
        <v>4.6372879296541214E-5</v>
      </c>
      <c r="P51" s="96">
        <f>KeyData_seasonal!O9-P8</f>
        <v>1.8134433776140213E-4</v>
      </c>
    </row>
    <row r="52" spans="2:17" x14ac:dyDescent="0.25">
      <c r="B52" s="722" t="s">
        <v>1131</v>
      </c>
      <c r="C52" s="96">
        <f>(KeyData!F10+KeyData!F11)-C24</f>
        <v>0</v>
      </c>
      <c r="D52" s="96">
        <f>(KeyData!G10+KeyData!G11)-D24</f>
        <v>0</v>
      </c>
      <c r="E52" s="96">
        <f>(KeyData_seasonal!D10+KeyData_seasonal!D11)-E24</f>
        <v>-1.6965507529675961E-4</v>
      </c>
      <c r="F52" s="96">
        <f>(KeyData_seasonal!E10+KeyData_seasonal!E11)-F24</f>
        <v>2.3193424567580223E-4</v>
      </c>
      <c r="G52" s="96">
        <f>(KeyData_seasonal!F10+KeyData_seasonal!F11)-G24</f>
        <v>1.2541655451059341E-5</v>
      </c>
      <c r="H52" s="96">
        <f>(KeyData_seasonal!G10+KeyData_seasonal!G11)-H24</f>
        <v>-3.8792821578681469E-4</v>
      </c>
      <c r="I52" s="96">
        <f>(KeyData_seasonal!H10+KeyData_seasonal!H11)-I24</f>
        <v>-4.0149455890059471E-4</v>
      </c>
      <c r="J52" s="96">
        <f>(KeyData_seasonal!I10+KeyData_seasonal!I11)-J24</f>
        <v>2.9029557481408119E-4</v>
      </c>
      <c r="K52" s="96">
        <f>(KeyData_seasonal!J10+KeyData_seasonal!J11)-K24</f>
        <v>-2.0354334264993668E-4</v>
      </c>
      <c r="L52" s="96">
        <f>(KeyData_seasonal!K10+KeyData_seasonal!K11)-L24</f>
        <v>-3.8283178582787514E-4</v>
      </c>
      <c r="M52" s="96">
        <f>(KeyData_seasonal!L10+KeyData_seasonal!L11)-M24</f>
        <v>1.7328094691038132E-4</v>
      </c>
      <c r="N52" s="96">
        <f>(KeyData_seasonal!M10+KeyData_seasonal!M11)-N24</f>
        <v>-3.7304218858480453E-4</v>
      </c>
      <c r="O52" s="96">
        <f>(KeyData_seasonal!N10+KeyData_seasonal!N11)-O24</f>
        <v>-2.1630246192216873E-4</v>
      </c>
      <c r="P52" s="96">
        <f>(KeyData_seasonal!O10+KeyData_seasonal!O11)-P24</f>
        <v>-3.7304218858480453E-4</v>
      </c>
    </row>
    <row r="53" spans="2:17" x14ac:dyDescent="0.25">
      <c r="B53" s="722" t="s">
        <v>1132</v>
      </c>
      <c r="C53" s="96">
        <f>KeyData!F12-'5.1 Inventory (LC)'!C32</f>
        <v>0</v>
      </c>
      <c r="D53" s="96">
        <f>KeyData!G12-'5.1 Inventory (LC)'!D32</f>
        <v>0</v>
      </c>
      <c r="E53" s="96">
        <f>KeyData_seasonal!D12-E32</f>
        <v>2.3190351203083992E-4</v>
      </c>
      <c r="F53" s="96">
        <f>KeyData_seasonal!E12-F32</f>
        <v>8.5938256233930588E-5</v>
      </c>
      <c r="G53" s="96">
        <f>KeyData_seasonal!F12-G32</f>
        <v>3.0284188687801361E-4</v>
      </c>
      <c r="H53" s="96">
        <f>KeyData_seasonal!G12-H32</f>
        <v>3.2271957024931908E-4</v>
      </c>
      <c r="I53" s="96">
        <f>KeyData_seasonal!H12-I32</f>
        <v>-3.5012117587029934E-4</v>
      </c>
      <c r="J53" s="96">
        <f>KeyData_seasonal!I12-J32</f>
        <v>-7.6035037636756897E-5</v>
      </c>
      <c r="K53" s="96">
        <f>KeyData_seasonal!J12-K32</f>
        <v>1.0071974247694016E-4</v>
      </c>
      <c r="L53" s="96">
        <f>KeyData_seasonal!K12-L32</f>
        <v>2.4139299057424068E-4</v>
      </c>
      <c r="M53" s="96">
        <f>KeyData_seasonal!L12-M32</f>
        <v>7.458636537194252E-5</v>
      </c>
      <c r="N53" s="96">
        <f>KeyData_seasonal!M12-N32</f>
        <v>3.7095020525157452E-4</v>
      </c>
      <c r="O53" s="96">
        <f>KeyData_seasonal!N12-O32</f>
        <v>-2.8631207533180714E-4</v>
      </c>
      <c r="P53" s="96">
        <f>KeyData_seasonal!O12-P32</f>
        <v>3.7095020525157452E-4</v>
      </c>
    </row>
  </sheetData>
  <mergeCells count="6">
    <mergeCell ref="A14:A23"/>
    <mergeCell ref="A9:A13"/>
    <mergeCell ref="A27:A31"/>
    <mergeCell ref="A25:A26"/>
    <mergeCell ref="A37:A43"/>
    <mergeCell ref="A33:A36"/>
  </mergeCells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Normal="100" workbookViewId="0">
      <pane xSplit="2" ySplit="6" topLeftCell="C7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defaultColWidth="11.42578125" defaultRowHeight="15" x14ac:dyDescent="0.25"/>
  <cols>
    <col min="1" max="1" width="21.42578125" style="722" customWidth="1"/>
    <col min="2" max="2" width="43" style="722" customWidth="1"/>
    <col min="3" max="3" width="13.7109375" style="722" bestFit="1" customWidth="1"/>
    <col min="4" max="6" width="16.7109375" style="722" customWidth="1"/>
    <col min="7" max="13" width="13.5703125" style="722" bestFit="1" customWidth="1"/>
    <col min="14" max="17" width="13.42578125" style="722" bestFit="1" customWidth="1"/>
    <col min="18" max="18" width="11.7109375" style="722" customWidth="1"/>
    <col min="19" max="19" width="26.28515625" style="722" customWidth="1"/>
    <col min="20" max="20" width="4.28515625" style="722" customWidth="1"/>
    <col min="21" max="21" width="59.28515625" style="722" customWidth="1"/>
    <col min="22" max="16384" width="11.42578125" style="411"/>
  </cols>
  <sheetData>
    <row r="1" spans="1:21" s="419" customFormat="1" ht="18" x14ac:dyDescent="0.25">
      <c r="A1" s="60" t="str">
        <f>+'0. Instructions'!A1</f>
        <v>Budget 2024</v>
      </c>
      <c r="B1" s="423"/>
      <c r="C1" s="423"/>
      <c r="D1" s="423"/>
      <c r="E1" s="423"/>
      <c r="F1" s="423"/>
      <c r="G1" s="423"/>
      <c r="H1" s="422"/>
      <c r="I1" s="422"/>
      <c r="J1" s="422"/>
      <c r="K1" s="422"/>
      <c r="L1" s="422"/>
      <c r="M1" s="422"/>
      <c r="N1" s="422"/>
      <c r="O1" s="421"/>
      <c r="P1" s="421"/>
      <c r="Q1" s="420"/>
      <c r="R1" s="420"/>
      <c r="S1" s="420" t="str">
        <f>'Input-FX Rates'!$H$1</f>
        <v>Plant ICH Icheon (242)</v>
      </c>
      <c r="T1" s="243"/>
      <c r="U1" s="397" t="s">
        <v>144</v>
      </c>
    </row>
    <row r="2" spans="1:21" s="419" customFormat="1" ht="18.75" thickBot="1" x14ac:dyDescent="0.3">
      <c r="A2" s="55" t="s">
        <v>385</v>
      </c>
      <c r="B2" s="218"/>
      <c r="C2" s="218"/>
      <c r="D2" s="218"/>
      <c r="E2" s="218"/>
      <c r="F2" s="218"/>
      <c r="G2" s="218"/>
      <c r="H2" s="218"/>
      <c r="I2" s="218"/>
      <c r="J2" s="218"/>
      <c r="K2" s="54"/>
      <c r="L2" s="55"/>
      <c r="M2" s="218"/>
      <c r="N2" s="218"/>
      <c r="O2" s="218"/>
      <c r="P2" s="218"/>
      <c r="Q2" s="396"/>
      <c r="R2" s="396"/>
      <c r="S2" s="54" t="str">
        <f>'Input-FX Rates'!$H$2</f>
        <v>7851 PL eMotor Controls</v>
      </c>
      <c r="T2" s="243"/>
      <c r="U2" s="95" t="s">
        <v>142</v>
      </c>
    </row>
    <row r="3" spans="1:21" s="419" customFormat="1" ht="12.75" x14ac:dyDescent="0.2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21"/>
    </row>
    <row r="4" spans="1:21" s="419" customFormat="1" ht="15.75" x14ac:dyDescent="0.25">
      <c r="A4" s="243"/>
      <c r="B4" s="243"/>
      <c r="C4" s="243"/>
      <c r="D4" s="815" t="s">
        <v>1133</v>
      </c>
      <c r="E4" s="815" t="s">
        <v>1134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</row>
    <row r="5" spans="1:21" s="418" customFormat="1" ht="31.5" x14ac:dyDescent="0.25">
      <c r="A5" s="187"/>
      <c r="B5" s="188" t="str">
        <f>"Inventory Details"&amp;" in '000 "&amp;"in EUR"</f>
        <v>Inventory Details in '000 in EUR</v>
      </c>
      <c r="C5" s="688" t="s">
        <v>1044</v>
      </c>
      <c r="D5" s="187" t="s">
        <v>1059</v>
      </c>
      <c r="E5" s="187" t="s">
        <v>1059</v>
      </c>
      <c r="F5" s="657" t="s">
        <v>1046</v>
      </c>
      <c r="G5" s="187" t="s">
        <v>1047</v>
      </c>
      <c r="H5" s="187" t="s">
        <v>1048</v>
      </c>
      <c r="I5" s="187" t="s">
        <v>1049</v>
      </c>
      <c r="J5" s="187" t="s">
        <v>1050</v>
      </c>
      <c r="K5" s="187" t="s">
        <v>1051</v>
      </c>
      <c r="L5" s="187" t="s">
        <v>1052</v>
      </c>
      <c r="M5" s="187" t="s">
        <v>1053</v>
      </c>
      <c r="N5" s="187" t="s">
        <v>1054</v>
      </c>
      <c r="O5" s="187" t="s">
        <v>1055</v>
      </c>
      <c r="P5" s="187" t="s">
        <v>1056</v>
      </c>
      <c r="Q5" s="188" t="s">
        <v>1057</v>
      </c>
      <c r="R5" s="188" t="s">
        <v>1058</v>
      </c>
      <c r="S5" s="187" t="s">
        <v>154</v>
      </c>
      <c r="T5" s="721"/>
      <c r="U5" s="721"/>
    </row>
    <row r="6" spans="1:21" x14ac:dyDescent="0.25">
      <c r="B6" s="725"/>
      <c r="C6" s="733"/>
      <c r="D6" s="821"/>
      <c r="F6" s="816"/>
      <c r="Q6" s="725"/>
      <c r="R6" s="725"/>
    </row>
    <row r="7" spans="1:21" ht="15.75" x14ac:dyDescent="0.25">
      <c r="A7" s="214" t="s">
        <v>384</v>
      </c>
      <c r="B7" s="80">
        <f>+'5.1 Inventory (LC)'!B7/'Input-FX Rates'!H16</f>
        <v>129843.69047517242</v>
      </c>
      <c r="C7" s="78">
        <f>+'5.1 Inventory (LC)'!C7/'Input-FX Rates'!$E$13</f>
        <v>35243.248940557998</v>
      </c>
      <c r="D7" s="78">
        <f>+'5.1 Inventory (LC)'!D7/'Input-FX Rates'!$G$16</f>
        <v>94871.705380828425</v>
      </c>
      <c r="E7" s="78"/>
      <c r="F7" s="817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12" t="str">
        <f>IF(ISBLANK('5.1 Inventory (LC)'!R7),"",'5.1 Inventory (LC)'!R7)</f>
        <v/>
      </c>
      <c r="U7" s="722" t="s">
        <v>1420</v>
      </c>
    </row>
    <row r="8" spans="1:21" ht="15.75" x14ac:dyDescent="0.25">
      <c r="A8" s="214" t="s">
        <v>383</v>
      </c>
      <c r="B8" s="215"/>
      <c r="C8" s="78">
        <f>+'5.1 Inventory (LC)'!C8/'Input-FX Rates'!$E$13</f>
        <v>2622.6997909777906</v>
      </c>
      <c r="D8" s="78">
        <f>+'5.1 Inventory (LC)'!D8/'Input-FX Rates'!$G$13</f>
        <v>2209.8864109213446</v>
      </c>
      <c r="E8" s="78">
        <f>+'5.1 Inventory (LC)'!D8/'Input-FX Rates'!$H$13</f>
        <v>2168.4319899716475</v>
      </c>
      <c r="F8" s="817">
        <f t="shared" ref="F8:Q8" si="0">SUM(F9:F23)</f>
        <v>3415.7831479877309</v>
      </c>
      <c r="G8" s="78">
        <f t="shared" si="0"/>
        <v>2861.9045580213151</v>
      </c>
      <c r="H8" s="78">
        <f t="shared" si="0"/>
        <v>2523.9332342769394</v>
      </c>
      <c r="I8" s="78">
        <f t="shared" si="0"/>
        <v>2591.7876566216473</v>
      </c>
      <c r="J8" s="78">
        <f t="shared" si="0"/>
        <v>2397.4107595163123</v>
      </c>
      <c r="K8" s="78">
        <f t="shared" si="0"/>
        <v>2550.1856709023887</v>
      </c>
      <c r="L8" s="78">
        <f t="shared" si="0"/>
        <v>2625.1526701165267</v>
      </c>
      <c r="M8" s="78">
        <f t="shared" si="0"/>
        <v>2115.2595059379551</v>
      </c>
      <c r="N8" s="78">
        <f t="shared" si="0"/>
        <v>2223.1128567111832</v>
      </c>
      <c r="O8" s="78">
        <f t="shared" si="0"/>
        <v>2337.7490626368908</v>
      </c>
      <c r="P8" s="78">
        <f t="shared" si="0"/>
        <v>1886.1731130714663</v>
      </c>
      <c r="Q8" s="80">
        <f t="shared" si="0"/>
        <v>2115.0523191852794</v>
      </c>
      <c r="R8" s="80">
        <f>SUM(F8:Q8)/12</f>
        <v>2470.2920462488032</v>
      </c>
      <c r="S8" s="412" t="str">
        <f>IF(ISBLANK('5.1 Inventory (LC)'!R8),"",'5.1 Inventory (LC)'!R8)</f>
        <v/>
      </c>
      <c r="U8" s="722" t="s">
        <v>1421</v>
      </c>
    </row>
    <row r="9" spans="1:21" x14ac:dyDescent="0.25">
      <c r="A9" s="1040" t="s">
        <v>1128</v>
      </c>
      <c r="B9" s="723" t="s">
        <v>382</v>
      </c>
      <c r="C9" s="333">
        <f>+'5.1 Inventory (LC)'!C9/'Input-FX Rates'!$E$13</f>
        <v>1011.297944032381</v>
      </c>
      <c r="D9" s="223">
        <f>+'5.1 Inventory (LC)'!D9/'Input-FX Rates'!$G$13</f>
        <v>1186.3165373662903</v>
      </c>
      <c r="E9" s="223">
        <f>+'5.1 Inventory (LC)'!D9/'Input-FX Rates'!$H$13</f>
        <v>1164.0628754239708</v>
      </c>
      <c r="F9" s="818">
        <f>+'5.1 Inventory (LC)'!E9/'Input-FX Rates'!$H$13</f>
        <v>1599.778812195714</v>
      </c>
      <c r="G9" s="730">
        <f>+'5.1 Inventory (LC)'!F9/'Input-FX Rates'!$H$13</f>
        <v>1260.405683027335</v>
      </c>
      <c r="H9" s="731">
        <f>+'5.1 Inventory (LC)'!G9/'Input-FX Rates'!$H$13</f>
        <v>1077.0630927155817</v>
      </c>
      <c r="I9" s="731">
        <f>+'5.1 Inventory (LC)'!H9/'Input-FX Rates'!$H$13</f>
        <v>1284.3025328627148</v>
      </c>
      <c r="J9" s="731">
        <f>+'5.1 Inventory (LC)'!I9/'Input-FX Rates'!$H$13</f>
        <v>1215.5141444862884</v>
      </c>
      <c r="K9" s="731">
        <f>+'5.1 Inventory (LC)'!J9/'Input-FX Rates'!$H$13</f>
        <v>1481.4473182697675</v>
      </c>
      <c r="L9" s="731">
        <f>+'5.1 Inventory (LC)'!K9/'Input-FX Rates'!$H$13</f>
        <v>1658.4040436171615</v>
      </c>
      <c r="M9" s="731">
        <f>+'5.1 Inventory (LC)'!L9/'Input-FX Rates'!$H$13</f>
        <v>1240.4014529953199</v>
      </c>
      <c r="N9" s="731">
        <f>+'5.1 Inventory (LC)'!M9/'Input-FX Rates'!$H$13</f>
        <v>1431.0768250546073</v>
      </c>
      <c r="O9" s="731">
        <f>+'5.1 Inventory (LC)'!N9/'Input-FX Rates'!$H$13</f>
        <v>1620.3548681886593</v>
      </c>
      <c r="P9" s="731">
        <f>+'5.1 Inventory (LC)'!O9/'Input-FX Rates'!$H$13</f>
        <v>1236.0432144168742</v>
      </c>
      <c r="Q9" s="732">
        <f>+'5.1 Inventory (LC)'!P9/'Input-FX Rates'!$H$13</f>
        <v>1525.6501155863812</v>
      </c>
      <c r="R9" s="727">
        <f>SUM(F9:Q9)/12</f>
        <v>1385.8701752847003</v>
      </c>
      <c r="S9" s="897" t="str">
        <f>IF(ISBLANK('5.1 Inventory (LC)'!R9),"",'5.1 Inventory (LC)'!R9)</f>
        <v/>
      </c>
    </row>
    <row r="10" spans="1:21" x14ac:dyDescent="0.25">
      <c r="A10" s="1040"/>
      <c r="B10" s="723" t="s">
        <v>381</v>
      </c>
      <c r="C10" s="333">
        <f>+'5.1 Inventory (LC)'!C10/'Input-FX Rates'!$E$13</f>
        <v>0</v>
      </c>
      <c r="D10" s="223">
        <f>+'5.1 Inventory (LC)'!D10/'Input-FX Rates'!$G$13</f>
        <v>0</v>
      </c>
      <c r="E10" s="223">
        <f>+'5.1 Inventory (LC)'!D10/'Input-FX Rates'!$H$13</f>
        <v>0</v>
      </c>
      <c r="F10" s="818">
        <f>+'5.1 Inventory (LC)'!E10/'Input-FX Rates'!$H$13</f>
        <v>0</v>
      </c>
      <c r="G10" s="730">
        <f>+'5.1 Inventory (LC)'!F10/'Input-FX Rates'!$H$13</f>
        <v>0</v>
      </c>
      <c r="H10" s="731">
        <f>+'5.1 Inventory (LC)'!G10/'Input-FX Rates'!$H$13</f>
        <v>0</v>
      </c>
      <c r="I10" s="731">
        <f>+'5.1 Inventory (LC)'!H10/'Input-FX Rates'!$H$13</f>
        <v>0</v>
      </c>
      <c r="J10" s="731">
        <f>+'5.1 Inventory (LC)'!I10/'Input-FX Rates'!$H$13</f>
        <v>0</v>
      </c>
      <c r="K10" s="731">
        <f>+'5.1 Inventory (LC)'!J10/'Input-FX Rates'!$H$13</f>
        <v>0</v>
      </c>
      <c r="L10" s="731">
        <f>+'5.1 Inventory (LC)'!K10/'Input-FX Rates'!$H$13</f>
        <v>0</v>
      </c>
      <c r="M10" s="731">
        <f>+'5.1 Inventory (LC)'!L10/'Input-FX Rates'!$H$13</f>
        <v>0</v>
      </c>
      <c r="N10" s="731">
        <f>+'5.1 Inventory (LC)'!M10/'Input-FX Rates'!$H$13</f>
        <v>0</v>
      </c>
      <c r="O10" s="731">
        <f>+'5.1 Inventory (LC)'!N10/'Input-FX Rates'!$H$13</f>
        <v>0</v>
      </c>
      <c r="P10" s="731">
        <f>+'5.1 Inventory (LC)'!O10/'Input-FX Rates'!$H$13</f>
        <v>0</v>
      </c>
      <c r="Q10" s="732">
        <f>+'5.1 Inventory (LC)'!P10/'Input-FX Rates'!$H$13</f>
        <v>0</v>
      </c>
      <c r="R10" s="727">
        <f t="shared" ref="R10:R46" si="1">SUM(F10:Q10)/12</f>
        <v>0</v>
      </c>
      <c r="S10" s="897" t="str">
        <f>IF(ISBLANK('5.1 Inventory (LC)'!R10),"",'5.1 Inventory (LC)'!R10)</f>
        <v/>
      </c>
    </row>
    <row r="11" spans="1:21" x14ac:dyDescent="0.25">
      <c r="A11" s="1040"/>
      <c r="B11" s="723" t="s">
        <v>964</v>
      </c>
      <c r="C11" s="333">
        <f>+'5.1 Inventory (LC)'!C11/'Input-FX Rates'!$E$13</f>
        <v>0</v>
      </c>
      <c r="D11" s="223">
        <f>+'5.1 Inventory (LC)'!D11/'Input-FX Rates'!$G$13</f>
        <v>0</v>
      </c>
      <c r="E11" s="223">
        <f>+'5.1 Inventory (LC)'!D11/'Input-FX Rates'!$H$13</f>
        <v>0</v>
      </c>
      <c r="F11" s="818">
        <f>+'5.1 Inventory (LC)'!E11/'Input-FX Rates'!$H$13</f>
        <v>0</v>
      </c>
      <c r="G11" s="730">
        <f>+'5.1 Inventory (LC)'!F11/'Input-FX Rates'!$H$13</f>
        <v>0</v>
      </c>
      <c r="H11" s="731">
        <f>+'5.1 Inventory (LC)'!G11/'Input-FX Rates'!$H$13</f>
        <v>0</v>
      </c>
      <c r="I11" s="731">
        <f>+'5.1 Inventory (LC)'!H11/'Input-FX Rates'!$H$13</f>
        <v>0</v>
      </c>
      <c r="J11" s="731">
        <f>+'5.1 Inventory (LC)'!I11/'Input-FX Rates'!$H$13</f>
        <v>0</v>
      </c>
      <c r="K11" s="731">
        <f>+'5.1 Inventory (LC)'!J11/'Input-FX Rates'!$H$13</f>
        <v>0</v>
      </c>
      <c r="L11" s="731">
        <f>+'5.1 Inventory (LC)'!K11/'Input-FX Rates'!$H$13</f>
        <v>0</v>
      </c>
      <c r="M11" s="731">
        <f>+'5.1 Inventory (LC)'!L11/'Input-FX Rates'!$H$13</f>
        <v>0</v>
      </c>
      <c r="N11" s="731">
        <f>+'5.1 Inventory (LC)'!M11/'Input-FX Rates'!$H$13</f>
        <v>0</v>
      </c>
      <c r="O11" s="731">
        <f>+'5.1 Inventory (LC)'!N11/'Input-FX Rates'!$H$13</f>
        <v>0</v>
      </c>
      <c r="P11" s="731">
        <f>+'5.1 Inventory (LC)'!O11/'Input-FX Rates'!$H$13</f>
        <v>0</v>
      </c>
      <c r="Q11" s="732">
        <f>+'5.1 Inventory (LC)'!P11/'Input-FX Rates'!$H$13</f>
        <v>0</v>
      </c>
      <c r="R11" s="727">
        <f t="shared" si="1"/>
        <v>0</v>
      </c>
      <c r="S11" s="897" t="str">
        <f>IF(ISBLANK('5.1 Inventory (LC)'!R11),"",'5.1 Inventory (LC)'!R11)</f>
        <v/>
      </c>
    </row>
    <row r="12" spans="1:21" x14ac:dyDescent="0.25">
      <c r="A12" s="1040"/>
      <c r="B12" s="723" t="s">
        <v>376</v>
      </c>
      <c r="C12" s="333">
        <f>+'5.1 Inventory (LC)'!C12/'Input-FX Rates'!$E$13</f>
        <v>0</v>
      </c>
      <c r="D12" s="223">
        <f>+'5.1 Inventory (LC)'!D12/'Input-FX Rates'!$G$13</f>
        <v>0</v>
      </c>
      <c r="E12" s="223">
        <f>+'5.1 Inventory (LC)'!D12/'Input-FX Rates'!$H$13</f>
        <v>0</v>
      </c>
      <c r="F12" s="818">
        <f>+'5.1 Inventory (LC)'!E12/'Input-FX Rates'!$H$13</f>
        <v>0</v>
      </c>
      <c r="G12" s="730">
        <f>+'5.1 Inventory (LC)'!F12/'Input-FX Rates'!$H$13</f>
        <v>0</v>
      </c>
      <c r="H12" s="731">
        <f>+'5.1 Inventory (LC)'!G12/'Input-FX Rates'!$H$13</f>
        <v>0</v>
      </c>
      <c r="I12" s="731">
        <f>+'5.1 Inventory (LC)'!H12/'Input-FX Rates'!$H$13</f>
        <v>0</v>
      </c>
      <c r="J12" s="731">
        <f>+'5.1 Inventory (LC)'!I12/'Input-FX Rates'!$H$13</f>
        <v>0</v>
      </c>
      <c r="K12" s="731">
        <f>+'5.1 Inventory (LC)'!J12/'Input-FX Rates'!$H$13</f>
        <v>0</v>
      </c>
      <c r="L12" s="731">
        <f>+'5.1 Inventory (LC)'!K12/'Input-FX Rates'!$H$13</f>
        <v>0</v>
      </c>
      <c r="M12" s="731">
        <f>+'5.1 Inventory (LC)'!L12/'Input-FX Rates'!$H$13</f>
        <v>0</v>
      </c>
      <c r="N12" s="731">
        <f>+'5.1 Inventory (LC)'!M12/'Input-FX Rates'!$H$13</f>
        <v>0</v>
      </c>
      <c r="O12" s="731">
        <f>+'5.1 Inventory (LC)'!N12/'Input-FX Rates'!$H$13</f>
        <v>0</v>
      </c>
      <c r="P12" s="731">
        <f>+'5.1 Inventory (LC)'!O12/'Input-FX Rates'!$H$13</f>
        <v>0</v>
      </c>
      <c r="Q12" s="732">
        <f>+'5.1 Inventory (LC)'!P12/'Input-FX Rates'!$H$13</f>
        <v>0</v>
      </c>
      <c r="R12" s="727">
        <f t="shared" si="1"/>
        <v>0</v>
      </c>
      <c r="S12" s="897" t="str">
        <f>IF(ISBLANK('5.1 Inventory (LC)'!R12),"",'5.1 Inventory (LC)'!R12)</f>
        <v/>
      </c>
    </row>
    <row r="13" spans="1:21" x14ac:dyDescent="0.25">
      <c r="A13" s="1040"/>
      <c r="B13" s="723" t="s">
        <v>1123</v>
      </c>
      <c r="C13" s="333">
        <f>+'5.1 Inventory (LC)'!C13/'Input-FX Rates'!$E$13</f>
        <v>0</v>
      </c>
      <c r="D13" s="223">
        <f>+'5.1 Inventory (LC)'!D13/'Input-FX Rates'!$G$13</f>
        <v>0</v>
      </c>
      <c r="E13" s="223">
        <f>+'5.1 Inventory (LC)'!D13/'Input-FX Rates'!$H$13</f>
        <v>0</v>
      </c>
      <c r="F13" s="818">
        <f>+'5.1 Inventory (LC)'!E13/'Input-FX Rates'!$H$13</f>
        <v>0</v>
      </c>
      <c r="G13" s="730">
        <f>+'5.1 Inventory (LC)'!F13/'Input-FX Rates'!$H$13</f>
        <v>0</v>
      </c>
      <c r="H13" s="731">
        <f>+'5.1 Inventory (LC)'!G13/'Input-FX Rates'!$H$13</f>
        <v>0</v>
      </c>
      <c r="I13" s="731">
        <f>+'5.1 Inventory (LC)'!H13/'Input-FX Rates'!$H$13</f>
        <v>0</v>
      </c>
      <c r="J13" s="731">
        <f>+'5.1 Inventory (LC)'!I13/'Input-FX Rates'!$H$13</f>
        <v>0</v>
      </c>
      <c r="K13" s="731">
        <f>+'5.1 Inventory (LC)'!J13/'Input-FX Rates'!$H$13</f>
        <v>0</v>
      </c>
      <c r="L13" s="731">
        <f>+'5.1 Inventory (LC)'!K13/'Input-FX Rates'!$H$13</f>
        <v>0</v>
      </c>
      <c r="M13" s="731">
        <f>+'5.1 Inventory (LC)'!L13/'Input-FX Rates'!$H$13</f>
        <v>0</v>
      </c>
      <c r="N13" s="731">
        <f>+'5.1 Inventory (LC)'!M13/'Input-FX Rates'!$H$13</f>
        <v>0</v>
      </c>
      <c r="O13" s="731">
        <f>+'5.1 Inventory (LC)'!N13/'Input-FX Rates'!$H$13</f>
        <v>0</v>
      </c>
      <c r="P13" s="731">
        <f>+'5.1 Inventory (LC)'!O13/'Input-FX Rates'!$H$13</f>
        <v>0</v>
      </c>
      <c r="Q13" s="732">
        <f>+'5.1 Inventory (LC)'!P13/'Input-FX Rates'!$H$13</f>
        <v>0</v>
      </c>
      <c r="R13" s="727">
        <f t="shared" si="1"/>
        <v>0</v>
      </c>
      <c r="S13" s="897" t="str">
        <f>IF(ISBLANK('5.1 Inventory (LC)'!R13),"",'5.1 Inventory (LC)'!R13)</f>
        <v/>
      </c>
    </row>
    <row r="14" spans="1:21" x14ac:dyDescent="0.25">
      <c r="A14" s="1039" t="s">
        <v>1127</v>
      </c>
      <c r="B14" s="728" t="s">
        <v>372</v>
      </c>
      <c r="C14" s="734">
        <f>+'5.1 Inventory (LC)'!C14/'Input-FX Rates'!$E$13</f>
        <v>0</v>
      </c>
      <c r="D14" s="814">
        <f>+'5.1 Inventory (LC)'!D14/'Input-FX Rates'!$G$13</f>
        <v>0</v>
      </c>
      <c r="E14" s="814">
        <f>+'5.1 Inventory (LC)'!D14/'Input-FX Rates'!$H$13</f>
        <v>0</v>
      </c>
      <c r="F14" s="819">
        <f>+'5.1 Inventory (LC)'!E14/'Input-FX Rates'!$H$13</f>
        <v>0</v>
      </c>
      <c r="G14" s="735">
        <f>+'5.1 Inventory (LC)'!F14/'Input-FX Rates'!$H$13</f>
        <v>0</v>
      </c>
      <c r="H14" s="736">
        <f>+'5.1 Inventory (LC)'!G14/'Input-FX Rates'!$H$13</f>
        <v>0</v>
      </c>
      <c r="I14" s="736">
        <f>+'5.1 Inventory (LC)'!H14/'Input-FX Rates'!$H$13</f>
        <v>0</v>
      </c>
      <c r="J14" s="736">
        <f>+'5.1 Inventory (LC)'!I14/'Input-FX Rates'!$H$13</f>
        <v>0</v>
      </c>
      <c r="K14" s="736">
        <f>+'5.1 Inventory (LC)'!J14/'Input-FX Rates'!$H$13</f>
        <v>0</v>
      </c>
      <c r="L14" s="736">
        <f>+'5.1 Inventory (LC)'!K14/'Input-FX Rates'!$H$13</f>
        <v>0</v>
      </c>
      <c r="M14" s="736">
        <f>+'5.1 Inventory (LC)'!L14/'Input-FX Rates'!$H$13</f>
        <v>0</v>
      </c>
      <c r="N14" s="736">
        <f>+'5.1 Inventory (LC)'!M14/'Input-FX Rates'!$H$13</f>
        <v>0</v>
      </c>
      <c r="O14" s="736">
        <f>+'5.1 Inventory (LC)'!N14/'Input-FX Rates'!$H$13</f>
        <v>0</v>
      </c>
      <c r="P14" s="736">
        <f>+'5.1 Inventory (LC)'!O14/'Input-FX Rates'!$H$13</f>
        <v>0</v>
      </c>
      <c r="Q14" s="737">
        <f>+'5.1 Inventory (LC)'!P14/'Input-FX Rates'!$H$13</f>
        <v>0</v>
      </c>
      <c r="R14" s="738">
        <f t="shared" si="1"/>
        <v>0</v>
      </c>
      <c r="S14" s="898" t="str">
        <f>IF(ISBLANK('5.1 Inventory (LC)'!R14),"",'5.1 Inventory (LC)'!R14)</f>
        <v/>
      </c>
    </row>
    <row r="15" spans="1:21" x14ac:dyDescent="0.25">
      <c r="A15" s="1039"/>
      <c r="B15" s="728" t="s">
        <v>1124</v>
      </c>
      <c r="C15" s="734">
        <f>+'5.1 Inventory (LC)'!C15/'Input-FX Rates'!$E$13</f>
        <v>0</v>
      </c>
      <c r="D15" s="814">
        <f>+'5.1 Inventory (LC)'!D15/'Input-FX Rates'!$G$13</f>
        <v>0</v>
      </c>
      <c r="E15" s="814">
        <f>+'5.1 Inventory (LC)'!D15/'Input-FX Rates'!$H$13</f>
        <v>0</v>
      </c>
      <c r="F15" s="819">
        <f>+'5.1 Inventory (LC)'!E15/'Input-FX Rates'!$H$13</f>
        <v>0</v>
      </c>
      <c r="G15" s="735">
        <f>+'5.1 Inventory (LC)'!F15/'Input-FX Rates'!$H$13</f>
        <v>0</v>
      </c>
      <c r="H15" s="736">
        <f>+'5.1 Inventory (LC)'!G15/'Input-FX Rates'!$H$13</f>
        <v>0</v>
      </c>
      <c r="I15" s="736">
        <f>+'5.1 Inventory (LC)'!H15/'Input-FX Rates'!$H$13</f>
        <v>0</v>
      </c>
      <c r="J15" s="736">
        <f>+'5.1 Inventory (LC)'!I15/'Input-FX Rates'!$H$13</f>
        <v>0</v>
      </c>
      <c r="K15" s="736">
        <f>+'5.1 Inventory (LC)'!J15/'Input-FX Rates'!$H$13</f>
        <v>0</v>
      </c>
      <c r="L15" s="736">
        <f>+'5.1 Inventory (LC)'!K15/'Input-FX Rates'!$H$13</f>
        <v>0</v>
      </c>
      <c r="M15" s="736">
        <f>+'5.1 Inventory (LC)'!L15/'Input-FX Rates'!$H$13</f>
        <v>0</v>
      </c>
      <c r="N15" s="736">
        <f>+'5.1 Inventory (LC)'!M15/'Input-FX Rates'!$H$13</f>
        <v>0</v>
      </c>
      <c r="O15" s="736">
        <f>+'5.1 Inventory (LC)'!N15/'Input-FX Rates'!$H$13</f>
        <v>0</v>
      </c>
      <c r="P15" s="736">
        <f>+'5.1 Inventory (LC)'!O15/'Input-FX Rates'!$H$13</f>
        <v>0</v>
      </c>
      <c r="Q15" s="737">
        <f>+'5.1 Inventory (LC)'!P15/'Input-FX Rates'!$H$13</f>
        <v>0</v>
      </c>
      <c r="R15" s="738">
        <f t="shared" si="1"/>
        <v>0</v>
      </c>
      <c r="S15" s="898" t="str">
        <f>IF(ISBLANK('5.1 Inventory (LC)'!R15),"",'5.1 Inventory (LC)'!R15)</f>
        <v/>
      </c>
    </row>
    <row r="16" spans="1:21" x14ac:dyDescent="0.25">
      <c r="A16" s="1039"/>
      <c r="B16" s="728" t="s">
        <v>963</v>
      </c>
      <c r="C16" s="734">
        <f>+'5.1 Inventory (LC)'!C16/'Input-FX Rates'!$E$13</f>
        <v>0</v>
      </c>
      <c r="D16" s="814">
        <f>+'5.1 Inventory (LC)'!D16/'Input-FX Rates'!$G$13</f>
        <v>0</v>
      </c>
      <c r="E16" s="814">
        <f>+'5.1 Inventory (LC)'!D16/'Input-FX Rates'!$H$13</f>
        <v>0</v>
      </c>
      <c r="F16" s="819">
        <f>+'5.1 Inventory (LC)'!E16/'Input-FX Rates'!$H$13</f>
        <v>0</v>
      </c>
      <c r="G16" s="735">
        <f>+'5.1 Inventory (LC)'!F16/'Input-FX Rates'!$H$13</f>
        <v>0</v>
      </c>
      <c r="H16" s="736">
        <f>+'5.1 Inventory (LC)'!G16/'Input-FX Rates'!$H$13</f>
        <v>0</v>
      </c>
      <c r="I16" s="736">
        <f>+'5.1 Inventory (LC)'!H16/'Input-FX Rates'!$H$13</f>
        <v>0</v>
      </c>
      <c r="J16" s="736">
        <f>+'5.1 Inventory (LC)'!I16/'Input-FX Rates'!$H$13</f>
        <v>0</v>
      </c>
      <c r="K16" s="736">
        <f>+'5.1 Inventory (LC)'!J16/'Input-FX Rates'!$H$13</f>
        <v>0</v>
      </c>
      <c r="L16" s="736">
        <f>+'5.1 Inventory (LC)'!K16/'Input-FX Rates'!$H$13</f>
        <v>0</v>
      </c>
      <c r="M16" s="736">
        <f>+'5.1 Inventory (LC)'!L16/'Input-FX Rates'!$H$13</f>
        <v>0</v>
      </c>
      <c r="N16" s="736">
        <f>+'5.1 Inventory (LC)'!M16/'Input-FX Rates'!$H$13</f>
        <v>0</v>
      </c>
      <c r="O16" s="736">
        <f>+'5.1 Inventory (LC)'!N16/'Input-FX Rates'!$H$13</f>
        <v>0</v>
      </c>
      <c r="P16" s="736">
        <f>+'5.1 Inventory (LC)'!O16/'Input-FX Rates'!$H$13</f>
        <v>0</v>
      </c>
      <c r="Q16" s="737">
        <f>+'5.1 Inventory (LC)'!P16/'Input-FX Rates'!$H$13</f>
        <v>0</v>
      </c>
      <c r="R16" s="738">
        <f t="shared" si="1"/>
        <v>0</v>
      </c>
      <c r="S16" s="898" t="str">
        <f>IF(ISBLANK('5.1 Inventory (LC)'!R16),"",'5.1 Inventory (LC)'!R16)</f>
        <v/>
      </c>
    </row>
    <row r="17" spans="1:19" x14ac:dyDescent="0.25">
      <c r="A17" s="1039"/>
      <c r="B17" s="728" t="s">
        <v>375</v>
      </c>
      <c r="C17" s="734">
        <f>+'5.1 Inventory (LC)'!C17/'Input-FX Rates'!$E$13</f>
        <v>0</v>
      </c>
      <c r="D17" s="814">
        <f>+'5.1 Inventory (LC)'!D17/'Input-FX Rates'!$G$13</f>
        <v>0</v>
      </c>
      <c r="E17" s="814">
        <f>+'5.1 Inventory (LC)'!D17/'Input-FX Rates'!$H$13</f>
        <v>0</v>
      </c>
      <c r="F17" s="819">
        <f>+'5.1 Inventory (LC)'!E17/'Input-FX Rates'!$H$13</f>
        <v>0</v>
      </c>
      <c r="G17" s="735">
        <f>+'5.1 Inventory (LC)'!F17/'Input-FX Rates'!$H$13</f>
        <v>0</v>
      </c>
      <c r="H17" s="736">
        <f>+'5.1 Inventory (LC)'!G17/'Input-FX Rates'!$H$13</f>
        <v>0</v>
      </c>
      <c r="I17" s="736">
        <f>+'5.1 Inventory (LC)'!H17/'Input-FX Rates'!$H$13</f>
        <v>0</v>
      </c>
      <c r="J17" s="736">
        <f>+'5.1 Inventory (LC)'!I17/'Input-FX Rates'!$H$13</f>
        <v>0</v>
      </c>
      <c r="K17" s="736">
        <f>+'5.1 Inventory (LC)'!J17/'Input-FX Rates'!$H$13</f>
        <v>0</v>
      </c>
      <c r="L17" s="736">
        <f>+'5.1 Inventory (LC)'!K17/'Input-FX Rates'!$H$13</f>
        <v>0</v>
      </c>
      <c r="M17" s="736">
        <f>+'5.1 Inventory (LC)'!L17/'Input-FX Rates'!$H$13</f>
        <v>0</v>
      </c>
      <c r="N17" s="736">
        <f>+'5.1 Inventory (LC)'!M17/'Input-FX Rates'!$H$13</f>
        <v>0</v>
      </c>
      <c r="O17" s="736">
        <f>+'5.1 Inventory (LC)'!N17/'Input-FX Rates'!$H$13</f>
        <v>0</v>
      </c>
      <c r="P17" s="736">
        <f>+'5.1 Inventory (LC)'!O17/'Input-FX Rates'!$H$13</f>
        <v>0</v>
      </c>
      <c r="Q17" s="737">
        <f>+'5.1 Inventory (LC)'!P17/'Input-FX Rates'!$H$13</f>
        <v>0</v>
      </c>
      <c r="R17" s="738">
        <f t="shared" si="1"/>
        <v>0</v>
      </c>
      <c r="S17" s="898" t="str">
        <f>IF(ISBLANK('5.1 Inventory (LC)'!R17),"",'5.1 Inventory (LC)'!R17)</f>
        <v/>
      </c>
    </row>
    <row r="18" spans="1:19" x14ac:dyDescent="0.25">
      <c r="A18" s="1039"/>
      <c r="B18" s="728" t="s">
        <v>376</v>
      </c>
      <c r="C18" s="734">
        <f>+'5.1 Inventory (LC)'!C18/'Input-FX Rates'!$E$13</f>
        <v>0</v>
      </c>
      <c r="D18" s="814">
        <f>+'5.1 Inventory (LC)'!D18/'Input-FX Rates'!$G$13</f>
        <v>0</v>
      </c>
      <c r="E18" s="814">
        <f>+'5.1 Inventory (LC)'!D18/'Input-FX Rates'!$H$13</f>
        <v>0</v>
      </c>
      <c r="F18" s="819">
        <f>+'5.1 Inventory (LC)'!E18/'Input-FX Rates'!$H$13</f>
        <v>0</v>
      </c>
      <c r="G18" s="735">
        <f>+'5.1 Inventory (LC)'!F18/'Input-FX Rates'!$H$13</f>
        <v>0</v>
      </c>
      <c r="H18" s="736">
        <f>+'5.1 Inventory (LC)'!G18/'Input-FX Rates'!$H$13</f>
        <v>0</v>
      </c>
      <c r="I18" s="736">
        <f>+'5.1 Inventory (LC)'!H18/'Input-FX Rates'!$H$13</f>
        <v>0</v>
      </c>
      <c r="J18" s="736">
        <f>+'5.1 Inventory (LC)'!I18/'Input-FX Rates'!$H$13</f>
        <v>0</v>
      </c>
      <c r="K18" s="736">
        <f>+'5.1 Inventory (LC)'!J18/'Input-FX Rates'!$H$13</f>
        <v>0</v>
      </c>
      <c r="L18" s="736">
        <f>+'5.1 Inventory (LC)'!K18/'Input-FX Rates'!$H$13</f>
        <v>0</v>
      </c>
      <c r="M18" s="736">
        <f>+'5.1 Inventory (LC)'!L18/'Input-FX Rates'!$H$13</f>
        <v>0</v>
      </c>
      <c r="N18" s="736">
        <f>+'5.1 Inventory (LC)'!M18/'Input-FX Rates'!$H$13</f>
        <v>0</v>
      </c>
      <c r="O18" s="736">
        <f>+'5.1 Inventory (LC)'!N18/'Input-FX Rates'!$H$13</f>
        <v>0</v>
      </c>
      <c r="P18" s="736">
        <f>+'5.1 Inventory (LC)'!O18/'Input-FX Rates'!$H$13</f>
        <v>0</v>
      </c>
      <c r="Q18" s="737">
        <f>+'5.1 Inventory (LC)'!P18/'Input-FX Rates'!$H$13</f>
        <v>0</v>
      </c>
      <c r="R18" s="738">
        <f t="shared" si="1"/>
        <v>0</v>
      </c>
      <c r="S18" s="898" t="str">
        <f>IF(ISBLANK('5.1 Inventory (LC)'!R18),"",'5.1 Inventory (LC)'!R18)</f>
        <v/>
      </c>
    </row>
    <row r="19" spans="1:19" x14ac:dyDescent="0.25">
      <c r="A19" s="1039"/>
      <c r="B19" s="728" t="s">
        <v>1125</v>
      </c>
      <c r="C19" s="734">
        <f>+'5.1 Inventory (LC)'!C19/'Input-FX Rates'!$E$13</f>
        <v>1611.4018469454095</v>
      </c>
      <c r="D19" s="814">
        <f>+'5.1 Inventory (LC)'!D19/'Input-FX Rates'!$G$13</f>
        <v>914.0927045262863</v>
      </c>
      <c r="E19" s="814">
        <f>+'5.1 Inventory (LC)'!D19/'Input-FX Rates'!$H$13</f>
        <v>896.94558620689656</v>
      </c>
      <c r="F19" s="819">
        <f>+'5.1 Inventory (LC)'!E19/'Input-FX Rates'!$H$13</f>
        <v>1703.2373809993107</v>
      </c>
      <c r="G19" s="735">
        <f>+'5.1 Inventory (LC)'!F19/'Input-FX Rates'!$H$13</f>
        <v>1496.9791821206898</v>
      </c>
      <c r="H19" s="736">
        <f>+'5.1 Inventory (LC)'!G19/'Input-FX Rates'!$H$13</f>
        <v>1349.9241714724137</v>
      </c>
      <c r="I19" s="736">
        <f>+'5.1 Inventory (LC)'!H19/'Input-FX Rates'!$H$13</f>
        <v>1217.5746618889657</v>
      </c>
      <c r="J19" s="736">
        <f>+'5.1 Inventory (LC)'!I19/'Input-FX Rates'!$H$13</f>
        <v>1098.4601032638623</v>
      </c>
      <c r="K19" s="736">
        <f>+'5.1 Inventory (LC)'!J19/'Input-FX Rates'!$H$13</f>
        <v>991.2570005012692</v>
      </c>
      <c r="L19" s="736">
        <f>+'5.1 Inventory (LC)'!K19/'Input-FX Rates'!$H$13</f>
        <v>894.77420801493531</v>
      </c>
      <c r="M19" s="736">
        <f>+'5.1 Inventory (LC)'!L19/'Input-FX Rates'!$H$13</f>
        <v>807.93969477723476</v>
      </c>
      <c r="N19" s="736">
        <f>+'5.1 Inventory (LC)'!M19/'Input-FX Rates'!$H$13</f>
        <v>729.78863286330443</v>
      </c>
      <c r="O19" s="736">
        <f>+'5.1 Inventory (LC)'!N19/'Input-FX Rates'!$H$13</f>
        <v>659.45267714076704</v>
      </c>
      <c r="P19" s="736">
        <f>+'5.1 Inventory (LC)'!O19/'Input-FX Rates'!$H$13</f>
        <v>596.15031699048347</v>
      </c>
      <c r="Q19" s="737">
        <f>+'5.1 Inventory (LC)'!P19/'Input-FX Rates'!$H$13</f>
        <v>539.1781928552283</v>
      </c>
      <c r="R19" s="738">
        <f t="shared" si="1"/>
        <v>1007.0596852407053</v>
      </c>
      <c r="S19" s="898" t="str">
        <f>IF(ISBLANK('5.1 Inventory (LC)'!R19),"",'5.1 Inventory (LC)'!R19)</f>
        <v/>
      </c>
    </row>
    <row r="20" spans="1:19" x14ac:dyDescent="0.25">
      <c r="A20" s="1039"/>
      <c r="B20" s="729" t="s">
        <v>1123</v>
      </c>
      <c r="C20" s="734">
        <f>+'5.1 Inventory (LC)'!C20/'Input-FX Rates'!$E$13</f>
        <v>0</v>
      </c>
      <c r="D20" s="814">
        <f>+'5.1 Inventory (LC)'!D20/'Input-FX Rates'!$G$13</f>
        <v>0</v>
      </c>
      <c r="E20" s="814">
        <f>+'5.1 Inventory (LC)'!D20/'Input-FX Rates'!$H$13</f>
        <v>0</v>
      </c>
      <c r="F20" s="819">
        <f>+'5.1 Inventory (LC)'!E20/'Input-FX Rates'!$H$13</f>
        <v>10.714602868965519</v>
      </c>
      <c r="G20" s="735">
        <f>+'5.1 Inventory (LC)'!F20/'Input-FX Rates'!$H$13</f>
        <v>10.631529103448276</v>
      </c>
      <c r="H20" s="736">
        <f>+'5.1 Inventory (LC)'!G20/'Input-FX Rates'!$H$13</f>
        <v>10.568859420689657</v>
      </c>
      <c r="I20" s="736">
        <f>+'5.1 Inventory (LC)'!H20/'Input-FX Rates'!$H$13</f>
        <v>10.443520055172415</v>
      </c>
      <c r="J20" s="736">
        <f>+'5.1 Inventory (LC)'!I20/'Input-FX Rates'!$H$13</f>
        <v>10.326925296551726</v>
      </c>
      <c r="K20" s="736">
        <f>+'5.1 Inventory (LC)'!J20/'Input-FX Rates'!$H$13</f>
        <v>10.220532579310346</v>
      </c>
      <c r="L20" s="736">
        <f>+'5.1 Inventory (LC)'!K20/'Input-FX Rates'!$H$13</f>
        <v>10.094464496551725</v>
      </c>
      <c r="M20" s="736">
        <f>+'5.1 Inventory (LC)'!L20/'Input-FX Rates'!$H$13</f>
        <v>9.9888004965517236</v>
      </c>
      <c r="N20" s="736">
        <f>+'5.1 Inventory (LC)'!M20/'Input-FX Rates'!$H$13</f>
        <v>9.8722057379310346</v>
      </c>
      <c r="O20" s="736">
        <f>+'5.1 Inventory (LC)'!N20/'Input-FX Rates'!$H$13</f>
        <v>9.7563396965517253</v>
      </c>
      <c r="P20" s="736">
        <f>+'5.1 Inventory (LC)'!O20/'Input-FX Rates'!$H$13</f>
        <v>9.649218262068965</v>
      </c>
      <c r="Q20" s="737">
        <f>+'5.1 Inventory (LC)'!P20/'Input-FX Rates'!$H$13</f>
        <v>9.4400764137931041</v>
      </c>
      <c r="R20" s="738">
        <f t="shared" si="1"/>
        <v>10.142256202298851</v>
      </c>
      <c r="S20" s="898" t="str">
        <f>IF(ISBLANK('5.1 Inventory (LC)'!R20),"",'5.1 Inventory (LC)'!R20)</f>
        <v/>
      </c>
    </row>
    <row r="21" spans="1:19" x14ac:dyDescent="0.25">
      <c r="A21" s="1039"/>
      <c r="B21" s="729" t="s">
        <v>373</v>
      </c>
      <c r="C21" s="734">
        <f>+'5.1 Inventory (LC)'!C21/'Input-FX Rates'!$E$13</f>
        <v>0</v>
      </c>
      <c r="D21" s="814">
        <f>+'5.1 Inventory (LC)'!D21/'Input-FX Rates'!$G$13</f>
        <v>0</v>
      </c>
      <c r="E21" s="814">
        <f>+'5.1 Inventory (LC)'!D21/'Input-FX Rates'!$H$13</f>
        <v>0</v>
      </c>
      <c r="F21" s="819">
        <f>+'5.1 Inventory (LC)'!E21/'Input-FX Rates'!$H$13</f>
        <v>0</v>
      </c>
      <c r="G21" s="735">
        <f>+'5.1 Inventory (LC)'!F21/'Input-FX Rates'!$H$13</f>
        <v>0</v>
      </c>
      <c r="H21" s="736">
        <f>+'5.1 Inventory (LC)'!G21/'Input-FX Rates'!$H$13</f>
        <v>0</v>
      </c>
      <c r="I21" s="736">
        <f>+'5.1 Inventory (LC)'!H21/'Input-FX Rates'!$H$13</f>
        <v>0</v>
      </c>
      <c r="J21" s="736">
        <f>+'5.1 Inventory (LC)'!I21/'Input-FX Rates'!$H$13</f>
        <v>0</v>
      </c>
      <c r="K21" s="736">
        <f>+'5.1 Inventory (LC)'!J21/'Input-FX Rates'!$H$13</f>
        <v>0</v>
      </c>
      <c r="L21" s="736">
        <f>+'5.1 Inventory (LC)'!K21/'Input-FX Rates'!$H$13</f>
        <v>0</v>
      </c>
      <c r="M21" s="736">
        <f>+'5.1 Inventory (LC)'!L21/'Input-FX Rates'!$H$13</f>
        <v>0</v>
      </c>
      <c r="N21" s="736">
        <f>+'5.1 Inventory (LC)'!M21/'Input-FX Rates'!$H$13</f>
        <v>0</v>
      </c>
      <c r="O21" s="736">
        <f>+'5.1 Inventory (LC)'!N21/'Input-FX Rates'!$H$13</f>
        <v>0</v>
      </c>
      <c r="P21" s="736">
        <f>+'5.1 Inventory (LC)'!O21/'Input-FX Rates'!$H$13</f>
        <v>0</v>
      </c>
      <c r="Q21" s="737">
        <f>+'5.1 Inventory (LC)'!P21/'Input-FX Rates'!$H$13</f>
        <v>0</v>
      </c>
      <c r="R21" s="738">
        <f t="shared" si="1"/>
        <v>0</v>
      </c>
      <c r="S21" s="898" t="str">
        <f>IF(ISBLANK('5.1 Inventory (LC)'!R21),"",'5.1 Inventory (LC)'!R21)</f>
        <v/>
      </c>
    </row>
    <row r="22" spans="1:19" x14ac:dyDescent="0.25">
      <c r="A22" s="1039"/>
      <c r="B22" s="729" t="s">
        <v>374</v>
      </c>
      <c r="C22" s="734">
        <f>+'5.1 Inventory (LC)'!C22/'Input-FX Rates'!$E$13</f>
        <v>0</v>
      </c>
      <c r="D22" s="814">
        <f>+'5.1 Inventory (LC)'!D22/'Input-FX Rates'!$G$13</f>
        <v>0</v>
      </c>
      <c r="E22" s="814">
        <f>+'5.1 Inventory (LC)'!D22/'Input-FX Rates'!$H$13</f>
        <v>0</v>
      </c>
      <c r="F22" s="819">
        <f>+'5.1 Inventory (LC)'!E22/'Input-FX Rates'!$H$13</f>
        <v>0</v>
      </c>
      <c r="G22" s="735">
        <f>+'5.1 Inventory (LC)'!F22/'Input-FX Rates'!$H$13</f>
        <v>0</v>
      </c>
      <c r="H22" s="736">
        <f>+'5.1 Inventory (LC)'!G22/'Input-FX Rates'!$H$13</f>
        <v>0</v>
      </c>
      <c r="I22" s="736">
        <f>+'5.1 Inventory (LC)'!H22/'Input-FX Rates'!$H$13</f>
        <v>0</v>
      </c>
      <c r="J22" s="736">
        <f>+'5.1 Inventory (LC)'!I22/'Input-FX Rates'!$H$13</f>
        <v>0</v>
      </c>
      <c r="K22" s="736">
        <f>+'5.1 Inventory (LC)'!J22/'Input-FX Rates'!$H$13</f>
        <v>0</v>
      </c>
      <c r="L22" s="736">
        <f>+'5.1 Inventory (LC)'!K22/'Input-FX Rates'!$H$13</f>
        <v>0</v>
      </c>
      <c r="M22" s="736">
        <f>+'5.1 Inventory (LC)'!L22/'Input-FX Rates'!$H$13</f>
        <v>0</v>
      </c>
      <c r="N22" s="736">
        <f>+'5.1 Inventory (LC)'!M22/'Input-FX Rates'!$H$13</f>
        <v>0</v>
      </c>
      <c r="O22" s="736">
        <f>+'5.1 Inventory (LC)'!N22/'Input-FX Rates'!$H$13</f>
        <v>0</v>
      </c>
      <c r="P22" s="736">
        <f>+'5.1 Inventory (LC)'!O22/'Input-FX Rates'!$H$13</f>
        <v>0</v>
      </c>
      <c r="Q22" s="737">
        <f>+'5.1 Inventory (LC)'!P22/'Input-FX Rates'!$H$13</f>
        <v>0</v>
      </c>
      <c r="R22" s="738">
        <f t="shared" si="1"/>
        <v>0</v>
      </c>
      <c r="S22" s="898" t="str">
        <f>IF(ISBLANK('5.1 Inventory (LC)'!R22),"",'5.1 Inventory (LC)'!R22)</f>
        <v/>
      </c>
    </row>
    <row r="23" spans="1:19" x14ac:dyDescent="0.25">
      <c r="A23" s="1039"/>
      <c r="B23" s="729" t="s">
        <v>1126</v>
      </c>
      <c r="C23" s="734">
        <f>+'5.1 Inventory (LC)'!C23/'Input-FX Rates'!$E$13</f>
        <v>0</v>
      </c>
      <c r="D23" s="814">
        <f>+'5.1 Inventory (LC)'!D23/'Input-FX Rates'!$G$13</f>
        <v>109.47716902876792</v>
      </c>
      <c r="E23" s="814">
        <f>+'5.1 Inventory (LC)'!D23/'Input-FX Rates'!$H$13</f>
        <v>107.42352834078</v>
      </c>
      <c r="F23" s="819">
        <f>+'5.1 Inventory (LC)'!E23/'Input-FX Rates'!$H$13</f>
        <v>102.052351923741</v>
      </c>
      <c r="G23" s="735">
        <f>+'5.1 Inventory (LC)'!F23/'Input-FX Rates'!$H$13</f>
        <v>93.888163769841711</v>
      </c>
      <c r="H23" s="736">
        <f>+'5.1 Inventory (LC)'!G23/'Input-FX Rates'!$H$13</f>
        <v>86.377110668254375</v>
      </c>
      <c r="I23" s="736">
        <f>+'5.1 Inventory (LC)'!H23/'Input-FX Rates'!$H$13</f>
        <v>79.466941814794026</v>
      </c>
      <c r="J23" s="736">
        <f>+'5.1 Inventory (LC)'!I23/'Input-FX Rates'!$H$13</f>
        <v>73.10958646961052</v>
      </c>
      <c r="K23" s="736">
        <f>+'5.1 Inventory (LC)'!J23/'Input-FX Rates'!$H$13</f>
        <v>67.260819552041681</v>
      </c>
      <c r="L23" s="736">
        <f>+'5.1 Inventory (LC)'!K23/'Input-FX Rates'!$H$13</f>
        <v>61.879953987878345</v>
      </c>
      <c r="M23" s="736">
        <f>+'5.1 Inventory (LC)'!L23/'Input-FX Rates'!$H$13</f>
        <v>56.929557668848091</v>
      </c>
      <c r="N23" s="736">
        <f>+'5.1 Inventory (LC)'!M23/'Input-FX Rates'!$H$13</f>
        <v>52.375193055340247</v>
      </c>
      <c r="O23" s="736">
        <f>+'5.1 Inventory (LC)'!N23/'Input-FX Rates'!$H$13</f>
        <v>48.185177610913023</v>
      </c>
      <c r="P23" s="736">
        <f>+'5.1 Inventory (LC)'!O23/'Input-FX Rates'!$H$13</f>
        <v>44.330363402039985</v>
      </c>
      <c r="Q23" s="737">
        <f>+'5.1 Inventory (LC)'!P23/'Input-FX Rates'!$H$13</f>
        <v>40.783934329876786</v>
      </c>
      <c r="R23" s="738">
        <f t="shared" si="1"/>
        <v>67.219929521098322</v>
      </c>
      <c r="S23" s="898" t="str">
        <f>IF(ISBLANK('5.1 Inventory (LC)'!R23),"",'5.1 Inventory (LC)'!R23)</f>
        <v/>
      </c>
    </row>
    <row r="24" spans="1:19" ht="15.75" x14ac:dyDescent="0.25">
      <c r="A24" s="214" t="s">
        <v>380</v>
      </c>
      <c r="B24" s="215"/>
      <c r="C24" s="78">
        <f>+'5.1 Inventory (LC)'!C24/'Input-FX Rates'!$E$13</f>
        <v>684.96927233706401</v>
      </c>
      <c r="D24" s="78">
        <f>+'5.1 Inventory (LC)'!D24/'Input-FX Rates'!$G$13</f>
        <v>864.47216755693</v>
      </c>
      <c r="E24" s="78">
        <f>+'5.1 Inventory (LC)'!D24/'Input-FX Rates'!$H$13</f>
        <v>848.25586206896548</v>
      </c>
      <c r="F24" s="817">
        <f t="shared" ref="F24:Q24" si="2">SUM(F25:F31)</f>
        <v>835.91605666872761</v>
      </c>
      <c r="G24" s="78">
        <f t="shared" si="2"/>
        <v>1105.9341425986659</v>
      </c>
      <c r="H24" s="78">
        <f t="shared" si="2"/>
        <v>1012.2206234396261</v>
      </c>
      <c r="I24" s="78">
        <f t="shared" si="2"/>
        <v>842.63541543995029</v>
      </c>
      <c r="J24" s="78">
        <f t="shared" si="2"/>
        <v>860.70070234585808</v>
      </c>
      <c r="K24" s="78">
        <f t="shared" si="2"/>
        <v>2831.0813453170376</v>
      </c>
      <c r="L24" s="78">
        <f t="shared" si="2"/>
        <v>2928.8236939334779</v>
      </c>
      <c r="M24" s="78">
        <f t="shared" si="2"/>
        <v>2501.7096754364356</v>
      </c>
      <c r="N24" s="78">
        <f t="shared" si="2"/>
        <v>2156.5424033287713</v>
      </c>
      <c r="O24" s="78">
        <f t="shared" si="2"/>
        <v>2481.7565768089944</v>
      </c>
      <c r="P24" s="78">
        <f t="shared" si="2"/>
        <v>2697.0967960112425</v>
      </c>
      <c r="Q24" s="80">
        <f t="shared" si="2"/>
        <v>3028.3565768089943</v>
      </c>
      <c r="R24" s="80">
        <f t="shared" si="1"/>
        <v>1940.231167344815</v>
      </c>
      <c r="S24" s="412" t="str">
        <f>IF(ISBLANK('5.1 Inventory (LC)'!R24),"",'5.1 Inventory (LC)'!R24)</f>
        <v/>
      </c>
    </row>
    <row r="25" spans="1:19" x14ac:dyDescent="0.25">
      <c r="A25" s="1040" t="s">
        <v>1128</v>
      </c>
      <c r="B25" s="723" t="s">
        <v>379</v>
      </c>
      <c r="C25" s="333">
        <f>+'5.1 Inventory (LC)'!C25/'Input-FX Rates'!$E$13</f>
        <v>684.96927233706401</v>
      </c>
      <c r="D25" s="223">
        <f>+'5.1 Inventory (LC)'!D25/'Input-FX Rates'!$G$13</f>
        <v>864.47216755693</v>
      </c>
      <c r="E25" s="223">
        <f>+'5.1 Inventory (LC)'!D25/'Input-FX Rates'!$H$13</f>
        <v>848.25586206896548</v>
      </c>
      <c r="F25" s="818">
        <f>+'5.1 Inventory (LC)'!E25/'Input-FX Rates'!$H$13</f>
        <v>835.91605666872761</v>
      </c>
      <c r="G25" s="730">
        <f>+'5.1 Inventory (LC)'!F25/'Input-FX Rates'!$H$13</f>
        <v>1105.9341425986659</v>
      </c>
      <c r="H25" s="730">
        <f>+'5.1 Inventory (LC)'!G25/'Input-FX Rates'!$H$13</f>
        <v>1012.2206234396261</v>
      </c>
      <c r="I25" s="730">
        <f>+'5.1 Inventory (LC)'!H25/'Input-FX Rates'!$H$13</f>
        <v>842.63541543995029</v>
      </c>
      <c r="J25" s="730">
        <f>+'5.1 Inventory (LC)'!I25/'Input-FX Rates'!$H$13</f>
        <v>860.70070234585808</v>
      </c>
      <c r="K25" s="730">
        <f>+'5.1 Inventory (LC)'!J25/'Input-FX Rates'!$H$13</f>
        <v>2831.0813453170376</v>
      </c>
      <c r="L25" s="730">
        <f>+'5.1 Inventory (LC)'!K25/'Input-FX Rates'!$H$13</f>
        <v>2928.8236939334779</v>
      </c>
      <c r="M25" s="730">
        <f>+'5.1 Inventory (LC)'!L25/'Input-FX Rates'!$H$13</f>
        <v>2501.7096754364356</v>
      </c>
      <c r="N25" s="730">
        <f>+'5.1 Inventory (LC)'!M25/'Input-FX Rates'!$H$13</f>
        <v>2156.5424033287713</v>
      </c>
      <c r="O25" s="730">
        <f>+'5.1 Inventory (LC)'!N25/'Input-FX Rates'!$H$13</f>
        <v>2481.7565768089944</v>
      </c>
      <c r="P25" s="730">
        <f>+'5.1 Inventory (LC)'!O25/'Input-FX Rates'!$H$13</f>
        <v>2697.0967960112425</v>
      </c>
      <c r="Q25" s="732">
        <f>+'5.1 Inventory (LC)'!P25/'Input-FX Rates'!$H$13</f>
        <v>3028.3565768089943</v>
      </c>
      <c r="R25" s="727">
        <f t="shared" si="1"/>
        <v>1940.231167344815</v>
      </c>
      <c r="S25" s="897" t="str">
        <f>IF(ISBLANK('5.1 Inventory (LC)'!R25),"",'5.1 Inventory (LC)'!R25)</f>
        <v/>
      </c>
    </row>
    <row r="26" spans="1:19" x14ac:dyDescent="0.25">
      <c r="A26" s="1040"/>
      <c r="B26" s="723" t="s">
        <v>376</v>
      </c>
      <c r="C26" s="333">
        <f>+'5.1 Inventory (LC)'!C26/'Input-FX Rates'!$E$13</f>
        <v>0</v>
      </c>
      <c r="D26" s="223">
        <f>+'5.1 Inventory (LC)'!D26/'Input-FX Rates'!$G$13</f>
        <v>0</v>
      </c>
      <c r="E26" s="223">
        <f>+'5.1 Inventory (LC)'!D26/'Input-FX Rates'!$H$13</f>
        <v>0</v>
      </c>
      <c r="F26" s="818">
        <f>+'5.1 Inventory (LC)'!E26/'Input-FX Rates'!$H$13</f>
        <v>0</v>
      </c>
      <c r="G26" s="730">
        <f>+'5.1 Inventory (LC)'!F26/'Input-FX Rates'!$H$13</f>
        <v>0</v>
      </c>
      <c r="H26" s="730">
        <f>+'5.1 Inventory (LC)'!G26/'Input-FX Rates'!$H$13</f>
        <v>0</v>
      </c>
      <c r="I26" s="730">
        <f>+'5.1 Inventory (LC)'!H26/'Input-FX Rates'!$H$13</f>
        <v>0</v>
      </c>
      <c r="J26" s="730">
        <f>+'5.1 Inventory (LC)'!I26/'Input-FX Rates'!$H$13</f>
        <v>0</v>
      </c>
      <c r="K26" s="730">
        <f>+'5.1 Inventory (LC)'!J26/'Input-FX Rates'!$H$13</f>
        <v>0</v>
      </c>
      <c r="L26" s="730">
        <f>+'5.1 Inventory (LC)'!K26/'Input-FX Rates'!$H$13</f>
        <v>0</v>
      </c>
      <c r="M26" s="730">
        <f>+'5.1 Inventory (LC)'!L26/'Input-FX Rates'!$H$13</f>
        <v>0</v>
      </c>
      <c r="N26" s="730">
        <f>+'5.1 Inventory (LC)'!M26/'Input-FX Rates'!$H$13</f>
        <v>0</v>
      </c>
      <c r="O26" s="730">
        <f>+'5.1 Inventory (LC)'!N26/'Input-FX Rates'!$H$13</f>
        <v>0</v>
      </c>
      <c r="P26" s="730">
        <f>+'5.1 Inventory (LC)'!O26/'Input-FX Rates'!$H$13</f>
        <v>0</v>
      </c>
      <c r="Q26" s="732">
        <f>+'5.1 Inventory (LC)'!P26/'Input-FX Rates'!$H$13</f>
        <v>0</v>
      </c>
      <c r="R26" s="727">
        <f t="shared" si="1"/>
        <v>0</v>
      </c>
      <c r="S26" s="897" t="str">
        <f>IF(ISBLANK('5.1 Inventory (LC)'!R26),"",'5.1 Inventory (LC)'!R26)</f>
        <v/>
      </c>
    </row>
    <row r="27" spans="1:19" x14ac:dyDescent="0.25">
      <c r="A27" s="1039" t="s">
        <v>1127</v>
      </c>
      <c r="B27" s="728" t="s">
        <v>372</v>
      </c>
      <c r="C27" s="734">
        <f>+'5.1 Inventory (LC)'!C27/'Input-FX Rates'!$E$13</f>
        <v>0</v>
      </c>
      <c r="D27" s="814">
        <f>+'5.1 Inventory (LC)'!D27/'Input-FX Rates'!$G$13</f>
        <v>0</v>
      </c>
      <c r="E27" s="814">
        <f>+'5.1 Inventory (LC)'!D27/'Input-FX Rates'!$H$13</f>
        <v>0</v>
      </c>
      <c r="F27" s="819">
        <f>+'5.1 Inventory (LC)'!E27/'Input-FX Rates'!$H$13</f>
        <v>0</v>
      </c>
      <c r="G27" s="735">
        <f>+'5.1 Inventory (LC)'!F27/'Input-FX Rates'!$H$13</f>
        <v>0</v>
      </c>
      <c r="H27" s="735">
        <f>+'5.1 Inventory (LC)'!G27/'Input-FX Rates'!$H$13</f>
        <v>0</v>
      </c>
      <c r="I27" s="735">
        <f>+'5.1 Inventory (LC)'!H27/'Input-FX Rates'!$H$13</f>
        <v>0</v>
      </c>
      <c r="J27" s="735">
        <f>+'5.1 Inventory (LC)'!I27/'Input-FX Rates'!$H$13</f>
        <v>0</v>
      </c>
      <c r="K27" s="735">
        <f>+'5.1 Inventory (LC)'!J27/'Input-FX Rates'!$H$13</f>
        <v>0</v>
      </c>
      <c r="L27" s="735">
        <f>+'5.1 Inventory (LC)'!K27/'Input-FX Rates'!$H$13</f>
        <v>0</v>
      </c>
      <c r="M27" s="735">
        <f>+'5.1 Inventory (LC)'!L27/'Input-FX Rates'!$H$13</f>
        <v>0</v>
      </c>
      <c r="N27" s="735">
        <f>+'5.1 Inventory (LC)'!M27/'Input-FX Rates'!$H$13</f>
        <v>0</v>
      </c>
      <c r="O27" s="735">
        <f>+'5.1 Inventory (LC)'!N27/'Input-FX Rates'!$H$13</f>
        <v>0</v>
      </c>
      <c r="P27" s="735">
        <f>+'5.1 Inventory (LC)'!O27/'Input-FX Rates'!$H$13</f>
        <v>0</v>
      </c>
      <c r="Q27" s="737">
        <f>+'5.1 Inventory (LC)'!P27/'Input-FX Rates'!$H$13</f>
        <v>0</v>
      </c>
      <c r="R27" s="738">
        <f t="shared" si="1"/>
        <v>0</v>
      </c>
      <c r="S27" s="898" t="str">
        <f>IF(ISBLANK('5.1 Inventory (LC)'!R27),"",'5.1 Inventory (LC)'!R27)</f>
        <v/>
      </c>
    </row>
    <row r="28" spans="1:19" x14ac:dyDescent="0.25">
      <c r="A28" s="1039"/>
      <c r="B28" s="728" t="s">
        <v>375</v>
      </c>
      <c r="C28" s="734">
        <f>+'5.1 Inventory (LC)'!C28/'Input-FX Rates'!$E$13</f>
        <v>0</v>
      </c>
      <c r="D28" s="814">
        <f>+'5.1 Inventory (LC)'!D28/'Input-FX Rates'!$G$13</f>
        <v>0</v>
      </c>
      <c r="E28" s="814">
        <f>+'5.1 Inventory (LC)'!D28/'Input-FX Rates'!$H$13</f>
        <v>0</v>
      </c>
      <c r="F28" s="819">
        <f>+'5.1 Inventory (LC)'!E28/'Input-FX Rates'!$H$13</f>
        <v>0</v>
      </c>
      <c r="G28" s="735">
        <f>+'5.1 Inventory (LC)'!F28/'Input-FX Rates'!$H$13</f>
        <v>0</v>
      </c>
      <c r="H28" s="735">
        <f>+'5.1 Inventory (LC)'!G28/'Input-FX Rates'!$H$13</f>
        <v>0</v>
      </c>
      <c r="I28" s="735">
        <f>+'5.1 Inventory (LC)'!H28/'Input-FX Rates'!$H$13</f>
        <v>0</v>
      </c>
      <c r="J28" s="735">
        <f>+'5.1 Inventory (LC)'!I28/'Input-FX Rates'!$H$13</f>
        <v>0</v>
      </c>
      <c r="K28" s="735">
        <f>+'5.1 Inventory (LC)'!J28/'Input-FX Rates'!$H$13</f>
        <v>0</v>
      </c>
      <c r="L28" s="735">
        <f>+'5.1 Inventory (LC)'!K28/'Input-FX Rates'!$H$13</f>
        <v>0</v>
      </c>
      <c r="M28" s="735">
        <f>+'5.1 Inventory (LC)'!L28/'Input-FX Rates'!$H$13</f>
        <v>0</v>
      </c>
      <c r="N28" s="735">
        <f>+'5.1 Inventory (LC)'!M28/'Input-FX Rates'!$H$13</f>
        <v>0</v>
      </c>
      <c r="O28" s="735">
        <f>+'5.1 Inventory (LC)'!N28/'Input-FX Rates'!$H$13</f>
        <v>0</v>
      </c>
      <c r="P28" s="735">
        <f>+'5.1 Inventory (LC)'!O28/'Input-FX Rates'!$H$13</f>
        <v>0</v>
      </c>
      <c r="Q28" s="737">
        <f>+'5.1 Inventory (LC)'!P28/'Input-FX Rates'!$H$13</f>
        <v>0</v>
      </c>
      <c r="R28" s="738">
        <f t="shared" si="1"/>
        <v>0</v>
      </c>
      <c r="S28" s="898" t="str">
        <f>IF(ISBLANK('5.1 Inventory (LC)'!R28),"",'5.1 Inventory (LC)'!R28)</f>
        <v/>
      </c>
    </row>
    <row r="29" spans="1:19" x14ac:dyDescent="0.25">
      <c r="A29" s="1039"/>
      <c r="B29" s="728" t="s">
        <v>376</v>
      </c>
      <c r="C29" s="734">
        <f>+'5.1 Inventory (LC)'!C29/'Input-FX Rates'!$E$13</f>
        <v>0</v>
      </c>
      <c r="D29" s="814">
        <f>+'5.1 Inventory (LC)'!D29/'Input-FX Rates'!$G$13</f>
        <v>0</v>
      </c>
      <c r="E29" s="814">
        <f>+'5.1 Inventory (LC)'!D29/'Input-FX Rates'!$H$13</f>
        <v>0</v>
      </c>
      <c r="F29" s="819">
        <f>+'5.1 Inventory (LC)'!E29/'Input-FX Rates'!$H$13</f>
        <v>0</v>
      </c>
      <c r="G29" s="735">
        <f>+'5.1 Inventory (LC)'!F29/'Input-FX Rates'!$H$13</f>
        <v>0</v>
      </c>
      <c r="H29" s="735">
        <f>+'5.1 Inventory (LC)'!G29/'Input-FX Rates'!$H$13</f>
        <v>0</v>
      </c>
      <c r="I29" s="735">
        <f>+'5.1 Inventory (LC)'!H29/'Input-FX Rates'!$H$13</f>
        <v>0</v>
      </c>
      <c r="J29" s="735">
        <f>+'5.1 Inventory (LC)'!I29/'Input-FX Rates'!$H$13</f>
        <v>0</v>
      </c>
      <c r="K29" s="735">
        <f>+'5.1 Inventory (LC)'!J29/'Input-FX Rates'!$H$13</f>
        <v>0</v>
      </c>
      <c r="L29" s="735">
        <f>+'5.1 Inventory (LC)'!K29/'Input-FX Rates'!$H$13</f>
        <v>0</v>
      </c>
      <c r="M29" s="735">
        <f>+'5.1 Inventory (LC)'!L29/'Input-FX Rates'!$H$13</f>
        <v>0</v>
      </c>
      <c r="N29" s="735">
        <f>+'5.1 Inventory (LC)'!M29/'Input-FX Rates'!$H$13</f>
        <v>0</v>
      </c>
      <c r="O29" s="735">
        <f>+'5.1 Inventory (LC)'!N29/'Input-FX Rates'!$H$13</f>
        <v>0</v>
      </c>
      <c r="P29" s="735">
        <f>+'5.1 Inventory (LC)'!O29/'Input-FX Rates'!$H$13</f>
        <v>0</v>
      </c>
      <c r="Q29" s="737">
        <f>+'5.1 Inventory (LC)'!P29/'Input-FX Rates'!$H$13</f>
        <v>0</v>
      </c>
      <c r="R29" s="738">
        <f t="shared" si="1"/>
        <v>0</v>
      </c>
      <c r="S29" s="898" t="str">
        <f>IF(ISBLANK('5.1 Inventory (LC)'!R29),"",'5.1 Inventory (LC)'!R29)</f>
        <v/>
      </c>
    </row>
    <row r="30" spans="1:19" x14ac:dyDescent="0.25">
      <c r="A30" s="1039"/>
      <c r="B30" s="728" t="s">
        <v>373</v>
      </c>
      <c r="C30" s="734">
        <f>+'5.1 Inventory (LC)'!C30/'Input-FX Rates'!$E$13</f>
        <v>0</v>
      </c>
      <c r="D30" s="814">
        <f>+'5.1 Inventory (LC)'!D30/'Input-FX Rates'!$G$13</f>
        <v>0</v>
      </c>
      <c r="E30" s="814">
        <f>+'5.1 Inventory (LC)'!D30/'Input-FX Rates'!$H$13</f>
        <v>0</v>
      </c>
      <c r="F30" s="819">
        <f>+'5.1 Inventory (LC)'!E30/'Input-FX Rates'!$H$13</f>
        <v>0</v>
      </c>
      <c r="G30" s="735">
        <f>+'5.1 Inventory (LC)'!F30/'Input-FX Rates'!$H$13</f>
        <v>0</v>
      </c>
      <c r="H30" s="735">
        <f>+'5.1 Inventory (LC)'!G30/'Input-FX Rates'!$H$13</f>
        <v>0</v>
      </c>
      <c r="I30" s="735">
        <f>+'5.1 Inventory (LC)'!H30/'Input-FX Rates'!$H$13</f>
        <v>0</v>
      </c>
      <c r="J30" s="735">
        <f>+'5.1 Inventory (LC)'!I30/'Input-FX Rates'!$H$13</f>
        <v>0</v>
      </c>
      <c r="K30" s="735">
        <f>+'5.1 Inventory (LC)'!J30/'Input-FX Rates'!$H$13</f>
        <v>0</v>
      </c>
      <c r="L30" s="735">
        <f>+'5.1 Inventory (LC)'!K30/'Input-FX Rates'!$H$13</f>
        <v>0</v>
      </c>
      <c r="M30" s="735">
        <f>+'5.1 Inventory (LC)'!L30/'Input-FX Rates'!$H$13</f>
        <v>0</v>
      </c>
      <c r="N30" s="735">
        <f>+'5.1 Inventory (LC)'!M30/'Input-FX Rates'!$H$13</f>
        <v>0</v>
      </c>
      <c r="O30" s="735">
        <f>+'5.1 Inventory (LC)'!N30/'Input-FX Rates'!$H$13</f>
        <v>0</v>
      </c>
      <c r="P30" s="735">
        <f>+'5.1 Inventory (LC)'!O30/'Input-FX Rates'!$H$13</f>
        <v>0</v>
      </c>
      <c r="Q30" s="737">
        <f>+'5.1 Inventory (LC)'!P30/'Input-FX Rates'!$H$13</f>
        <v>0</v>
      </c>
      <c r="R30" s="738">
        <f t="shared" si="1"/>
        <v>0</v>
      </c>
      <c r="S30" s="898" t="str">
        <f>IF(ISBLANK('5.1 Inventory (LC)'!R30),"",'5.1 Inventory (LC)'!R30)</f>
        <v/>
      </c>
    </row>
    <row r="31" spans="1:19" x14ac:dyDescent="0.25">
      <c r="A31" s="1039"/>
      <c r="B31" s="728" t="s">
        <v>374</v>
      </c>
      <c r="C31" s="734">
        <f>+'5.1 Inventory (LC)'!C31/'Input-FX Rates'!$E$13</f>
        <v>0</v>
      </c>
      <c r="D31" s="814">
        <f>+'5.1 Inventory (LC)'!D31/'Input-FX Rates'!$G$13</f>
        <v>0</v>
      </c>
      <c r="E31" s="814">
        <f>+'5.1 Inventory (LC)'!D31/'Input-FX Rates'!$H$13</f>
        <v>0</v>
      </c>
      <c r="F31" s="819">
        <f>+'5.1 Inventory (LC)'!E31/'Input-FX Rates'!$H$13</f>
        <v>0</v>
      </c>
      <c r="G31" s="735">
        <f>+'5.1 Inventory (LC)'!F31/'Input-FX Rates'!$H$13</f>
        <v>0</v>
      </c>
      <c r="H31" s="735">
        <f>+'5.1 Inventory (LC)'!G31/'Input-FX Rates'!$H$13</f>
        <v>0</v>
      </c>
      <c r="I31" s="735">
        <f>+'5.1 Inventory (LC)'!H31/'Input-FX Rates'!$H$13</f>
        <v>0</v>
      </c>
      <c r="J31" s="735">
        <f>+'5.1 Inventory (LC)'!I31/'Input-FX Rates'!$H$13</f>
        <v>0</v>
      </c>
      <c r="K31" s="735">
        <f>+'5.1 Inventory (LC)'!J31/'Input-FX Rates'!$H$13</f>
        <v>0</v>
      </c>
      <c r="L31" s="735">
        <f>+'5.1 Inventory (LC)'!K31/'Input-FX Rates'!$H$13</f>
        <v>0</v>
      </c>
      <c r="M31" s="735">
        <f>+'5.1 Inventory (LC)'!L31/'Input-FX Rates'!$H$13</f>
        <v>0</v>
      </c>
      <c r="N31" s="735">
        <f>+'5.1 Inventory (LC)'!M31/'Input-FX Rates'!$H$13</f>
        <v>0</v>
      </c>
      <c r="O31" s="735">
        <f>+'5.1 Inventory (LC)'!N31/'Input-FX Rates'!$H$13</f>
        <v>0</v>
      </c>
      <c r="P31" s="735">
        <f>+'5.1 Inventory (LC)'!O31/'Input-FX Rates'!$H$13</f>
        <v>0</v>
      </c>
      <c r="Q31" s="737">
        <f>+'5.1 Inventory (LC)'!P31/'Input-FX Rates'!$H$13</f>
        <v>0</v>
      </c>
      <c r="R31" s="738">
        <f t="shared" si="1"/>
        <v>0</v>
      </c>
      <c r="S31" s="898" t="str">
        <f>IF(ISBLANK('5.1 Inventory (LC)'!R31),"",'5.1 Inventory (LC)'!R31)</f>
        <v/>
      </c>
    </row>
    <row r="32" spans="1:19" ht="15.75" x14ac:dyDescent="0.25">
      <c r="A32" s="214" t="s">
        <v>378</v>
      </c>
      <c r="B32" s="215"/>
      <c r="C32" s="78">
        <f>+'5.1 Inventory (LC)'!C32/'Input-FX Rates'!$E$13</f>
        <v>217.76401602270582</v>
      </c>
      <c r="D32" s="78">
        <f>+'5.1 Inventory (LC)'!D32/'Input-FX Rates'!$G$13</f>
        <v>907.27860556648864</v>
      </c>
      <c r="E32" s="78">
        <f>+'5.1 Inventory (LC)'!D32/'Input-FX Rates'!$H$13</f>
        <v>890.25931034482755</v>
      </c>
      <c r="F32" s="817">
        <f t="shared" ref="F32:Q32" si="3">SUM(F33:F43)</f>
        <v>850.80514673661821</v>
      </c>
      <c r="G32" s="78">
        <f t="shared" si="3"/>
        <v>1125.6327151131459</v>
      </c>
      <c r="H32" s="78">
        <f t="shared" si="3"/>
        <v>1030.2499984118331</v>
      </c>
      <c r="I32" s="78">
        <f t="shared" si="3"/>
        <v>857.644188742952</v>
      </c>
      <c r="J32" s="78">
        <f t="shared" si="3"/>
        <v>876.03124920698008</v>
      </c>
      <c r="K32" s="78">
        <f t="shared" si="3"/>
        <v>1015.835364190369</v>
      </c>
      <c r="L32" s="78">
        <f t="shared" si="3"/>
        <v>1174.2902737236416</v>
      </c>
      <c r="M32" s="78">
        <f t="shared" si="3"/>
        <v>897.01167983352195</v>
      </c>
      <c r="N32" s="78">
        <f t="shared" si="3"/>
        <v>781.30463443131953</v>
      </c>
      <c r="O32" s="78">
        <f t="shared" si="3"/>
        <v>876.70318250279274</v>
      </c>
      <c r="P32" s="78">
        <f t="shared" si="3"/>
        <v>1095.8789781284909</v>
      </c>
      <c r="Q32" s="80">
        <f t="shared" si="3"/>
        <v>876.70318250279274</v>
      </c>
      <c r="R32" s="80">
        <f t="shared" si="1"/>
        <v>954.84088279370474</v>
      </c>
      <c r="S32" s="412" t="str">
        <f>IF(ISBLANK('5.1 Inventory (LC)'!R32),"",'5.1 Inventory (LC)'!R32)</f>
        <v/>
      </c>
    </row>
    <row r="33" spans="1:19" x14ac:dyDescent="0.25">
      <c r="A33" s="1040" t="s">
        <v>1128</v>
      </c>
      <c r="B33" s="723" t="s">
        <v>377</v>
      </c>
      <c r="C33" s="333">
        <f>+'5.1 Inventory (LC)'!C33/'Input-FX Rates'!$E$13</f>
        <v>217.76401602270582</v>
      </c>
      <c r="D33" s="223">
        <f>+'5.1 Inventory (LC)'!D33/'Input-FX Rates'!$G$13</f>
        <v>907.27860556648864</v>
      </c>
      <c r="E33" s="223">
        <f>+'5.1 Inventory (LC)'!D33/'Input-FX Rates'!$H$13</f>
        <v>890.25931034482755</v>
      </c>
      <c r="F33" s="818">
        <f>+'5.1 Inventory (LC)'!E33/'Input-FX Rates'!$H$13</f>
        <v>850.80514673661821</v>
      </c>
      <c r="G33" s="730">
        <f>+'5.1 Inventory (LC)'!F33/'Input-FX Rates'!$H$13</f>
        <v>1125.6327151131459</v>
      </c>
      <c r="H33" s="731">
        <f>+'5.1 Inventory (LC)'!G33/'Input-FX Rates'!$H$13</f>
        <v>1030.2499984118331</v>
      </c>
      <c r="I33" s="731">
        <f>+'5.1 Inventory (LC)'!H33/'Input-FX Rates'!$H$13</f>
        <v>857.644188742952</v>
      </c>
      <c r="J33" s="731">
        <f>+'5.1 Inventory (LC)'!I33/'Input-FX Rates'!$H$13</f>
        <v>876.03124920698008</v>
      </c>
      <c r="K33" s="731">
        <f>+'5.1 Inventory (LC)'!J33/'Input-FX Rates'!$H$13</f>
        <v>1015.835364190369</v>
      </c>
      <c r="L33" s="731">
        <f>+'5.1 Inventory (LC)'!K33/'Input-FX Rates'!$H$13</f>
        <v>1174.2902737236416</v>
      </c>
      <c r="M33" s="731">
        <f>+'5.1 Inventory (LC)'!L33/'Input-FX Rates'!$H$13</f>
        <v>897.01167983352195</v>
      </c>
      <c r="N33" s="731">
        <f>+'5.1 Inventory (LC)'!M33/'Input-FX Rates'!$H$13</f>
        <v>781.30463443131953</v>
      </c>
      <c r="O33" s="731">
        <f>+'5.1 Inventory (LC)'!N33/'Input-FX Rates'!$H$13</f>
        <v>876.70318250279274</v>
      </c>
      <c r="P33" s="731">
        <f>+'5.1 Inventory (LC)'!O33/'Input-FX Rates'!$H$13</f>
        <v>1095.8789781284909</v>
      </c>
      <c r="Q33" s="732">
        <f>+'5.1 Inventory (LC)'!P33/'Input-FX Rates'!$H$13</f>
        <v>876.70318250279274</v>
      </c>
      <c r="R33" s="727">
        <f t="shared" si="1"/>
        <v>954.84088279370474</v>
      </c>
      <c r="S33" s="897" t="str">
        <f>IF(ISBLANK('5.1 Inventory (LC)'!R33),"",'5.1 Inventory (LC)'!R33)</f>
        <v/>
      </c>
    </row>
    <row r="34" spans="1:19" x14ac:dyDescent="0.25">
      <c r="A34" s="1040"/>
      <c r="B34" s="723" t="s">
        <v>371</v>
      </c>
      <c r="C34" s="333">
        <f>+'5.1 Inventory (LC)'!C34/'Input-FX Rates'!$E$13</f>
        <v>0</v>
      </c>
      <c r="D34" s="223">
        <f>+'5.1 Inventory (LC)'!D34/'Input-FX Rates'!$G$13</f>
        <v>0</v>
      </c>
      <c r="E34" s="223">
        <f>+'5.1 Inventory (LC)'!D34/'Input-FX Rates'!$H$13</f>
        <v>0</v>
      </c>
      <c r="F34" s="818">
        <f>+'5.1 Inventory (LC)'!E34/'Input-FX Rates'!$H$13</f>
        <v>0</v>
      </c>
      <c r="G34" s="730">
        <f>+'5.1 Inventory (LC)'!F34/'Input-FX Rates'!$H$13</f>
        <v>0</v>
      </c>
      <c r="H34" s="731">
        <f>+'5.1 Inventory (LC)'!G34/'Input-FX Rates'!$H$13</f>
        <v>0</v>
      </c>
      <c r="I34" s="731">
        <f>+'5.1 Inventory (LC)'!H34/'Input-FX Rates'!$H$13</f>
        <v>0</v>
      </c>
      <c r="J34" s="731">
        <f>+'5.1 Inventory (LC)'!I34/'Input-FX Rates'!$H$13</f>
        <v>0</v>
      </c>
      <c r="K34" s="731">
        <f>+'5.1 Inventory (LC)'!J34/'Input-FX Rates'!$H$13</f>
        <v>0</v>
      </c>
      <c r="L34" s="731">
        <f>+'5.1 Inventory (LC)'!K34/'Input-FX Rates'!$H$13</f>
        <v>0</v>
      </c>
      <c r="M34" s="731">
        <f>+'5.1 Inventory (LC)'!L34/'Input-FX Rates'!$H$13</f>
        <v>0</v>
      </c>
      <c r="N34" s="731">
        <f>+'5.1 Inventory (LC)'!M34/'Input-FX Rates'!$H$13</f>
        <v>0</v>
      </c>
      <c r="O34" s="731">
        <f>+'5.1 Inventory (LC)'!N34/'Input-FX Rates'!$H$13</f>
        <v>0</v>
      </c>
      <c r="P34" s="731">
        <f>+'5.1 Inventory (LC)'!O34/'Input-FX Rates'!$H$13</f>
        <v>0</v>
      </c>
      <c r="Q34" s="732">
        <f>+'5.1 Inventory (LC)'!P34/'Input-FX Rates'!$H$13</f>
        <v>0</v>
      </c>
      <c r="R34" s="727">
        <f t="shared" si="1"/>
        <v>0</v>
      </c>
      <c r="S34" s="897" t="str">
        <f>IF(ISBLANK('5.1 Inventory (LC)'!R34),"",'5.1 Inventory (LC)'!R34)</f>
        <v/>
      </c>
    </row>
    <row r="35" spans="1:19" x14ac:dyDescent="0.25">
      <c r="A35" s="1040"/>
      <c r="B35" s="723" t="s">
        <v>376</v>
      </c>
      <c r="C35" s="333">
        <f>+'5.1 Inventory (LC)'!C35/'Input-FX Rates'!$E$13</f>
        <v>0</v>
      </c>
      <c r="D35" s="223">
        <f>+'5.1 Inventory (LC)'!D35/'Input-FX Rates'!$G$13</f>
        <v>0</v>
      </c>
      <c r="E35" s="223">
        <f>+'5.1 Inventory (LC)'!D35/'Input-FX Rates'!$H$13</f>
        <v>0</v>
      </c>
      <c r="F35" s="818">
        <f>+'5.1 Inventory (LC)'!E35/'Input-FX Rates'!$H$13</f>
        <v>0</v>
      </c>
      <c r="G35" s="730">
        <f>+'5.1 Inventory (LC)'!F35/'Input-FX Rates'!$H$13</f>
        <v>0</v>
      </c>
      <c r="H35" s="731">
        <f>+'5.1 Inventory (LC)'!G35/'Input-FX Rates'!$H$13</f>
        <v>0</v>
      </c>
      <c r="I35" s="731">
        <f>+'5.1 Inventory (LC)'!H35/'Input-FX Rates'!$H$13</f>
        <v>0</v>
      </c>
      <c r="J35" s="731">
        <f>+'5.1 Inventory (LC)'!I35/'Input-FX Rates'!$H$13</f>
        <v>0</v>
      </c>
      <c r="K35" s="731">
        <f>+'5.1 Inventory (LC)'!J35/'Input-FX Rates'!$H$13</f>
        <v>0</v>
      </c>
      <c r="L35" s="731">
        <f>+'5.1 Inventory (LC)'!K35/'Input-FX Rates'!$H$13</f>
        <v>0</v>
      </c>
      <c r="M35" s="731">
        <f>+'5.1 Inventory (LC)'!L35/'Input-FX Rates'!$H$13</f>
        <v>0</v>
      </c>
      <c r="N35" s="731">
        <f>+'5.1 Inventory (LC)'!M35/'Input-FX Rates'!$H$13</f>
        <v>0</v>
      </c>
      <c r="O35" s="731">
        <f>+'5.1 Inventory (LC)'!N35/'Input-FX Rates'!$H$13</f>
        <v>0</v>
      </c>
      <c r="P35" s="731">
        <f>+'5.1 Inventory (LC)'!O35/'Input-FX Rates'!$H$13</f>
        <v>0</v>
      </c>
      <c r="Q35" s="732">
        <f>+'5.1 Inventory (LC)'!P35/'Input-FX Rates'!$H$13</f>
        <v>0</v>
      </c>
      <c r="R35" s="727">
        <f t="shared" si="1"/>
        <v>0</v>
      </c>
      <c r="S35" s="897" t="str">
        <f>IF(ISBLANK('5.1 Inventory (LC)'!R35),"",'5.1 Inventory (LC)'!R35)</f>
        <v/>
      </c>
    </row>
    <row r="36" spans="1:19" x14ac:dyDescent="0.25">
      <c r="A36" s="1040"/>
      <c r="B36" s="723" t="s">
        <v>1123</v>
      </c>
      <c r="C36" s="333">
        <f>+'5.1 Inventory (LC)'!C36/'Input-FX Rates'!$E$13</f>
        <v>0</v>
      </c>
      <c r="D36" s="223">
        <f>+'5.1 Inventory (LC)'!D36/'Input-FX Rates'!$G$13</f>
        <v>0</v>
      </c>
      <c r="E36" s="223">
        <f>+'5.1 Inventory (LC)'!D36/'Input-FX Rates'!$H$13</f>
        <v>0</v>
      </c>
      <c r="F36" s="818">
        <f>+'5.1 Inventory (LC)'!E36/'Input-FX Rates'!$H$13</f>
        <v>0</v>
      </c>
      <c r="G36" s="730">
        <f>+'5.1 Inventory (LC)'!F36/'Input-FX Rates'!$H$13</f>
        <v>0</v>
      </c>
      <c r="H36" s="731">
        <f>+'5.1 Inventory (LC)'!G36/'Input-FX Rates'!$H$13</f>
        <v>0</v>
      </c>
      <c r="I36" s="731">
        <f>+'5.1 Inventory (LC)'!H36/'Input-FX Rates'!$H$13</f>
        <v>0</v>
      </c>
      <c r="J36" s="731">
        <f>+'5.1 Inventory (LC)'!I36/'Input-FX Rates'!$H$13</f>
        <v>0</v>
      </c>
      <c r="K36" s="731">
        <f>+'5.1 Inventory (LC)'!J36/'Input-FX Rates'!$H$13</f>
        <v>0</v>
      </c>
      <c r="L36" s="731">
        <f>+'5.1 Inventory (LC)'!K36/'Input-FX Rates'!$H$13</f>
        <v>0</v>
      </c>
      <c r="M36" s="731">
        <f>+'5.1 Inventory (LC)'!L36/'Input-FX Rates'!$H$13</f>
        <v>0</v>
      </c>
      <c r="N36" s="731">
        <f>+'5.1 Inventory (LC)'!M36/'Input-FX Rates'!$H$13</f>
        <v>0</v>
      </c>
      <c r="O36" s="731">
        <f>+'5.1 Inventory (LC)'!N36/'Input-FX Rates'!$H$13</f>
        <v>0</v>
      </c>
      <c r="P36" s="731">
        <f>+'5.1 Inventory (LC)'!O36/'Input-FX Rates'!$H$13</f>
        <v>0</v>
      </c>
      <c r="Q36" s="732">
        <f>+'5.1 Inventory (LC)'!P36/'Input-FX Rates'!$H$13</f>
        <v>0</v>
      </c>
      <c r="R36" s="727">
        <f t="shared" si="1"/>
        <v>0</v>
      </c>
      <c r="S36" s="897" t="str">
        <f>IF(ISBLANK('5.1 Inventory (LC)'!R36),"",'5.1 Inventory (LC)'!R36)</f>
        <v/>
      </c>
    </row>
    <row r="37" spans="1:19" x14ac:dyDescent="0.25">
      <c r="A37" s="1039" t="s">
        <v>1127</v>
      </c>
      <c r="B37" s="728" t="s">
        <v>372</v>
      </c>
      <c r="C37" s="734">
        <f>+'5.1 Inventory (LC)'!C37/'Input-FX Rates'!$E$13</f>
        <v>0</v>
      </c>
      <c r="D37" s="814">
        <f>+'5.1 Inventory (LC)'!D37/'Input-FX Rates'!$G$13</f>
        <v>0</v>
      </c>
      <c r="E37" s="814">
        <f>+'5.1 Inventory (LC)'!D37/'Input-FX Rates'!$H$13</f>
        <v>0</v>
      </c>
      <c r="F37" s="819">
        <f>+'5.1 Inventory (LC)'!E37/'Input-FX Rates'!$H$13</f>
        <v>0</v>
      </c>
      <c r="G37" s="735">
        <f>+'5.1 Inventory (LC)'!F37/'Input-FX Rates'!$H$13</f>
        <v>0</v>
      </c>
      <c r="H37" s="736">
        <f>+'5.1 Inventory (LC)'!G37/'Input-FX Rates'!$H$13</f>
        <v>0</v>
      </c>
      <c r="I37" s="736">
        <f>+'5.1 Inventory (LC)'!H37/'Input-FX Rates'!$H$13</f>
        <v>0</v>
      </c>
      <c r="J37" s="736">
        <f>+'5.1 Inventory (LC)'!I37/'Input-FX Rates'!$H$13</f>
        <v>0</v>
      </c>
      <c r="K37" s="736">
        <f>+'5.1 Inventory (LC)'!J37/'Input-FX Rates'!$H$13</f>
        <v>0</v>
      </c>
      <c r="L37" s="736">
        <f>+'5.1 Inventory (LC)'!K37/'Input-FX Rates'!$H$13</f>
        <v>0</v>
      </c>
      <c r="M37" s="736">
        <f>+'5.1 Inventory (LC)'!L37/'Input-FX Rates'!$H$13</f>
        <v>0</v>
      </c>
      <c r="N37" s="736">
        <f>+'5.1 Inventory (LC)'!M37/'Input-FX Rates'!$H$13</f>
        <v>0</v>
      </c>
      <c r="O37" s="736">
        <f>+'5.1 Inventory (LC)'!N37/'Input-FX Rates'!$H$13</f>
        <v>0</v>
      </c>
      <c r="P37" s="736">
        <f>+'5.1 Inventory (LC)'!O37/'Input-FX Rates'!$H$13</f>
        <v>0</v>
      </c>
      <c r="Q37" s="737">
        <f>+'5.1 Inventory (LC)'!P37/'Input-FX Rates'!$H$13</f>
        <v>0</v>
      </c>
      <c r="R37" s="738">
        <f t="shared" si="1"/>
        <v>0</v>
      </c>
      <c r="S37" s="898" t="str">
        <f>IF(ISBLANK('5.1 Inventory (LC)'!R37),"",'5.1 Inventory (LC)'!R37)</f>
        <v/>
      </c>
    </row>
    <row r="38" spans="1:19" x14ac:dyDescent="0.25">
      <c r="A38" s="1039"/>
      <c r="B38" s="728" t="s">
        <v>375</v>
      </c>
      <c r="C38" s="734">
        <f>+'5.1 Inventory (LC)'!C38/'Input-FX Rates'!$E$13</f>
        <v>0</v>
      </c>
      <c r="D38" s="814">
        <f>+'5.1 Inventory (LC)'!D38/'Input-FX Rates'!$G$13</f>
        <v>0</v>
      </c>
      <c r="E38" s="814">
        <f>+'5.1 Inventory (LC)'!D38/'Input-FX Rates'!$H$13</f>
        <v>0</v>
      </c>
      <c r="F38" s="819">
        <f>+'5.1 Inventory (LC)'!E38/'Input-FX Rates'!$H$13</f>
        <v>0</v>
      </c>
      <c r="G38" s="735">
        <f>+'5.1 Inventory (LC)'!F38/'Input-FX Rates'!$H$13</f>
        <v>0</v>
      </c>
      <c r="H38" s="736">
        <f>+'5.1 Inventory (LC)'!G38/'Input-FX Rates'!$H$13</f>
        <v>0</v>
      </c>
      <c r="I38" s="736">
        <f>+'5.1 Inventory (LC)'!H38/'Input-FX Rates'!$H$13</f>
        <v>0</v>
      </c>
      <c r="J38" s="736">
        <f>+'5.1 Inventory (LC)'!I38/'Input-FX Rates'!$H$13</f>
        <v>0</v>
      </c>
      <c r="K38" s="736">
        <f>+'5.1 Inventory (LC)'!J38/'Input-FX Rates'!$H$13</f>
        <v>0</v>
      </c>
      <c r="L38" s="736">
        <f>+'5.1 Inventory (LC)'!K38/'Input-FX Rates'!$H$13</f>
        <v>0</v>
      </c>
      <c r="M38" s="736">
        <f>+'5.1 Inventory (LC)'!L38/'Input-FX Rates'!$H$13</f>
        <v>0</v>
      </c>
      <c r="N38" s="736">
        <f>+'5.1 Inventory (LC)'!M38/'Input-FX Rates'!$H$13</f>
        <v>0</v>
      </c>
      <c r="O38" s="736">
        <f>+'5.1 Inventory (LC)'!N38/'Input-FX Rates'!$H$13</f>
        <v>0</v>
      </c>
      <c r="P38" s="736">
        <f>+'5.1 Inventory (LC)'!O38/'Input-FX Rates'!$H$13</f>
        <v>0</v>
      </c>
      <c r="Q38" s="737">
        <f>+'5.1 Inventory (LC)'!P38/'Input-FX Rates'!$H$13</f>
        <v>0</v>
      </c>
      <c r="R38" s="738">
        <f t="shared" si="1"/>
        <v>0</v>
      </c>
      <c r="S38" s="898" t="str">
        <f>IF(ISBLANK('5.1 Inventory (LC)'!R38),"",'5.1 Inventory (LC)'!R38)</f>
        <v/>
      </c>
    </row>
    <row r="39" spans="1:19" x14ac:dyDescent="0.25">
      <c r="A39" s="1039"/>
      <c r="B39" s="728" t="s">
        <v>376</v>
      </c>
      <c r="C39" s="734">
        <f>+'5.1 Inventory (LC)'!C39/'Input-FX Rates'!$E$13</f>
        <v>0</v>
      </c>
      <c r="D39" s="814">
        <f>+'5.1 Inventory (LC)'!D39/'Input-FX Rates'!$G$13</f>
        <v>0</v>
      </c>
      <c r="E39" s="814">
        <f>+'5.1 Inventory (LC)'!D39/'Input-FX Rates'!$H$13</f>
        <v>0</v>
      </c>
      <c r="F39" s="819">
        <f>+'5.1 Inventory (LC)'!E39/'Input-FX Rates'!$H$13</f>
        <v>0</v>
      </c>
      <c r="G39" s="735">
        <f>+'5.1 Inventory (LC)'!F39/'Input-FX Rates'!$H$13</f>
        <v>0</v>
      </c>
      <c r="H39" s="736">
        <f>+'5.1 Inventory (LC)'!G39/'Input-FX Rates'!$H$13</f>
        <v>0</v>
      </c>
      <c r="I39" s="736">
        <f>+'5.1 Inventory (LC)'!H39/'Input-FX Rates'!$H$13</f>
        <v>0</v>
      </c>
      <c r="J39" s="736">
        <f>+'5.1 Inventory (LC)'!I39/'Input-FX Rates'!$H$13</f>
        <v>0</v>
      </c>
      <c r="K39" s="736">
        <f>+'5.1 Inventory (LC)'!J39/'Input-FX Rates'!$H$13</f>
        <v>0</v>
      </c>
      <c r="L39" s="736">
        <f>+'5.1 Inventory (LC)'!K39/'Input-FX Rates'!$H$13</f>
        <v>0</v>
      </c>
      <c r="M39" s="736">
        <f>+'5.1 Inventory (LC)'!L39/'Input-FX Rates'!$H$13</f>
        <v>0</v>
      </c>
      <c r="N39" s="736">
        <f>+'5.1 Inventory (LC)'!M39/'Input-FX Rates'!$H$13</f>
        <v>0</v>
      </c>
      <c r="O39" s="736">
        <f>+'5.1 Inventory (LC)'!N39/'Input-FX Rates'!$H$13</f>
        <v>0</v>
      </c>
      <c r="P39" s="736">
        <f>+'5.1 Inventory (LC)'!O39/'Input-FX Rates'!$H$13</f>
        <v>0</v>
      </c>
      <c r="Q39" s="737">
        <f>+'5.1 Inventory (LC)'!P39/'Input-FX Rates'!$H$13</f>
        <v>0</v>
      </c>
      <c r="R39" s="738">
        <f t="shared" si="1"/>
        <v>0</v>
      </c>
      <c r="S39" s="898" t="str">
        <f>IF(ISBLANK('5.1 Inventory (LC)'!R39),"",'5.1 Inventory (LC)'!R39)</f>
        <v/>
      </c>
    </row>
    <row r="40" spans="1:19" x14ac:dyDescent="0.25">
      <c r="A40" s="1039"/>
      <c r="B40" s="728" t="s">
        <v>962</v>
      </c>
      <c r="C40" s="734">
        <f>+'5.1 Inventory (LC)'!C40/'Input-FX Rates'!$E$13</f>
        <v>0</v>
      </c>
      <c r="D40" s="814">
        <f>+'5.1 Inventory (LC)'!D40/'Input-FX Rates'!$G$13</f>
        <v>0</v>
      </c>
      <c r="E40" s="814">
        <f>+'5.1 Inventory (LC)'!D40/'Input-FX Rates'!$H$13</f>
        <v>0</v>
      </c>
      <c r="F40" s="819">
        <f>+'5.1 Inventory (LC)'!E40/'Input-FX Rates'!$H$13</f>
        <v>0</v>
      </c>
      <c r="G40" s="735">
        <f>+'5.1 Inventory (LC)'!F40/'Input-FX Rates'!$H$13</f>
        <v>0</v>
      </c>
      <c r="H40" s="736">
        <f>+'5.1 Inventory (LC)'!G40/'Input-FX Rates'!$H$13</f>
        <v>0</v>
      </c>
      <c r="I40" s="736">
        <f>+'5.1 Inventory (LC)'!H40/'Input-FX Rates'!$H$13</f>
        <v>0</v>
      </c>
      <c r="J40" s="736">
        <f>+'5.1 Inventory (LC)'!I40/'Input-FX Rates'!$H$13</f>
        <v>0</v>
      </c>
      <c r="K40" s="736">
        <f>+'5.1 Inventory (LC)'!J40/'Input-FX Rates'!$H$13</f>
        <v>0</v>
      </c>
      <c r="L40" s="736">
        <f>+'5.1 Inventory (LC)'!K40/'Input-FX Rates'!$H$13</f>
        <v>0</v>
      </c>
      <c r="M40" s="736">
        <f>+'5.1 Inventory (LC)'!L40/'Input-FX Rates'!$H$13</f>
        <v>0</v>
      </c>
      <c r="N40" s="736">
        <f>+'5.1 Inventory (LC)'!M40/'Input-FX Rates'!$H$13</f>
        <v>0</v>
      </c>
      <c r="O40" s="736">
        <f>+'5.1 Inventory (LC)'!N40/'Input-FX Rates'!$H$13</f>
        <v>0</v>
      </c>
      <c r="P40" s="736">
        <f>+'5.1 Inventory (LC)'!O40/'Input-FX Rates'!$H$13</f>
        <v>0</v>
      </c>
      <c r="Q40" s="737">
        <f>+'5.1 Inventory (LC)'!P40/'Input-FX Rates'!$H$13</f>
        <v>0</v>
      </c>
      <c r="R40" s="738">
        <f t="shared" si="1"/>
        <v>0</v>
      </c>
      <c r="S40" s="898" t="str">
        <f>IF(ISBLANK('5.1 Inventory (LC)'!R40),"",'5.1 Inventory (LC)'!R40)</f>
        <v/>
      </c>
    </row>
    <row r="41" spans="1:19" x14ac:dyDescent="0.25">
      <c r="A41" s="1039"/>
      <c r="B41" s="728" t="s">
        <v>1123</v>
      </c>
      <c r="C41" s="734">
        <f>+'5.1 Inventory (LC)'!C41/'Input-FX Rates'!$E$13</f>
        <v>0</v>
      </c>
      <c r="D41" s="814">
        <f>+'5.1 Inventory (LC)'!D41/'Input-FX Rates'!$G$13</f>
        <v>0</v>
      </c>
      <c r="E41" s="814">
        <f>+'5.1 Inventory (LC)'!D41/'Input-FX Rates'!$H$13</f>
        <v>0</v>
      </c>
      <c r="F41" s="819">
        <f>+'5.1 Inventory (LC)'!E41/'Input-FX Rates'!$H$13</f>
        <v>0</v>
      </c>
      <c r="G41" s="735">
        <f>+'5.1 Inventory (LC)'!F41/'Input-FX Rates'!$H$13</f>
        <v>0</v>
      </c>
      <c r="H41" s="736">
        <f>+'5.1 Inventory (LC)'!G41/'Input-FX Rates'!$H$13</f>
        <v>0</v>
      </c>
      <c r="I41" s="736">
        <f>+'5.1 Inventory (LC)'!H41/'Input-FX Rates'!$H$13</f>
        <v>0</v>
      </c>
      <c r="J41" s="736">
        <f>+'5.1 Inventory (LC)'!I41/'Input-FX Rates'!$H$13</f>
        <v>0</v>
      </c>
      <c r="K41" s="736">
        <f>+'5.1 Inventory (LC)'!J41/'Input-FX Rates'!$H$13</f>
        <v>0</v>
      </c>
      <c r="L41" s="736">
        <f>+'5.1 Inventory (LC)'!K41/'Input-FX Rates'!$H$13</f>
        <v>0</v>
      </c>
      <c r="M41" s="736">
        <f>+'5.1 Inventory (LC)'!L41/'Input-FX Rates'!$H$13</f>
        <v>0</v>
      </c>
      <c r="N41" s="736">
        <f>+'5.1 Inventory (LC)'!M41/'Input-FX Rates'!$H$13</f>
        <v>0</v>
      </c>
      <c r="O41" s="736">
        <f>+'5.1 Inventory (LC)'!N41/'Input-FX Rates'!$H$13</f>
        <v>0</v>
      </c>
      <c r="P41" s="736">
        <f>+'5.1 Inventory (LC)'!O41/'Input-FX Rates'!$H$13</f>
        <v>0</v>
      </c>
      <c r="Q41" s="737">
        <f>+'5.1 Inventory (LC)'!P41/'Input-FX Rates'!$H$13</f>
        <v>0</v>
      </c>
      <c r="R41" s="738">
        <f t="shared" si="1"/>
        <v>0</v>
      </c>
      <c r="S41" s="898" t="str">
        <f>IF(ISBLANK('5.1 Inventory (LC)'!R41),"",'5.1 Inventory (LC)'!R41)</f>
        <v/>
      </c>
    </row>
    <row r="42" spans="1:19" x14ac:dyDescent="0.25">
      <c r="A42" s="1039"/>
      <c r="B42" s="728" t="s">
        <v>373</v>
      </c>
      <c r="C42" s="734">
        <f>+'5.1 Inventory (LC)'!C42/'Input-FX Rates'!$E$13</f>
        <v>0</v>
      </c>
      <c r="D42" s="814">
        <f>+'5.1 Inventory (LC)'!D42/'Input-FX Rates'!$G$13</f>
        <v>0</v>
      </c>
      <c r="E42" s="814">
        <f>+'5.1 Inventory (LC)'!D42/'Input-FX Rates'!$H$13</f>
        <v>0</v>
      </c>
      <c r="F42" s="819">
        <f>+'5.1 Inventory (LC)'!E42/'Input-FX Rates'!$H$13</f>
        <v>0</v>
      </c>
      <c r="G42" s="735">
        <f>+'5.1 Inventory (LC)'!F42/'Input-FX Rates'!$H$13</f>
        <v>0</v>
      </c>
      <c r="H42" s="736">
        <f>+'5.1 Inventory (LC)'!G42/'Input-FX Rates'!$H$13</f>
        <v>0</v>
      </c>
      <c r="I42" s="736">
        <f>+'5.1 Inventory (LC)'!H42/'Input-FX Rates'!$H$13</f>
        <v>0</v>
      </c>
      <c r="J42" s="736">
        <f>+'5.1 Inventory (LC)'!I42/'Input-FX Rates'!$H$13</f>
        <v>0</v>
      </c>
      <c r="K42" s="736">
        <f>+'5.1 Inventory (LC)'!J42/'Input-FX Rates'!$H$13</f>
        <v>0</v>
      </c>
      <c r="L42" s="736">
        <f>+'5.1 Inventory (LC)'!K42/'Input-FX Rates'!$H$13</f>
        <v>0</v>
      </c>
      <c r="M42" s="736">
        <f>+'5.1 Inventory (LC)'!L42/'Input-FX Rates'!$H$13</f>
        <v>0</v>
      </c>
      <c r="N42" s="736">
        <f>+'5.1 Inventory (LC)'!M42/'Input-FX Rates'!$H$13</f>
        <v>0</v>
      </c>
      <c r="O42" s="736">
        <f>+'5.1 Inventory (LC)'!N42/'Input-FX Rates'!$H$13</f>
        <v>0</v>
      </c>
      <c r="P42" s="736">
        <f>+'5.1 Inventory (LC)'!O42/'Input-FX Rates'!$H$13</f>
        <v>0</v>
      </c>
      <c r="Q42" s="737">
        <f>+'5.1 Inventory (LC)'!P42/'Input-FX Rates'!$H$13</f>
        <v>0</v>
      </c>
      <c r="R42" s="738">
        <f t="shared" si="1"/>
        <v>0</v>
      </c>
      <c r="S42" s="898" t="str">
        <f>IF(ISBLANK('5.1 Inventory (LC)'!R42),"",'5.1 Inventory (LC)'!R42)</f>
        <v/>
      </c>
    </row>
    <row r="43" spans="1:19" x14ac:dyDescent="0.25">
      <c r="A43" s="1039"/>
      <c r="B43" s="728" t="s">
        <v>374</v>
      </c>
      <c r="C43" s="734">
        <f>+'5.1 Inventory (LC)'!C43/'Input-FX Rates'!$E$13</f>
        <v>0</v>
      </c>
      <c r="D43" s="814">
        <f>+'5.1 Inventory (LC)'!D43/'Input-FX Rates'!$G$13</f>
        <v>0</v>
      </c>
      <c r="E43" s="814">
        <f>+'5.1 Inventory (LC)'!D43/'Input-FX Rates'!$H$13</f>
        <v>0</v>
      </c>
      <c r="F43" s="819">
        <f>+'5.1 Inventory (LC)'!E43/'Input-FX Rates'!$H$13</f>
        <v>0</v>
      </c>
      <c r="G43" s="735">
        <f>+'5.1 Inventory (LC)'!F43/'Input-FX Rates'!$H$13</f>
        <v>0</v>
      </c>
      <c r="H43" s="736">
        <f>+'5.1 Inventory (LC)'!G43/'Input-FX Rates'!$H$13</f>
        <v>0</v>
      </c>
      <c r="I43" s="736">
        <f>+'5.1 Inventory (LC)'!H43/'Input-FX Rates'!$H$13</f>
        <v>0</v>
      </c>
      <c r="J43" s="736">
        <f>+'5.1 Inventory (LC)'!I43/'Input-FX Rates'!$H$13</f>
        <v>0</v>
      </c>
      <c r="K43" s="736">
        <f>+'5.1 Inventory (LC)'!J43/'Input-FX Rates'!$H$13</f>
        <v>0</v>
      </c>
      <c r="L43" s="736">
        <f>+'5.1 Inventory (LC)'!K43/'Input-FX Rates'!$H$13</f>
        <v>0</v>
      </c>
      <c r="M43" s="736">
        <f>+'5.1 Inventory (LC)'!L43/'Input-FX Rates'!$H$13</f>
        <v>0</v>
      </c>
      <c r="N43" s="736">
        <f>+'5.1 Inventory (LC)'!M43/'Input-FX Rates'!$H$13</f>
        <v>0</v>
      </c>
      <c r="O43" s="736">
        <f>+'5.1 Inventory (LC)'!N43/'Input-FX Rates'!$H$13</f>
        <v>0</v>
      </c>
      <c r="P43" s="736">
        <f>+'5.1 Inventory (LC)'!O43/'Input-FX Rates'!$H$13</f>
        <v>0</v>
      </c>
      <c r="Q43" s="737">
        <f>+'5.1 Inventory (LC)'!P43/'Input-FX Rates'!$H$13</f>
        <v>0</v>
      </c>
      <c r="R43" s="738">
        <f t="shared" si="1"/>
        <v>0</v>
      </c>
      <c r="S43" s="898" t="str">
        <f>IF(ISBLANK('5.1 Inventory (LC)'!R43),"",'5.1 Inventory (LC)'!R43)</f>
        <v/>
      </c>
    </row>
    <row r="44" spans="1:19" ht="15.75" x14ac:dyDescent="0.25">
      <c r="A44" s="412" t="s">
        <v>370</v>
      </c>
      <c r="B44" s="893"/>
      <c r="C44" s="894">
        <f>+'5.1 Inventory (LC)'!C44/'Input-FX Rates'!$E$13</f>
        <v>0</v>
      </c>
      <c r="D44" s="894">
        <f>+'5.1 Inventory (LC)'!D44/'Input-FX Rates'!$G$13</f>
        <v>0</v>
      </c>
      <c r="E44" s="894">
        <f>+'5.1 Inventory (LC)'!D44/'Input-FX Rates'!$H$13</f>
        <v>0</v>
      </c>
      <c r="F44" s="895">
        <f>+'5.1 Inventory (LC)'!E44/'Input-FX Rates'!$H$13</f>
        <v>0</v>
      </c>
      <c r="G44" s="894">
        <f>+'5.1 Inventory (LC)'!F44/'Input-FX Rates'!$H$13</f>
        <v>0</v>
      </c>
      <c r="H44" s="894">
        <f>+'5.1 Inventory (LC)'!G44/'Input-FX Rates'!$H$13</f>
        <v>0</v>
      </c>
      <c r="I44" s="894">
        <f>+'5.1 Inventory (LC)'!H44/'Input-FX Rates'!$H$13</f>
        <v>0</v>
      </c>
      <c r="J44" s="894">
        <f>+'5.1 Inventory (LC)'!I44/'Input-FX Rates'!$H$13</f>
        <v>0</v>
      </c>
      <c r="K44" s="894">
        <f>+'5.1 Inventory (LC)'!J44/'Input-FX Rates'!$H$13</f>
        <v>0</v>
      </c>
      <c r="L44" s="894">
        <f>+'5.1 Inventory (LC)'!K44/'Input-FX Rates'!$H$13</f>
        <v>0</v>
      </c>
      <c r="M44" s="894">
        <f>+'5.1 Inventory (LC)'!L44/'Input-FX Rates'!$H$13</f>
        <v>0</v>
      </c>
      <c r="N44" s="894">
        <f>+'5.1 Inventory (LC)'!M44/'Input-FX Rates'!$H$13</f>
        <v>0</v>
      </c>
      <c r="O44" s="894">
        <f>+'5.1 Inventory (LC)'!N44/'Input-FX Rates'!$H$13</f>
        <v>0</v>
      </c>
      <c r="P44" s="894">
        <f>+'5.1 Inventory (LC)'!O44/'Input-FX Rates'!$H$13</f>
        <v>0</v>
      </c>
      <c r="Q44" s="896">
        <f>+'5.1 Inventory (LC)'!P44/'Input-FX Rates'!$H$13</f>
        <v>0</v>
      </c>
      <c r="R44" s="896">
        <f t="shared" si="1"/>
        <v>0</v>
      </c>
      <c r="S44" s="412" t="str">
        <f>IF(ISBLANK('5.1 Inventory (LC)'!R44),"",'5.1 Inventory (LC)'!R44)</f>
        <v/>
      </c>
    </row>
    <row r="45" spans="1:19" ht="15.75" x14ac:dyDescent="0.25">
      <c r="A45" s="412" t="s">
        <v>369</v>
      </c>
      <c r="B45" s="893"/>
      <c r="C45" s="894">
        <f>+'5.1 Inventory (LC)'!C45/'Input-FX Rates'!$E$13</f>
        <v>0</v>
      </c>
      <c r="D45" s="894">
        <f>+'5.1 Inventory (LC)'!D45/'Input-FX Rates'!$G$13</f>
        <v>0</v>
      </c>
      <c r="E45" s="894">
        <f>+'5.1 Inventory (LC)'!D45/'Input-FX Rates'!$H$13</f>
        <v>0</v>
      </c>
      <c r="F45" s="895">
        <f>+'5.1 Inventory (LC)'!E45/'Input-FX Rates'!$H$13</f>
        <v>0</v>
      </c>
      <c r="G45" s="894">
        <f>+'5.1 Inventory (LC)'!F45/'Input-FX Rates'!$H$13</f>
        <v>0</v>
      </c>
      <c r="H45" s="894">
        <f>+'5.1 Inventory (LC)'!G45/'Input-FX Rates'!$H$13</f>
        <v>0</v>
      </c>
      <c r="I45" s="894">
        <f>+'5.1 Inventory (LC)'!H45/'Input-FX Rates'!$H$13</f>
        <v>0</v>
      </c>
      <c r="J45" s="894">
        <f>+'5.1 Inventory (LC)'!I45/'Input-FX Rates'!$H$13</f>
        <v>0</v>
      </c>
      <c r="K45" s="894">
        <f>+'5.1 Inventory (LC)'!J45/'Input-FX Rates'!$H$13</f>
        <v>0</v>
      </c>
      <c r="L45" s="894">
        <f>+'5.1 Inventory (LC)'!K45/'Input-FX Rates'!$H$13</f>
        <v>0</v>
      </c>
      <c r="M45" s="894">
        <f>+'5.1 Inventory (LC)'!L45/'Input-FX Rates'!$H$13</f>
        <v>0</v>
      </c>
      <c r="N45" s="894">
        <f>+'5.1 Inventory (LC)'!M45/'Input-FX Rates'!$H$13</f>
        <v>0</v>
      </c>
      <c r="O45" s="894">
        <f>+'5.1 Inventory (LC)'!N45/'Input-FX Rates'!$H$13</f>
        <v>0</v>
      </c>
      <c r="P45" s="894">
        <f>+'5.1 Inventory (LC)'!O45/'Input-FX Rates'!$H$13</f>
        <v>0</v>
      </c>
      <c r="Q45" s="896">
        <f>+'5.1 Inventory (LC)'!P45/'Input-FX Rates'!$H$13</f>
        <v>0</v>
      </c>
      <c r="R45" s="896">
        <f t="shared" si="1"/>
        <v>0</v>
      </c>
      <c r="S45" s="412" t="str">
        <f>IF(ISBLANK('5.1 Inventory (LC)'!R45),"",'5.1 Inventory (LC)'!R45)</f>
        <v/>
      </c>
    </row>
    <row r="46" spans="1:19" ht="15.75" x14ac:dyDescent="0.25">
      <c r="A46" s="214" t="s">
        <v>368</v>
      </c>
      <c r="B46" s="215"/>
      <c r="C46" s="78">
        <f>+'5.1 Inventory (LC)'!C46/'Input-FX Rates'!$E$13</f>
        <v>3525.4330793375607</v>
      </c>
      <c r="D46" s="78">
        <f>+'5.1 Inventory (LC)'!D46/'Input-FX Rates'!$G$13</f>
        <v>3981.6371837222378</v>
      </c>
      <c r="E46" s="78">
        <f>+'5.1 Inventory (LC)'!D46/'Input-FX Rates'!$H$13</f>
        <v>3906.9471620689656</v>
      </c>
      <c r="F46" s="817">
        <f>+'5.1 Inventory (LC)'!E46/'Input-FX Rates'!$H$13</f>
        <v>5102.5043517241375</v>
      </c>
      <c r="G46" s="78">
        <f>+'5.1 Inventory (LC)'!F46/'Input-FX Rates'!$H$13</f>
        <v>5093.4714158620682</v>
      </c>
      <c r="H46" s="78">
        <f>+'5.1 Inventory (LC)'!G46/'Input-FX Rates'!$H$13</f>
        <v>4566.4038565517239</v>
      </c>
      <c r="I46" s="78">
        <f>+'5.1 Inventory (LC)'!H46/'Input-FX Rates'!$H$13</f>
        <v>4292.0672606896542</v>
      </c>
      <c r="J46" s="78">
        <f>+'5.1 Inventory (LC)'!I46/'Input-FX Rates'!$H$13</f>
        <v>4134.1427103448268</v>
      </c>
      <c r="K46" s="78">
        <f>+'5.1 Inventory (LC)'!J46/'Input-FX Rates'!$H$13</f>
        <v>6397.1023806896546</v>
      </c>
      <c r="L46" s="78">
        <f>+'5.1 Inventory (LC)'!K46/'Input-FX Rates'!$H$13</f>
        <v>6728.2666379310349</v>
      </c>
      <c r="M46" s="78">
        <f>+'5.1 Inventory (LC)'!L46/'Input-FX Rates'!$H$13</f>
        <v>5513.9808613793102</v>
      </c>
      <c r="N46" s="78">
        <f>+'5.1 Inventory (LC)'!M46/'Input-FX Rates'!$H$13</f>
        <v>5160.9598944827585</v>
      </c>
      <c r="O46" s="78">
        <f>+'5.1 Inventory (LC)'!N46/'Input-FX Rates'!$H$13</f>
        <v>5696.2088220689657</v>
      </c>
      <c r="P46" s="78">
        <f>+'5.1 Inventory (LC)'!O46/'Input-FX Rates'!$H$13</f>
        <v>5679.1488868965516</v>
      </c>
      <c r="Q46" s="80">
        <f>+'5.1 Inventory (LC)'!P46/'Input-FX Rates'!$H$13</f>
        <v>6020.1120786206902</v>
      </c>
      <c r="R46" s="80">
        <f t="shared" si="1"/>
        <v>5365.3640964367805</v>
      </c>
      <c r="S46" s="412" t="str">
        <f>IF(ISBLANK('5.1 Inventory (LC)'!R46),"",'5.1 Inventory (LC)'!R46)</f>
        <v/>
      </c>
    </row>
    <row r="47" spans="1:19" ht="15.75" x14ac:dyDescent="0.25">
      <c r="A47" s="214" t="s">
        <v>367</v>
      </c>
      <c r="B47" s="215"/>
      <c r="C47" s="417"/>
      <c r="D47" s="259">
        <f>'5.1 Inventory (LC)'!D47</f>
        <v>23.50711449627585</v>
      </c>
      <c r="E47" s="259">
        <f>IFERROR((E7/E46),0)</f>
        <v>0</v>
      </c>
      <c r="F47" s="820">
        <f>'5.1 Inventory (LC)'!E47</f>
        <v>25.447051393752993</v>
      </c>
      <c r="G47" s="259">
        <f>'5.1 Inventory (LC)'!F47</f>
        <v>25.492180062268282</v>
      </c>
      <c r="H47" s="259">
        <f>'5.1 Inventory (LC)'!G47</f>
        <v>28.434561320912742</v>
      </c>
      <c r="I47" s="259">
        <f>'5.1 Inventory (LC)'!H47</f>
        <v>30.252016706352588</v>
      </c>
      <c r="J47" s="259">
        <f>'5.1 Inventory (LC)'!I47</f>
        <v>31.407645931105804</v>
      </c>
      <c r="K47" s="259">
        <f>'5.1 Inventory (LC)'!J47</f>
        <v>20.297266285298111</v>
      </c>
      <c r="L47" s="259">
        <f>'5.1 Inventory (LC)'!K47</f>
        <v>19.298237935929929</v>
      </c>
      <c r="M47" s="259">
        <f>'5.1 Inventory (LC)'!L47</f>
        <v>23.548085083975483</v>
      </c>
      <c r="N47" s="259">
        <f>'5.1 Inventory (LC)'!M47</f>
        <v>25.158825708756183</v>
      </c>
      <c r="O47" s="259">
        <f>'5.1 Inventory (LC)'!N47</f>
        <v>22.794756044075445</v>
      </c>
      <c r="P47" s="259">
        <f>'5.1 Inventory (LC)'!O47</f>
        <v>22.863230575757502</v>
      </c>
      <c r="Q47" s="413">
        <f>'5.1 Inventory (LC)'!P47</f>
        <v>21.568317795326134</v>
      </c>
      <c r="R47" s="413">
        <f>'5.1 Inventory (LC)'!Q47</f>
        <v>24.200350272855399</v>
      </c>
      <c r="S47" s="412" t="str">
        <f>IF(ISBLANK('5.1 Inventory (LC)'!R47),"",'5.1 Inventory (LC)'!R47)</f>
        <v/>
      </c>
    </row>
  </sheetData>
  <mergeCells count="6">
    <mergeCell ref="A37:A43"/>
    <mergeCell ref="A9:A13"/>
    <mergeCell ref="A14:A23"/>
    <mergeCell ref="A25:A26"/>
    <mergeCell ref="A27:A31"/>
    <mergeCell ref="A33:A36"/>
  </mergeCells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workbookViewId="0">
      <selection activeCell="E14" sqref="E14"/>
    </sheetView>
  </sheetViews>
  <sheetFormatPr defaultColWidth="9.28515625" defaultRowHeight="12.75" x14ac:dyDescent="0.2"/>
  <cols>
    <col min="1" max="17" width="9.28515625" style="2"/>
    <col min="18" max="16384" width="9.28515625" style="1"/>
  </cols>
  <sheetData>
    <row r="1" spans="1:1" x14ac:dyDescent="0.2">
      <c r="A1" s="2" t="s">
        <v>1</v>
      </c>
    </row>
    <row r="3" spans="1:1" x14ac:dyDescent="0.2">
      <c r="A3" s="4"/>
    </row>
    <row r="4" spans="1:1" x14ac:dyDescent="0.2">
      <c r="A4" s="4"/>
    </row>
    <row r="5" spans="1:1" x14ac:dyDescent="0.2">
      <c r="A5" s="4"/>
    </row>
    <row r="6" spans="1:1" x14ac:dyDescent="0.2">
      <c r="A6" s="4"/>
    </row>
    <row r="7" spans="1:1" x14ac:dyDescent="0.2">
      <c r="A7" s="4"/>
    </row>
    <row r="8" spans="1:1" x14ac:dyDescent="0.2">
      <c r="A8" s="4"/>
    </row>
    <row r="9" spans="1:1" x14ac:dyDescent="0.2">
      <c r="A9" s="4"/>
    </row>
    <row r="10" spans="1:1" x14ac:dyDescent="0.2">
      <c r="A10" s="4"/>
    </row>
    <row r="11" spans="1:1" x14ac:dyDescent="0.2">
      <c r="A11" s="4"/>
    </row>
    <row r="12" spans="1:1" x14ac:dyDescent="0.2">
      <c r="A12" s="4"/>
    </row>
    <row r="13" spans="1:1" x14ac:dyDescent="0.2">
      <c r="A13" s="4"/>
    </row>
    <row r="14" spans="1:1" x14ac:dyDescent="0.2">
      <c r="A14" s="803"/>
    </row>
    <row r="15" spans="1:1" x14ac:dyDescent="0.2">
      <c r="A15" s="4"/>
    </row>
    <row r="16" spans="1:1" x14ac:dyDescent="0.2">
      <c r="A16" s="4"/>
    </row>
    <row r="17" spans="1:5" x14ac:dyDescent="0.2">
      <c r="A17" s="4"/>
    </row>
    <row r="18" spans="1:5" x14ac:dyDescent="0.2">
      <c r="A18" s="4"/>
      <c r="E18" s="3"/>
    </row>
    <row r="19" spans="1:5" x14ac:dyDescent="0.2">
      <c r="A19" s="4"/>
    </row>
    <row r="20" spans="1:5" x14ac:dyDescent="0.2">
      <c r="A20" s="4"/>
    </row>
    <row r="21" spans="1:5" x14ac:dyDescent="0.2">
      <c r="A21" s="4"/>
    </row>
    <row r="22" spans="1:5" x14ac:dyDescent="0.2">
      <c r="A22" s="803"/>
    </row>
    <row r="23" spans="1:5" x14ac:dyDescent="0.2">
      <c r="A23" s="4"/>
    </row>
    <row r="24" spans="1:5" x14ac:dyDescent="0.2">
      <c r="A24" s="4"/>
    </row>
    <row r="25" spans="1:5" x14ac:dyDescent="0.2">
      <c r="A25" s="4"/>
    </row>
    <row r="26" spans="1:5" x14ac:dyDescent="0.2">
      <c r="A26" s="4"/>
    </row>
    <row r="27" spans="1:5" x14ac:dyDescent="0.2">
      <c r="A27" s="4"/>
    </row>
    <row r="28" spans="1:5" x14ac:dyDescent="0.2">
      <c r="A28" s="4"/>
    </row>
    <row r="29" spans="1:5" x14ac:dyDescent="0.2">
      <c r="A29" s="4"/>
    </row>
    <row r="30" spans="1:5" x14ac:dyDescent="0.2">
      <c r="A30" s="4"/>
    </row>
    <row r="31" spans="1:5" x14ac:dyDescent="0.2">
      <c r="A31" s="4"/>
    </row>
    <row r="32" spans="1:5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C21" sqref="C21"/>
    </sheetView>
  </sheetViews>
  <sheetFormatPr defaultColWidth="9.28515625" defaultRowHeight="12.75" customHeight="1" outlineLevelCol="1" x14ac:dyDescent="0.2"/>
  <cols>
    <col min="1" max="1" width="42.7109375" style="221" customWidth="1"/>
    <col min="2" max="2" width="18.7109375" style="221" customWidth="1"/>
    <col min="3" max="3" width="12.5703125" style="221" customWidth="1"/>
    <col min="4" max="5" width="14.140625" style="221" bestFit="1" customWidth="1"/>
    <col min="6" max="16" width="12.5703125" style="221" hidden="1" customWidth="1" outlineLevel="1"/>
    <col min="17" max="17" width="14.42578125" style="221" customWidth="1" collapsed="1"/>
    <col min="18" max="18" width="14.7109375" style="221" customWidth="1"/>
    <col min="19" max="20" width="12.5703125" style="221" customWidth="1"/>
    <col min="21" max="21" width="80.85546875" style="221" customWidth="1"/>
    <col min="22" max="22" width="8.7109375" style="221" customWidth="1"/>
    <col min="23" max="23" width="129.7109375" style="221" bestFit="1" customWidth="1"/>
    <col min="24" max="16384" width="9.28515625" style="221"/>
  </cols>
  <sheetData>
    <row r="1" spans="1:23" ht="19.899999999999999" customHeight="1" x14ac:dyDescent="0.25">
      <c r="A1" s="60" t="str">
        <f>+'0. Instructions'!A1</f>
        <v>Budget 2024</v>
      </c>
      <c r="B1" s="448"/>
      <c r="C1" s="448"/>
      <c r="D1" s="60"/>
      <c r="E1" s="60"/>
      <c r="F1" s="60"/>
      <c r="G1" s="651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57"/>
      <c r="U1" s="57" t="str">
        <f>'Input-FX Rates'!$H$1</f>
        <v>Plant ICH Icheon (242)</v>
      </c>
      <c r="V1" s="397"/>
      <c r="W1" s="397" t="s">
        <v>144</v>
      </c>
    </row>
    <row r="2" spans="1:23" ht="19.899999999999999" customHeight="1" thickBot="1" x14ac:dyDescent="0.3">
      <c r="A2" s="55" t="s">
        <v>419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7851 PL eMotor Controls</v>
      </c>
      <c r="V2" s="423"/>
      <c r="W2" s="95" t="s">
        <v>142</v>
      </c>
    </row>
    <row r="4" spans="1:23" ht="25.15" customHeight="1" x14ac:dyDescent="0.2">
      <c r="A4" s="1033"/>
      <c r="B4" s="1034"/>
      <c r="C4" s="1033" t="s">
        <v>418</v>
      </c>
      <c r="D4" s="1033"/>
      <c r="E4" s="1034"/>
      <c r="F4" s="1033" t="s">
        <v>1060</v>
      </c>
      <c r="G4" s="1033"/>
      <c r="H4" s="1033"/>
      <c r="I4" s="1033"/>
      <c r="J4" s="1033"/>
      <c r="K4" s="1033"/>
      <c r="L4" s="1033"/>
      <c r="M4" s="1033"/>
      <c r="N4" s="1033"/>
      <c r="O4" s="1033"/>
      <c r="P4" s="1033"/>
      <c r="Q4" s="1033"/>
      <c r="R4" s="1034"/>
      <c r="S4" s="305"/>
      <c r="T4" s="768"/>
      <c r="U4" s="187" t="s">
        <v>154</v>
      </c>
    </row>
    <row r="5" spans="1:23" ht="60.6" customHeight="1" x14ac:dyDescent="0.2">
      <c r="A5" s="1033"/>
      <c r="B5" s="1036"/>
      <c r="C5" s="187" t="s">
        <v>1063</v>
      </c>
      <c r="D5" s="187" t="s">
        <v>1064</v>
      </c>
      <c r="E5" s="655" t="s">
        <v>1065</v>
      </c>
      <c r="F5" s="187" t="s">
        <v>1046</v>
      </c>
      <c r="G5" s="187" t="s">
        <v>1047</v>
      </c>
      <c r="H5" s="187" t="s">
        <v>1048</v>
      </c>
      <c r="I5" s="187" t="s">
        <v>1049</v>
      </c>
      <c r="J5" s="187" t="s">
        <v>1050</v>
      </c>
      <c r="K5" s="187" t="s">
        <v>1051</v>
      </c>
      <c r="L5" s="187" t="s">
        <v>1052</v>
      </c>
      <c r="M5" s="187" t="s">
        <v>1053</v>
      </c>
      <c r="N5" s="187" t="s">
        <v>1054</v>
      </c>
      <c r="O5" s="187" t="s">
        <v>1055</v>
      </c>
      <c r="P5" s="187" t="s">
        <v>1056</v>
      </c>
      <c r="Q5" s="187" t="s">
        <v>1061</v>
      </c>
      <c r="R5" s="655" t="s">
        <v>1062</v>
      </c>
      <c r="S5" s="187" t="s">
        <v>417</v>
      </c>
      <c r="T5" s="655" t="s">
        <v>416</v>
      </c>
      <c r="U5" s="187"/>
    </row>
    <row r="6" spans="1:23" ht="17.649999999999999" customHeight="1" x14ac:dyDescent="0.2">
      <c r="A6" s="214" t="s">
        <v>167</v>
      </c>
      <c r="B6" s="452" t="str">
        <f>"in '000 "&amp;'Input-FX Rates'!$B$8</f>
        <v>in '000 KRW</v>
      </c>
      <c r="C6" s="78">
        <f>+'2. Variable (LC)'!B6</f>
        <v>50414410.311999999</v>
      </c>
      <c r="D6" s="78">
        <f>+'2. Variable (LC)'!C6</f>
        <v>133169528.691</v>
      </c>
      <c r="E6" s="265">
        <f>+'2. Variable (LC)'!C6</f>
        <v>133169528.691</v>
      </c>
      <c r="F6" s="78">
        <f>+'4. Fix Cost (LC) '!D7</f>
        <v>15924993.796</v>
      </c>
      <c r="G6" s="78">
        <f>+'4. Fix Cost (LC) '!E7</f>
        <v>14138873.407</v>
      </c>
      <c r="H6" s="78">
        <f>+'4. Fix Cost (LC) '!F7</f>
        <v>15464984.203</v>
      </c>
      <c r="I6" s="78">
        <f>+'4. Fix Cost (LC) '!G7</f>
        <v>16060070.305</v>
      </c>
      <c r="J6" s="78">
        <f>+'4. Fix Cost (LC) '!H7</f>
        <v>16393335.776000001</v>
      </c>
      <c r="K6" s="78">
        <f>+'4. Fix Cost (LC) '!I7</f>
        <v>15267090.880000001</v>
      </c>
      <c r="L6" s="78">
        <f>+'4. Fix Cost (LC) '!J7</f>
        <v>17520240.607000001</v>
      </c>
      <c r="M6" s="78">
        <f>+'4. Fix Cost (LC) '!K7</f>
        <v>13577475.045</v>
      </c>
      <c r="N6" s="78">
        <f>+'4. Fix Cost (LC) '!L7</f>
        <v>14709743.471000001</v>
      </c>
      <c r="O6" s="78">
        <f>+'4. Fix Cost (LC) '!M7</f>
        <v>16405514.567</v>
      </c>
      <c r="P6" s="78">
        <f>+'4. Fix Cost (LC) '!N7</f>
        <v>16405514.567</v>
      </c>
      <c r="Q6" s="78">
        <f>+'4. Fix Cost (LC) '!O7</f>
        <v>16405514.564999999</v>
      </c>
      <c r="R6" s="265">
        <f>+'2. Variable (LC)'!M6</f>
        <v>188273351.18900001</v>
      </c>
      <c r="S6" s="78">
        <f t="shared" ref="S6:S19" si="0">R6-E6</f>
        <v>55103822.498000011</v>
      </c>
      <c r="T6" s="504">
        <f t="shared" ref="T6:T19" si="1">IFERROR(R6/E6-1,0)</f>
        <v>0.41378702049670979</v>
      </c>
      <c r="U6" s="428"/>
      <c r="W6" s="267" t="s">
        <v>415</v>
      </c>
    </row>
    <row r="7" spans="1:23" ht="16.149999999999999" customHeight="1" x14ac:dyDescent="0.2">
      <c r="A7" s="315" t="s">
        <v>414</v>
      </c>
      <c r="B7" s="331" t="s">
        <v>409</v>
      </c>
      <c r="C7" s="361">
        <v>23</v>
      </c>
      <c r="D7" s="361">
        <v>54</v>
      </c>
      <c r="E7" s="446">
        <v>36.6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1">
        <v>80</v>
      </c>
      <c r="R7" s="446">
        <v>79.3</v>
      </c>
      <c r="S7" s="209">
        <f t="shared" si="0"/>
        <v>42.699999999999996</v>
      </c>
      <c r="T7" s="296">
        <f t="shared" si="1"/>
        <v>1.1666666666666665</v>
      </c>
      <c r="U7" s="438" t="s">
        <v>1574</v>
      </c>
      <c r="W7" s="267" t="s">
        <v>413</v>
      </c>
    </row>
    <row r="8" spans="1:23" ht="16.149999999999999" customHeight="1" x14ac:dyDescent="0.2">
      <c r="A8" s="315" t="s">
        <v>412</v>
      </c>
      <c r="B8" s="331" t="s">
        <v>409</v>
      </c>
      <c r="C8" s="361">
        <v>5</v>
      </c>
      <c r="D8" s="361">
        <v>7</v>
      </c>
      <c r="E8" s="446">
        <v>3.8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1">
        <v>18</v>
      </c>
      <c r="R8" s="446">
        <v>17.5</v>
      </c>
      <c r="S8" s="209">
        <f t="shared" si="0"/>
        <v>13.7</v>
      </c>
      <c r="T8" s="296">
        <f t="shared" si="1"/>
        <v>3.6052631578947372</v>
      </c>
      <c r="U8" s="438" t="s">
        <v>1573</v>
      </c>
      <c r="W8" s="267" t="s">
        <v>411</v>
      </c>
    </row>
    <row r="9" spans="1:23" ht="16.149999999999999" customHeight="1" x14ac:dyDescent="0.2">
      <c r="A9" s="315" t="s">
        <v>405</v>
      </c>
      <c r="B9" s="331" t="s">
        <v>409</v>
      </c>
      <c r="C9" s="361">
        <v>5</v>
      </c>
      <c r="D9" s="361">
        <v>6</v>
      </c>
      <c r="E9" s="446">
        <v>3.3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1">
        <v>6</v>
      </c>
      <c r="R9" s="446">
        <v>4.3</v>
      </c>
      <c r="S9" s="209">
        <f t="shared" si="0"/>
        <v>1</v>
      </c>
      <c r="T9" s="296">
        <f t="shared" si="1"/>
        <v>0.30303030303030298</v>
      </c>
      <c r="U9" s="438" t="s">
        <v>1540</v>
      </c>
      <c r="W9" s="221" t="s">
        <v>410</v>
      </c>
    </row>
    <row r="10" spans="1:23" ht="16.149999999999999" customHeight="1" x14ac:dyDescent="0.2">
      <c r="A10" s="315" t="s">
        <v>401</v>
      </c>
      <c r="B10" s="331" t="s">
        <v>409</v>
      </c>
      <c r="C10" s="361">
        <v>2</v>
      </c>
      <c r="D10" s="361">
        <v>3</v>
      </c>
      <c r="E10" s="446">
        <v>3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1">
        <v>3</v>
      </c>
      <c r="R10" s="446">
        <v>3.8</v>
      </c>
      <c r="S10" s="209">
        <f t="shared" si="0"/>
        <v>0.79999999999999982</v>
      </c>
      <c r="T10" s="296">
        <f t="shared" si="1"/>
        <v>0.26666666666666661</v>
      </c>
      <c r="U10" s="438" t="s">
        <v>1541</v>
      </c>
      <c r="W10" s="267" t="s">
        <v>408</v>
      </c>
    </row>
    <row r="11" spans="1:23" ht="16.149999999999999" customHeight="1" x14ac:dyDescent="0.2">
      <c r="A11" s="214" t="s">
        <v>407</v>
      </c>
      <c r="B11" s="452"/>
      <c r="C11" s="78">
        <f>SUM(C7:C10)</f>
        <v>35</v>
      </c>
      <c r="D11" s="78">
        <f>SUM(D7:D10)</f>
        <v>70</v>
      </c>
      <c r="E11" s="265">
        <f>SUM(E7:E10)</f>
        <v>46.699999999999996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>SUM(Q7:Q10)</f>
        <v>107</v>
      </c>
      <c r="R11" s="265">
        <f>SUM(R7:R10)</f>
        <v>104.89999999999999</v>
      </c>
      <c r="S11" s="78">
        <f t="shared" si="0"/>
        <v>58.199999999999996</v>
      </c>
      <c r="T11" s="504">
        <f t="shared" si="1"/>
        <v>1.246252676659529</v>
      </c>
      <c r="U11" s="428"/>
      <c r="W11" s="267"/>
    </row>
    <row r="12" spans="1:23" ht="16.149999999999999" customHeight="1" x14ac:dyDescent="0.2">
      <c r="A12" s="315" t="s">
        <v>406</v>
      </c>
      <c r="B12" s="331" t="s">
        <v>399</v>
      </c>
      <c r="C12" s="361">
        <v>6</v>
      </c>
      <c r="D12" s="361">
        <v>5</v>
      </c>
      <c r="E12" s="446">
        <v>5.2</v>
      </c>
      <c r="F12" s="361">
        <v>6</v>
      </c>
      <c r="G12" s="361">
        <v>6</v>
      </c>
      <c r="H12" s="361">
        <v>6</v>
      </c>
      <c r="I12" s="361">
        <v>6</v>
      </c>
      <c r="J12" s="361">
        <v>6</v>
      </c>
      <c r="K12" s="361">
        <v>6</v>
      </c>
      <c r="L12" s="361">
        <v>6</v>
      </c>
      <c r="M12" s="361">
        <v>6</v>
      </c>
      <c r="N12" s="361">
        <v>6</v>
      </c>
      <c r="O12" s="361">
        <v>6</v>
      </c>
      <c r="P12" s="361">
        <v>6</v>
      </c>
      <c r="Q12" s="361">
        <v>6</v>
      </c>
      <c r="R12" s="445">
        <f t="shared" ref="R12:R17" si="2">SUM(F12:Q12)/12</f>
        <v>6</v>
      </c>
      <c r="S12" s="209">
        <f t="shared" si="0"/>
        <v>0.79999999999999982</v>
      </c>
      <c r="T12" s="296">
        <f t="shared" si="1"/>
        <v>0.15384615384615374</v>
      </c>
      <c r="U12" s="438" t="s">
        <v>1581</v>
      </c>
      <c r="W12" s="267" t="s">
        <v>1425</v>
      </c>
    </row>
    <row r="13" spans="1:23" ht="16.149999999999999" customHeight="1" x14ac:dyDescent="0.2">
      <c r="A13" s="315" t="s">
        <v>405</v>
      </c>
      <c r="B13" s="331" t="s">
        <v>399</v>
      </c>
      <c r="C13" s="361"/>
      <c r="D13" s="361"/>
      <c r="E13" s="446"/>
      <c r="F13" s="361"/>
      <c r="G13" s="361"/>
      <c r="H13" s="361"/>
      <c r="I13" s="361"/>
      <c r="J13" s="361"/>
      <c r="K13" s="361"/>
      <c r="L13" s="361"/>
      <c r="M13" s="361"/>
      <c r="N13" s="361"/>
      <c r="O13" s="361"/>
      <c r="P13" s="361"/>
      <c r="Q13" s="361"/>
      <c r="R13" s="445">
        <f t="shared" si="2"/>
        <v>0</v>
      </c>
      <c r="S13" s="209">
        <f t="shared" si="0"/>
        <v>0</v>
      </c>
      <c r="T13" s="296">
        <f t="shared" si="1"/>
        <v>0</v>
      </c>
      <c r="U13" s="438"/>
      <c r="W13" s="267" t="s">
        <v>404</v>
      </c>
    </row>
    <row r="14" spans="1:23" ht="16.149999999999999" customHeight="1" x14ac:dyDescent="0.2">
      <c r="A14" s="315" t="s">
        <v>403</v>
      </c>
      <c r="B14" s="331" t="s">
        <v>399</v>
      </c>
      <c r="C14" s="361"/>
      <c r="D14" s="361"/>
      <c r="E14" s="446"/>
      <c r="F14" s="361"/>
      <c r="G14" s="361"/>
      <c r="H14" s="361"/>
      <c r="I14" s="361"/>
      <c r="J14" s="361"/>
      <c r="K14" s="361"/>
      <c r="L14" s="361"/>
      <c r="M14" s="361"/>
      <c r="N14" s="361"/>
      <c r="O14" s="361"/>
      <c r="P14" s="361"/>
      <c r="Q14" s="361"/>
      <c r="R14" s="445">
        <f t="shared" si="2"/>
        <v>0</v>
      </c>
      <c r="S14" s="209">
        <f t="shared" si="0"/>
        <v>0</v>
      </c>
      <c r="T14" s="296">
        <f t="shared" si="1"/>
        <v>0</v>
      </c>
      <c r="U14" s="438"/>
      <c r="W14" s="267" t="s">
        <v>402</v>
      </c>
    </row>
    <row r="15" spans="1:23" ht="16.149999999999999" customHeight="1" x14ac:dyDescent="0.2">
      <c r="A15" s="315" t="s">
        <v>401</v>
      </c>
      <c r="B15" s="331" t="s">
        <v>399</v>
      </c>
      <c r="C15" s="361"/>
      <c r="D15" s="361"/>
      <c r="E15" s="446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  <c r="R15" s="445">
        <f t="shared" si="2"/>
        <v>0</v>
      </c>
      <c r="S15" s="209">
        <f t="shared" si="0"/>
        <v>0</v>
      </c>
      <c r="T15" s="296">
        <f t="shared" si="1"/>
        <v>0</v>
      </c>
      <c r="U15" s="438"/>
      <c r="W15" s="267" t="s">
        <v>400</v>
      </c>
    </row>
    <row r="16" spans="1:23" ht="16.149999999999999" customHeight="1" x14ac:dyDescent="0.2">
      <c r="A16" s="315" t="s">
        <v>1505</v>
      </c>
      <c r="B16" s="331" t="s">
        <v>399</v>
      </c>
      <c r="C16" s="361"/>
      <c r="D16" s="361"/>
      <c r="E16" s="446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445">
        <f t="shared" si="2"/>
        <v>0</v>
      </c>
      <c r="S16" s="209">
        <f t="shared" si="0"/>
        <v>0</v>
      </c>
      <c r="T16" s="296">
        <f t="shared" si="1"/>
        <v>0</v>
      </c>
      <c r="U16" s="438"/>
      <c r="W16" s="267" t="s">
        <v>1426</v>
      </c>
    </row>
    <row r="17" spans="1:23" ht="16.149999999999999" customHeight="1" x14ac:dyDescent="0.25">
      <c r="A17" s="349" t="s">
        <v>398</v>
      </c>
      <c r="B17" s="331" t="s">
        <v>399</v>
      </c>
      <c r="C17" s="361"/>
      <c r="D17" s="361"/>
      <c r="E17" s="446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445">
        <f t="shared" si="2"/>
        <v>0</v>
      </c>
      <c r="S17" s="209">
        <f t="shared" si="0"/>
        <v>0</v>
      </c>
      <c r="T17" s="296">
        <f t="shared" si="1"/>
        <v>0</v>
      </c>
      <c r="U17" s="438"/>
      <c r="W17" s="267" t="s">
        <v>398</v>
      </c>
    </row>
    <row r="18" spans="1:23" ht="16.149999999999999" customHeight="1" x14ac:dyDescent="0.2">
      <c r="A18" s="214" t="s">
        <v>397</v>
      </c>
      <c r="B18" s="452"/>
      <c r="C18" s="78">
        <f t="shared" ref="C18" si="3">SUM(C12:C17)</f>
        <v>6</v>
      </c>
      <c r="D18" s="78">
        <f t="shared" ref="D18:R18" si="4">SUM(D12:D17)</f>
        <v>5</v>
      </c>
      <c r="E18" s="265">
        <f t="shared" si="4"/>
        <v>5.2</v>
      </c>
      <c r="F18" s="78">
        <f t="shared" si="4"/>
        <v>6</v>
      </c>
      <c r="G18" s="78">
        <f t="shared" si="4"/>
        <v>6</v>
      </c>
      <c r="H18" s="78">
        <f t="shared" si="4"/>
        <v>6</v>
      </c>
      <c r="I18" s="78">
        <f t="shared" si="4"/>
        <v>6</v>
      </c>
      <c r="J18" s="78">
        <f t="shared" si="4"/>
        <v>6</v>
      </c>
      <c r="K18" s="78">
        <f t="shared" si="4"/>
        <v>6</v>
      </c>
      <c r="L18" s="78">
        <f t="shared" si="4"/>
        <v>6</v>
      </c>
      <c r="M18" s="78">
        <f t="shared" si="4"/>
        <v>6</v>
      </c>
      <c r="N18" s="78">
        <f t="shared" si="4"/>
        <v>6</v>
      </c>
      <c r="O18" s="78">
        <f t="shared" si="4"/>
        <v>6</v>
      </c>
      <c r="P18" s="78">
        <f t="shared" si="4"/>
        <v>6</v>
      </c>
      <c r="Q18" s="78">
        <f>SUM(Q12:Q17)</f>
        <v>6</v>
      </c>
      <c r="R18" s="265">
        <f t="shared" si="4"/>
        <v>6</v>
      </c>
      <c r="S18" s="78">
        <f t="shared" si="0"/>
        <v>0.79999999999999982</v>
      </c>
      <c r="T18" s="504">
        <f t="shared" si="1"/>
        <v>0.15384615384615374</v>
      </c>
      <c r="U18" s="428"/>
      <c r="W18" s="267"/>
    </row>
    <row r="19" spans="1:23" ht="19.899999999999999" customHeight="1" x14ac:dyDescent="0.2">
      <c r="A19" s="214" t="s">
        <v>396</v>
      </c>
      <c r="B19" s="452"/>
      <c r="C19" s="78">
        <f>C18+C11</f>
        <v>41</v>
      </c>
      <c r="D19" s="78">
        <f>D18+D11</f>
        <v>75</v>
      </c>
      <c r="E19" s="265">
        <f>E18+E11</f>
        <v>51.9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113</v>
      </c>
      <c r="R19" s="265">
        <f>R18+R11</f>
        <v>110.89999999999999</v>
      </c>
      <c r="S19" s="78">
        <f t="shared" si="0"/>
        <v>58.999999999999993</v>
      </c>
      <c r="T19" s="504">
        <f t="shared" si="1"/>
        <v>1.1368015414258186</v>
      </c>
      <c r="U19" s="428"/>
      <c r="W19" s="267"/>
    </row>
    <row r="20" spans="1:23" ht="15" customHeight="1" x14ac:dyDescent="0.2">
      <c r="A20" s="444"/>
      <c r="B20" s="782"/>
      <c r="C20" s="442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3"/>
      <c r="U20" s="441"/>
      <c r="V20" s="440"/>
      <c r="W20" s="439"/>
    </row>
    <row r="21" spans="1:23" ht="19.899999999999999" customHeight="1" x14ac:dyDescent="0.2">
      <c r="A21" s="214" t="s">
        <v>1135</v>
      </c>
      <c r="B21" s="452" t="s">
        <v>409</v>
      </c>
      <c r="C21" s="652">
        <v>0</v>
      </c>
      <c r="D21" s="652">
        <v>0</v>
      </c>
      <c r="E21" s="800">
        <v>0</v>
      </c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802">
        <v>0</v>
      </c>
      <c r="R21" s="800">
        <v>0</v>
      </c>
      <c r="S21" s="78">
        <f>R21-E21</f>
        <v>0</v>
      </c>
      <c r="T21" s="504">
        <f>IFERROR(R21/E21-1,0)</f>
        <v>0</v>
      </c>
      <c r="U21" s="438"/>
      <c r="V21" s="437"/>
      <c r="W21" s="267" t="s">
        <v>1424</v>
      </c>
    </row>
    <row r="22" spans="1:23" ht="19.899999999999999" customHeight="1" x14ac:dyDescent="0.2">
      <c r="A22" s="214" t="s">
        <v>1135</v>
      </c>
      <c r="B22" s="452" t="s">
        <v>399</v>
      </c>
      <c r="C22" s="652">
        <v>22</v>
      </c>
      <c r="D22" s="652">
        <v>22</v>
      </c>
      <c r="E22" s="800">
        <v>22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802">
        <v>31</v>
      </c>
      <c r="R22" s="800">
        <v>31</v>
      </c>
      <c r="S22" s="78">
        <f>R22-E22</f>
        <v>9</v>
      </c>
      <c r="T22" s="504">
        <f>IFERROR(R22/E22-1,0)</f>
        <v>0.40909090909090917</v>
      </c>
      <c r="U22" s="438"/>
      <c r="V22" s="437"/>
      <c r="W22" s="267" t="s">
        <v>1423</v>
      </c>
    </row>
    <row r="23" spans="1:23" ht="15" customHeight="1" x14ac:dyDescent="0.2">
      <c r="A23" s="436"/>
      <c r="B23" s="781"/>
      <c r="C23" s="434"/>
      <c r="D23" s="434"/>
      <c r="E23" s="435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5"/>
      <c r="S23" s="434"/>
      <c r="T23" s="784"/>
      <c r="U23" s="433"/>
      <c r="V23" s="431"/>
      <c r="W23" s="432"/>
    </row>
    <row r="24" spans="1:23" ht="19.899999999999999" customHeight="1" x14ac:dyDescent="0.2">
      <c r="A24" s="214" t="s">
        <v>395</v>
      </c>
      <c r="B24" s="452"/>
      <c r="C24" s="78">
        <f>KeyData!F22</f>
        <v>35</v>
      </c>
      <c r="D24" s="78">
        <f>KeyData!G22</f>
        <v>70</v>
      </c>
      <c r="E24" s="779">
        <v>47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107</v>
      </c>
      <c r="R24" s="800">
        <f>R11</f>
        <v>104.89999999999999</v>
      </c>
      <c r="S24" s="78">
        <f>R24-E24</f>
        <v>57.899999999999991</v>
      </c>
      <c r="T24" s="504">
        <f>IFERROR(R24/E24-1,0)</f>
        <v>1.231914893617021</v>
      </c>
      <c r="U24" s="428"/>
      <c r="V24" s="431"/>
      <c r="W24" s="267" t="s">
        <v>394</v>
      </c>
    </row>
    <row r="25" spans="1:23" ht="19.899999999999999" customHeight="1" x14ac:dyDescent="0.2">
      <c r="A25" s="214" t="s">
        <v>393</v>
      </c>
      <c r="B25" s="452"/>
      <c r="C25" s="78">
        <f>KeyData!F23</f>
        <v>28</v>
      </c>
      <c r="D25" s="78">
        <f>KeyData!G23</f>
        <v>27</v>
      </c>
      <c r="E25" s="779">
        <v>27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37</v>
      </c>
      <c r="R25" s="800">
        <v>37</v>
      </c>
      <c r="S25" s="78">
        <f>R25-E25</f>
        <v>10</v>
      </c>
      <c r="T25" s="504">
        <f>IFERROR(R25/E25-1,0)</f>
        <v>0.37037037037037046</v>
      </c>
      <c r="U25" s="428"/>
      <c r="V25" s="431"/>
      <c r="W25" s="430" t="s">
        <v>392</v>
      </c>
    </row>
    <row r="26" spans="1:23" s="226" customFormat="1" ht="15" customHeight="1" x14ac:dyDescent="0.25">
      <c r="A26" s="221" t="s">
        <v>910</v>
      </c>
      <c r="B26" s="780"/>
      <c r="C26" s="96">
        <f>SUM(C24:C25)-SUM(C11,C18,C21,C22)</f>
        <v>0</v>
      </c>
      <c r="D26" s="96">
        <f>SUM(D24:D25)-SUM(D11,D18,D21,D22)</f>
        <v>0</v>
      </c>
      <c r="E26" s="777">
        <f>SUM(E24:E25)-E21-E18-E11-E22</f>
        <v>0.10000000000000142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7">
        <f>SUM(R24:R25)-R21-R18-R11-R22</f>
        <v>0</v>
      </c>
      <c r="S26" s="96"/>
      <c r="T26" s="777"/>
      <c r="U26" s="653"/>
      <c r="V26" s="654"/>
      <c r="W26" s="654"/>
    </row>
    <row r="27" spans="1:23" s="226" customFormat="1" ht="15" customHeight="1" x14ac:dyDescent="0.25">
      <c r="A27" s="221"/>
      <c r="B27" s="780"/>
      <c r="C27" s="96"/>
      <c r="D27" s="96"/>
      <c r="E27" s="777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7"/>
      <c r="S27" s="96"/>
      <c r="T27" s="777"/>
      <c r="U27" s="653"/>
      <c r="V27" s="654"/>
      <c r="W27" s="654"/>
    </row>
    <row r="28" spans="1:23" ht="15" customHeight="1" x14ac:dyDescent="0.2">
      <c r="A28" s="214" t="s">
        <v>391</v>
      </c>
      <c r="B28" s="452"/>
      <c r="C28" s="214"/>
      <c r="D28" s="78"/>
      <c r="E28" s="265">
        <f>IFERROR('2. Variable (LC)'!C17/E11,0)</f>
        <v>-78114.600494657905</v>
      </c>
      <c r="F28" s="78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IFERROR('2. Variable (LC)'!M17/(R11-12.8),0)</f>
        <v>-68079.577285559193</v>
      </c>
      <c r="S28" s="78">
        <f>R28-E28</f>
        <v>10035.023209098712</v>
      </c>
      <c r="T28" s="504">
        <f>IFERROR(R28/E28-1,0)</f>
        <v>-0.12846539757679465</v>
      </c>
      <c r="U28" s="428"/>
      <c r="W28" s="267" t="s">
        <v>1427</v>
      </c>
    </row>
    <row r="29" spans="1:23" s="349" customFormat="1" ht="15" customHeight="1" x14ac:dyDescent="0.25">
      <c r="A29" s="965" t="s">
        <v>390</v>
      </c>
      <c r="B29" s="781"/>
      <c r="C29" s="315"/>
      <c r="D29" s="315"/>
      <c r="E29" s="968">
        <v>66744.307000000001</v>
      </c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776">
        <v>69329.149999999994</v>
      </c>
      <c r="S29" s="969">
        <f>R29-E29</f>
        <v>2584.8429999999935</v>
      </c>
      <c r="T29" s="778">
        <f>IFERROR(R29/E29-1,0)</f>
        <v>3.8727542710121909E-2</v>
      </c>
      <c r="U29" s="427" t="s">
        <v>1542</v>
      </c>
      <c r="W29" s="220" t="s">
        <v>389</v>
      </c>
    </row>
    <row r="30" spans="1:23" s="349" customFormat="1" ht="15" customHeight="1" x14ac:dyDescent="0.25">
      <c r="A30" s="965" t="s">
        <v>388</v>
      </c>
      <c r="B30" s="781"/>
      <c r="C30" s="315"/>
      <c r="D30" s="315"/>
      <c r="E30" s="968">
        <v>90425.967999999993</v>
      </c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776">
        <v>93949.058000000005</v>
      </c>
      <c r="S30" s="969">
        <f>R30-E30</f>
        <v>3523.0900000000111</v>
      </c>
      <c r="T30" s="778">
        <f>IFERROR(R30/E30-1,0)</f>
        <v>3.8961042695169201E-2</v>
      </c>
      <c r="U30" s="427" t="s">
        <v>1542</v>
      </c>
      <c r="W30" s="349" t="s">
        <v>387</v>
      </c>
    </row>
    <row r="31" spans="1:23" s="349" customFormat="1" ht="15" customHeight="1" x14ac:dyDescent="0.25">
      <c r="A31" s="965" t="s">
        <v>1143</v>
      </c>
      <c r="B31" s="781"/>
      <c r="C31" s="970"/>
      <c r="D31" s="315"/>
      <c r="E31" s="968">
        <v>132218.34299999999</v>
      </c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776">
        <v>137914.19899999999</v>
      </c>
      <c r="S31" s="969">
        <f>R31-E31</f>
        <v>5695.8559999999998</v>
      </c>
      <c r="T31" s="778">
        <f>IFERROR(R31/E31-1,0)</f>
        <v>4.3079166405829206E-2</v>
      </c>
      <c r="U31" s="427" t="s">
        <v>1543</v>
      </c>
      <c r="W31" s="220" t="s">
        <v>1428</v>
      </c>
    </row>
    <row r="32" spans="1:23" s="349" customFormat="1" ht="15" customHeight="1" x14ac:dyDescent="0.25">
      <c r="A32" s="965" t="s">
        <v>1009</v>
      </c>
      <c r="B32" s="781"/>
      <c r="C32" s="970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76">
        <v>97223</v>
      </c>
      <c r="S32" s="969"/>
      <c r="T32" s="778"/>
      <c r="U32" s="427" t="s">
        <v>1544</v>
      </c>
      <c r="W32" s="220" t="s">
        <v>1011</v>
      </c>
    </row>
    <row r="33" spans="1:23" s="349" customFormat="1" ht="15" customHeight="1" x14ac:dyDescent="0.25">
      <c r="A33" s="965" t="s">
        <v>1010</v>
      </c>
      <c r="B33" s="781"/>
      <c r="C33" s="970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76">
        <v>8620656</v>
      </c>
      <c r="S33" s="969"/>
      <c r="T33" s="778"/>
      <c r="U33" s="427"/>
      <c r="W33" s="220" t="s">
        <v>1012</v>
      </c>
    </row>
    <row r="34" spans="1:23" ht="15" customHeight="1" x14ac:dyDescent="0.2">
      <c r="A34" s="426"/>
      <c r="B34" s="767"/>
      <c r="C34" s="692"/>
      <c r="D34" s="327"/>
      <c r="E34" s="76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7"/>
      <c r="S34" s="425"/>
      <c r="T34" s="778"/>
      <c r="U34" s="327"/>
      <c r="W34" s="267"/>
    </row>
    <row r="35" spans="1:23" ht="31.5" x14ac:dyDescent="0.2">
      <c r="A35" s="214" t="s">
        <v>1140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1142</v>
      </c>
      <c r="R35" s="844" t="s">
        <v>1389</v>
      </c>
      <c r="S35" s="78"/>
      <c r="T35" s="504"/>
      <c r="U35" s="428"/>
      <c r="W35" s="267" t="s">
        <v>1422</v>
      </c>
    </row>
    <row r="36" spans="1:23" s="349" customFormat="1" ht="15" customHeight="1" x14ac:dyDescent="0.25">
      <c r="A36" s="965" t="s">
        <v>944</v>
      </c>
      <c r="B36" s="331" t="s">
        <v>1139</v>
      </c>
      <c r="C36" s="447"/>
      <c r="D36" s="447"/>
      <c r="E36" s="766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22">
        <f>VLOOKUP('Input-FX Rates'!C4,Settings!$AH$5:$AK$54,3,FALSE)</f>
        <v>3.7499999999999999E-2</v>
      </c>
      <c r="R36" s="891">
        <f>Q36</f>
        <v>3.7499999999999999E-2</v>
      </c>
      <c r="S36" s="966"/>
      <c r="T36" s="967"/>
      <c r="U36" s="424"/>
      <c r="W36" s="220" t="s">
        <v>1141</v>
      </c>
    </row>
    <row r="37" spans="1:23" s="349" customFormat="1" ht="15" customHeight="1" x14ac:dyDescent="0.25">
      <c r="A37" s="965" t="s">
        <v>945</v>
      </c>
      <c r="B37" s="331" t="s">
        <v>1139</v>
      </c>
      <c r="C37" s="447"/>
      <c r="D37" s="447"/>
      <c r="E37" s="766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22">
        <f>VLOOKUP('Input-FX Rates'!C4,Settings!$AH$5:$AK$54,4,FALSE)</f>
        <v>4.1300000000000003E-2</v>
      </c>
      <c r="R37" s="891">
        <f>Q37</f>
        <v>4.1300000000000003E-2</v>
      </c>
      <c r="S37" s="966"/>
      <c r="T37" s="967"/>
      <c r="U37" s="424"/>
      <c r="W37" s="220" t="s">
        <v>1141</v>
      </c>
    </row>
    <row r="38" spans="1:23" s="349" customFormat="1" ht="12.75" customHeight="1" x14ac:dyDescent="0.25">
      <c r="A38" s="349" t="s">
        <v>1411</v>
      </c>
      <c r="B38" s="331" t="str">
        <f>"in '000 "&amp;'Input-FX Rates'!$B$8</f>
        <v>in '000 KRW</v>
      </c>
      <c r="C38" s="447"/>
      <c r="D38" s="447"/>
      <c r="E38" s="766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89">
        <f>('2. Variable (LC)'!M17/(1+'6. HC (LC)'!Q36))-'2. Variable (LC)'!M17</f>
        <v>226631.17113253102</v>
      </c>
      <c r="R38" s="443">
        <f>('2. Variable (LC)'!M17/(1+'6. HC (LC)'!R36))-'2. Variable (LC)'!M17</f>
        <v>226631.17113253102</v>
      </c>
      <c r="S38" s="966"/>
      <c r="T38" s="967"/>
      <c r="U38" s="424"/>
      <c r="W38" s="349" t="s">
        <v>1446</v>
      </c>
    </row>
    <row r="39" spans="1:23" s="349" customFormat="1" ht="12.75" customHeight="1" x14ac:dyDescent="0.25">
      <c r="A39" s="349" t="s">
        <v>1410</v>
      </c>
      <c r="B39" s="331" t="str">
        <f>"in '000 "&amp;'Input-FX Rates'!$B$8</f>
        <v>in '000 KRW</v>
      </c>
      <c r="C39" s="447"/>
      <c r="D39" s="447"/>
      <c r="E39" s="766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89">
        <f>'4. Fix Cost (LC) '!P10/(1+'6. HC (LC)'!Q37)-'4. Fix Cost (LC) '!P10</f>
        <v>62473.834001536714</v>
      </c>
      <c r="R39" s="443">
        <f>'4. Fix Cost (LC) '!P10/(1+'6. HC (LC)'!R37)-'4. Fix Cost (LC) '!P10</f>
        <v>62473.834001536714</v>
      </c>
      <c r="S39" s="966"/>
      <c r="T39" s="967"/>
      <c r="U39" s="424"/>
      <c r="W39" s="349" t="s">
        <v>1463</v>
      </c>
    </row>
    <row r="40" spans="1:23" ht="12.75" customHeight="1" x14ac:dyDescent="0.2">
      <c r="U40" s="890"/>
    </row>
    <row r="42" spans="1:23" ht="12.75" customHeight="1" x14ac:dyDescent="0.2">
      <c r="Q42" s="849"/>
      <c r="S42" s="850"/>
    </row>
  </sheetData>
  <mergeCells count="4">
    <mergeCell ref="A4:B4"/>
    <mergeCell ref="A5:B5"/>
    <mergeCell ref="F4:R4"/>
    <mergeCell ref="C4:E4"/>
  </mergeCells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Normal="100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activeCell="Q24" sqref="Q24:Q25"/>
    </sheetView>
  </sheetViews>
  <sheetFormatPr defaultColWidth="9.28515625" defaultRowHeight="12.75" customHeight="1" outlineLevelCol="1" x14ac:dyDescent="0.2"/>
  <cols>
    <col min="1" max="1" width="33.28515625" style="221" customWidth="1"/>
    <col min="2" max="2" width="18.7109375" style="221" customWidth="1"/>
    <col min="3" max="6" width="12.7109375" style="221" customWidth="1"/>
    <col min="7" max="16" width="12.7109375" style="221" hidden="1" customWidth="1" outlineLevel="1"/>
    <col min="17" max="17" width="17.28515625" style="221" customWidth="1" collapsed="1"/>
    <col min="18" max="18" width="17.28515625" style="221" customWidth="1"/>
    <col min="19" max="20" width="12.7109375" style="221" customWidth="1"/>
    <col min="21" max="21" width="41.28515625" style="221" customWidth="1"/>
    <col min="22" max="22" width="9.28515625" style="221"/>
    <col min="23" max="23" width="129.7109375" style="221" bestFit="1" customWidth="1"/>
    <col min="24" max="16384" width="9.28515625" style="221"/>
  </cols>
  <sheetData>
    <row r="1" spans="1:23" ht="19.899999999999999" customHeight="1" x14ac:dyDescent="0.25">
      <c r="A1" s="60" t="str">
        <f>+'0. Instructions'!A1</f>
        <v>Budget 2024</v>
      </c>
      <c r="B1" s="448"/>
      <c r="C1" s="448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ht="19.899999999999999" customHeight="1" thickBot="1" x14ac:dyDescent="0.3">
      <c r="A2" s="55" t="s">
        <v>419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7851 PL eMotor Controls</v>
      </c>
      <c r="W2" s="95" t="s">
        <v>142</v>
      </c>
    </row>
    <row r="4" spans="1:23" ht="25.15" customHeight="1" x14ac:dyDescent="0.2">
      <c r="A4" s="1033"/>
      <c r="B4" s="1034"/>
      <c r="C4" s="1035" t="s">
        <v>418</v>
      </c>
      <c r="D4" s="1033"/>
      <c r="E4" s="1034"/>
      <c r="F4" s="1035" t="s">
        <v>1060</v>
      </c>
      <c r="G4" s="1033"/>
      <c r="H4" s="1033"/>
      <c r="I4" s="1033"/>
      <c r="J4" s="1033"/>
      <c r="K4" s="1033"/>
      <c r="L4" s="1033"/>
      <c r="M4" s="1033"/>
      <c r="N4" s="1033"/>
      <c r="O4" s="1033"/>
      <c r="P4" s="1033"/>
      <c r="Q4" s="1033"/>
      <c r="R4" s="1034"/>
      <c r="S4" s="305"/>
      <c r="T4" s="768"/>
      <c r="U4" s="187" t="s">
        <v>154</v>
      </c>
    </row>
    <row r="5" spans="1:23" ht="64.5" customHeight="1" x14ac:dyDescent="0.2">
      <c r="A5" s="1033"/>
      <c r="B5" s="1036"/>
      <c r="C5" s="187" t="s">
        <v>1063</v>
      </c>
      <c r="D5" s="187" t="s">
        <v>1064</v>
      </c>
      <c r="E5" s="655" t="s">
        <v>1065</v>
      </c>
      <c r="F5" s="187" t="s">
        <v>1046</v>
      </c>
      <c r="G5" s="187" t="s">
        <v>1047</v>
      </c>
      <c r="H5" s="187" t="s">
        <v>1048</v>
      </c>
      <c r="I5" s="187" t="s">
        <v>1049</v>
      </c>
      <c r="J5" s="187" t="s">
        <v>1050</v>
      </c>
      <c r="K5" s="187" t="s">
        <v>1051</v>
      </c>
      <c r="L5" s="187" t="s">
        <v>1052</v>
      </c>
      <c r="M5" s="187" t="s">
        <v>1053</v>
      </c>
      <c r="N5" s="187" t="s">
        <v>1054</v>
      </c>
      <c r="O5" s="187" t="s">
        <v>1055</v>
      </c>
      <c r="P5" s="187" t="s">
        <v>1056</v>
      </c>
      <c r="Q5" s="187" t="s">
        <v>1061</v>
      </c>
      <c r="R5" s="655" t="s">
        <v>1062</v>
      </c>
      <c r="S5" s="187" t="s">
        <v>417</v>
      </c>
      <c r="T5" s="655" t="s">
        <v>416</v>
      </c>
      <c r="U5" s="187"/>
    </row>
    <row r="6" spans="1:23" ht="15.75" x14ac:dyDescent="0.2">
      <c r="A6" s="214" t="s">
        <v>167</v>
      </c>
      <c r="B6" s="452" t="str">
        <f>"in '000 "&amp;"EUR"</f>
        <v>in '000 EUR</v>
      </c>
      <c r="C6" s="78">
        <f>+'6. HC (LC)'!C6/'Input-FX Rates'!$F$16</f>
        <v>35988.371534659054</v>
      </c>
      <c r="D6" s="78">
        <f>+'6. HC (LC)'!D6/'Input-FX Rates'!$G$16</f>
        <v>94871.705380828425</v>
      </c>
      <c r="E6" s="265">
        <f>+'6. HC (LC)'!E6/'Input-FX Rates'!$G$16</f>
        <v>94871.705380828425</v>
      </c>
      <c r="F6" s="78">
        <f>+'6. HC (LC)'!F6/'Input-FX Rates'!$H$16</f>
        <v>10982.754342068965</v>
      </c>
      <c r="G6" s="78">
        <f>+'6. HC (LC)'!G6/'Input-FX Rates'!$H$16</f>
        <v>9750.9471772413799</v>
      </c>
      <c r="H6" s="78">
        <f>+'6. HC (LC)'!H6/'Input-FX Rates'!$H$16</f>
        <v>10665.506346896551</v>
      </c>
      <c r="I6" s="78">
        <f>+'6. HC (LC)'!I6/'Input-FX Rates'!$H$16</f>
        <v>11075.910555172413</v>
      </c>
      <c r="J6" s="78">
        <f>+'6. HC (LC)'!J6/'Input-FX Rates'!$H$16</f>
        <v>11305.748811034484</v>
      </c>
      <c r="K6" s="78">
        <f>+'6. HC (LC)'!K6/'Input-FX Rates'!$H$16</f>
        <v>10529.02819310345</v>
      </c>
      <c r="L6" s="78">
        <f>+'6. HC (LC)'!L6/'Input-FX Rates'!$H$16</f>
        <v>12082.924556551725</v>
      </c>
      <c r="M6" s="78">
        <f>+'6. HC (LC)'!M6/'Input-FX Rates'!$H$16</f>
        <v>9363.7758931034477</v>
      </c>
      <c r="N6" s="78">
        <f>+'6. HC (LC)'!N6/'Input-FX Rates'!$H$16</f>
        <v>10144.650669655173</v>
      </c>
      <c r="O6" s="78">
        <f>+'6. HC (LC)'!O6/'Input-FX Rates'!$H$16</f>
        <v>11314.147977241379</v>
      </c>
      <c r="P6" s="78">
        <f>+'6. HC (LC)'!P6/'Input-FX Rates'!$H$16</f>
        <v>11314.147977241379</v>
      </c>
      <c r="Q6" s="78">
        <f>+'6. HC (LC)'!Q6/'Input-FX Rates'!$H$16</f>
        <v>11314.147975862068</v>
      </c>
      <c r="R6" s="265">
        <f>+'6. HC (LC)'!R6/'Input-FX Rates'!$H$16</f>
        <v>129843.69047517242</v>
      </c>
      <c r="S6" s="78">
        <f t="shared" ref="S6:S19" si="0">R6-E6</f>
        <v>34971.985094343996</v>
      </c>
      <c r="T6" s="504">
        <f t="shared" ref="T6:T19" si="1">IFERROR(R6/E6-1,0)</f>
        <v>0.36862397438689976</v>
      </c>
      <c r="U6" s="887" t="str">
        <f>IF(ISBLANK('6. HC (LC)'!U6),"",'6. HC (LC)'!U6)</f>
        <v/>
      </c>
      <c r="W6" s="267" t="s">
        <v>415</v>
      </c>
    </row>
    <row r="7" spans="1:23" ht="15" x14ac:dyDescent="0.2">
      <c r="A7" s="315" t="s">
        <v>414</v>
      </c>
      <c r="B7" s="331" t="s">
        <v>409</v>
      </c>
      <c r="C7" s="365">
        <f>+'6. HC (LC)'!C7</f>
        <v>23</v>
      </c>
      <c r="D7" s="365">
        <f>+'6. HC (LC)'!D7</f>
        <v>54</v>
      </c>
      <c r="E7" s="445">
        <f>+'6. HC (LC)'!E7</f>
        <v>36.6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5">
        <f>+'6. HC (LC)'!Q7</f>
        <v>80</v>
      </c>
      <c r="R7" s="445">
        <f>+'6. HC (LC)'!R7</f>
        <v>79.3</v>
      </c>
      <c r="S7" s="209">
        <f t="shared" si="0"/>
        <v>42.699999999999996</v>
      </c>
      <c r="T7" s="296">
        <f t="shared" si="1"/>
        <v>1.1666666666666665</v>
      </c>
      <c r="U7" s="450" t="str">
        <f>IF(ISBLANK('6. HC (LC)'!U7),"",'6. HC (LC)'!U7)</f>
        <v>SMD 20, operator 57, Sample application 3</v>
      </c>
      <c r="W7" s="267" t="s">
        <v>413</v>
      </c>
    </row>
    <row r="8" spans="1:23" ht="15" x14ac:dyDescent="0.2">
      <c r="A8" s="315" t="s">
        <v>412</v>
      </c>
      <c r="B8" s="331" t="s">
        <v>409</v>
      </c>
      <c r="C8" s="365">
        <f>+'6. HC (LC)'!C8</f>
        <v>5</v>
      </c>
      <c r="D8" s="365">
        <f>+'6. HC (LC)'!D8</f>
        <v>7</v>
      </c>
      <c r="E8" s="445">
        <f>+'6. HC (LC)'!E8</f>
        <v>3.8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5">
        <f>+'6. HC (LC)'!Q8</f>
        <v>18</v>
      </c>
      <c r="R8" s="445">
        <f>+'6. HC (LC)'!R8</f>
        <v>17.5</v>
      </c>
      <c r="S8" s="209">
        <f t="shared" si="0"/>
        <v>13.7</v>
      </c>
      <c r="T8" s="296">
        <f t="shared" si="1"/>
        <v>3.6052631578947372</v>
      </c>
      <c r="U8" s="450" t="str">
        <f>IF(ISBLANK('6. HC (LC)'!U8),"",'6. HC (LC)'!U8)</f>
        <v>SMD technician 3, Repair 4, Technician 11</v>
      </c>
      <c r="W8" s="267" t="s">
        <v>411</v>
      </c>
    </row>
    <row r="9" spans="1:23" ht="15" x14ac:dyDescent="0.2">
      <c r="A9" s="315" t="s">
        <v>405</v>
      </c>
      <c r="B9" s="331" t="s">
        <v>409</v>
      </c>
      <c r="C9" s="365">
        <f>+'6. HC (LC)'!C9</f>
        <v>5</v>
      </c>
      <c r="D9" s="365">
        <f>+'6. HC (LC)'!D9</f>
        <v>6</v>
      </c>
      <c r="E9" s="445">
        <f>+'6. HC (LC)'!E9</f>
        <v>3.3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5">
        <f>+'6. HC (LC)'!Q9</f>
        <v>6</v>
      </c>
      <c r="R9" s="445">
        <f>+'6. HC (LC)'!R9</f>
        <v>4.3</v>
      </c>
      <c r="S9" s="209">
        <f t="shared" si="0"/>
        <v>1</v>
      </c>
      <c r="T9" s="296">
        <f t="shared" si="1"/>
        <v>0.30303030303030298</v>
      </c>
      <c r="U9" s="450" t="str">
        <f>IF(ISBLANK('6. HC (LC)'!U9),"",'6. HC (LC)'!U9)</f>
        <v>Int. WH 3 &amp; Rec. WH</v>
      </c>
      <c r="W9" s="221" t="s">
        <v>410</v>
      </c>
    </row>
    <row r="10" spans="1:23" ht="15" x14ac:dyDescent="0.2">
      <c r="A10" s="315" t="s">
        <v>401</v>
      </c>
      <c r="B10" s="331" t="s">
        <v>409</v>
      </c>
      <c r="C10" s="365">
        <f>+'6. HC (LC)'!C10</f>
        <v>2</v>
      </c>
      <c r="D10" s="365">
        <f>+'6. HC (LC)'!D10</f>
        <v>3</v>
      </c>
      <c r="E10" s="445">
        <f>+'6. HC (LC)'!E10</f>
        <v>3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5">
        <f>+'6. HC (LC)'!Q10</f>
        <v>3</v>
      </c>
      <c r="R10" s="445">
        <f>+'6. HC (LC)'!R10</f>
        <v>3.8</v>
      </c>
      <c r="S10" s="209">
        <f t="shared" si="0"/>
        <v>0.79999999999999982</v>
      </c>
      <c r="T10" s="296">
        <f t="shared" si="1"/>
        <v>0.26666666666666661</v>
      </c>
      <c r="U10" s="450" t="str">
        <f>IF(ISBLANK('6. HC (LC)'!U10),"",'6. HC (LC)'!U10)</f>
        <v>Ship WH</v>
      </c>
      <c r="W10" s="267" t="s">
        <v>408</v>
      </c>
    </row>
    <row r="11" spans="1:23" ht="15.75" x14ac:dyDescent="0.2">
      <c r="A11" s="214" t="s">
        <v>407</v>
      </c>
      <c r="B11" s="452"/>
      <c r="C11" s="78">
        <f t="shared" ref="C11:R11" si="2">SUM(C7:C10)</f>
        <v>35</v>
      </c>
      <c r="D11" s="78">
        <f t="shared" si="2"/>
        <v>70</v>
      </c>
      <c r="E11" s="265">
        <f t="shared" si="2"/>
        <v>46.699999999999996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 t="shared" si="2"/>
        <v>107</v>
      </c>
      <c r="R11" s="265">
        <f t="shared" si="2"/>
        <v>104.89999999999999</v>
      </c>
      <c r="S11" s="78">
        <f t="shared" si="0"/>
        <v>58.199999999999996</v>
      </c>
      <c r="T11" s="504">
        <f t="shared" si="1"/>
        <v>1.246252676659529</v>
      </c>
      <c r="U11" s="887" t="str">
        <f>IF(ISBLANK('6. HC (LC)'!U11),"",'6. HC (LC)'!U11)</f>
        <v/>
      </c>
      <c r="W11" s="267"/>
    </row>
    <row r="12" spans="1:23" ht="15" x14ac:dyDescent="0.2">
      <c r="A12" s="315" t="s">
        <v>406</v>
      </c>
      <c r="B12" s="331" t="s">
        <v>399</v>
      </c>
      <c r="C12" s="365">
        <f>+'6. HC (LC)'!C12</f>
        <v>6</v>
      </c>
      <c r="D12" s="365">
        <f>+'6. HC (LC)'!D12</f>
        <v>5</v>
      </c>
      <c r="E12" s="445">
        <f>+'6. HC (LC)'!E12</f>
        <v>5.2</v>
      </c>
      <c r="F12" s="365">
        <f>+'6. HC (LC)'!F12</f>
        <v>6</v>
      </c>
      <c r="G12" s="365">
        <f>+'6. HC (LC)'!G12</f>
        <v>6</v>
      </c>
      <c r="H12" s="365">
        <f>+'6. HC (LC)'!H12</f>
        <v>6</v>
      </c>
      <c r="I12" s="365">
        <f>+'6. HC (LC)'!I12</f>
        <v>6</v>
      </c>
      <c r="J12" s="365">
        <f>+'6. HC (LC)'!J12</f>
        <v>6</v>
      </c>
      <c r="K12" s="365">
        <f>+'6. HC (LC)'!K12</f>
        <v>6</v>
      </c>
      <c r="L12" s="365">
        <f>+'6. HC (LC)'!L12</f>
        <v>6</v>
      </c>
      <c r="M12" s="365">
        <f>+'6. HC (LC)'!M12</f>
        <v>6</v>
      </c>
      <c r="N12" s="365">
        <f>+'6. HC (LC)'!N12</f>
        <v>6</v>
      </c>
      <c r="O12" s="365">
        <f>+'6. HC (LC)'!O12</f>
        <v>6</v>
      </c>
      <c r="P12" s="365">
        <f>+'6. HC (LC)'!P12</f>
        <v>6</v>
      </c>
      <c r="Q12" s="365">
        <f>+'6. HC (LC)'!Q12</f>
        <v>6</v>
      </c>
      <c r="R12" s="445">
        <f>+'6. HC (LC)'!R12</f>
        <v>6</v>
      </c>
      <c r="S12" s="209">
        <f t="shared" si="0"/>
        <v>0.79999999999999982</v>
      </c>
      <c r="T12" s="296">
        <f t="shared" si="1"/>
        <v>0.15384615384615374</v>
      </c>
      <c r="U12" s="450" t="str">
        <f>IF(ISBLANK('6. HC (LC)'!U12),"",'6. HC (LC)'!U12)</f>
        <v>Industrial engineering 1 HC</v>
      </c>
      <c r="W12" s="267" t="s">
        <v>1425</v>
      </c>
    </row>
    <row r="13" spans="1:23" ht="15" x14ac:dyDescent="0.2">
      <c r="A13" s="315" t="s">
        <v>405</v>
      </c>
      <c r="B13" s="331" t="s">
        <v>399</v>
      </c>
      <c r="C13" s="365">
        <f>+'6. HC (LC)'!C13</f>
        <v>0</v>
      </c>
      <c r="D13" s="365">
        <f>+'6. HC (LC)'!D13</f>
        <v>0</v>
      </c>
      <c r="E13" s="445">
        <f>+'6. HC (LC)'!E13</f>
        <v>0</v>
      </c>
      <c r="F13" s="365">
        <f>+'6. HC (LC)'!F13</f>
        <v>0</v>
      </c>
      <c r="G13" s="365">
        <f>+'6. HC (LC)'!G13</f>
        <v>0</v>
      </c>
      <c r="H13" s="365">
        <f>+'6. HC (LC)'!H13</f>
        <v>0</v>
      </c>
      <c r="I13" s="365">
        <f>+'6. HC (LC)'!I13</f>
        <v>0</v>
      </c>
      <c r="J13" s="365">
        <f>+'6. HC (LC)'!J13</f>
        <v>0</v>
      </c>
      <c r="K13" s="365">
        <f>+'6. HC (LC)'!K13</f>
        <v>0</v>
      </c>
      <c r="L13" s="365">
        <f>+'6. HC (LC)'!L13</f>
        <v>0</v>
      </c>
      <c r="M13" s="365">
        <f>+'6. HC (LC)'!M13</f>
        <v>0</v>
      </c>
      <c r="N13" s="365">
        <f>+'6. HC (LC)'!N13</f>
        <v>0</v>
      </c>
      <c r="O13" s="365">
        <f>+'6. HC (LC)'!O13</f>
        <v>0</v>
      </c>
      <c r="P13" s="365">
        <f>+'6. HC (LC)'!P13</f>
        <v>0</v>
      </c>
      <c r="Q13" s="365">
        <f>+'6. HC (LC)'!Q13</f>
        <v>0</v>
      </c>
      <c r="R13" s="445">
        <f>+'6. HC (LC)'!R13</f>
        <v>0</v>
      </c>
      <c r="S13" s="209">
        <f t="shared" si="0"/>
        <v>0</v>
      </c>
      <c r="T13" s="296">
        <f t="shared" si="1"/>
        <v>0</v>
      </c>
      <c r="U13" s="450" t="str">
        <f>IF(ISBLANK('6. HC (LC)'!U13),"",'6. HC (LC)'!U13)</f>
        <v/>
      </c>
      <c r="W13" s="267" t="s">
        <v>404</v>
      </c>
    </row>
    <row r="14" spans="1:23" ht="15" x14ac:dyDescent="0.2">
      <c r="A14" s="315" t="s">
        <v>403</v>
      </c>
      <c r="B14" s="331" t="s">
        <v>399</v>
      </c>
      <c r="C14" s="365">
        <f>+'6. HC (LC)'!C14</f>
        <v>0</v>
      </c>
      <c r="D14" s="365">
        <f>+'6. HC (LC)'!D14</f>
        <v>0</v>
      </c>
      <c r="E14" s="445">
        <f>+'6. HC (LC)'!E14</f>
        <v>0</v>
      </c>
      <c r="F14" s="365">
        <f>+'6. HC (LC)'!F14</f>
        <v>0</v>
      </c>
      <c r="G14" s="365">
        <f>+'6. HC (LC)'!G14</f>
        <v>0</v>
      </c>
      <c r="H14" s="365">
        <f>+'6. HC (LC)'!H14</f>
        <v>0</v>
      </c>
      <c r="I14" s="365">
        <f>+'6. HC (LC)'!I14</f>
        <v>0</v>
      </c>
      <c r="J14" s="365">
        <f>+'6. HC (LC)'!J14</f>
        <v>0</v>
      </c>
      <c r="K14" s="365">
        <f>+'6. HC (LC)'!K14</f>
        <v>0</v>
      </c>
      <c r="L14" s="365">
        <f>+'6. HC (LC)'!L14</f>
        <v>0</v>
      </c>
      <c r="M14" s="365">
        <f>+'6. HC (LC)'!M14</f>
        <v>0</v>
      </c>
      <c r="N14" s="365">
        <f>+'6. HC (LC)'!N14</f>
        <v>0</v>
      </c>
      <c r="O14" s="365">
        <f>+'6. HC (LC)'!O14</f>
        <v>0</v>
      </c>
      <c r="P14" s="365">
        <f>+'6. HC (LC)'!P14</f>
        <v>0</v>
      </c>
      <c r="Q14" s="365">
        <f>+'6. HC (LC)'!Q14</f>
        <v>0</v>
      </c>
      <c r="R14" s="445">
        <f>+'6. HC (LC)'!R14</f>
        <v>0</v>
      </c>
      <c r="S14" s="209">
        <f t="shared" si="0"/>
        <v>0</v>
      </c>
      <c r="T14" s="296">
        <f t="shared" si="1"/>
        <v>0</v>
      </c>
      <c r="U14" s="450" t="str">
        <f>IF(ISBLANK('6. HC (LC)'!U14),"",'6. HC (LC)'!U14)</f>
        <v/>
      </c>
      <c r="W14" s="267" t="s">
        <v>402</v>
      </c>
    </row>
    <row r="15" spans="1:23" ht="15" x14ac:dyDescent="0.2">
      <c r="A15" s="315" t="s">
        <v>401</v>
      </c>
      <c r="B15" s="331" t="s">
        <v>399</v>
      </c>
      <c r="C15" s="365">
        <f>+'6. HC (LC)'!C15</f>
        <v>0</v>
      </c>
      <c r="D15" s="365">
        <f>+'6. HC (LC)'!D15</f>
        <v>0</v>
      </c>
      <c r="E15" s="445">
        <f>+'6. HC (LC)'!E15</f>
        <v>0</v>
      </c>
      <c r="F15" s="365">
        <f>+'6. HC (LC)'!F15</f>
        <v>0</v>
      </c>
      <c r="G15" s="365">
        <f>+'6. HC (LC)'!G15</f>
        <v>0</v>
      </c>
      <c r="H15" s="365">
        <f>+'6. HC (LC)'!H15</f>
        <v>0</v>
      </c>
      <c r="I15" s="365">
        <f>+'6. HC (LC)'!I15</f>
        <v>0</v>
      </c>
      <c r="J15" s="365">
        <f>+'6. HC (LC)'!J15</f>
        <v>0</v>
      </c>
      <c r="K15" s="365">
        <f>+'6. HC (LC)'!K15</f>
        <v>0</v>
      </c>
      <c r="L15" s="365">
        <f>+'6. HC (LC)'!L15</f>
        <v>0</v>
      </c>
      <c r="M15" s="365">
        <f>+'6. HC (LC)'!M15</f>
        <v>0</v>
      </c>
      <c r="N15" s="365">
        <f>+'6. HC (LC)'!N15</f>
        <v>0</v>
      </c>
      <c r="O15" s="365">
        <f>+'6. HC (LC)'!O15</f>
        <v>0</v>
      </c>
      <c r="P15" s="365">
        <f>+'6. HC (LC)'!P15</f>
        <v>0</v>
      </c>
      <c r="Q15" s="365">
        <f>+'6. HC (LC)'!Q15</f>
        <v>0</v>
      </c>
      <c r="R15" s="445">
        <f>+'6. HC (LC)'!R15</f>
        <v>0</v>
      </c>
      <c r="S15" s="209">
        <f t="shared" si="0"/>
        <v>0</v>
      </c>
      <c r="T15" s="296">
        <f t="shared" si="1"/>
        <v>0</v>
      </c>
      <c r="U15" s="450" t="str">
        <f>IF(ISBLANK('6. HC (LC)'!U15),"",'6. HC (LC)'!U15)</f>
        <v/>
      </c>
      <c r="W15" s="267" t="s">
        <v>400</v>
      </c>
    </row>
    <row r="16" spans="1:23" ht="15" x14ac:dyDescent="0.2">
      <c r="A16" s="315" t="s">
        <v>1505</v>
      </c>
      <c r="B16" s="331" t="s">
        <v>399</v>
      </c>
      <c r="C16" s="365">
        <f>+'6. HC (LC)'!C16</f>
        <v>0</v>
      </c>
      <c r="D16" s="365">
        <f>+'6. HC (LC)'!D16</f>
        <v>0</v>
      </c>
      <c r="E16" s="445">
        <f>+'6. HC (LC)'!E16</f>
        <v>0</v>
      </c>
      <c r="F16" s="365">
        <f>+'6. HC (LC)'!F16</f>
        <v>0</v>
      </c>
      <c r="G16" s="365">
        <f>+'6. HC (LC)'!G16</f>
        <v>0</v>
      </c>
      <c r="H16" s="365">
        <f>+'6. HC (LC)'!H16</f>
        <v>0</v>
      </c>
      <c r="I16" s="365">
        <f>+'6. HC (LC)'!I16</f>
        <v>0</v>
      </c>
      <c r="J16" s="365">
        <f>+'6. HC (LC)'!J16</f>
        <v>0</v>
      </c>
      <c r="K16" s="365">
        <f>+'6. HC (LC)'!K16</f>
        <v>0</v>
      </c>
      <c r="L16" s="365">
        <f>+'6. HC (LC)'!L16</f>
        <v>0</v>
      </c>
      <c r="M16" s="365">
        <f>+'6. HC (LC)'!M16</f>
        <v>0</v>
      </c>
      <c r="N16" s="365">
        <f>+'6. HC (LC)'!N16</f>
        <v>0</v>
      </c>
      <c r="O16" s="365">
        <f>+'6. HC (LC)'!O16</f>
        <v>0</v>
      </c>
      <c r="P16" s="365">
        <f>+'6. HC (LC)'!P16</f>
        <v>0</v>
      </c>
      <c r="Q16" s="365">
        <f>+'6. HC (LC)'!Q16</f>
        <v>0</v>
      </c>
      <c r="R16" s="445">
        <f>+'6. HC (LC)'!R16</f>
        <v>0</v>
      </c>
      <c r="S16" s="209">
        <f t="shared" si="0"/>
        <v>0</v>
      </c>
      <c r="T16" s="296">
        <f t="shared" si="1"/>
        <v>0</v>
      </c>
      <c r="U16" s="450" t="str">
        <f>IF(ISBLANK('6. HC (LC)'!U16),"",'6. HC (LC)'!U16)</f>
        <v/>
      </c>
      <c r="W16" s="267" t="s">
        <v>1426</v>
      </c>
    </row>
    <row r="17" spans="1:23" ht="15" x14ac:dyDescent="0.25">
      <c r="A17" s="349" t="s">
        <v>398</v>
      </c>
      <c r="B17" s="331" t="s">
        <v>399</v>
      </c>
      <c r="C17" s="365">
        <f>+'6. HC (LC)'!C17</f>
        <v>0</v>
      </c>
      <c r="D17" s="365">
        <f>+'6. HC (LC)'!D17</f>
        <v>0</v>
      </c>
      <c r="E17" s="445">
        <f>+'6. HC (LC)'!E17</f>
        <v>0</v>
      </c>
      <c r="F17" s="365">
        <f>+'6. HC (LC)'!F17</f>
        <v>0</v>
      </c>
      <c r="G17" s="365">
        <f>+'6. HC (LC)'!G17</f>
        <v>0</v>
      </c>
      <c r="H17" s="365">
        <f>+'6. HC (LC)'!H17</f>
        <v>0</v>
      </c>
      <c r="I17" s="365">
        <f>+'6. HC (LC)'!I17</f>
        <v>0</v>
      </c>
      <c r="J17" s="365">
        <f>+'6. HC (LC)'!J17</f>
        <v>0</v>
      </c>
      <c r="K17" s="365">
        <f>+'6. HC (LC)'!K17</f>
        <v>0</v>
      </c>
      <c r="L17" s="365">
        <f>+'6. HC (LC)'!L17</f>
        <v>0</v>
      </c>
      <c r="M17" s="365">
        <f>+'6. HC (LC)'!M17</f>
        <v>0</v>
      </c>
      <c r="N17" s="365">
        <f>+'6. HC (LC)'!N17</f>
        <v>0</v>
      </c>
      <c r="O17" s="365">
        <f>+'6. HC (LC)'!O17</f>
        <v>0</v>
      </c>
      <c r="P17" s="365">
        <f>+'6. HC (LC)'!P17</f>
        <v>0</v>
      </c>
      <c r="Q17" s="365">
        <f>+'6. HC (LC)'!Q17</f>
        <v>0</v>
      </c>
      <c r="R17" s="445">
        <f>+'6. HC (LC)'!R17</f>
        <v>0</v>
      </c>
      <c r="S17" s="209">
        <f t="shared" si="0"/>
        <v>0</v>
      </c>
      <c r="T17" s="296">
        <f t="shared" si="1"/>
        <v>0</v>
      </c>
      <c r="U17" s="450" t="str">
        <f>IF(ISBLANK('6. HC (LC)'!U17),"",'6. HC (LC)'!U17)</f>
        <v/>
      </c>
      <c r="W17" s="267" t="s">
        <v>398</v>
      </c>
    </row>
    <row r="18" spans="1:23" ht="15.75" x14ac:dyDescent="0.2">
      <c r="A18" s="214" t="s">
        <v>397</v>
      </c>
      <c r="B18" s="452"/>
      <c r="C18" s="78">
        <f t="shared" ref="C18" si="3">SUM(C12:C17)</f>
        <v>6</v>
      </c>
      <c r="D18" s="78">
        <f t="shared" ref="D18:R18" si="4">SUM(D12:D17)</f>
        <v>5</v>
      </c>
      <c r="E18" s="265">
        <f t="shared" si="4"/>
        <v>5.2</v>
      </c>
      <c r="F18" s="78">
        <f t="shared" si="4"/>
        <v>6</v>
      </c>
      <c r="G18" s="78">
        <f t="shared" si="4"/>
        <v>6</v>
      </c>
      <c r="H18" s="78">
        <f t="shared" si="4"/>
        <v>6</v>
      </c>
      <c r="I18" s="78">
        <f t="shared" si="4"/>
        <v>6</v>
      </c>
      <c r="J18" s="78">
        <f t="shared" si="4"/>
        <v>6</v>
      </c>
      <c r="K18" s="78">
        <f t="shared" si="4"/>
        <v>6</v>
      </c>
      <c r="L18" s="78">
        <f t="shared" si="4"/>
        <v>6</v>
      </c>
      <c r="M18" s="78">
        <f t="shared" si="4"/>
        <v>6</v>
      </c>
      <c r="N18" s="78">
        <f t="shared" si="4"/>
        <v>6</v>
      </c>
      <c r="O18" s="78">
        <f t="shared" si="4"/>
        <v>6</v>
      </c>
      <c r="P18" s="78">
        <f t="shared" si="4"/>
        <v>6</v>
      </c>
      <c r="Q18" s="78">
        <f t="shared" si="4"/>
        <v>6</v>
      </c>
      <c r="R18" s="265">
        <f t="shared" si="4"/>
        <v>6</v>
      </c>
      <c r="S18" s="78">
        <f t="shared" si="0"/>
        <v>0.79999999999999982</v>
      </c>
      <c r="T18" s="504">
        <f t="shared" si="1"/>
        <v>0.15384615384615374</v>
      </c>
      <c r="U18" s="887" t="str">
        <f>IF(ISBLANK('6. HC (LC)'!U18),"",'6. HC (LC)'!U18)</f>
        <v/>
      </c>
      <c r="W18" s="267"/>
    </row>
    <row r="19" spans="1:23" ht="15.75" x14ac:dyDescent="0.2">
      <c r="A19" s="214" t="s">
        <v>396</v>
      </c>
      <c r="B19" s="452"/>
      <c r="C19" s="78">
        <f>C18+C11</f>
        <v>41</v>
      </c>
      <c r="D19" s="78">
        <f>D18+D11</f>
        <v>75</v>
      </c>
      <c r="E19" s="265">
        <f>E18+E11</f>
        <v>51.9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113</v>
      </c>
      <c r="R19" s="265">
        <f>R18+R11</f>
        <v>110.89999999999999</v>
      </c>
      <c r="S19" s="78">
        <f t="shared" si="0"/>
        <v>58.999999999999993</v>
      </c>
      <c r="T19" s="504">
        <f t="shared" si="1"/>
        <v>1.1368015414258186</v>
      </c>
      <c r="U19" s="887" t="str">
        <f>IF(ISBLANK('6. HC (LC)'!U19),"",'6. HC (LC)'!U19)</f>
        <v/>
      </c>
      <c r="W19" s="267"/>
    </row>
    <row r="20" spans="1:23" ht="15" x14ac:dyDescent="0.2">
      <c r="A20" s="444"/>
      <c r="B20" s="782"/>
      <c r="C20" s="444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3"/>
      <c r="U20" s="441" t="str">
        <f>IF(ISBLANK('6. HC (LC)'!U20),"",'6. HC (LC)'!U20)</f>
        <v/>
      </c>
      <c r="W20" s="439"/>
    </row>
    <row r="21" spans="1:23" ht="15.75" x14ac:dyDescent="0.2">
      <c r="A21" s="214" t="s">
        <v>1135</v>
      </c>
      <c r="B21" s="452" t="s">
        <v>409</v>
      </c>
      <c r="C21" s="78">
        <f>+'6. HC (LC)'!C21</f>
        <v>0</v>
      </c>
      <c r="D21" s="78">
        <f>+'6. HC (LC)'!D21</f>
        <v>0</v>
      </c>
      <c r="E21" s="265">
        <f>+'6. HC (LC)'!E21</f>
        <v>0</v>
      </c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739">
        <f>+'6. HC (LC)'!Q21</f>
        <v>0</v>
      </c>
      <c r="R21" s="785">
        <f>+'6. HC (LC)'!R21</f>
        <v>0</v>
      </c>
      <c r="S21" s="78">
        <f>R21-E21</f>
        <v>0</v>
      </c>
      <c r="T21" s="504">
        <f>IFERROR(R21/E21-1,0)</f>
        <v>0</v>
      </c>
      <c r="U21" s="887" t="str">
        <f>IF(ISBLANK('6. HC (LC)'!U21),"",'6. HC (LC)'!U21)</f>
        <v/>
      </c>
      <c r="W21" s="267" t="s">
        <v>1424</v>
      </c>
    </row>
    <row r="22" spans="1:23" ht="15.75" x14ac:dyDescent="0.2">
      <c r="A22" s="214" t="s">
        <v>1135</v>
      </c>
      <c r="B22" s="452" t="s">
        <v>399</v>
      </c>
      <c r="C22" s="78">
        <f>+'6. HC (LC)'!C22</f>
        <v>22</v>
      </c>
      <c r="D22" s="78">
        <f>+'6. HC (LC)'!D22</f>
        <v>22</v>
      </c>
      <c r="E22" s="265">
        <f>+'6. HC (LC)'!E22</f>
        <v>22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739">
        <f>+'6. HC (LC)'!Q22</f>
        <v>31</v>
      </c>
      <c r="R22" s="785">
        <f>+'6. HC (LC)'!R22</f>
        <v>31</v>
      </c>
      <c r="S22" s="78">
        <f>R22-E22</f>
        <v>9</v>
      </c>
      <c r="T22" s="504">
        <f>IFERROR(R22/E22-1,0)</f>
        <v>0.40909090909090917</v>
      </c>
      <c r="U22" s="887" t="str">
        <f>IF(ISBLANK('6. HC (LC)'!U22),"",'6. HC (LC)'!U22)</f>
        <v/>
      </c>
      <c r="W22" s="267" t="s">
        <v>1423</v>
      </c>
    </row>
    <row r="23" spans="1:23" ht="15.75" x14ac:dyDescent="0.2">
      <c r="A23" s="436"/>
      <c r="B23" s="781"/>
      <c r="C23" s="436"/>
      <c r="D23" s="434"/>
      <c r="E23" s="435"/>
      <c r="F23" s="740"/>
      <c r="G23" s="740"/>
      <c r="H23" s="740"/>
      <c r="I23" s="740"/>
      <c r="J23" s="740"/>
      <c r="K23" s="740"/>
      <c r="L23" s="740"/>
      <c r="M23" s="740"/>
      <c r="N23" s="740"/>
      <c r="O23" s="740"/>
      <c r="P23" s="740"/>
      <c r="Q23" s="740"/>
      <c r="R23" s="741"/>
      <c r="S23" s="434"/>
      <c r="T23" s="784"/>
      <c r="U23" s="441" t="str">
        <f>IF(ISBLANK('6. HC (LC)'!U23),"",'6. HC (LC)'!U23)</f>
        <v/>
      </c>
      <c r="W23" s="432"/>
    </row>
    <row r="24" spans="1:23" ht="15.75" x14ac:dyDescent="0.2">
      <c r="A24" s="214" t="s">
        <v>395</v>
      </c>
      <c r="B24" s="452"/>
      <c r="C24" s="78">
        <f>KeyData!F22</f>
        <v>35</v>
      </c>
      <c r="D24" s="78">
        <f>KeyData!G22</f>
        <v>70</v>
      </c>
      <c r="E24" s="265">
        <f>+'6. HC (LC)'!E24</f>
        <v>47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107</v>
      </c>
      <c r="R24" s="785">
        <f>+'6. HC (LC)'!R24</f>
        <v>104.89999999999999</v>
      </c>
      <c r="S24" s="78">
        <f>R24-E24</f>
        <v>57.899999999999991</v>
      </c>
      <c r="T24" s="504">
        <f>IFERROR(R24/E24-1,0)</f>
        <v>1.231914893617021</v>
      </c>
      <c r="U24" s="887" t="str">
        <f>IF(ISBLANK('6. HC (LC)'!U24),"",'6. HC (LC)'!U24)</f>
        <v/>
      </c>
      <c r="W24" s="267" t="s">
        <v>394</v>
      </c>
    </row>
    <row r="25" spans="1:23" ht="15.75" x14ac:dyDescent="0.2">
      <c r="A25" s="214" t="s">
        <v>393</v>
      </c>
      <c r="B25" s="452"/>
      <c r="C25" s="78">
        <f>KeyData!F23</f>
        <v>28</v>
      </c>
      <c r="D25" s="78">
        <f>KeyData!G23</f>
        <v>27</v>
      </c>
      <c r="E25" s="265">
        <f>+'6. HC (LC)'!E25</f>
        <v>27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37</v>
      </c>
      <c r="R25" s="785">
        <f>+'6. HC (LC)'!R25</f>
        <v>37</v>
      </c>
      <c r="S25" s="78">
        <f>R25-E25</f>
        <v>10</v>
      </c>
      <c r="T25" s="504">
        <f>IFERROR(R25/E25-1,0)</f>
        <v>0.37037037037037046</v>
      </c>
      <c r="U25" s="887" t="str">
        <f>IF(ISBLANK('6. HC (LC)'!U25),"",'6. HC (LC)'!U25)</f>
        <v/>
      </c>
      <c r="W25" s="430" t="s">
        <v>392</v>
      </c>
    </row>
    <row r="26" spans="1:23" ht="15.75" x14ac:dyDescent="0.25">
      <c r="A26" s="221" t="s">
        <v>910</v>
      </c>
      <c r="B26" s="780"/>
      <c r="C26" s="96">
        <f>SUM(C24:C25)-SUM(C11,C18,C21,C22)</f>
        <v>0</v>
      </c>
      <c r="D26" s="96">
        <f>SUM(D24:D25)-SUM(D11,D18,D21,D22)</f>
        <v>0</v>
      </c>
      <c r="E26" s="777">
        <f>SUM(E24:E25)-E21-E18-E11-E22</f>
        <v>0.10000000000000142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77">
        <f>SUM(R24:R25)-R21-R18-R11-R22</f>
        <v>0</v>
      </c>
      <c r="S26" s="96"/>
      <c r="T26" s="777"/>
      <c r="U26" s="288" t="str">
        <f>IF(ISBLANK('6. HC (LC)'!U26),"",'6. HC (LC)'!U26)</f>
        <v/>
      </c>
      <c r="W26" s="654"/>
    </row>
    <row r="27" spans="1:23" ht="15.75" x14ac:dyDescent="0.25">
      <c r="B27" s="780"/>
      <c r="C27" s="96"/>
      <c r="D27" s="96"/>
      <c r="E27" s="777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77"/>
      <c r="S27" s="96"/>
      <c r="T27" s="777"/>
      <c r="U27" s="288"/>
      <c r="W27" s="654"/>
    </row>
    <row r="28" spans="1:23" ht="15.75" x14ac:dyDescent="0.2">
      <c r="A28" s="214" t="s">
        <v>391</v>
      </c>
      <c r="B28" s="452"/>
      <c r="C28" s="78"/>
      <c r="D28" s="78"/>
      <c r="E28" s="265">
        <f>+'6. HC (LC)'!E28/'Input-FX Rates'!$G$16</f>
        <v>-55.649858018692143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+'6. HC (LC)'!R28/'Input-FX Rates'!$H$16</f>
        <v>-46.951432610730478</v>
      </c>
      <c r="S28" s="78">
        <f>R28-E28</f>
        <v>8.6984254079616647</v>
      </c>
      <c r="T28" s="504">
        <f>IFERROR(R28/E28-1,0)</f>
        <v>-0.1563063360384489</v>
      </c>
      <c r="U28" s="887" t="str">
        <f>IF(ISBLANK('6. HC (LC)'!U28),"",'6. HC (LC)'!U28)</f>
        <v/>
      </c>
      <c r="W28" s="267" t="s">
        <v>1427</v>
      </c>
    </row>
    <row r="29" spans="1:23" s="349" customFormat="1" ht="15" x14ac:dyDescent="0.25">
      <c r="A29" s="965" t="s">
        <v>390</v>
      </c>
      <c r="B29" s="331"/>
      <c r="C29" s="971"/>
      <c r="D29" s="365"/>
      <c r="E29" s="445">
        <f>+'6. HC (LC)'!E29/'Input-FX Rates'!$G$16</f>
        <v>47.549512953855718</v>
      </c>
      <c r="F29" s="36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449"/>
      <c r="R29" s="786">
        <f>+'6. HC (LC)'!R29/'Input-FX Rates'!$H$16</f>
        <v>47.813206896551719</v>
      </c>
      <c r="S29" s="425">
        <f>R29-E29</f>
        <v>0.26369394269600122</v>
      </c>
      <c r="T29" s="778">
        <f>IFERROR(R29/E29-1,0)</f>
        <v>5.5456707401377869E-3</v>
      </c>
      <c r="U29" s="888" t="str">
        <f>IF(ISBLANK('6. HC (LC)'!U29),"",'6. HC (LC)'!U29)</f>
        <v>Plant total figure, E01-297(around 4.6K EUR) posted under fix cost area not variable(employee benefit program, present for employee, medical exam, sick and health care, shuttle bus)</v>
      </c>
      <c r="W29" s="220" t="s">
        <v>389</v>
      </c>
    </row>
    <row r="30" spans="1:23" s="349" customFormat="1" ht="15" x14ac:dyDescent="0.25">
      <c r="A30" s="965" t="s">
        <v>388</v>
      </c>
      <c r="B30" s="331"/>
      <c r="C30" s="971"/>
      <c r="D30" s="365"/>
      <c r="E30" s="445">
        <f>+'6. HC (LC)'!E30/'Input-FX Rates'!$G$16</f>
        <v>64.420636456393837</v>
      </c>
      <c r="F30" s="36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449"/>
      <c r="R30" s="786">
        <f>+'6. HC (LC)'!R30/'Input-FX Rates'!$H$16</f>
        <v>64.792453793103448</v>
      </c>
      <c r="S30" s="425">
        <f>R30-E30</f>
        <v>0.37181733670961137</v>
      </c>
      <c r="T30" s="778">
        <f>IFERROR(R30/E30-1,0)</f>
        <v>5.7717116309661254E-3</v>
      </c>
      <c r="U30" s="888" t="str">
        <f>IF(ISBLANK('6. HC (LC)'!U30),"",'6. HC (LC)'!U30)</f>
        <v>Plant total figure, E01-297(around 4.6K EUR) posted under fix cost area not variable(employee benefit program, present for employee, medical exam, sick and health care, shuttle bus)</v>
      </c>
      <c r="W30" s="349" t="s">
        <v>387</v>
      </c>
    </row>
    <row r="31" spans="1:23" s="349" customFormat="1" ht="15" x14ac:dyDescent="0.25">
      <c r="A31" s="965" t="s">
        <v>1143</v>
      </c>
      <c r="B31" s="331"/>
      <c r="C31" s="971"/>
      <c r="D31" s="365"/>
      <c r="E31" s="445">
        <f>+'6. HC (LC)'!E31/'Input-FX Rates'!$G$16</f>
        <v>94.19406831530722</v>
      </c>
      <c r="F31" s="36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449"/>
      <c r="R31" s="786">
        <f>+'6. HC (LC)'!R31/'Input-FX Rates'!$H$16</f>
        <v>95.113240689655171</v>
      </c>
      <c r="S31" s="425">
        <f>R31-E31</f>
        <v>0.9191723743479514</v>
      </c>
      <c r="T31" s="778">
        <f>IFERROR(R31/E31-1,0)</f>
        <v>9.7582829873223975E-3</v>
      </c>
      <c r="U31" s="888" t="str">
        <f>IF(ISBLANK('6. HC (LC)'!U31),"",'6. HC (LC)'!U31)</f>
        <v>Plant total figure</v>
      </c>
      <c r="W31" s="220" t="s">
        <v>1428</v>
      </c>
    </row>
    <row r="32" spans="1:23" s="349" customFormat="1" ht="15" x14ac:dyDescent="0.25">
      <c r="A32" s="965" t="s">
        <v>1009</v>
      </c>
      <c r="B32" s="781"/>
      <c r="C32" s="970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86">
        <f>'6. HC (LC)'!R32</f>
        <v>97223</v>
      </c>
      <c r="S32" s="969"/>
      <c r="T32" s="778"/>
      <c r="U32" s="888" t="str">
        <f>IF(ISBLANK('6. HC (LC)'!U32),"",'6. HC (LC)'!U32)</f>
        <v>Include overtime</v>
      </c>
      <c r="W32" s="220" t="s">
        <v>1011</v>
      </c>
    </row>
    <row r="33" spans="1:1020 1028:2047 2055:3071 3073:5115 5123:6142 6150:9210 9218:10237 10245:11264 11272:12288 12290:13305 13313:14332 14340:15359 15367:16383" s="349" customFormat="1" ht="15" x14ac:dyDescent="0.25">
      <c r="A33" s="965" t="s">
        <v>1010</v>
      </c>
      <c r="B33" s="781"/>
      <c r="C33" s="970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86">
        <f>'6. HC (LC)'!R33</f>
        <v>8620656</v>
      </c>
      <c r="S33" s="969"/>
      <c r="T33" s="778"/>
      <c r="U33" s="888" t="str">
        <f>IF(ISBLANK('6. HC (LC)'!U33),"",'6. HC (LC)'!U33)</f>
        <v/>
      </c>
      <c r="W33" s="220" t="s">
        <v>1012</v>
      </c>
    </row>
    <row r="34" spans="1:1020 1028:2047 2055:3071 3073:5115 5123:6142 6150:9210 9218:10237 10245:11264 11272:12288 12290:13305 13313:14332 14340:15359 15367:16383" ht="15" x14ac:dyDescent="0.2">
      <c r="A34" s="426"/>
      <c r="B34" s="767"/>
      <c r="C34" s="692"/>
      <c r="D34" s="327"/>
      <c r="E34" s="76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67"/>
      <c r="S34" s="425"/>
      <c r="T34" s="778"/>
      <c r="U34" s="327"/>
      <c r="W34" s="267"/>
    </row>
    <row r="35" spans="1:1020 1028:2047 2055:3071 3073:5115 5123:6142 6150:9210 9218:10237 10245:11264 11272:12288 12290:13305 13313:14332 14340:15359 15367:16383" s="769" customFormat="1" ht="31.5" x14ac:dyDescent="0.2">
      <c r="A35" s="214" t="s">
        <v>1140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1142</v>
      </c>
      <c r="R35" s="844" t="s">
        <v>1389</v>
      </c>
      <c r="S35" s="78"/>
      <c r="T35" s="504"/>
      <c r="U35" s="428"/>
      <c r="W35" s="267" t="s">
        <v>1422</v>
      </c>
      <c r="AA35" s="1041"/>
      <c r="AB35" s="1041"/>
      <c r="AC35" s="770"/>
      <c r="AE35" s="770"/>
      <c r="AF35" s="770"/>
      <c r="AN35" s="1041"/>
      <c r="AO35" s="1041"/>
      <c r="AP35" s="770"/>
      <c r="AR35" s="770"/>
      <c r="AS35" s="770"/>
      <c r="BA35" s="1041"/>
      <c r="BB35" s="1041"/>
      <c r="BC35" s="770"/>
      <c r="BE35" s="770"/>
      <c r="BF35" s="770"/>
      <c r="BN35" s="1041"/>
      <c r="BO35" s="1041"/>
      <c r="BP35" s="770"/>
      <c r="BR35" s="770"/>
      <c r="BS35" s="770"/>
      <c r="CA35" s="1041"/>
      <c r="CB35" s="1041"/>
      <c r="CC35" s="770"/>
      <c r="CE35" s="770"/>
      <c r="CF35" s="770"/>
      <c r="CN35" s="1041"/>
      <c r="CO35" s="1041"/>
      <c r="CP35" s="770"/>
      <c r="CR35" s="770"/>
      <c r="CS35" s="770"/>
      <c r="DA35" s="1041"/>
      <c r="DB35" s="1041"/>
      <c r="DC35" s="770"/>
      <c r="DE35" s="770"/>
      <c r="DF35" s="770"/>
      <c r="DN35" s="1041"/>
      <c r="DO35" s="1041"/>
      <c r="DP35" s="770"/>
      <c r="DR35" s="770"/>
      <c r="DS35" s="770"/>
      <c r="EA35" s="1041"/>
      <c r="EB35" s="1041"/>
      <c r="EC35" s="770"/>
      <c r="EE35" s="770"/>
      <c r="EF35" s="770"/>
      <c r="EN35" s="1041"/>
      <c r="EO35" s="1041"/>
      <c r="EP35" s="770"/>
      <c r="ER35" s="770"/>
      <c r="ES35" s="770"/>
      <c r="FA35" s="1041"/>
      <c r="FB35" s="1041"/>
      <c r="FC35" s="770"/>
      <c r="FE35" s="770"/>
      <c r="FF35" s="770"/>
      <c r="FN35" s="1041"/>
      <c r="FO35" s="1041"/>
      <c r="FP35" s="770"/>
      <c r="FR35" s="770"/>
      <c r="FS35" s="770"/>
      <c r="GA35" s="1041"/>
      <c r="GB35" s="1041"/>
      <c r="GC35" s="770"/>
      <c r="GE35" s="770"/>
      <c r="GF35" s="770"/>
      <c r="GN35" s="1041"/>
      <c r="GO35" s="1041"/>
      <c r="GP35" s="770"/>
      <c r="GR35" s="770"/>
      <c r="GS35" s="770"/>
      <c r="HA35" s="1041"/>
      <c r="HB35" s="1041"/>
      <c r="HC35" s="770"/>
      <c r="HE35" s="770"/>
      <c r="HF35" s="770"/>
      <c r="HN35" s="1041"/>
      <c r="HO35" s="1041"/>
      <c r="HP35" s="770"/>
      <c r="HR35" s="770"/>
      <c r="HS35" s="770"/>
      <c r="IA35" s="1041"/>
      <c r="IB35" s="1041"/>
      <c r="IC35" s="770"/>
      <c r="IE35" s="770"/>
      <c r="IF35" s="770"/>
      <c r="IN35" s="1041"/>
      <c r="IO35" s="1041"/>
      <c r="IP35" s="770"/>
      <c r="IR35" s="770"/>
      <c r="IS35" s="770"/>
      <c r="JA35" s="1041"/>
      <c r="JB35" s="1041"/>
      <c r="JC35" s="770"/>
      <c r="JE35" s="770"/>
      <c r="JF35" s="770"/>
      <c r="JN35" s="1041"/>
      <c r="JO35" s="1041"/>
      <c r="JP35" s="770"/>
      <c r="JR35" s="770"/>
      <c r="JS35" s="770"/>
      <c r="KA35" s="1041"/>
      <c r="KB35" s="1041"/>
      <c r="KC35" s="770"/>
      <c r="KE35" s="770"/>
      <c r="KF35" s="770"/>
      <c r="KN35" s="1041"/>
      <c r="KO35" s="1041"/>
      <c r="KP35" s="770"/>
      <c r="KR35" s="770"/>
      <c r="KS35" s="770"/>
      <c r="LA35" s="1041"/>
      <c r="LB35" s="1041"/>
      <c r="LC35" s="770"/>
      <c r="LE35" s="770"/>
      <c r="LF35" s="770"/>
      <c r="LN35" s="1041"/>
      <c r="LO35" s="1041"/>
      <c r="LP35" s="770"/>
      <c r="LR35" s="770"/>
      <c r="LS35" s="770"/>
      <c r="MA35" s="1041"/>
      <c r="MB35" s="1041"/>
      <c r="MC35" s="770"/>
      <c r="ME35" s="770"/>
      <c r="MF35" s="770"/>
      <c r="MN35" s="1041"/>
      <c r="MO35" s="1041"/>
      <c r="MP35" s="770"/>
      <c r="MR35" s="770"/>
      <c r="MS35" s="770"/>
      <c r="NA35" s="1041"/>
      <c r="NB35" s="1041"/>
      <c r="NC35" s="770"/>
      <c r="NE35" s="770"/>
      <c r="NF35" s="770"/>
      <c r="NN35" s="1041"/>
      <c r="NO35" s="1041"/>
      <c r="NP35" s="770"/>
      <c r="NR35" s="770"/>
      <c r="NS35" s="770"/>
      <c r="OA35" s="1041"/>
      <c r="OB35" s="1041"/>
      <c r="OC35" s="770"/>
      <c r="OE35" s="770"/>
      <c r="OF35" s="770"/>
      <c r="ON35" s="1041"/>
      <c r="OO35" s="1041"/>
      <c r="OP35" s="770"/>
      <c r="OR35" s="770"/>
      <c r="OS35" s="770"/>
      <c r="PA35" s="1041"/>
      <c r="PB35" s="1041"/>
      <c r="PC35" s="770"/>
      <c r="PE35" s="770"/>
      <c r="PF35" s="770"/>
      <c r="PN35" s="1041"/>
      <c r="PO35" s="1041"/>
      <c r="PP35" s="770"/>
      <c r="PR35" s="770"/>
      <c r="PS35" s="770"/>
      <c r="QA35" s="1041"/>
      <c r="QB35" s="1041"/>
      <c r="QC35" s="770"/>
      <c r="QE35" s="770"/>
      <c r="QF35" s="770"/>
      <c r="QN35" s="1041"/>
      <c r="QO35" s="1041"/>
      <c r="QP35" s="770"/>
      <c r="QR35" s="770"/>
      <c r="QS35" s="770"/>
      <c r="RA35" s="1041"/>
      <c r="RB35" s="1041"/>
      <c r="RC35" s="770"/>
      <c r="RE35" s="770"/>
      <c r="RF35" s="770"/>
      <c r="RN35" s="1041"/>
      <c r="RO35" s="1041"/>
      <c r="RP35" s="770"/>
      <c r="RR35" s="770"/>
      <c r="RS35" s="770"/>
      <c r="SA35" s="1041"/>
      <c r="SB35" s="1041"/>
      <c r="SC35" s="770"/>
      <c r="SE35" s="770"/>
      <c r="SF35" s="770"/>
      <c r="SN35" s="1041"/>
      <c r="SO35" s="1041"/>
      <c r="SP35" s="770"/>
      <c r="SR35" s="770"/>
      <c r="SS35" s="770"/>
      <c r="TA35" s="1041"/>
      <c r="TB35" s="1041"/>
      <c r="TC35" s="770"/>
      <c r="TE35" s="770"/>
      <c r="TF35" s="770"/>
      <c r="TN35" s="1041"/>
      <c r="TO35" s="1041"/>
      <c r="TP35" s="770"/>
      <c r="TR35" s="770"/>
      <c r="TS35" s="770"/>
      <c r="UA35" s="1041"/>
      <c r="UB35" s="1041"/>
      <c r="UC35" s="770"/>
      <c r="UE35" s="770"/>
      <c r="UF35" s="770"/>
      <c r="UN35" s="1041"/>
      <c r="UO35" s="1041"/>
      <c r="UP35" s="770"/>
      <c r="UR35" s="770"/>
      <c r="US35" s="770"/>
      <c r="VA35" s="1041"/>
      <c r="VB35" s="1041"/>
      <c r="VC35" s="770"/>
      <c r="VE35" s="770"/>
      <c r="VF35" s="770"/>
      <c r="VN35" s="1041"/>
      <c r="VO35" s="1041"/>
      <c r="VP35" s="770"/>
      <c r="VR35" s="770"/>
      <c r="VS35" s="770"/>
      <c r="WA35" s="1041"/>
      <c r="WB35" s="1041"/>
      <c r="WC35" s="770"/>
      <c r="WE35" s="770"/>
      <c r="WF35" s="770"/>
      <c r="WN35" s="1041"/>
      <c r="WO35" s="1041"/>
      <c r="WP35" s="770"/>
      <c r="WR35" s="770"/>
      <c r="WS35" s="770"/>
      <c r="XA35" s="1041"/>
      <c r="XB35" s="1041"/>
      <c r="XC35" s="770"/>
      <c r="XE35" s="770"/>
      <c r="XF35" s="770"/>
      <c r="XN35" s="1041"/>
      <c r="XO35" s="1041"/>
      <c r="XP35" s="770"/>
      <c r="XR35" s="770"/>
      <c r="XS35" s="770"/>
      <c r="YA35" s="1041"/>
      <c r="YB35" s="1041"/>
      <c r="YC35" s="770"/>
      <c r="YE35" s="770"/>
      <c r="YF35" s="770"/>
      <c r="YN35" s="1041"/>
      <c r="YO35" s="1041"/>
      <c r="YP35" s="770"/>
      <c r="YR35" s="770"/>
      <c r="YS35" s="770"/>
      <c r="ZA35" s="1041"/>
      <c r="ZB35" s="1041"/>
      <c r="ZC35" s="770"/>
      <c r="ZE35" s="770"/>
      <c r="ZF35" s="770"/>
      <c r="ZN35" s="1041"/>
      <c r="ZO35" s="1041"/>
      <c r="ZP35" s="770"/>
      <c r="ZR35" s="770"/>
      <c r="ZS35" s="770"/>
      <c r="AAA35" s="1041"/>
      <c r="AAB35" s="1041"/>
      <c r="AAC35" s="770"/>
      <c r="AAE35" s="770"/>
      <c r="AAF35" s="770"/>
      <c r="AAN35" s="1041"/>
      <c r="AAO35" s="1041"/>
      <c r="AAP35" s="770"/>
      <c r="AAR35" s="770"/>
      <c r="AAS35" s="770"/>
      <c r="ABA35" s="1041"/>
      <c r="ABB35" s="1041"/>
      <c r="ABC35" s="770"/>
      <c r="ABE35" s="770"/>
      <c r="ABF35" s="770"/>
      <c r="ABN35" s="1041"/>
      <c r="ABO35" s="1041"/>
      <c r="ABP35" s="770"/>
      <c r="ABR35" s="770"/>
      <c r="ABS35" s="770"/>
      <c r="ACA35" s="1041"/>
      <c r="ACB35" s="1041"/>
      <c r="ACC35" s="770"/>
      <c r="ACE35" s="770"/>
      <c r="ACF35" s="770"/>
      <c r="ACN35" s="1041"/>
      <c r="ACO35" s="1041"/>
      <c r="ACP35" s="770"/>
      <c r="ACR35" s="770"/>
      <c r="ACS35" s="770"/>
      <c r="ADA35" s="1041"/>
      <c r="ADB35" s="1041"/>
      <c r="ADC35" s="770"/>
      <c r="ADE35" s="770"/>
      <c r="ADF35" s="770"/>
      <c r="ADN35" s="1041"/>
      <c r="ADO35" s="1041"/>
      <c r="ADP35" s="770"/>
      <c r="ADR35" s="770"/>
      <c r="ADS35" s="770"/>
      <c r="AEA35" s="1041"/>
      <c r="AEB35" s="1041"/>
      <c r="AEC35" s="770"/>
      <c r="AEE35" s="770"/>
      <c r="AEF35" s="770"/>
      <c r="AEN35" s="1041"/>
      <c r="AEO35" s="1041"/>
      <c r="AEP35" s="770"/>
      <c r="AER35" s="770"/>
      <c r="AES35" s="770"/>
      <c r="AFA35" s="1041"/>
      <c r="AFB35" s="1041"/>
      <c r="AFC35" s="770"/>
      <c r="AFE35" s="770"/>
      <c r="AFF35" s="770"/>
      <c r="AFN35" s="1041"/>
      <c r="AFO35" s="1041"/>
      <c r="AFP35" s="770"/>
      <c r="AFR35" s="770"/>
      <c r="AFS35" s="770"/>
      <c r="AGA35" s="1041"/>
      <c r="AGB35" s="1041"/>
      <c r="AGC35" s="770"/>
      <c r="AGE35" s="770"/>
      <c r="AGF35" s="770"/>
      <c r="AGN35" s="1041"/>
      <c r="AGO35" s="1041"/>
      <c r="AGP35" s="770"/>
      <c r="AGR35" s="770"/>
      <c r="AGS35" s="770"/>
      <c r="AHA35" s="1041"/>
      <c r="AHB35" s="1041"/>
      <c r="AHC35" s="770"/>
      <c r="AHE35" s="770"/>
      <c r="AHF35" s="770"/>
      <c r="AHN35" s="1041"/>
      <c r="AHO35" s="1041"/>
      <c r="AHP35" s="770"/>
      <c r="AHR35" s="770"/>
      <c r="AHS35" s="770"/>
      <c r="AIA35" s="1041"/>
      <c r="AIB35" s="1041"/>
      <c r="AIC35" s="770"/>
      <c r="AIE35" s="770"/>
      <c r="AIF35" s="770"/>
      <c r="AIN35" s="1041"/>
      <c r="AIO35" s="1041"/>
      <c r="AIP35" s="770"/>
      <c r="AIR35" s="770"/>
      <c r="AIS35" s="770"/>
      <c r="AJA35" s="1041"/>
      <c r="AJB35" s="1041"/>
      <c r="AJC35" s="770"/>
      <c r="AJE35" s="770"/>
      <c r="AJF35" s="770"/>
      <c r="AJN35" s="1041"/>
      <c r="AJO35" s="1041"/>
      <c r="AJP35" s="770"/>
      <c r="AJR35" s="770"/>
      <c r="AJS35" s="770"/>
      <c r="AKA35" s="1041"/>
      <c r="AKB35" s="1041"/>
      <c r="AKC35" s="770"/>
      <c r="AKE35" s="770"/>
      <c r="AKF35" s="770"/>
      <c r="AKN35" s="1041"/>
      <c r="AKO35" s="1041"/>
      <c r="AKP35" s="770"/>
      <c r="AKR35" s="770"/>
      <c r="AKS35" s="770"/>
      <c r="ALA35" s="1041"/>
      <c r="ALB35" s="1041"/>
      <c r="ALC35" s="770"/>
      <c r="ALE35" s="770"/>
      <c r="ALF35" s="770"/>
      <c r="ALN35" s="1041"/>
      <c r="ALO35" s="1041"/>
      <c r="ALP35" s="770"/>
      <c r="ALR35" s="770"/>
      <c r="ALS35" s="770"/>
      <c r="AMA35" s="1041"/>
      <c r="AMB35" s="1041"/>
      <c r="AMC35" s="770"/>
      <c r="AME35" s="770"/>
      <c r="AMF35" s="770"/>
      <c r="AMN35" s="1041"/>
      <c r="AMO35" s="1041"/>
      <c r="AMP35" s="770"/>
      <c r="AMR35" s="770"/>
      <c r="AMS35" s="770"/>
      <c r="ANA35" s="1041"/>
      <c r="ANB35" s="1041"/>
      <c r="ANC35" s="770"/>
      <c r="ANE35" s="770"/>
      <c r="ANF35" s="770"/>
      <c r="ANN35" s="1041"/>
      <c r="ANO35" s="1041"/>
      <c r="ANP35" s="770"/>
      <c r="ANR35" s="770"/>
      <c r="ANS35" s="770"/>
      <c r="AOA35" s="1041"/>
      <c r="AOB35" s="1041"/>
      <c r="AOC35" s="770"/>
      <c r="AOE35" s="770"/>
      <c r="AOF35" s="770"/>
      <c r="AON35" s="1041"/>
      <c r="AOO35" s="1041"/>
      <c r="AOP35" s="770"/>
      <c r="AOR35" s="770"/>
      <c r="AOS35" s="770"/>
      <c r="APA35" s="1041"/>
      <c r="APB35" s="1041"/>
      <c r="APC35" s="770"/>
      <c r="APE35" s="770"/>
      <c r="APF35" s="770"/>
      <c r="APN35" s="1041"/>
      <c r="APO35" s="1041"/>
      <c r="APP35" s="770"/>
      <c r="APR35" s="770"/>
      <c r="APS35" s="770"/>
      <c r="AQA35" s="1041"/>
      <c r="AQB35" s="1041"/>
      <c r="AQC35" s="770"/>
      <c r="AQE35" s="770"/>
      <c r="AQF35" s="770"/>
      <c r="AQN35" s="1041"/>
      <c r="AQO35" s="1041"/>
      <c r="AQP35" s="770"/>
      <c r="AQR35" s="770"/>
      <c r="AQS35" s="770"/>
      <c r="ARA35" s="1041"/>
      <c r="ARB35" s="1041"/>
      <c r="ARC35" s="770"/>
      <c r="ARE35" s="770"/>
      <c r="ARF35" s="770"/>
      <c r="ARN35" s="1041"/>
      <c r="ARO35" s="1041"/>
      <c r="ARP35" s="770"/>
      <c r="ARR35" s="770"/>
      <c r="ARS35" s="770"/>
      <c r="ASA35" s="1041"/>
      <c r="ASB35" s="1041"/>
      <c r="ASC35" s="770"/>
      <c r="ASE35" s="770"/>
      <c r="ASF35" s="770"/>
      <c r="ASN35" s="1041"/>
      <c r="ASO35" s="1041"/>
      <c r="ASP35" s="770"/>
      <c r="ASR35" s="770"/>
      <c r="ASS35" s="770"/>
      <c r="ATA35" s="1041"/>
      <c r="ATB35" s="1041"/>
      <c r="ATC35" s="770"/>
      <c r="ATE35" s="770"/>
      <c r="ATF35" s="770"/>
      <c r="ATN35" s="1041"/>
      <c r="ATO35" s="1041"/>
      <c r="ATP35" s="770"/>
      <c r="ATR35" s="770"/>
      <c r="ATS35" s="770"/>
      <c r="AUA35" s="1041"/>
      <c r="AUB35" s="1041"/>
      <c r="AUC35" s="770"/>
      <c r="AUE35" s="770"/>
      <c r="AUF35" s="770"/>
      <c r="AUN35" s="1041"/>
      <c r="AUO35" s="1041"/>
      <c r="AUP35" s="770"/>
      <c r="AUR35" s="770"/>
      <c r="AUS35" s="770"/>
      <c r="AVA35" s="1041"/>
      <c r="AVB35" s="1041"/>
      <c r="AVC35" s="770"/>
      <c r="AVE35" s="770"/>
      <c r="AVF35" s="770"/>
      <c r="AVN35" s="1041"/>
      <c r="AVO35" s="1041"/>
      <c r="AVP35" s="770"/>
      <c r="AVR35" s="770"/>
      <c r="AVS35" s="770"/>
      <c r="AWA35" s="1041"/>
      <c r="AWB35" s="1041"/>
      <c r="AWC35" s="770"/>
      <c r="AWE35" s="770"/>
      <c r="AWF35" s="770"/>
      <c r="AWN35" s="1041"/>
      <c r="AWO35" s="1041"/>
      <c r="AWP35" s="770"/>
      <c r="AWR35" s="770"/>
      <c r="AWS35" s="770"/>
      <c r="AXA35" s="1041"/>
      <c r="AXB35" s="1041"/>
      <c r="AXC35" s="770"/>
      <c r="AXE35" s="770"/>
      <c r="AXF35" s="770"/>
      <c r="AXN35" s="1041"/>
      <c r="AXO35" s="1041"/>
      <c r="AXP35" s="770"/>
      <c r="AXR35" s="770"/>
      <c r="AXS35" s="770"/>
      <c r="AYA35" s="1041"/>
      <c r="AYB35" s="1041"/>
      <c r="AYC35" s="770"/>
      <c r="AYE35" s="770"/>
      <c r="AYF35" s="770"/>
      <c r="AYN35" s="1041"/>
      <c r="AYO35" s="1041"/>
      <c r="AYP35" s="770"/>
      <c r="AYR35" s="770"/>
      <c r="AYS35" s="770"/>
      <c r="AZA35" s="1041"/>
      <c r="AZB35" s="1041"/>
      <c r="AZC35" s="770"/>
      <c r="AZE35" s="770"/>
      <c r="AZF35" s="770"/>
      <c r="AZN35" s="1041"/>
      <c r="AZO35" s="1041"/>
      <c r="AZP35" s="770"/>
      <c r="AZR35" s="770"/>
      <c r="AZS35" s="770"/>
      <c r="BAA35" s="1041"/>
      <c r="BAB35" s="1041"/>
      <c r="BAC35" s="770"/>
      <c r="BAE35" s="770"/>
      <c r="BAF35" s="770"/>
      <c r="BAN35" s="1041"/>
      <c r="BAO35" s="1041"/>
      <c r="BAP35" s="770"/>
      <c r="BAR35" s="770"/>
      <c r="BAS35" s="770"/>
      <c r="BBA35" s="1041"/>
      <c r="BBB35" s="1041"/>
      <c r="BBC35" s="770"/>
      <c r="BBE35" s="770"/>
      <c r="BBF35" s="770"/>
      <c r="BBN35" s="1041"/>
      <c r="BBO35" s="1041"/>
      <c r="BBP35" s="770"/>
      <c r="BBR35" s="770"/>
      <c r="BBS35" s="770"/>
      <c r="BCA35" s="1041"/>
      <c r="BCB35" s="1041"/>
      <c r="BCC35" s="770"/>
      <c r="BCE35" s="770"/>
      <c r="BCF35" s="770"/>
      <c r="BCN35" s="1041"/>
      <c r="BCO35" s="1041"/>
      <c r="BCP35" s="770"/>
      <c r="BCR35" s="770"/>
      <c r="BCS35" s="770"/>
      <c r="BDA35" s="1041"/>
      <c r="BDB35" s="1041"/>
      <c r="BDC35" s="770"/>
      <c r="BDE35" s="770"/>
      <c r="BDF35" s="770"/>
      <c r="BDN35" s="1041"/>
      <c r="BDO35" s="1041"/>
      <c r="BDP35" s="770"/>
      <c r="BDR35" s="770"/>
      <c r="BDS35" s="770"/>
      <c r="BEA35" s="1041"/>
      <c r="BEB35" s="1041"/>
      <c r="BEC35" s="770"/>
      <c r="BEE35" s="770"/>
      <c r="BEF35" s="770"/>
      <c r="BEN35" s="1041"/>
      <c r="BEO35" s="1041"/>
      <c r="BEP35" s="770"/>
      <c r="BER35" s="770"/>
      <c r="BES35" s="770"/>
      <c r="BFA35" s="1041"/>
      <c r="BFB35" s="1041"/>
      <c r="BFC35" s="770"/>
      <c r="BFE35" s="770"/>
      <c r="BFF35" s="770"/>
      <c r="BFN35" s="1041"/>
      <c r="BFO35" s="1041"/>
      <c r="BFP35" s="770"/>
      <c r="BFR35" s="770"/>
      <c r="BFS35" s="770"/>
      <c r="BGA35" s="1041"/>
      <c r="BGB35" s="1041"/>
      <c r="BGC35" s="770"/>
      <c r="BGE35" s="770"/>
      <c r="BGF35" s="770"/>
      <c r="BGN35" s="1041"/>
      <c r="BGO35" s="1041"/>
      <c r="BGP35" s="770"/>
      <c r="BGR35" s="770"/>
      <c r="BGS35" s="770"/>
      <c r="BHA35" s="1041"/>
      <c r="BHB35" s="1041"/>
      <c r="BHC35" s="770"/>
      <c r="BHE35" s="770"/>
      <c r="BHF35" s="770"/>
      <c r="BHN35" s="1041"/>
      <c r="BHO35" s="1041"/>
      <c r="BHP35" s="770"/>
      <c r="BHR35" s="770"/>
      <c r="BHS35" s="770"/>
      <c r="BIA35" s="1041"/>
      <c r="BIB35" s="1041"/>
      <c r="BIC35" s="770"/>
      <c r="BIE35" s="770"/>
      <c r="BIF35" s="770"/>
      <c r="BIN35" s="1041"/>
      <c r="BIO35" s="1041"/>
      <c r="BIP35" s="770"/>
      <c r="BIR35" s="770"/>
      <c r="BIS35" s="770"/>
      <c r="BJA35" s="1041"/>
      <c r="BJB35" s="1041"/>
      <c r="BJC35" s="770"/>
      <c r="BJE35" s="770"/>
      <c r="BJF35" s="770"/>
      <c r="BJN35" s="1041"/>
      <c r="BJO35" s="1041"/>
      <c r="BJP35" s="770"/>
      <c r="BJR35" s="770"/>
      <c r="BJS35" s="770"/>
      <c r="BKA35" s="1041"/>
      <c r="BKB35" s="1041"/>
      <c r="BKC35" s="770"/>
      <c r="BKE35" s="770"/>
      <c r="BKF35" s="770"/>
      <c r="BKN35" s="1041"/>
      <c r="BKO35" s="1041"/>
      <c r="BKP35" s="770"/>
      <c r="BKR35" s="770"/>
      <c r="BKS35" s="770"/>
      <c r="BLA35" s="1041"/>
      <c r="BLB35" s="1041"/>
      <c r="BLC35" s="770"/>
      <c r="BLE35" s="770"/>
      <c r="BLF35" s="770"/>
      <c r="BLN35" s="1041"/>
      <c r="BLO35" s="1041"/>
      <c r="BLP35" s="770"/>
      <c r="BLR35" s="770"/>
      <c r="BLS35" s="770"/>
      <c r="BMA35" s="1041"/>
      <c r="BMB35" s="1041"/>
      <c r="BMC35" s="770"/>
      <c r="BME35" s="770"/>
      <c r="BMF35" s="770"/>
      <c r="BMN35" s="1041"/>
      <c r="BMO35" s="1041"/>
      <c r="BMP35" s="770"/>
      <c r="BMR35" s="770"/>
      <c r="BMS35" s="770"/>
      <c r="BNA35" s="1041"/>
      <c r="BNB35" s="1041"/>
      <c r="BNC35" s="770"/>
      <c r="BNE35" s="770"/>
      <c r="BNF35" s="770"/>
      <c r="BNN35" s="1041"/>
      <c r="BNO35" s="1041"/>
      <c r="BNP35" s="770"/>
      <c r="BNR35" s="770"/>
      <c r="BNS35" s="770"/>
      <c r="BOA35" s="1041"/>
      <c r="BOB35" s="1041"/>
      <c r="BOC35" s="770"/>
      <c r="BOE35" s="770"/>
      <c r="BOF35" s="770"/>
      <c r="BON35" s="1041"/>
      <c r="BOO35" s="1041"/>
      <c r="BOP35" s="770"/>
      <c r="BOR35" s="770"/>
      <c r="BOS35" s="770"/>
      <c r="BPA35" s="1041"/>
      <c r="BPB35" s="1041"/>
      <c r="BPC35" s="770"/>
      <c r="BPE35" s="770"/>
      <c r="BPF35" s="770"/>
      <c r="BPN35" s="1041"/>
      <c r="BPO35" s="1041"/>
      <c r="BPP35" s="770"/>
      <c r="BPR35" s="770"/>
      <c r="BPS35" s="770"/>
      <c r="BQA35" s="1041"/>
      <c r="BQB35" s="1041"/>
      <c r="BQC35" s="770"/>
      <c r="BQE35" s="770"/>
      <c r="BQF35" s="770"/>
      <c r="BQN35" s="1041"/>
      <c r="BQO35" s="1041"/>
      <c r="BQP35" s="770"/>
      <c r="BQR35" s="770"/>
      <c r="BQS35" s="770"/>
      <c r="BRA35" s="1041"/>
      <c r="BRB35" s="1041"/>
      <c r="BRC35" s="770"/>
      <c r="BRE35" s="770"/>
      <c r="BRF35" s="770"/>
      <c r="BRN35" s="1041"/>
      <c r="BRO35" s="1041"/>
      <c r="BRP35" s="770"/>
      <c r="BRR35" s="770"/>
      <c r="BRS35" s="770"/>
      <c r="BSA35" s="1041"/>
      <c r="BSB35" s="1041"/>
      <c r="BSC35" s="770"/>
      <c r="BSE35" s="770"/>
      <c r="BSF35" s="770"/>
      <c r="BSN35" s="1041"/>
      <c r="BSO35" s="1041"/>
      <c r="BSP35" s="770"/>
      <c r="BSR35" s="770"/>
      <c r="BSS35" s="770"/>
      <c r="BTA35" s="1041"/>
      <c r="BTB35" s="1041"/>
      <c r="BTC35" s="770"/>
      <c r="BTE35" s="770"/>
      <c r="BTF35" s="770"/>
      <c r="BTN35" s="1041"/>
      <c r="BTO35" s="1041"/>
      <c r="BTP35" s="770"/>
      <c r="BTR35" s="770"/>
      <c r="BTS35" s="770"/>
      <c r="BUA35" s="1041"/>
      <c r="BUB35" s="1041"/>
      <c r="BUC35" s="770"/>
      <c r="BUE35" s="770"/>
      <c r="BUF35" s="770"/>
      <c r="BUN35" s="1041"/>
      <c r="BUO35" s="1041"/>
      <c r="BUP35" s="770"/>
      <c r="BUR35" s="770"/>
      <c r="BUS35" s="770"/>
      <c r="BVA35" s="1041"/>
      <c r="BVB35" s="1041"/>
      <c r="BVC35" s="770"/>
      <c r="BVE35" s="770"/>
      <c r="BVF35" s="770"/>
      <c r="BVN35" s="1041"/>
      <c r="BVO35" s="1041"/>
      <c r="BVP35" s="770"/>
      <c r="BVR35" s="770"/>
      <c r="BVS35" s="770"/>
      <c r="BWA35" s="1041"/>
      <c r="BWB35" s="1041"/>
      <c r="BWC35" s="770"/>
      <c r="BWE35" s="770"/>
      <c r="BWF35" s="770"/>
      <c r="BWN35" s="1041"/>
      <c r="BWO35" s="1041"/>
      <c r="BWP35" s="770"/>
      <c r="BWR35" s="770"/>
      <c r="BWS35" s="770"/>
      <c r="BXA35" s="1041"/>
      <c r="BXB35" s="1041"/>
      <c r="BXC35" s="770"/>
      <c r="BXE35" s="770"/>
      <c r="BXF35" s="770"/>
      <c r="BXN35" s="1041"/>
      <c r="BXO35" s="1041"/>
      <c r="BXP35" s="770"/>
      <c r="BXR35" s="770"/>
      <c r="BXS35" s="770"/>
      <c r="BYA35" s="1041"/>
      <c r="BYB35" s="1041"/>
      <c r="BYC35" s="770"/>
      <c r="BYE35" s="770"/>
      <c r="BYF35" s="770"/>
      <c r="BYN35" s="1041"/>
      <c r="BYO35" s="1041"/>
      <c r="BYP35" s="770"/>
      <c r="BYR35" s="770"/>
      <c r="BYS35" s="770"/>
      <c r="BZA35" s="1041"/>
      <c r="BZB35" s="1041"/>
      <c r="BZC35" s="770"/>
      <c r="BZE35" s="770"/>
      <c r="BZF35" s="770"/>
      <c r="BZN35" s="1041"/>
      <c r="BZO35" s="1041"/>
      <c r="BZP35" s="770"/>
      <c r="BZR35" s="770"/>
      <c r="BZS35" s="770"/>
      <c r="CAA35" s="1041"/>
      <c r="CAB35" s="1041"/>
      <c r="CAC35" s="770"/>
      <c r="CAE35" s="770"/>
      <c r="CAF35" s="770"/>
      <c r="CAN35" s="1041"/>
      <c r="CAO35" s="1041"/>
      <c r="CAP35" s="770"/>
      <c r="CAR35" s="770"/>
      <c r="CAS35" s="770"/>
      <c r="CBA35" s="1041"/>
      <c r="CBB35" s="1041"/>
      <c r="CBC35" s="770"/>
      <c r="CBE35" s="770"/>
      <c r="CBF35" s="770"/>
      <c r="CBN35" s="1041"/>
      <c r="CBO35" s="1041"/>
      <c r="CBP35" s="770"/>
      <c r="CBR35" s="770"/>
      <c r="CBS35" s="770"/>
      <c r="CCA35" s="1041"/>
      <c r="CCB35" s="1041"/>
      <c r="CCC35" s="770"/>
      <c r="CCE35" s="770"/>
      <c r="CCF35" s="770"/>
      <c r="CCN35" s="1041"/>
      <c r="CCO35" s="1041"/>
      <c r="CCP35" s="770"/>
      <c r="CCR35" s="770"/>
      <c r="CCS35" s="770"/>
      <c r="CDA35" s="1041"/>
      <c r="CDB35" s="1041"/>
      <c r="CDC35" s="770"/>
      <c r="CDE35" s="770"/>
      <c r="CDF35" s="770"/>
      <c r="CDN35" s="1041"/>
      <c r="CDO35" s="1041"/>
      <c r="CDP35" s="770"/>
      <c r="CDR35" s="770"/>
      <c r="CDS35" s="770"/>
      <c r="CEA35" s="1041"/>
      <c r="CEB35" s="1041"/>
      <c r="CEC35" s="770"/>
      <c r="CEE35" s="770"/>
      <c r="CEF35" s="770"/>
      <c r="CEN35" s="1041"/>
      <c r="CEO35" s="1041"/>
      <c r="CEP35" s="770"/>
      <c r="CER35" s="770"/>
      <c r="CES35" s="770"/>
      <c r="CFA35" s="1041"/>
      <c r="CFB35" s="1041"/>
      <c r="CFC35" s="770"/>
      <c r="CFE35" s="770"/>
      <c r="CFF35" s="770"/>
      <c r="CFN35" s="1041"/>
      <c r="CFO35" s="1041"/>
      <c r="CFP35" s="770"/>
      <c r="CFR35" s="770"/>
      <c r="CFS35" s="770"/>
      <c r="CGA35" s="1041"/>
      <c r="CGB35" s="1041"/>
      <c r="CGC35" s="770"/>
      <c r="CGE35" s="770"/>
      <c r="CGF35" s="770"/>
      <c r="CGN35" s="1041"/>
      <c r="CGO35" s="1041"/>
      <c r="CGP35" s="770"/>
      <c r="CGR35" s="770"/>
      <c r="CGS35" s="770"/>
      <c r="CHA35" s="1041"/>
      <c r="CHB35" s="1041"/>
      <c r="CHC35" s="770"/>
      <c r="CHE35" s="770"/>
      <c r="CHF35" s="770"/>
      <c r="CHN35" s="1041"/>
      <c r="CHO35" s="1041"/>
      <c r="CHP35" s="770"/>
      <c r="CHR35" s="770"/>
      <c r="CHS35" s="770"/>
      <c r="CIA35" s="1041"/>
      <c r="CIB35" s="1041"/>
      <c r="CIC35" s="770"/>
      <c r="CIE35" s="770"/>
      <c r="CIF35" s="770"/>
      <c r="CIN35" s="1041"/>
      <c r="CIO35" s="1041"/>
      <c r="CIP35" s="770"/>
      <c r="CIR35" s="770"/>
      <c r="CIS35" s="770"/>
      <c r="CJA35" s="1041"/>
      <c r="CJB35" s="1041"/>
      <c r="CJC35" s="770"/>
      <c r="CJE35" s="770"/>
      <c r="CJF35" s="770"/>
      <c r="CJN35" s="1041"/>
      <c r="CJO35" s="1041"/>
      <c r="CJP35" s="770"/>
      <c r="CJR35" s="770"/>
      <c r="CJS35" s="770"/>
      <c r="CKA35" s="1041"/>
      <c r="CKB35" s="1041"/>
      <c r="CKC35" s="770"/>
      <c r="CKE35" s="770"/>
      <c r="CKF35" s="770"/>
      <c r="CKN35" s="1041"/>
      <c r="CKO35" s="1041"/>
      <c r="CKP35" s="770"/>
      <c r="CKR35" s="770"/>
      <c r="CKS35" s="770"/>
      <c r="CLA35" s="1041"/>
      <c r="CLB35" s="1041"/>
      <c r="CLC35" s="770"/>
      <c r="CLE35" s="770"/>
      <c r="CLF35" s="770"/>
      <c r="CLN35" s="1041"/>
      <c r="CLO35" s="1041"/>
      <c r="CLP35" s="770"/>
      <c r="CLR35" s="770"/>
      <c r="CLS35" s="770"/>
      <c r="CMA35" s="1041"/>
      <c r="CMB35" s="1041"/>
      <c r="CMC35" s="770"/>
      <c r="CME35" s="770"/>
      <c r="CMF35" s="770"/>
      <c r="CMN35" s="1041"/>
      <c r="CMO35" s="1041"/>
      <c r="CMP35" s="770"/>
      <c r="CMR35" s="770"/>
      <c r="CMS35" s="770"/>
      <c r="CNA35" s="1041"/>
      <c r="CNB35" s="1041"/>
      <c r="CNC35" s="770"/>
      <c r="CNE35" s="770"/>
      <c r="CNF35" s="770"/>
      <c r="CNN35" s="1041"/>
      <c r="CNO35" s="1041"/>
      <c r="CNP35" s="770"/>
      <c r="CNR35" s="770"/>
      <c r="CNS35" s="770"/>
      <c r="COA35" s="1041"/>
      <c r="COB35" s="1041"/>
      <c r="COC35" s="770"/>
      <c r="COE35" s="770"/>
      <c r="COF35" s="770"/>
      <c r="CON35" s="1041"/>
      <c r="COO35" s="1041"/>
      <c r="COP35" s="770"/>
      <c r="COR35" s="770"/>
      <c r="COS35" s="770"/>
      <c r="CPA35" s="1041"/>
      <c r="CPB35" s="1041"/>
      <c r="CPC35" s="770"/>
      <c r="CPE35" s="770"/>
      <c r="CPF35" s="770"/>
      <c r="CPN35" s="1041"/>
      <c r="CPO35" s="1041"/>
      <c r="CPP35" s="770"/>
      <c r="CPR35" s="770"/>
      <c r="CPS35" s="770"/>
      <c r="CQA35" s="1041"/>
      <c r="CQB35" s="1041"/>
      <c r="CQC35" s="770"/>
      <c r="CQE35" s="770"/>
      <c r="CQF35" s="770"/>
      <c r="CQN35" s="1041"/>
      <c r="CQO35" s="1041"/>
      <c r="CQP35" s="770"/>
      <c r="CQR35" s="770"/>
      <c r="CQS35" s="770"/>
      <c r="CRA35" s="1041"/>
      <c r="CRB35" s="1041"/>
      <c r="CRC35" s="770"/>
      <c r="CRE35" s="770"/>
      <c r="CRF35" s="770"/>
      <c r="CRN35" s="1041"/>
      <c r="CRO35" s="1041"/>
      <c r="CRP35" s="770"/>
      <c r="CRR35" s="770"/>
      <c r="CRS35" s="770"/>
      <c r="CSA35" s="1041"/>
      <c r="CSB35" s="1041"/>
      <c r="CSC35" s="770"/>
      <c r="CSE35" s="770"/>
      <c r="CSF35" s="770"/>
      <c r="CSN35" s="1041"/>
      <c r="CSO35" s="1041"/>
      <c r="CSP35" s="770"/>
      <c r="CSR35" s="770"/>
      <c r="CSS35" s="770"/>
      <c r="CTA35" s="1041"/>
      <c r="CTB35" s="1041"/>
      <c r="CTC35" s="770"/>
      <c r="CTE35" s="770"/>
      <c r="CTF35" s="770"/>
      <c r="CTN35" s="1041"/>
      <c r="CTO35" s="1041"/>
      <c r="CTP35" s="770"/>
      <c r="CTR35" s="770"/>
      <c r="CTS35" s="770"/>
      <c r="CUA35" s="1041"/>
      <c r="CUB35" s="1041"/>
      <c r="CUC35" s="770"/>
      <c r="CUE35" s="770"/>
      <c r="CUF35" s="770"/>
      <c r="CUN35" s="1041"/>
      <c r="CUO35" s="1041"/>
      <c r="CUP35" s="770"/>
      <c r="CUR35" s="770"/>
      <c r="CUS35" s="770"/>
      <c r="CVA35" s="1041"/>
      <c r="CVB35" s="1041"/>
      <c r="CVC35" s="770"/>
      <c r="CVE35" s="770"/>
      <c r="CVF35" s="770"/>
      <c r="CVN35" s="1041"/>
      <c r="CVO35" s="1041"/>
      <c r="CVP35" s="770"/>
      <c r="CVR35" s="770"/>
      <c r="CVS35" s="770"/>
      <c r="CWA35" s="1041"/>
      <c r="CWB35" s="1041"/>
      <c r="CWC35" s="770"/>
      <c r="CWE35" s="770"/>
      <c r="CWF35" s="770"/>
      <c r="CWN35" s="1041"/>
      <c r="CWO35" s="1041"/>
      <c r="CWP35" s="770"/>
      <c r="CWR35" s="770"/>
      <c r="CWS35" s="770"/>
      <c r="CXA35" s="1041"/>
      <c r="CXB35" s="1041"/>
      <c r="CXC35" s="770"/>
      <c r="CXE35" s="770"/>
      <c r="CXF35" s="770"/>
      <c r="CXN35" s="1041"/>
      <c r="CXO35" s="1041"/>
      <c r="CXP35" s="770"/>
      <c r="CXR35" s="770"/>
      <c r="CXS35" s="770"/>
      <c r="CYA35" s="1041"/>
      <c r="CYB35" s="1041"/>
      <c r="CYC35" s="770"/>
      <c r="CYE35" s="770"/>
      <c r="CYF35" s="770"/>
      <c r="CYN35" s="1041"/>
      <c r="CYO35" s="1041"/>
      <c r="CYP35" s="770"/>
      <c r="CYR35" s="770"/>
      <c r="CYS35" s="770"/>
      <c r="CZA35" s="1041"/>
      <c r="CZB35" s="1041"/>
      <c r="CZC35" s="770"/>
      <c r="CZE35" s="770"/>
      <c r="CZF35" s="770"/>
      <c r="CZN35" s="1041"/>
      <c r="CZO35" s="1041"/>
      <c r="CZP35" s="770"/>
      <c r="CZR35" s="770"/>
      <c r="CZS35" s="770"/>
      <c r="DAA35" s="1041"/>
      <c r="DAB35" s="1041"/>
      <c r="DAC35" s="770"/>
      <c r="DAE35" s="770"/>
      <c r="DAF35" s="770"/>
      <c r="DAN35" s="1041"/>
      <c r="DAO35" s="1041"/>
      <c r="DAP35" s="770"/>
      <c r="DAR35" s="770"/>
      <c r="DAS35" s="770"/>
      <c r="DBA35" s="1041"/>
      <c r="DBB35" s="1041"/>
      <c r="DBC35" s="770"/>
      <c r="DBE35" s="770"/>
      <c r="DBF35" s="770"/>
      <c r="DBN35" s="1041"/>
      <c r="DBO35" s="1041"/>
      <c r="DBP35" s="770"/>
      <c r="DBR35" s="770"/>
      <c r="DBS35" s="770"/>
      <c r="DCA35" s="1041"/>
      <c r="DCB35" s="1041"/>
      <c r="DCC35" s="770"/>
      <c r="DCE35" s="770"/>
      <c r="DCF35" s="770"/>
      <c r="DCN35" s="1041"/>
      <c r="DCO35" s="1041"/>
      <c r="DCP35" s="770"/>
      <c r="DCR35" s="770"/>
      <c r="DCS35" s="770"/>
      <c r="DDA35" s="1041"/>
      <c r="DDB35" s="1041"/>
      <c r="DDC35" s="770"/>
      <c r="DDE35" s="770"/>
      <c r="DDF35" s="770"/>
      <c r="DDN35" s="1041"/>
      <c r="DDO35" s="1041"/>
      <c r="DDP35" s="770"/>
      <c r="DDR35" s="770"/>
      <c r="DDS35" s="770"/>
      <c r="DEA35" s="1041"/>
      <c r="DEB35" s="1041"/>
      <c r="DEC35" s="770"/>
      <c r="DEE35" s="770"/>
      <c r="DEF35" s="770"/>
      <c r="DEN35" s="1041"/>
      <c r="DEO35" s="1041"/>
      <c r="DEP35" s="770"/>
      <c r="DER35" s="770"/>
      <c r="DES35" s="770"/>
      <c r="DFA35" s="1041"/>
      <c r="DFB35" s="1041"/>
      <c r="DFC35" s="770"/>
      <c r="DFE35" s="770"/>
      <c r="DFF35" s="770"/>
      <c r="DFN35" s="1041"/>
      <c r="DFO35" s="1041"/>
      <c r="DFP35" s="770"/>
      <c r="DFR35" s="770"/>
      <c r="DFS35" s="770"/>
      <c r="DGA35" s="1041"/>
      <c r="DGB35" s="1041"/>
      <c r="DGC35" s="770"/>
      <c r="DGE35" s="770"/>
      <c r="DGF35" s="770"/>
      <c r="DGN35" s="1041"/>
      <c r="DGO35" s="1041"/>
      <c r="DGP35" s="770"/>
      <c r="DGR35" s="770"/>
      <c r="DGS35" s="770"/>
      <c r="DHA35" s="1041"/>
      <c r="DHB35" s="1041"/>
      <c r="DHC35" s="770"/>
      <c r="DHE35" s="770"/>
      <c r="DHF35" s="770"/>
      <c r="DHN35" s="1041"/>
      <c r="DHO35" s="1041"/>
      <c r="DHP35" s="770"/>
      <c r="DHR35" s="770"/>
      <c r="DHS35" s="770"/>
      <c r="DIA35" s="1041"/>
      <c r="DIB35" s="1041"/>
      <c r="DIC35" s="770"/>
      <c r="DIE35" s="770"/>
      <c r="DIF35" s="770"/>
      <c r="DIN35" s="1041"/>
      <c r="DIO35" s="1041"/>
      <c r="DIP35" s="770"/>
      <c r="DIR35" s="770"/>
      <c r="DIS35" s="770"/>
      <c r="DJA35" s="1041"/>
      <c r="DJB35" s="1041"/>
      <c r="DJC35" s="770"/>
      <c r="DJE35" s="770"/>
      <c r="DJF35" s="770"/>
      <c r="DJN35" s="1041"/>
      <c r="DJO35" s="1041"/>
      <c r="DJP35" s="770"/>
      <c r="DJR35" s="770"/>
      <c r="DJS35" s="770"/>
      <c r="DKA35" s="1041"/>
      <c r="DKB35" s="1041"/>
      <c r="DKC35" s="770"/>
      <c r="DKE35" s="770"/>
      <c r="DKF35" s="770"/>
      <c r="DKN35" s="1041"/>
      <c r="DKO35" s="1041"/>
      <c r="DKP35" s="770"/>
      <c r="DKR35" s="770"/>
      <c r="DKS35" s="770"/>
      <c r="DLA35" s="1041"/>
      <c r="DLB35" s="1041"/>
      <c r="DLC35" s="770"/>
      <c r="DLE35" s="770"/>
      <c r="DLF35" s="770"/>
      <c r="DLN35" s="1041"/>
      <c r="DLO35" s="1041"/>
      <c r="DLP35" s="770"/>
      <c r="DLR35" s="770"/>
      <c r="DLS35" s="770"/>
      <c r="DMA35" s="1041"/>
      <c r="DMB35" s="1041"/>
      <c r="DMC35" s="770"/>
      <c r="DME35" s="770"/>
      <c r="DMF35" s="770"/>
      <c r="DMN35" s="1041"/>
      <c r="DMO35" s="1041"/>
      <c r="DMP35" s="770"/>
      <c r="DMR35" s="770"/>
      <c r="DMS35" s="770"/>
      <c r="DNA35" s="1041"/>
      <c r="DNB35" s="1041"/>
      <c r="DNC35" s="770"/>
      <c r="DNE35" s="770"/>
      <c r="DNF35" s="770"/>
      <c r="DNN35" s="1041"/>
      <c r="DNO35" s="1041"/>
      <c r="DNP35" s="770"/>
      <c r="DNR35" s="770"/>
      <c r="DNS35" s="770"/>
      <c r="DOA35" s="1041"/>
      <c r="DOB35" s="1041"/>
      <c r="DOC35" s="770"/>
      <c r="DOE35" s="770"/>
      <c r="DOF35" s="770"/>
      <c r="DON35" s="1041"/>
      <c r="DOO35" s="1041"/>
      <c r="DOP35" s="770"/>
      <c r="DOR35" s="770"/>
      <c r="DOS35" s="770"/>
      <c r="DPA35" s="1041"/>
      <c r="DPB35" s="1041"/>
      <c r="DPC35" s="770"/>
      <c r="DPE35" s="770"/>
      <c r="DPF35" s="770"/>
      <c r="DPN35" s="1041"/>
      <c r="DPO35" s="1041"/>
      <c r="DPP35" s="770"/>
      <c r="DPR35" s="770"/>
      <c r="DPS35" s="770"/>
      <c r="DQA35" s="1041"/>
      <c r="DQB35" s="1041"/>
      <c r="DQC35" s="770"/>
      <c r="DQE35" s="770"/>
      <c r="DQF35" s="770"/>
      <c r="DQN35" s="1041"/>
      <c r="DQO35" s="1041"/>
      <c r="DQP35" s="770"/>
      <c r="DQR35" s="770"/>
      <c r="DQS35" s="770"/>
      <c r="DRA35" s="1041"/>
      <c r="DRB35" s="1041"/>
      <c r="DRC35" s="770"/>
      <c r="DRE35" s="770"/>
      <c r="DRF35" s="770"/>
      <c r="DRN35" s="1041"/>
      <c r="DRO35" s="1041"/>
      <c r="DRP35" s="770"/>
      <c r="DRR35" s="770"/>
      <c r="DRS35" s="770"/>
      <c r="DSA35" s="1041"/>
      <c r="DSB35" s="1041"/>
      <c r="DSC35" s="770"/>
      <c r="DSE35" s="770"/>
      <c r="DSF35" s="770"/>
      <c r="DSN35" s="1041"/>
      <c r="DSO35" s="1041"/>
      <c r="DSP35" s="770"/>
      <c r="DSR35" s="770"/>
      <c r="DSS35" s="770"/>
      <c r="DTA35" s="1041"/>
      <c r="DTB35" s="1041"/>
      <c r="DTC35" s="770"/>
      <c r="DTE35" s="770"/>
      <c r="DTF35" s="770"/>
      <c r="DTN35" s="1041"/>
      <c r="DTO35" s="1041"/>
      <c r="DTP35" s="770"/>
      <c r="DTR35" s="770"/>
      <c r="DTS35" s="770"/>
      <c r="DUA35" s="1041"/>
      <c r="DUB35" s="1041"/>
      <c r="DUC35" s="770"/>
      <c r="DUE35" s="770"/>
      <c r="DUF35" s="770"/>
      <c r="DUN35" s="1041"/>
      <c r="DUO35" s="1041"/>
      <c r="DUP35" s="770"/>
      <c r="DUR35" s="770"/>
      <c r="DUS35" s="770"/>
      <c r="DVA35" s="1041"/>
      <c r="DVB35" s="1041"/>
      <c r="DVC35" s="770"/>
      <c r="DVE35" s="770"/>
      <c r="DVF35" s="770"/>
      <c r="DVN35" s="1041"/>
      <c r="DVO35" s="1041"/>
      <c r="DVP35" s="770"/>
      <c r="DVR35" s="770"/>
      <c r="DVS35" s="770"/>
      <c r="DWA35" s="1041"/>
      <c r="DWB35" s="1041"/>
      <c r="DWC35" s="770"/>
      <c r="DWE35" s="770"/>
      <c r="DWF35" s="770"/>
      <c r="DWN35" s="1041"/>
      <c r="DWO35" s="1041"/>
      <c r="DWP35" s="770"/>
      <c r="DWR35" s="770"/>
      <c r="DWS35" s="770"/>
      <c r="DXA35" s="1041"/>
      <c r="DXB35" s="1041"/>
      <c r="DXC35" s="770"/>
      <c r="DXE35" s="770"/>
      <c r="DXF35" s="770"/>
      <c r="DXN35" s="1041"/>
      <c r="DXO35" s="1041"/>
      <c r="DXP35" s="770"/>
      <c r="DXR35" s="770"/>
      <c r="DXS35" s="770"/>
      <c r="DYA35" s="1041"/>
      <c r="DYB35" s="1041"/>
      <c r="DYC35" s="770"/>
      <c r="DYE35" s="770"/>
      <c r="DYF35" s="770"/>
      <c r="DYN35" s="1041"/>
      <c r="DYO35" s="1041"/>
      <c r="DYP35" s="770"/>
      <c r="DYR35" s="770"/>
      <c r="DYS35" s="770"/>
      <c r="DZA35" s="1041"/>
      <c r="DZB35" s="1041"/>
      <c r="DZC35" s="770"/>
      <c r="DZE35" s="770"/>
      <c r="DZF35" s="770"/>
      <c r="DZN35" s="1041"/>
      <c r="DZO35" s="1041"/>
      <c r="DZP35" s="770"/>
      <c r="DZR35" s="770"/>
      <c r="DZS35" s="770"/>
      <c r="EAA35" s="1041"/>
      <c r="EAB35" s="1041"/>
      <c r="EAC35" s="770"/>
      <c r="EAE35" s="770"/>
      <c r="EAF35" s="770"/>
      <c r="EAN35" s="1041"/>
      <c r="EAO35" s="1041"/>
      <c r="EAP35" s="770"/>
      <c r="EAR35" s="770"/>
      <c r="EAS35" s="770"/>
      <c r="EBA35" s="1041"/>
      <c r="EBB35" s="1041"/>
      <c r="EBC35" s="770"/>
      <c r="EBE35" s="770"/>
      <c r="EBF35" s="770"/>
      <c r="EBN35" s="1041"/>
      <c r="EBO35" s="1041"/>
      <c r="EBP35" s="770"/>
      <c r="EBR35" s="770"/>
      <c r="EBS35" s="770"/>
      <c r="ECA35" s="1041"/>
      <c r="ECB35" s="1041"/>
      <c r="ECC35" s="770"/>
      <c r="ECE35" s="770"/>
      <c r="ECF35" s="770"/>
      <c r="ECN35" s="1041"/>
      <c r="ECO35" s="1041"/>
      <c r="ECP35" s="770"/>
      <c r="ECR35" s="770"/>
      <c r="ECS35" s="770"/>
      <c r="EDA35" s="1041"/>
      <c r="EDB35" s="1041"/>
      <c r="EDC35" s="770"/>
      <c r="EDE35" s="770"/>
      <c r="EDF35" s="770"/>
      <c r="EDN35" s="1041"/>
      <c r="EDO35" s="1041"/>
      <c r="EDP35" s="770"/>
      <c r="EDR35" s="770"/>
      <c r="EDS35" s="770"/>
      <c r="EEA35" s="1041"/>
      <c r="EEB35" s="1041"/>
      <c r="EEC35" s="770"/>
      <c r="EEE35" s="770"/>
      <c r="EEF35" s="770"/>
      <c r="EEN35" s="1041"/>
      <c r="EEO35" s="1041"/>
      <c r="EEP35" s="770"/>
      <c r="EER35" s="770"/>
      <c r="EES35" s="770"/>
      <c r="EFA35" s="1041"/>
      <c r="EFB35" s="1041"/>
      <c r="EFC35" s="770"/>
      <c r="EFE35" s="770"/>
      <c r="EFF35" s="770"/>
      <c r="EFN35" s="1041"/>
      <c r="EFO35" s="1041"/>
      <c r="EFP35" s="770"/>
      <c r="EFR35" s="770"/>
      <c r="EFS35" s="770"/>
      <c r="EGA35" s="1041"/>
      <c r="EGB35" s="1041"/>
      <c r="EGC35" s="770"/>
      <c r="EGE35" s="770"/>
      <c r="EGF35" s="770"/>
      <c r="EGN35" s="1041"/>
      <c r="EGO35" s="1041"/>
      <c r="EGP35" s="770"/>
      <c r="EGR35" s="770"/>
      <c r="EGS35" s="770"/>
      <c r="EHA35" s="1041"/>
      <c r="EHB35" s="1041"/>
      <c r="EHC35" s="770"/>
      <c r="EHE35" s="770"/>
      <c r="EHF35" s="770"/>
      <c r="EHN35" s="1041"/>
      <c r="EHO35" s="1041"/>
      <c r="EHP35" s="770"/>
      <c r="EHR35" s="770"/>
      <c r="EHS35" s="770"/>
      <c r="EIA35" s="1041"/>
      <c r="EIB35" s="1041"/>
      <c r="EIC35" s="770"/>
      <c r="EIE35" s="770"/>
      <c r="EIF35" s="770"/>
      <c r="EIN35" s="1041"/>
      <c r="EIO35" s="1041"/>
      <c r="EIP35" s="770"/>
      <c r="EIR35" s="770"/>
      <c r="EIS35" s="770"/>
      <c r="EJA35" s="1041"/>
      <c r="EJB35" s="1041"/>
      <c r="EJC35" s="770"/>
      <c r="EJE35" s="770"/>
      <c r="EJF35" s="770"/>
      <c r="EJN35" s="1041"/>
      <c r="EJO35" s="1041"/>
      <c r="EJP35" s="770"/>
      <c r="EJR35" s="770"/>
      <c r="EJS35" s="770"/>
      <c r="EKA35" s="1041"/>
      <c r="EKB35" s="1041"/>
      <c r="EKC35" s="770"/>
      <c r="EKE35" s="770"/>
      <c r="EKF35" s="770"/>
      <c r="EKN35" s="1041"/>
      <c r="EKO35" s="1041"/>
      <c r="EKP35" s="770"/>
      <c r="EKR35" s="770"/>
      <c r="EKS35" s="770"/>
      <c r="ELA35" s="1041"/>
      <c r="ELB35" s="1041"/>
      <c r="ELC35" s="770"/>
      <c r="ELE35" s="770"/>
      <c r="ELF35" s="770"/>
      <c r="ELN35" s="1041"/>
      <c r="ELO35" s="1041"/>
      <c r="ELP35" s="770"/>
      <c r="ELR35" s="770"/>
      <c r="ELS35" s="770"/>
      <c r="EMA35" s="1041"/>
      <c r="EMB35" s="1041"/>
      <c r="EMC35" s="770"/>
      <c r="EME35" s="770"/>
      <c r="EMF35" s="770"/>
      <c r="EMN35" s="1041"/>
      <c r="EMO35" s="1041"/>
      <c r="EMP35" s="770"/>
      <c r="EMR35" s="770"/>
      <c r="EMS35" s="770"/>
      <c r="ENA35" s="1041"/>
      <c r="ENB35" s="1041"/>
      <c r="ENC35" s="770"/>
      <c r="ENE35" s="770"/>
      <c r="ENF35" s="770"/>
      <c r="ENN35" s="1041"/>
      <c r="ENO35" s="1041"/>
      <c r="ENP35" s="770"/>
      <c r="ENR35" s="770"/>
      <c r="ENS35" s="770"/>
      <c r="EOA35" s="1041"/>
      <c r="EOB35" s="1041"/>
      <c r="EOC35" s="770"/>
      <c r="EOE35" s="770"/>
      <c r="EOF35" s="770"/>
      <c r="EON35" s="1041"/>
      <c r="EOO35" s="1041"/>
      <c r="EOP35" s="770"/>
      <c r="EOR35" s="770"/>
      <c r="EOS35" s="770"/>
      <c r="EPA35" s="1041"/>
      <c r="EPB35" s="1041"/>
      <c r="EPC35" s="770"/>
      <c r="EPE35" s="770"/>
      <c r="EPF35" s="770"/>
      <c r="EPN35" s="1041"/>
      <c r="EPO35" s="1041"/>
      <c r="EPP35" s="770"/>
      <c r="EPR35" s="770"/>
      <c r="EPS35" s="770"/>
      <c r="EQA35" s="1041"/>
      <c r="EQB35" s="1041"/>
      <c r="EQC35" s="770"/>
      <c r="EQE35" s="770"/>
      <c r="EQF35" s="770"/>
      <c r="EQN35" s="1041"/>
      <c r="EQO35" s="1041"/>
      <c r="EQP35" s="770"/>
      <c r="EQR35" s="770"/>
      <c r="EQS35" s="770"/>
      <c r="ERA35" s="1041"/>
      <c r="ERB35" s="1041"/>
      <c r="ERC35" s="770"/>
      <c r="ERE35" s="770"/>
      <c r="ERF35" s="770"/>
      <c r="ERN35" s="1041"/>
      <c r="ERO35" s="1041"/>
      <c r="ERP35" s="770"/>
      <c r="ERR35" s="770"/>
      <c r="ERS35" s="770"/>
      <c r="ESA35" s="1041"/>
      <c r="ESB35" s="1041"/>
      <c r="ESC35" s="770"/>
      <c r="ESE35" s="770"/>
      <c r="ESF35" s="770"/>
      <c r="ESN35" s="1041"/>
      <c r="ESO35" s="1041"/>
      <c r="ESP35" s="770"/>
      <c r="ESR35" s="770"/>
      <c r="ESS35" s="770"/>
      <c r="ETA35" s="1041"/>
      <c r="ETB35" s="1041"/>
      <c r="ETC35" s="770"/>
      <c r="ETE35" s="770"/>
      <c r="ETF35" s="770"/>
      <c r="ETN35" s="1041"/>
      <c r="ETO35" s="1041"/>
      <c r="ETP35" s="770"/>
      <c r="ETR35" s="770"/>
      <c r="ETS35" s="770"/>
      <c r="EUA35" s="1041"/>
      <c r="EUB35" s="1041"/>
      <c r="EUC35" s="770"/>
      <c r="EUE35" s="770"/>
      <c r="EUF35" s="770"/>
      <c r="EUN35" s="1041"/>
      <c r="EUO35" s="1041"/>
      <c r="EUP35" s="770"/>
      <c r="EUR35" s="770"/>
      <c r="EUS35" s="770"/>
      <c r="EVA35" s="1041"/>
      <c r="EVB35" s="1041"/>
      <c r="EVC35" s="770"/>
      <c r="EVE35" s="770"/>
      <c r="EVF35" s="770"/>
      <c r="EVN35" s="1041"/>
      <c r="EVO35" s="1041"/>
      <c r="EVP35" s="770"/>
      <c r="EVR35" s="770"/>
      <c r="EVS35" s="770"/>
      <c r="EWA35" s="1041"/>
      <c r="EWB35" s="1041"/>
      <c r="EWC35" s="770"/>
      <c r="EWE35" s="770"/>
      <c r="EWF35" s="770"/>
      <c r="EWN35" s="1041"/>
      <c r="EWO35" s="1041"/>
      <c r="EWP35" s="770"/>
      <c r="EWR35" s="770"/>
      <c r="EWS35" s="770"/>
      <c r="EXA35" s="1041"/>
      <c r="EXB35" s="1041"/>
      <c r="EXC35" s="770"/>
      <c r="EXE35" s="770"/>
      <c r="EXF35" s="770"/>
      <c r="EXN35" s="1041"/>
      <c r="EXO35" s="1041"/>
      <c r="EXP35" s="770"/>
      <c r="EXR35" s="770"/>
      <c r="EXS35" s="770"/>
      <c r="EYA35" s="1041"/>
      <c r="EYB35" s="1041"/>
      <c r="EYC35" s="770"/>
      <c r="EYE35" s="770"/>
      <c r="EYF35" s="770"/>
      <c r="EYN35" s="1041"/>
      <c r="EYO35" s="1041"/>
      <c r="EYP35" s="770"/>
      <c r="EYR35" s="770"/>
      <c r="EYS35" s="770"/>
      <c r="EZA35" s="1041"/>
      <c r="EZB35" s="1041"/>
      <c r="EZC35" s="770"/>
      <c r="EZE35" s="770"/>
      <c r="EZF35" s="770"/>
      <c r="EZN35" s="1041"/>
      <c r="EZO35" s="1041"/>
      <c r="EZP35" s="770"/>
      <c r="EZR35" s="770"/>
      <c r="EZS35" s="770"/>
      <c r="FAA35" s="1041"/>
      <c r="FAB35" s="1041"/>
      <c r="FAC35" s="770"/>
      <c r="FAE35" s="770"/>
      <c r="FAF35" s="770"/>
      <c r="FAN35" s="1041"/>
      <c r="FAO35" s="1041"/>
      <c r="FAP35" s="770"/>
      <c r="FAR35" s="770"/>
      <c r="FAS35" s="770"/>
      <c r="FBA35" s="1041"/>
      <c r="FBB35" s="1041"/>
      <c r="FBC35" s="770"/>
      <c r="FBE35" s="770"/>
      <c r="FBF35" s="770"/>
      <c r="FBN35" s="1041"/>
      <c r="FBO35" s="1041"/>
      <c r="FBP35" s="770"/>
      <c r="FBR35" s="770"/>
      <c r="FBS35" s="770"/>
      <c r="FCA35" s="1041"/>
      <c r="FCB35" s="1041"/>
      <c r="FCC35" s="770"/>
      <c r="FCE35" s="770"/>
      <c r="FCF35" s="770"/>
      <c r="FCN35" s="1041"/>
      <c r="FCO35" s="1041"/>
      <c r="FCP35" s="770"/>
      <c r="FCR35" s="770"/>
      <c r="FCS35" s="770"/>
      <c r="FDA35" s="1041"/>
      <c r="FDB35" s="1041"/>
      <c r="FDC35" s="770"/>
      <c r="FDE35" s="770"/>
      <c r="FDF35" s="770"/>
      <c r="FDN35" s="1041"/>
      <c r="FDO35" s="1041"/>
      <c r="FDP35" s="770"/>
      <c r="FDR35" s="770"/>
      <c r="FDS35" s="770"/>
      <c r="FEA35" s="1041"/>
      <c r="FEB35" s="1041"/>
      <c r="FEC35" s="770"/>
      <c r="FEE35" s="770"/>
      <c r="FEF35" s="770"/>
      <c r="FEN35" s="1041"/>
      <c r="FEO35" s="1041"/>
      <c r="FEP35" s="770"/>
      <c r="FER35" s="770"/>
      <c r="FES35" s="770"/>
      <c r="FFA35" s="1041"/>
      <c r="FFB35" s="1041"/>
      <c r="FFC35" s="770"/>
      <c r="FFE35" s="770"/>
      <c r="FFF35" s="770"/>
      <c r="FFN35" s="1041"/>
      <c r="FFO35" s="1041"/>
      <c r="FFP35" s="770"/>
      <c r="FFR35" s="770"/>
      <c r="FFS35" s="770"/>
      <c r="FGA35" s="1041"/>
      <c r="FGB35" s="1041"/>
      <c r="FGC35" s="770"/>
      <c r="FGE35" s="770"/>
      <c r="FGF35" s="770"/>
      <c r="FGN35" s="1041"/>
      <c r="FGO35" s="1041"/>
      <c r="FGP35" s="770"/>
      <c r="FGR35" s="770"/>
      <c r="FGS35" s="770"/>
      <c r="FHA35" s="1041"/>
      <c r="FHB35" s="1041"/>
      <c r="FHC35" s="770"/>
      <c r="FHE35" s="770"/>
      <c r="FHF35" s="770"/>
      <c r="FHN35" s="1041"/>
      <c r="FHO35" s="1041"/>
      <c r="FHP35" s="770"/>
      <c r="FHR35" s="770"/>
      <c r="FHS35" s="770"/>
      <c r="FIA35" s="1041"/>
      <c r="FIB35" s="1041"/>
      <c r="FIC35" s="770"/>
      <c r="FIE35" s="770"/>
      <c r="FIF35" s="770"/>
      <c r="FIN35" s="1041"/>
      <c r="FIO35" s="1041"/>
      <c r="FIP35" s="770"/>
      <c r="FIR35" s="770"/>
      <c r="FIS35" s="770"/>
      <c r="FJA35" s="1041"/>
      <c r="FJB35" s="1041"/>
      <c r="FJC35" s="770"/>
      <c r="FJE35" s="770"/>
      <c r="FJF35" s="770"/>
      <c r="FJN35" s="1041"/>
      <c r="FJO35" s="1041"/>
      <c r="FJP35" s="770"/>
      <c r="FJR35" s="770"/>
      <c r="FJS35" s="770"/>
      <c r="FKA35" s="1041"/>
      <c r="FKB35" s="1041"/>
      <c r="FKC35" s="770"/>
      <c r="FKE35" s="770"/>
      <c r="FKF35" s="770"/>
      <c r="FKN35" s="1041"/>
      <c r="FKO35" s="1041"/>
      <c r="FKP35" s="770"/>
      <c r="FKR35" s="770"/>
      <c r="FKS35" s="770"/>
      <c r="FLA35" s="1041"/>
      <c r="FLB35" s="1041"/>
      <c r="FLC35" s="770"/>
      <c r="FLE35" s="770"/>
      <c r="FLF35" s="770"/>
      <c r="FLN35" s="1041"/>
      <c r="FLO35" s="1041"/>
      <c r="FLP35" s="770"/>
      <c r="FLR35" s="770"/>
      <c r="FLS35" s="770"/>
      <c r="FMA35" s="1041"/>
      <c r="FMB35" s="1041"/>
      <c r="FMC35" s="770"/>
      <c r="FME35" s="770"/>
      <c r="FMF35" s="770"/>
      <c r="FMN35" s="1041"/>
      <c r="FMO35" s="1041"/>
      <c r="FMP35" s="770"/>
      <c r="FMR35" s="770"/>
      <c r="FMS35" s="770"/>
      <c r="FNA35" s="1041"/>
      <c r="FNB35" s="1041"/>
      <c r="FNC35" s="770"/>
      <c r="FNE35" s="770"/>
      <c r="FNF35" s="770"/>
      <c r="FNN35" s="1041"/>
      <c r="FNO35" s="1041"/>
      <c r="FNP35" s="770"/>
      <c r="FNR35" s="770"/>
      <c r="FNS35" s="770"/>
      <c r="FOA35" s="1041"/>
      <c r="FOB35" s="1041"/>
      <c r="FOC35" s="770"/>
      <c r="FOE35" s="770"/>
      <c r="FOF35" s="770"/>
      <c r="FON35" s="1041"/>
      <c r="FOO35" s="1041"/>
      <c r="FOP35" s="770"/>
      <c r="FOR35" s="770"/>
      <c r="FOS35" s="770"/>
      <c r="FPA35" s="1041"/>
      <c r="FPB35" s="1041"/>
      <c r="FPC35" s="770"/>
      <c r="FPE35" s="770"/>
      <c r="FPF35" s="770"/>
      <c r="FPN35" s="1041"/>
      <c r="FPO35" s="1041"/>
      <c r="FPP35" s="770"/>
      <c r="FPR35" s="770"/>
      <c r="FPS35" s="770"/>
      <c r="FQA35" s="1041"/>
      <c r="FQB35" s="1041"/>
      <c r="FQC35" s="770"/>
      <c r="FQE35" s="770"/>
      <c r="FQF35" s="770"/>
      <c r="FQN35" s="1041"/>
      <c r="FQO35" s="1041"/>
      <c r="FQP35" s="770"/>
      <c r="FQR35" s="770"/>
      <c r="FQS35" s="770"/>
      <c r="FRA35" s="1041"/>
      <c r="FRB35" s="1041"/>
      <c r="FRC35" s="770"/>
      <c r="FRE35" s="770"/>
      <c r="FRF35" s="770"/>
      <c r="FRN35" s="1041"/>
      <c r="FRO35" s="1041"/>
      <c r="FRP35" s="770"/>
      <c r="FRR35" s="770"/>
      <c r="FRS35" s="770"/>
      <c r="FSA35" s="1041"/>
      <c r="FSB35" s="1041"/>
      <c r="FSC35" s="770"/>
      <c r="FSE35" s="770"/>
      <c r="FSF35" s="770"/>
      <c r="FSN35" s="1041"/>
      <c r="FSO35" s="1041"/>
      <c r="FSP35" s="770"/>
      <c r="FSR35" s="770"/>
      <c r="FSS35" s="770"/>
      <c r="FTA35" s="1041"/>
      <c r="FTB35" s="1041"/>
      <c r="FTC35" s="770"/>
      <c r="FTE35" s="770"/>
      <c r="FTF35" s="770"/>
      <c r="FTN35" s="1041"/>
      <c r="FTO35" s="1041"/>
      <c r="FTP35" s="770"/>
      <c r="FTR35" s="770"/>
      <c r="FTS35" s="770"/>
      <c r="FUA35" s="1041"/>
      <c r="FUB35" s="1041"/>
      <c r="FUC35" s="770"/>
      <c r="FUE35" s="770"/>
      <c r="FUF35" s="770"/>
      <c r="FUN35" s="1041"/>
      <c r="FUO35" s="1041"/>
      <c r="FUP35" s="770"/>
      <c r="FUR35" s="770"/>
      <c r="FUS35" s="770"/>
      <c r="FVA35" s="1041"/>
      <c r="FVB35" s="1041"/>
      <c r="FVC35" s="770"/>
      <c r="FVE35" s="770"/>
      <c r="FVF35" s="770"/>
      <c r="FVN35" s="1041"/>
      <c r="FVO35" s="1041"/>
      <c r="FVP35" s="770"/>
      <c r="FVR35" s="770"/>
      <c r="FVS35" s="770"/>
      <c r="FWA35" s="1041"/>
      <c r="FWB35" s="1041"/>
      <c r="FWC35" s="770"/>
      <c r="FWE35" s="770"/>
      <c r="FWF35" s="770"/>
      <c r="FWN35" s="1041"/>
      <c r="FWO35" s="1041"/>
      <c r="FWP35" s="770"/>
      <c r="FWR35" s="770"/>
      <c r="FWS35" s="770"/>
      <c r="FXA35" s="1041"/>
      <c r="FXB35" s="1041"/>
      <c r="FXC35" s="770"/>
      <c r="FXE35" s="770"/>
      <c r="FXF35" s="770"/>
      <c r="FXN35" s="1041"/>
      <c r="FXO35" s="1041"/>
      <c r="FXP35" s="770"/>
      <c r="FXR35" s="770"/>
      <c r="FXS35" s="770"/>
      <c r="FYA35" s="1041"/>
      <c r="FYB35" s="1041"/>
      <c r="FYC35" s="770"/>
      <c r="FYE35" s="770"/>
      <c r="FYF35" s="770"/>
      <c r="FYN35" s="1041"/>
      <c r="FYO35" s="1041"/>
      <c r="FYP35" s="770"/>
      <c r="FYR35" s="770"/>
      <c r="FYS35" s="770"/>
      <c r="FZA35" s="1041"/>
      <c r="FZB35" s="1041"/>
      <c r="FZC35" s="770"/>
      <c r="FZE35" s="770"/>
      <c r="FZF35" s="770"/>
      <c r="FZN35" s="1041"/>
      <c r="FZO35" s="1041"/>
      <c r="FZP35" s="770"/>
      <c r="FZR35" s="770"/>
      <c r="FZS35" s="770"/>
      <c r="GAA35" s="1041"/>
      <c r="GAB35" s="1041"/>
      <c r="GAC35" s="770"/>
      <c r="GAE35" s="770"/>
      <c r="GAF35" s="770"/>
      <c r="GAN35" s="1041"/>
      <c r="GAO35" s="1041"/>
      <c r="GAP35" s="770"/>
      <c r="GAR35" s="770"/>
      <c r="GAS35" s="770"/>
      <c r="GBA35" s="1041"/>
      <c r="GBB35" s="1041"/>
      <c r="GBC35" s="770"/>
      <c r="GBE35" s="770"/>
      <c r="GBF35" s="770"/>
      <c r="GBN35" s="1041"/>
      <c r="GBO35" s="1041"/>
      <c r="GBP35" s="770"/>
      <c r="GBR35" s="770"/>
      <c r="GBS35" s="770"/>
      <c r="GCA35" s="1041"/>
      <c r="GCB35" s="1041"/>
      <c r="GCC35" s="770"/>
      <c r="GCE35" s="770"/>
      <c r="GCF35" s="770"/>
      <c r="GCN35" s="1041"/>
      <c r="GCO35" s="1041"/>
      <c r="GCP35" s="770"/>
      <c r="GCR35" s="770"/>
      <c r="GCS35" s="770"/>
      <c r="GDA35" s="1041"/>
      <c r="GDB35" s="1041"/>
      <c r="GDC35" s="770"/>
      <c r="GDE35" s="770"/>
      <c r="GDF35" s="770"/>
      <c r="GDN35" s="1041"/>
      <c r="GDO35" s="1041"/>
      <c r="GDP35" s="770"/>
      <c r="GDR35" s="770"/>
      <c r="GDS35" s="770"/>
      <c r="GEA35" s="1041"/>
      <c r="GEB35" s="1041"/>
      <c r="GEC35" s="770"/>
      <c r="GEE35" s="770"/>
      <c r="GEF35" s="770"/>
      <c r="GEN35" s="1041"/>
      <c r="GEO35" s="1041"/>
      <c r="GEP35" s="770"/>
      <c r="GER35" s="770"/>
      <c r="GES35" s="770"/>
      <c r="GFA35" s="1041"/>
      <c r="GFB35" s="1041"/>
      <c r="GFC35" s="770"/>
      <c r="GFE35" s="770"/>
      <c r="GFF35" s="770"/>
      <c r="GFN35" s="1041"/>
      <c r="GFO35" s="1041"/>
      <c r="GFP35" s="770"/>
      <c r="GFR35" s="770"/>
      <c r="GFS35" s="770"/>
      <c r="GGA35" s="1041"/>
      <c r="GGB35" s="1041"/>
      <c r="GGC35" s="770"/>
      <c r="GGE35" s="770"/>
      <c r="GGF35" s="770"/>
      <c r="GGN35" s="1041"/>
      <c r="GGO35" s="1041"/>
      <c r="GGP35" s="770"/>
      <c r="GGR35" s="770"/>
      <c r="GGS35" s="770"/>
      <c r="GHA35" s="1041"/>
      <c r="GHB35" s="1041"/>
      <c r="GHC35" s="770"/>
      <c r="GHE35" s="770"/>
      <c r="GHF35" s="770"/>
      <c r="GHN35" s="1041"/>
      <c r="GHO35" s="1041"/>
      <c r="GHP35" s="770"/>
      <c r="GHR35" s="770"/>
      <c r="GHS35" s="770"/>
      <c r="GIA35" s="1041"/>
      <c r="GIB35" s="1041"/>
      <c r="GIC35" s="770"/>
      <c r="GIE35" s="770"/>
      <c r="GIF35" s="770"/>
      <c r="GIN35" s="1041"/>
      <c r="GIO35" s="1041"/>
      <c r="GIP35" s="770"/>
      <c r="GIR35" s="770"/>
      <c r="GIS35" s="770"/>
      <c r="GJA35" s="1041"/>
      <c r="GJB35" s="1041"/>
      <c r="GJC35" s="770"/>
      <c r="GJE35" s="770"/>
      <c r="GJF35" s="770"/>
      <c r="GJN35" s="1041"/>
      <c r="GJO35" s="1041"/>
      <c r="GJP35" s="770"/>
      <c r="GJR35" s="770"/>
      <c r="GJS35" s="770"/>
      <c r="GKA35" s="1041"/>
      <c r="GKB35" s="1041"/>
      <c r="GKC35" s="770"/>
      <c r="GKE35" s="770"/>
      <c r="GKF35" s="770"/>
      <c r="GKN35" s="1041"/>
      <c r="GKO35" s="1041"/>
      <c r="GKP35" s="770"/>
      <c r="GKR35" s="770"/>
      <c r="GKS35" s="770"/>
      <c r="GLA35" s="1041"/>
      <c r="GLB35" s="1041"/>
      <c r="GLC35" s="770"/>
      <c r="GLE35" s="770"/>
      <c r="GLF35" s="770"/>
      <c r="GLN35" s="1041"/>
      <c r="GLO35" s="1041"/>
      <c r="GLP35" s="770"/>
      <c r="GLR35" s="770"/>
      <c r="GLS35" s="770"/>
      <c r="GMA35" s="1041"/>
      <c r="GMB35" s="1041"/>
      <c r="GMC35" s="770"/>
      <c r="GME35" s="770"/>
      <c r="GMF35" s="770"/>
      <c r="GMN35" s="1041"/>
      <c r="GMO35" s="1041"/>
      <c r="GMP35" s="770"/>
      <c r="GMR35" s="770"/>
      <c r="GMS35" s="770"/>
      <c r="GNA35" s="1041"/>
      <c r="GNB35" s="1041"/>
      <c r="GNC35" s="770"/>
      <c r="GNE35" s="770"/>
      <c r="GNF35" s="770"/>
      <c r="GNN35" s="1041"/>
      <c r="GNO35" s="1041"/>
      <c r="GNP35" s="770"/>
      <c r="GNR35" s="770"/>
      <c r="GNS35" s="770"/>
      <c r="GOA35" s="1041"/>
      <c r="GOB35" s="1041"/>
      <c r="GOC35" s="770"/>
      <c r="GOE35" s="770"/>
      <c r="GOF35" s="770"/>
      <c r="GON35" s="1041"/>
      <c r="GOO35" s="1041"/>
      <c r="GOP35" s="770"/>
      <c r="GOR35" s="770"/>
      <c r="GOS35" s="770"/>
      <c r="GPA35" s="1041"/>
      <c r="GPB35" s="1041"/>
      <c r="GPC35" s="770"/>
      <c r="GPE35" s="770"/>
      <c r="GPF35" s="770"/>
      <c r="GPN35" s="1041"/>
      <c r="GPO35" s="1041"/>
      <c r="GPP35" s="770"/>
      <c r="GPR35" s="770"/>
      <c r="GPS35" s="770"/>
      <c r="GQA35" s="1041"/>
      <c r="GQB35" s="1041"/>
      <c r="GQC35" s="770"/>
      <c r="GQE35" s="770"/>
      <c r="GQF35" s="770"/>
      <c r="GQN35" s="1041"/>
      <c r="GQO35" s="1041"/>
      <c r="GQP35" s="770"/>
      <c r="GQR35" s="770"/>
      <c r="GQS35" s="770"/>
      <c r="GRA35" s="1041"/>
      <c r="GRB35" s="1041"/>
      <c r="GRC35" s="770"/>
      <c r="GRE35" s="770"/>
      <c r="GRF35" s="770"/>
      <c r="GRN35" s="1041"/>
      <c r="GRO35" s="1041"/>
      <c r="GRP35" s="770"/>
      <c r="GRR35" s="770"/>
      <c r="GRS35" s="770"/>
      <c r="GSA35" s="1041"/>
      <c r="GSB35" s="1041"/>
      <c r="GSC35" s="770"/>
      <c r="GSE35" s="770"/>
      <c r="GSF35" s="770"/>
      <c r="GSN35" s="1041"/>
      <c r="GSO35" s="1041"/>
      <c r="GSP35" s="770"/>
      <c r="GSR35" s="770"/>
      <c r="GSS35" s="770"/>
      <c r="GTA35" s="1041"/>
      <c r="GTB35" s="1041"/>
      <c r="GTC35" s="770"/>
      <c r="GTE35" s="770"/>
      <c r="GTF35" s="770"/>
      <c r="GTN35" s="1041"/>
      <c r="GTO35" s="1041"/>
      <c r="GTP35" s="770"/>
      <c r="GTR35" s="770"/>
      <c r="GTS35" s="770"/>
      <c r="GUA35" s="1041"/>
      <c r="GUB35" s="1041"/>
      <c r="GUC35" s="770"/>
      <c r="GUE35" s="770"/>
      <c r="GUF35" s="770"/>
      <c r="GUN35" s="1041"/>
      <c r="GUO35" s="1041"/>
      <c r="GUP35" s="770"/>
      <c r="GUR35" s="770"/>
      <c r="GUS35" s="770"/>
      <c r="GVA35" s="1041"/>
      <c r="GVB35" s="1041"/>
      <c r="GVC35" s="770"/>
      <c r="GVE35" s="770"/>
      <c r="GVF35" s="770"/>
      <c r="GVN35" s="1041"/>
      <c r="GVO35" s="1041"/>
      <c r="GVP35" s="770"/>
      <c r="GVR35" s="770"/>
      <c r="GVS35" s="770"/>
      <c r="GWA35" s="1041"/>
      <c r="GWB35" s="1041"/>
      <c r="GWC35" s="770"/>
      <c r="GWE35" s="770"/>
      <c r="GWF35" s="770"/>
      <c r="GWN35" s="1041"/>
      <c r="GWO35" s="1041"/>
      <c r="GWP35" s="770"/>
      <c r="GWR35" s="770"/>
      <c r="GWS35" s="770"/>
      <c r="GXA35" s="1041"/>
      <c r="GXB35" s="1041"/>
      <c r="GXC35" s="770"/>
      <c r="GXE35" s="770"/>
      <c r="GXF35" s="770"/>
      <c r="GXN35" s="1041"/>
      <c r="GXO35" s="1041"/>
      <c r="GXP35" s="770"/>
      <c r="GXR35" s="770"/>
      <c r="GXS35" s="770"/>
      <c r="GYA35" s="1041"/>
      <c r="GYB35" s="1041"/>
      <c r="GYC35" s="770"/>
      <c r="GYE35" s="770"/>
      <c r="GYF35" s="770"/>
      <c r="GYN35" s="1041"/>
      <c r="GYO35" s="1041"/>
      <c r="GYP35" s="770"/>
      <c r="GYR35" s="770"/>
      <c r="GYS35" s="770"/>
      <c r="GZA35" s="1041"/>
      <c r="GZB35" s="1041"/>
      <c r="GZC35" s="770"/>
      <c r="GZE35" s="770"/>
      <c r="GZF35" s="770"/>
      <c r="GZN35" s="1041"/>
      <c r="GZO35" s="1041"/>
      <c r="GZP35" s="770"/>
      <c r="GZR35" s="770"/>
      <c r="GZS35" s="770"/>
      <c r="HAA35" s="1041"/>
      <c r="HAB35" s="1041"/>
      <c r="HAC35" s="770"/>
      <c r="HAE35" s="770"/>
      <c r="HAF35" s="770"/>
      <c r="HAN35" s="1041"/>
      <c r="HAO35" s="1041"/>
      <c r="HAP35" s="770"/>
      <c r="HAR35" s="770"/>
      <c r="HAS35" s="770"/>
      <c r="HBA35" s="1041"/>
      <c r="HBB35" s="1041"/>
      <c r="HBC35" s="770"/>
      <c r="HBE35" s="770"/>
      <c r="HBF35" s="770"/>
      <c r="HBN35" s="1041"/>
      <c r="HBO35" s="1041"/>
      <c r="HBP35" s="770"/>
      <c r="HBR35" s="770"/>
      <c r="HBS35" s="770"/>
      <c r="HCA35" s="1041"/>
      <c r="HCB35" s="1041"/>
      <c r="HCC35" s="770"/>
      <c r="HCE35" s="770"/>
      <c r="HCF35" s="770"/>
      <c r="HCN35" s="1041"/>
      <c r="HCO35" s="1041"/>
      <c r="HCP35" s="770"/>
      <c r="HCR35" s="770"/>
      <c r="HCS35" s="770"/>
      <c r="HDA35" s="1041"/>
      <c r="HDB35" s="1041"/>
      <c r="HDC35" s="770"/>
      <c r="HDE35" s="770"/>
      <c r="HDF35" s="770"/>
      <c r="HDN35" s="1041"/>
      <c r="HDO35" s="1041"/>
      <c r="HDP35" s="770"/>
      <c r="HDR35" s="770"/>
      <c r="HDS35" s="770"/>
      <c r="HEA35" s="1041"/>
      <c r="HEB35" s="1041"/>
      <c r="HEC35" s="770"/>
      <c r="HEE35" s="770"/>
      <c r="HEF35" s="770"/>
      <c r="HEN35" s="1041"/>
      <c r="HEO35" s="1041"/>
      <c r="HEP35" s="770"/>
      <c r="HER35" s="770"/>
      <c r="HES35" s="770"/>
      <c r="HFA35" s="1041"/>
      <c r="HFB35" s="1041"/>
      <c r="HFC35" s="770"/>
      <c r="HFE35" s="770"/>
      <c r="HFF35" s="770"/>
      <c r="HFN35" s="1041"/>
      <c r="HFO35" s="1041"/>
      <c r="HFP35" s="770"/>
      <c r="HFR35" s="770"/>
      <c r="HFS35" s="770"/>
      <c r="HGA35" s="1041"/>
      <c r="HGB35" s="1041"/>
      <c r="HGC35" s="770"/>
      <c r="HGE35" s="770"/>
      <c r="HGF35" s="770"/>
      <c r="HGN35" s="1041"/>
      <c r="HGO35" s="1041"/>
      <c r="HGP35" s="770"/>
      <c r="HGR35" s="770"/>
      <c r="HGS35" s="770"/>
      <c r="HHA35" s="1041"/>
      <c r="HHB35" s="1041"/>
      <c r="HHC35" s="770"/>
      <c r="HHE35" s="770"/>
      <c r="HHF35" s="770"/>
      <c r="HHN35" s="1041"/>
      <c r="HHO35" s="1041"/>
      <c r="HHP35" s="770"/>
      <c r="HHR35" s="770"/>
      <c r="HHS35" s="770"/>
      <c r="HIA35" s="1041"/>
      <c r="HIB35" s="1041"/>
      <c r="HIC35" s="770"/>
      <c r="HIE35" s="770"/>
      <c r="HIF35" s="770"/>
      <c r="HIN35" s="1041"/>
      <c r="HIO35" s="1041"/>
      <c r="HIP35" s="770"/>
      <c r="HIR35" s="770"/>
      <c r="HIS35" s="770"/>
      <c r="HJA35" s="1041"/>
      <c r="HJB35" s="1041"/>
      <c r="HJC35" s="770"/>
      <c r="HJE35" s="770"/>
      <c r="HJF35" s="770"/>
      <c r="HJN35" s="1041"/>
      <c r="HJO35" s="1041"/>
      <c r="HJP35" s="770"/>
      <c r="HJR35" s="770"/>
      <c r="HJS35" s="770"/>
      <c r="HKA35" s="1041"/>
      <c r="HKB35" s="1041"/>
      <c r="HKC35" s="770"/>
      <c r="HKE35" s="770"/>
      <c r="HKF35" s="770"/>
      <c r="HKN35" s="1041"/>
      <c r="HKO35" s="1041"/>
      <c r="HKP35" s="770"/>
      <c r="HKR35" s="770"/>
      <c r="HKS35" s="770"/>
      <c r="HLA35" s="1041"/>
      <c r="HLB35" s="1041"/>
      <c r="HLC35" s="770"/>
      <c r="HLE35" s="770"/>
      <c r="HLF35" s="770"/>
      <c r="HLN35" s="1041"/>
      <c r="HLO35" s="1041"/>
      <c r="HLP35" s="770"/>
      <c r="HLR35" s="770"/>
      <c r="HLS35" s="770"/>
      <c r="HMA35" s="1041"/>
      <c r="HMB35" s="1041"/>
      <c r="HMC35" s="770"/>
      <c r="HME35" s="770"/>
      <c r="HMF35" s="770"/>
      <c r="HMN35" s="1041"/>
      <c r="HMO35" s="1041"/>
      <c r="HMP35" s="770"/>
      <c r="HMR35" s="770"/>
      <c r="HMS35" s="770"/>
      <c r="HNA35" s="1041"/>
      <c r="HNB35" s="1041"/>
      <c r="HNC35" s="770"/>
      <c r="HNE35" s="770"/>
      <c r="HNF35" s="770"/>
      <c r="HNN35" s="1041"/>
      <c r="HNO35" s="1041"/>
      <c r="HNP35" s="770"/>
      <c r="HNR35" s="770"/>
      <c r="HNS35" s="770"/>
      <c r="HOA35" s="1041"/>
      <c r="HOB35" s="1041"/>
      <c r="HOC35" s="770"/>
      <c r="HOE35" s="770"/>
      <c r="HOF35" s="770"/>
      <c r="HON35" s="1041"/>
      <c r="HOO35" s="1041"/>
      <c r="HOP35" s="770"/>
      <c r="HOR35" s="770"/>
      <c r="HOS35" s="770"/>
      <c r="HPA35" s="1041"/>
      <c r="HPB35" s="1041"/>
      <c r="HPC35" s="770"/>
      <c r="HPE35" s="770"/>
      <c r="HPF35" s="770"/>
      <c r="HPN35" s="1041"/>
      <c r="HPO35" s="1041"/>
      <c r="HPP35" s="770"/>
      <c r="HPR35" s="770"/>
      <c r="HPS35" s="770"/>
      <c r="HQA35" s="1041"/>
      <c r="HQB35" s="1041"/>
      <c r="HQC35" s="770"/>
      <c r="HQE35" s="770"/>
      <c r="HQF35" s="770"/>
      <c r="HQN35" s="1041"/>
      <c r="HQO35" s="1041"/>
      <c r="HQP35" s="770"/>
      <c r="HQR35" s="770"/>
      <c r="HQS35" s="770"/>
      <c r="HRA35" s="1041"/>
      <c r="HRB35" s="1041"/>
      <c r="HRC35" s="770"/>
      <c r="HRE35" s="770"/>
      <c r="HRF35" s="770"/>
      <c r="HRN35" s="1041"/>
      <c r="HRO35" s="1041"/>
      <c r="HRP35" s="770"/>
      <c r="HRR35" s="770"/>
      <c r="HRS35" s="770"/>
      <c r="HSA35" s="1041"/>
      <c r="HSB35" s="1041"/>
      <c r="HSC35" s="770"/>
      <c r="HSE35" s="770"/>
      <c r="HSF35" s="770"/>
      <c r="HSN35" s="1041"/>
      <c r="HSO35" s="1041"/>
      <c r="HSP35" s="770"/>
      <c r="HSR35" s="770"/>
      <c r="HSS35" s="770"/>
      <c r="HTA35" s="1041"/>
      <c r="HTB35" s="1041"/>
      <c r="HTC35" s="770"/>
      <c r="HTE35" s="770"/>
      <c r="HTF35" s="770"/>
      <c r="HTN35" s="1041"/>
      <c r="HTO35" s="1041"/>
      <c r="HTP35" s="770"/>
      <c r="HTR35" s="770"/>
      <c r="HTS35" s="770"/>
      <c r="HUA35" s="1041"/>
      <c r="HUB35" s="1041"/>
      <c r="HUC35" s="770"/>
      <c r="HUE35" s="770"/>
      <c r="HUF35" s="770"/>
      <c r="HUN35" s="1041"/>
      <c r="HUO35" s="1041"/>
      <c r="HUP35" s="770"/>
      <c r="HUR35" s="770"/>
      <c r="HUS35" s="770"/>
      <c r="HVA35" s="1041"/>
      <c r="HVB35" s="1041"/>
      <c r="HVC35" s="770"/>
      <c r="HVE35" s="770"/>
      <c r="HVF35" s="770"/>
      <c r="HVN35" s="1041"/>
      <c r="HVO35" s="1041"/>
      <c r="HVP35" s="770"/>
      <c r="HVR35" s="770"/>
      <c r="HVS35" s="770"/>
      <c r="HWA35" s="1041"/>
      <c r="HWB35" s="1041"/>
      <c r="HWC35" s="770"/>
      <c r="HWE35" s="770"/>
      <c r="HWF35" s="770"/>
      <c r="HWN35" s="1041"/>
      <c r="HWO35" s="1041"/>
      <c r="HWP35" s="770"/>
      <c r="HWR35" s="770"/>
      <c r="HWS35" s="770"/>
      <c r="HXA35" s="1041"/>
      <c r="HXB35" s="1041"/>
      <c r="HXC35" s="770"/>
      <c r="HXE35" s="770"/>
      <c r="HXF35" s="770"/>
      <c r="HXN35" s="1041"/>
      <c r="HXO35" s="1041"/>
      <c r="HXP35" s="770"/>
      <c r="HXR35" s="770"/>
      <c r="HXS35" s="770"/>
      <c r="HYA35" s="1041"/>
      <c r="HYB35" s="1041"/>
      <c r="HYC35" s="770"/>
      <c r="HYE35" s="770"/>
      <c r="HYF35" s="770"/>
      <c r="HYN35" s="1041"/>
      <c r="HYO35" s="1041"/>
      <c r="HYP35" s="770"/>
      <c r="HYR35" s="770"/>
      <c r="HYS35" s="770"/>
      <c r="HZA35" s="1041"/>
      <c r="HZB35" s="1041"/>
      <c r="HZC35" s="770"/>
      <c r="HZE35" s="770"/>
      <c r="HZF35" s="770"/>
      <c r="HZN35" s="1041"/>
      <c r="HZO35" s="1041"/>
      <c r="HZP35" s="770"/>
      <c r="HZR35" s="770"/>
      <c r="HZS35" s="770"/>
      <c r="IAA35" s="1041"/>
      <c r="IAB35" s="1041"/>
      <c r="IAC35" s="770"/>
      <c r="IAE35" s="770"/>
      <c r="IAF35" s="770"/>
      <c r="IAN35" s="1041"/>
      <c r="IAO35" s="1041"/>
      <c r="IAP35" s="770"/>
      <c r="IAR35" s="770"/>
      <c r="IAS35" s="770"/>
      <c r="IBA35" s="1041"/>
      <c r="IBB35" s="1041"/>
      <c r="IBC35" s="770"/>
      <c r="IBE35" s="770"/>
      <c r="IBF35" s="770"/>
      <c r="IBN35" s="1041"/>
      <c r="IBO35" s="1041"/>
      <c r="IBP35" s="770"/>
      <c r="IBR35" s="770"/>
      <c r="IBS35" s="770"/>
      <c r="ICA35" s="1041"/>
      <c r="ICB35" s="1041"/>
      <c r="ICC35" s="770"/>
      <c r="ICE35" s="770"/>
      <c r="ICF35" s="770"/>
      <c r="ICN35" s="1041"/>
      <c r="ICO35" s="1041"/>
      <c r="ICP35" s="770"/>
      <c r="ICR35" s="770"/>
      <c r="ICS35" s="770"/>
      <c r="IDA35" s="1041"/>
      <c r="IDB35" s="1041"/>
      <c r="IDC35" s="770"/>
      <c r="IDE35" s="770"/>
      <c r="IDF35" s="770"/>
      <c r="IDN35" s="1041"/>
      <c r="IDO35" s="1041"/>
      <c r="IDP35" s="770"/>
      <c r="IDR35" s="770"/>
      <c r="IDS35" s="770"/>
      <c r="IEA35" s="1041"/>
      <c r="IEB35" s="1041"/>
      <c r="IEC35" s="770"/>
      <c r="IEE35" s="770"/>
      <c r="IEF35" s="770"/>
      <c r="IEN35" s="1041"/>
      <c r="IEO35" s="1041"/>
      <c r="IEP35" s="770"/>
      <c r="IER35" s="770"/>
      <c r="IES35" s="770"/>
      <c r="IFA35" s="1041"/>
      <c r="IFB35" s="1041"/>
      <c r="IFC35" s="770"/>
      <c r="IFE35" s="770"/>
      <c r="IFF35" s="770"/>
      <c r="IFN35" s="1041"/>
      <c r="IFO35" s="1041"/>
      <c r="IFP35" s="770"/>
      <c r="IFR35" s="770"/>
      <c r="IFS35" s="770"/>
      <c r="IGA35" s="1041"/>
      <c r="IGB35" s="1041"/>
      <c r="IGC35" s="770"/>
      <c r="IGE35" s="770"/>
      <c r="IGF35" s="770"/>
      <c r="IGN35" s="1041"/>
      <c r="IGO35" s="1041"/>
      <c r="IGP35" s="770"/>
      <c r="IGR35" s="770"/>
      <c r="IGS35" s="770"/>
      <c r="IHA35" s="1041"/>
      <c r="IHB35" s="1041"/>
      <c r="IHC35" s="770"/>
      <c r="IHE35" s="770"/>
      <c r="IHF35" s="770"/>
      <c r="IHN35" s="1041"/>
      <c r="IHO35" s="1041"/>
      <c r="IHP35" s="770"/>
      <c r="IHR35" s="770"/>
      <c r="IHS35" s="770"/>
      <c r="IIA35" s="1041"/>
      <c r="IIB35" s="1041"/>
      <c r="IIC35" s="770"/>
      <c r="IIE35" s="770"/>
      <c r="IIF35" s="770"/>
      <c r="IIN35" s="1041"/>
      <c r="IIO35" s="1041"/>
      <c r="IIP35" s="770"/>
      <c r="IIR35" s="770"/>
      <c r="IIS35" s="770"/>
      <c r="IJA35" s="1041"/>
      <c r="IJB35" s="1041"/>
      <c r="IJC35" s="770"/>
      <c r="IJE35" s="770"/>
      <c r="IJF35" s="770"/>
      <c r="IJN35" s="1041"/>
      <c r="IJO35" s="1041"/>
      <c r="IJP35" s="770"/>
      <c r="IJR35" s="770"/>
      <c r="IJS35" s="770"/>
      <c r="IKA35" s="1041"/>
      <c r="IKB35" s="1041"/>
      <c r="IKC35" s="770"/>
      <c r="IKE35" s="770"/>
      <c r="IKF35" s="770"/>
      <c r="IKN35" s="1041"/>
      <c r="IKO35" s="1041"/>
      <c r="IKP35" s="770"/>
      <c r="IKR35" s="770"/>
      <c r="IKS35" s="770"/>
      <c r="ILA35" s="1041"/>
      <c r="ILB35" s="1041"/>
      <c r="ILC35" s="770"/>
      <c r="ILE35" s="770"/>
      <c r="ILF35" s="770"/>
      <c r="ILN35" s="1041"/>
      <c r="ILO35" s="1041"/>
      <c r="ILP35" s="770"/>
      <c r="ILR35" s="770"/>
      <c r="ILS35" s="770"/>
      <c r="IMA35" s="1041"/>
      <c r="IMB35" s="1041"/>
      <c r="IMC35" s="770"/>
      <c r="IME35" s="770"/>
      <c r="IMF35" s="770"/>
      <c r="IMN35" s="1041"/>
      <c r="IMO35" s="1041"/>
      <c r="IMP35" s="770"/>
      <c r="IMR35" s="770"/>
      <c r="IMS35" s="770"/>
      <c r="INA35" s="1041"/>
      <c r="INB35" s="1041"/>
      <c r="INC35" s="770"/>
      <c r="INE35" s="770"/>
      <c r="INF35" s="770"/>
      <c r="INN35" s="1041"/>
      <c r="INO35" s="1041"/>
      <c r="INP35" s="770"/>
      <c r="INR35" s="770"/>
      <c r="INS35" s="770"/>
      <c r="IOA35" s="1041"/>
      <c r="IOB35" s="1041"/>
      <c r="IOC35" s="770"/>
      <c r="IOE35" s="770"/>
      <c r="IOF35" s="770"/>
      <c r="ION35" s="1041"/>
      <c r="IOO35" s="1041"/>
      <c r="IOP35" s="770"/>
      <c r="IOR35" s="770"/>
      <c r="IOS35" s="770"/>
      <c r="IPA35" s="1041"/>
      <c r="IPB35" s="1041"/>
      <c r="IPC35" s="770"/>
      <c r="IPE35" s="770"/>
      <c r="IPF35" s="770"/>
      <c r="IPN35" s="1041"/>
      <c r="IPO35" s="1041"/>
      <c r="IPP35" s="770"/>
      <c r="IPR35" s="770"/>
      <c r="IPS35" s="770"/>
      <c r="IQA35" s="1041"/>
      <c r="IQB35" s="1041"/>
      <c r="IQC35" s="770"/>
      <c r="IQE35" s="770"/>
      <c r="IQF35" s="770"/>
      <c r="IQN35" s="1041"/>
      <c r="IQO35" s="1041"/>
      <c r="IQP35" s="770"/>
      <c r="IQR35" s="770"/>
      <c r="IQS35" s="770"/>
      <c r="IRA35" s="1041"/>
      <c r="IRB35" s="1041"/>
      <c r="IRC35" s="770"/>
      <c r="IRE35" s="770"/>
      <c r="IRF35" s="770"/>
      <c r="IRN35" s="1041"/>
      <c r="IRO35" s="1041"/>
      <c r="IRP35" s="770"/>
      <c r="IRR35" s="770"/>
      <c r="IRS35" s="770"/>
      <c r="ISA35" s="1041"/>
      <c r="ISB35" s="1041"/>
      <c r="ISC35" s="770"/>
      <c r="ISE35" s="770"/>
      <c r="ISF35" s="770"/>
      <c r="ISN35" s="1041"/>
      <c r="ISO35" s="1041"/>
      <c r="ISP35" s="770"/>
      <c r="ISR35" s="770"/>
      <c r="ISS35" s="770"/>
      <c r="ITA35" s="1041"/>
      <c r="ITB35" s="1041"/>
      <c r="ITC35" s="770"/>
      <c r="ITE35" s="770"/>
      <c r="ITF35" s="770"/>
      <c r="ITN35" s="1041"/>
      <c r="ITO35" s="1041"/>
      <c r="ITP35" s="770"/>
      <c r="ITR35" s="770"/>
      <c r="ITS35" s="770"/>
      <c r="IUA35" s="1041"/>
      <c r="IUB35" s="1041"/>
      <c r="IUC35" s="770"/>
      <c r="IUE35" s="770"/>
      <c r="IUF35" s="770"/>
      <c r="IUN35" s="1041"/>
      <c r="IUO35" s="1041"/>
      <c r="IUP35" s="770"/>
      <c r="IUR35" s="770"/>
      <c r="IUS35" s="770"/>
      <c r="IVA35" s="1041"/>
      <c r="IVB35" s="1041"/>
      <c r="IVC35" s="770"/>
      <c r="IVE35" s="770"/>
      <c r="IVF35" s="770"/>
      <c r="IVN35" s="1041"/>
      <c r="IVO35" s="1041"/>
      <c r="IVP35" s="770"/>
      <c r="IVR35" s="770"/>
      <c r="IVS35" s="770"/>
      <c r="IWA35" s="1041"/>
      <c r="IWB35" s="1041"/>
      <c r="IWC35" s="770"/>
      <c r="IWE35" s="770"/>
      <c r="IWF35" s="770"/>
      <c r="IWN35" s="1041"/>
      <c r="IWO35" s="1041"/>
      <c r="IWP35" s="770"/>
      <c r="IWR35" s="770"/>
      <c r="IWS35" s="770"/>
      <c r="IXA35" s="1041"/>
      <c r="IXB35" s="1041"/>
      <c r="IXC35" s="770"/>
      <c r="IXE35" s="770"/>
      <c r="IXF35" s="770"/>
      <c r="IXN35" s="1041"/>
      <c r="IXO35" s="1041"/>
      <c r="IXP35" s="770"/>
      <c r="IXR35" s="770"/>
      <c r="IXS35" s="770"/>
      <c r="IYA35" s="1041"/>
      <c r="IYB35" s="1041"/>
      <c r="IYC35" s="770"/>
      <c r="IYE35" s="770"/>
      <c r="IYF35" s="770"/>
      <c r="IYN35" s="1041"/>
      <c r="IYO35" s="1041"/>
      <c r="IYP35" s="770"/>
      <c r="IYR35" s="770"/>
      <c r="IYS35" s="770"/>
      <c r="IZA35" s="1041"/>
      <c r="IZB35" s="1041"/>
      <c r="IZC35" s="770"/>
      <c r="IZE35" s="770"/>
      <c r="IZF35" s="770"/>
      <c r="IZN35" s="1041"/>
      <c r="IZO35" s="1041"/>
      <c r="IZP35" s="770"/>
      <c r="IZR35" s="770"/>
      <c r="IZS35" s="770"/>
      <c r="JAA35" s="1041"/>
      <c r="JAB35" s="1041"/>
      <c r="JAC35" s="770"/>
      <c r="JAE35" s="770"/>
      <c r="JAF35" s="770"/>
      <c r="JAN35" s="1041"/>
      <c r="JAO35" s="1041"/>
      <c r="JAP35" s="770"/>
      <c r="JAR35" s="770"/>
      <c r="JAS35" s="770"/>
      <c r="JBA35" s="1041"/>
      <c r="JBB35" s="1041"/>
      <c r="JBC35" s="770"/>
      <c r="JBE35" s="770"/>
      <c r="JBF35" s="770"/>
      <c r="JBN35" s="1041"/>
      <c r="JBO35" s="1041"/>
      <c r="JBP35" s="770"/>
      <c r="JBR35" s="770"/>
      <c r="JBS35" s="770"/>
      <c r="JCA35" s="1041"/>
      <c r="JCB35" s="1041"/>
      <c r="JCC35" s="770"/>
      <c r="JCE35" s="770"/>
      <c r="JCF35" s="770"/>
      <c r="JCN35" s="1041"/>
      <c r="JCO35" s="1041"/>
      <c r="JCP35" s="770"/>
      <c r="JCR35" s="770"/>
      <c r="JCS35" s="770"/>
      <c r="JDA35" s="1041"/>
      <c r="JDB35" s="1041"/>
      <c r="JDC35" s="770"/>
      <c r="JDE35" s="770"/>
      <c r="JDF35" s="770"/>
      <c r="JDN35" s="1041"/>
      <c r="JDO35" s="1041"/>
      <c r="JDP35" s="770"/>
      <c r="JDR35" s="770"/>
      <c r="JDS35" s="770"/>
      <c r="JEA35" s="1041"/>
      <c r="JEB35" s="1041"/>
      <c r="JEC35" s="770"/>
      <c r="JEE35" s="770"/>
      <c r="JEF35" s="770"/>
      <c r="JEN35" s="1041"/>
      <c r="JEO35" s="1041"/>
      <c r="JEP35" s="770"/>
      <c r="JER35" s="770"/>
      <c r="JES35" s="770"/>
      <c r="JFA35" s="1041"/>
      <c r="JFB35" s="1041"/>
      <c r="JFC35" s="770"/>
      <c r="JFE35" s="770"/>
      <c r="JFF35" s="770"/>
      <c r="JFN35" s="1041"/>
      <c r="JFO35" s="1041"/>
      <c r="JFP35" s="770"/>
      <c r="JFR35" s="770"/>
      <c r="JFS35" s="770"/>
      <c r="JGA35" s="1041"/>
      <c r="JGB35" s="1041"/>
      <c r="JGC35" s="770"/>
      <c r="JGE35" s="770"/>
      <c r="JGF35" s="770"/>
      <c r="JGN35" s="1041"/>
      <c r="JGO35" s="1041"/>
      <c r="JGP35" s="770"/>
      <c r="JGR35" s="770"/>
      <c r="JGS35" s="770"/>
      <c r="JHA35" s="1041"/>
      <c r="JHB35" s="1041"/>
      <c r="JHC35" s="770"/>
      <c r="JHE35" s="770"/>
      <c r="JHF35" s="770"/>
      <c r="JHN35" s="1041"/>
      <c r="JHO35" s="1041"/>
      <c r="JHP35" s="770"/>
      <c r="JHR35" s="770"/>
      <c r="JHS35" s="770"/>
      <c r="JIA35" s="1041"/>
      <c r="JIB35" s="1041"/>
      <c r="JIC35" s="770"/>
      <c r="JIE35" s="770"/>
      <c r="JIF35" s="770"/>
      <c r="JIN35" s="1041"/>
      <c r="JIO35" s="1041"/>
      <c r="JIP35" s="770"/>
      <c r="JIR35" s="770"/>
      <c r="JIS35" s="770"/>
      <c r="JJA35" s="1041"/>
      <c r="JJB35" s="1041"/>
      <c r="JJC35" s="770"/>
      <c r="JJE35" s="770"/>
      <c r="JJF35" s="770"/>
      <c r="JJN35" s="1041"/>
      <c r="JJO35" s="1041"/>
      <c r="JJP35" s="770"/>
      <c r="JJR35" s="770"/>
      <c r="JJS35" s="770"/>
      <c r="JKA35" s="1041"/>
      <c r="JKB35" s="1041"/>
      <c r="JKC35" s="770"/>
      <c r="JKE35" s="770"/>
      <c r="JKF35" s="770"/>
      <c r="JKN35" s="1041"/>
      <c r="JKO35" s="1041"/>
      <c r="JKP35" s="770"/>
      <c r="JKR35" s="770"/>
      <c r="JKS35" s="770"/>
      <c r="JLA35" s="1041"/>
      <c r="JLB35" s="1041"/>
      <c r="JLC35" s="770"/>
      <c r="JLE35" s="770"/>
      <c r="JLF35" s="770"/>
      <c r="JLN35" s="1041"/>
      <c r="JLO35" s="1041"/>
      <c r="JLP35" s="770"/>
      <c r="JLR35" s="770"/>
      <c r="JLS35" s="770"/>
      <c r="JMA35" s="1041"/>
      <c r="JMB35" s="1041"/>
      <c r="JMC35" s="770"/>
      <c r="JME35" s="770"/>
      <c r="JMF35" s="770"/>
      <c r="JMN35" s="1041"/>
      <c r="JMO35" s="1041"/>
      <c r="JMP35" s="770"/>
      <c r="JMR35" s="770"/>
      <c r="JMS35" s="770"/>
      <c r="JNA35" s="1041"/>
      <c r="JNB35" s="1041"/>
      <c r="JNC35" s="770"/>
      <c r="JNE35" s="770"/>
      <c r="JNF35" s="770"/>
      <c r="JNN35" s="1041"/>
      <c r="JNO35" s="1041"/>
      <c r="JNP35" s="770"/>
      <c r="JNR35" s="770"/>
      <c r="JNS35" s="770"/>
      <c r="JOA35" s="1041"/>
      <c r="JOB35" s="1041"/>
      <c r="JOC35" s="770"/>
      <c r="JOE35" s="770"/>
      <c r="JOF35" s="770"/>
      <c r="JON35" s="1041"/>
      <c r="JOO35" s="1041"/>
      <c r="JOP35" s="770"/>
      <c r="JOR35" s="770"/>
      <c r="JOS35" s="770"/>
      <c r="JPA35" s="1041"/>
      <c r="JPB35" s="1041"/>
      <c r="JPC35" s="770"/>
      <c r="JPE35" s="770"/>
      <c r="JPF35" s="770"/>
      <c r="JPN35" s="1041"/>
      <c r="JPO35" s="1041"/>
      <c r="JPP35" s="770"/>
      <c r="JPR35" s="770"/>
      <c r="JPS35" s="770"/>
      <c r="JQA35" s="1041"/>
      <c r="JQB35" s="1041"/>
      <c r="JQC35" s="770"/>
      <c r="JQE35" s="770"/>
      <c r="JQF35" s="770"/>
      <c r="JQN35" s="1041"/>
      <c r="JQO35" s="1041"/>
      <c r="JQP35" s="770"/>
      <c r="JQR35" s="770"/>
      <c r="JQS35" s="770"/>
      <c r="JRA35" s="1041"/>
      <c r="JRB35" s="1041"/>
      <c r="JRC35" s="770"/>
      <c r="JRE35" s="770"/>
      <c r="JRF35" s="770"/>
      <c r="JRN35" s="1041"/>
      <c r="JRO35" s="1041"/>
      <c r="JRP35" s="770"/>
      <c r="JRR35" s="770"/>
      <c r="JRS35" s="770"/>
      <c r="JSA35" s="1041"/>
      <c r="JSB35" s="1041"/>
      <c r="JSC35" s="770"/>
      <c r="JSE35" s="770"/>
      <c r="JSF35" s="770"/>
      <c r="JSN35" s="1041"/>
      <c r="JSO35" s="1041"/>
      <c r="JSP35" s="770"/>
      <c r="JSR35" s="770"/>
      <c r="JSS35" s="770"/>
      <c r="JTA35" s="1041"/>
      <c r="JTB35" s="1041"/>
      <c r="JTC35" s="770"/>
      <c r="JTE35" s="770"/>
      <c r="JTF35" s="770"/>
      <c r="JTN35" s="1041"/>
      <c r="JTO35" s="1041"/>
      <c r="JTP35" s="770"/>
      <c r="JTR35" s="770"/>
      <c r="JTS35" s="770"/>
      <c r="JUA35" s="1041"/>
      <c r="JUB35" s="1041"/>
      <c r="JUC35" s="770"/>
      <c r="JUE35" s="770"/>
      <c r="JUF35" s="770"/>
      <c r="JUN35" s="1041"/>
      <c r="JUO35" s="1041"/>
      <c r="JUP35" s="770"/>
      <c r="JUR35" s="770"/>
      <c r="JUS35" s="770"/>
      <c r="JVA35" s="1041"/>
      <c r="JVB35" s="1041"/>
      <c r="JVC35" s="770"/>
      <c r="JVE35" s="770"/>
      <c r="JVF35" s="770"/>
      <c r="JVN35" s="1041"/>
      <c r="JVO35" s="1041"/>
      <c r="JVP35" s="770"/>
      <c r="JVR35" s="770"/>
      <c r="JVS35" s="770"/>
      <c r="JWA35" s="1041"/>
      <c r="JWB35" s="1041"/>
      <c r="JWC35" s="770"/>
      <c r="JWE35" s="770"/>
      <c r="JWF35" s="770"/>
      <c r="JWN35" s="1041"/>
      <c r="JWO35" s="1041"/>
      <c r="JWP35" s="770"/>
      <c r="JWR35" s="770"/>
      <c r="JWS35" s="770"/>
      <c r="JXA35" s="1041"/>
      <c r="JXB35" s="1041"/>
      <c r="JXC35" s="770"/>
      <c r="JXE35" s="770"/>
      <c r="JXF35" s="770"/>
      <c r="JXN35" s="1041"/>
      <c r="JXO35" s="1041"/>
      <c r="JXP35" s="770"/>
      <c r="JXR35" s="770"/>
      <c r="JXS35" s="770"/>
      <c r="JYA35" s="1041"/>
      <c r="JYB35" s="1041"/>
      <c r="JYC35" s="770"/>
      <c r="JYE35" s="770"/>
      <c r="JYF35" s="770"/>
      <c r="JYN35" s="1041"/>
      <c r="JYO35" s="1041"/>
      <c r="JYP35" s="770"/>
      <c r="JYR35" s="770"/>
      <c r="JYS35" s="770"/>
      <c r="JZA35" s="1041"/>
      <c r="JZB35" s="1041"/>
      <c r="JZC35" s="770"/>
      <c r="JZE35" s="770"/>
      <c r="JZF35" s="770"/>
      <c r="JZN35" s="1041"/>
      <c r="JZO35" s="1041"/>
      <c r="JZP35" s="770"/>
      <c r="JZR35" s="770"/>
      <c r="JZS35" s="770"/>
      <c r="KAA35" s="1041"/>
      <c r="KAB35" s="1041"/>
      <c r="KAC35" s="770"/>
      <c r="KAE35" s="770"/>
      <c r="KAF35" s="770"/>
      <c r="KAN35" s="1041"/>
      <c r="KAO35" s="1041"/>
      <c r="KAP35" s="770"/>
      <c r="KAR35" s="770"/>
      <c r="KAS35" s="770"/>
      <c r="KBA35" s="1041"/>
      <c r="KBB35" s="1041"/>
      <c r="KBC35" s="770"/>
      <c r="KBE35" s="770"/>
      <c r="KBF35" s="770"/>
      <c r="KBN35" s="1041"/>
      <c r="KBO35" s="1041"/>
      <c r="KBP35" s="770"/>
      <c r="KBR35" s="770"/>
      <c r="KBS35" s="770"/>
      <c r="KCA35" s="1041"/>
      <c r="KCB35" s="1041"/>
      <c r="KCC35" s="770"/>
      <c r="KCE35" s="770"/>
      <c r="KCF35" s="770"/>
      <c r="KCN35" s="1041"/>
      <c r="KCO35" s="1041"/>
      <c r="KCP35" s="770"/>
      <c r="KCR35" s="770"/>
      <c r="KCS35" s="770"/>
      <c r="KDA35" s="1041"/>
      <c r="KDB35" s="1041"/>
      <c r="KDC35" s="770"/>
      <c r="KDE35" s="770"/>
      <c r="KDF35" s="770"/>
      <c r="KDN35" s="1041"/>
      <c r="KDO35" s="1041"/>
      <c r="KDP35" s="770"/>
      <c r="KDR35" s="770"/>
      <c r="KDS35" s="770"/>
      <c r="KEA35" s="1041"/>
      <c r="KEB35" s="1041"/>
      <c r="KEC35" s="770"/>
      <c r="KEE35" s="770"/>
      <c r="KEF35" s="770"/>
      <c r="KEN35" s="1041"/>
      <c r="KEO35" s="1041"/>
      <c r="KEP35" s="770"/>
      <c r="KER35" s="770"/>
      <c r="KES35" s="770"/>
      <c r="KFA35" s="1041"/>
      <c r="KFB35" s="1041"/>
      <c r="KFC35" s="770"/>
      <c r="KFE35" s="770"/>
      <c r="KFF35" s="770"/>
      <c r="KFN35" s="1041"/>
      <c r="KFO35" s="1041"/>
      <c r="KFP35" s="770"/>
      <c r="KFR35" s="770"/>
      <c r="KFS35" s="770"/>
      <c r="KGA35" s="1041"/>
      <c r="KGB35" s="1041"/>
      <c r="KGC35" s="770"/>
      <c r="KGE35" s="770"/>
      <c r="KGF35" s="770"/>
      <c r="KGN35" s="1041"/>
      <c r="KGO35" s="1041"/>
      <c r="KGP35" s="770"/>
      <c r="KGR35" s="770"/>
      <c r="KGS35" s="770"/>
      <c r="KHA35" s="1041"/>
      <c r="KHB35" s="1041"/>
      <c r="KHC35" s="770"/>
      <c r="KHE35" s="770"/>
      <c r="KHF35" s="770"/>
      <c r="KHN35" s="1041"/>
      <c r="KHO35" s="1041"/>
      <c r="KHP35" s="770"/>
      <c r="KHR35" s="770"/>
      <c r="KHS35" s="770"/>
      <c r="KIA35" s="1041"/>
      <c r="KIB35" s="1041"/>
      <c r="KIC35" s="770"/>
      <c r="KIE35" s="770"/>
      <c r="KIF35" s="770"/>
      <c r="KIN35" s="1041"/>
      <c r="KIO35" s="1041"/>
      <c r="KIP35" s="770"/>
      <c r="KIR35" s="770"/>
      <c r="KIS35" s="770"/>
      <c r="KJA35" s="1041"/>
      <c r="KJB35" s="1041"/>
      <c r="KJC35" s="770"/>
      <c r="KJE35" s="770"/>
      <c r="KJF35" s="770"/>
      <c r="KJN35" s="1041"/>
      <c r="KJO35" s="1041"/>
      <c r="KJP35" s="770"/>
      <c r="KJR35" s="770"/>
      <c r="KJS35" s="770"/>
      <c r="KKA35" s="1041"/>
      <c r="KKB35" s="1041"/>
      <c r="KKC35" s="770"/>
      <c r="KKE35" s="770"/>
      <c r="KKF35" s="770"/>
      <c r="KKN35" s="1041"/>
      <c r="KKO35" s="1041"/>
      <c r="KKP35" s="770"/>
      <c r="KKR35" s="770"/>
      <c r="KKS35" s="770"/>
      <c r="KLA35" s="1041"/>
      <c r="KLB35" s="1041"/>
      <c r="KLC35" s="770"/>
      <c r="KLE35" s="770"/>
      <c r="KLF35" s="770"/>
      <c r="KLN35" s="1041"/>
      <c r="KLO35" s="1041"/>
      <c r="KLP35" s="770"/>
      <c r="KLR35" s="770"/>
      <c r="KLS35" s="770"/>
      <c r="KMA35" s="1041"/>
      <c r="KMB35" s="1041"/>
      <c r="KMC35" s="770"/>
      <c r="KME35" s="770"/>
      <c r="KMF35" s="770"/>
      <c r="KMN35" s="1041"/>
      <c r="KMO35" s="1041"/>
      <c r="KMP35" s="770"/>
      <c r="KMR35" s="770"/>
      <c r="KMS35" s="770"/>
      <c r="KNA35" s="1041"/>
      <c r="KNB35" s="1041"/>
      <c r="KNC35" s="770"/>
      <c r="KNE35" s="770"/>
      <c r="KNF35" s="770"/>
      <c r="KNN35" s="1041"/>
      <c r="KNO35" s="1041"/>
      <c r="KNP35" s="770"/>
      <c r="KNR35" s="770"/>
      <c r="KNS35" s="770"/>
      <c r="KOA35" s="1041"/>
      <c r="KOB35" s="1041"/>
      <c r="KOC35" s="770"/>
      <c r="KOE35" s="770"/>
      <c r="KOF35" s="770"/>
      <c r="KON35" s="1041"/>
      <c r="KOO35" s="1041"/>
      <c r="KOP35" s="770"/>
      <c r="KOR35" s="770"/>
      <c r="KOS35" s="770"/>
      <c r="KPA35" s="1041"/>
      <c r="KPB35" s="1041"/>
      <c r="KPC35" s="770"/>
      <c r="KPE35" s="770"/>
      <c r="KPF35" s="770"/>
      <c r="KPN35" s="1041"/>
      <c r="KPO35" s="1041"/>
      <c r="KPP35" s="770"/>
      <c r="KPR35" s="770"/>
      <c r="KPS35" s="770"/>
      <c r="KQA35" s="1041"/>
      <c r="KQB35" s="1041"/>
      <c r="KQC35" s="770"/>
      <c r="KQE35" s="770"/>
      <c r="KQF35" s="770"/>
      <c r="KQN35" s="1041"/>
      <c r="KQO35" s="1041"/>
      <c r="KQP35" s="770"/>
      <c r="KQR35" s="770"/>
      <c r="KQS35" s="770"/>
      <c r="KRA35" s="1041"/>
      <c r="KRB35" s="1041"/>
      <c r="KRC35" s="770"/>
      <c r="KRE35" s="770"/>
      <c r="KRF35" s="770"/>
      <c r="KRN35" s="1041"/>
      <c r="KRO35" s="1041"/>
      <c r="KRP35" s="770"/>
      <c r="KRR35" s="770"/>
      <c r="KRS35" s="770"/>
      <c r="KSA35" s="1041"/>
      <c r="KSB35" s="1041"/>
      <c r="KSC35" s="770"/>
      <c r="KSE35" s="770"/>
      <c r="KSF35" s="770"/>
      <c r="KSN35" s="1041"/>
      <c r="KSO35" s="1041"/>
      <c r="KSP35" s="770"/>
      <c r="KSR35" s="770"/>
      <c r="KSS35" s="770"/>
      <c r="KTA35" s="1041"/>
      <c r="KTB35" s="1041"/>
      <c r="KTC35" s="770"/>
      <c r="KTE35" s="770"/>
      <c r="KTF35" s="770"/>
      <c r="KTN35" s="1041"/>
      <c r="KTO35" s="1041"/>
      <c r="KTP35" s="770"/>
      <c r="KTR35" s="770"/>
      <c r="KTS35" s="770"/>
      <c r="KUA35" s="1041"/>
      <c r="KUB35" s="1041"/>
      <c r="KUC35" s="770"/>
      <c r="KUE35" s="770"/>
      <c r="KUF35" s="770"/>
      <c r="KUN35" s="1041"/>
      <c r="KUO35" s="1041"/>
      <c r="KUP35" s="770"/>
      <c r="KUR35" s="770"/>
      <c r="KUS35" s="770"/>
      <c r="KVA35" s="1041"/>
      <c r="KVB35" s="1041"/>
      <c r="KVC35" s="770"/>
      <c r="KVE35" s="770"/>
      <c r="KVF35" s="770"/>
      <c r="KVN35" s="1041"/>
      <c r="KVO35" s="1041"/>
      <c r="KVP35" s="770"/>
      <c r="KVR35" s="770"/>
      <c r="KVS35" s="770"/>
      <c r="KWA35" s="1041"/>
      <c r="KWB35" s="1041"/>
      <c r="KWC35" s="770"/>
      <c r="KWE35" s="770"/>
      <c r="KWF35" s="770"/>
      <c r="KWN35" s="1041"/>
      <c r="KWO35" s="1041"/>
      <c r="KWP35" s="770"/>
      <c r="KWR35" s="770"/>
      <c r="KWS35" s="770"/>
      <c r="KXA35" s="1041"/>
      <c r="KXB35" s="1041"/>
      <c r="KXC35" s="770"/>
      <c r="KXE35" s="770"/>
      <c r="KXF35" s="770"/>
      <c r="KXN35" s="1041"/>
      <c r="KXO35" s="1041"/>
      <c r="KXP35" s="770"/>
      <c r="KXR35" s="770"/>
      <c r="KXS35" s="770"/>
      <c r="KYA35" s="1041"/>
      <c r="KYB35" s="1041"/>
      <c r="KYC35" s="770"/>
      <c r="KYE35" s="770"/>
      <c r="KYF35" s="770"/>
      <c r="KYN35" s="1041"/>
      <c r="KYO35" s="1041"/>
      <c r="KYP35" s="770"/>
      <c r="KYR35" s="770"/>
      <c r="KYS35" s="770"/>
      <c r="KZA35" s="1041"/>
      <c r="KZB35" s="1041"/>
      <c r="KZC35" s="770"/>
      <c r="KZE35" s="770"/>
      <c r="KZF35" s="770"/>
      <c r="KZN35" s="1041"/>
      <c r="KZO35" s="1041"/>
      <c r="KZP35" s="770"/>
      <c r="KZR35" s="770"/>
      <c r="KZS35" s="770"/>
      <c r="LAA35" s="1041"/>
      <c r="LAB35" s="1041"/>
      <c r="LAC35" s="770"/>
      <c r="LAE35" s="770"/>
      <c r="LAF35" s="770"/>
      <c r="LAN35" s="1041"/>
      <c r="LAO35" s="1041"/>
      <c r="LAP35" s="770"/>
      <c r="LAR35" s="770"/>
      <c r="LAS35" s="770"/>
      <c r="LBA35" s="1041"/>
      <c r="LBB35" s="1041"/>
      <c r="LBC35" s="770"/>
      <c r="LBE35" s="770"/>
      <c r="LBF35" s="770"/>
      <c r="LBN35" s="1041"/>
      <c r="LBO35" s="1041"/>
      <c r="LBP35" s="770"/>
      <c r="LBR35" s="770"/>
      <c r="LBS35" s="770"/>
      <c r="LCA35" s="1041"/>
      <c r="LCB35" s="1041"/>
      <c r="LCC35" s="770"/>
      <c r="LCE35" s="770"/>
      <c r="LCF35" s="770"/>
      <c r="LCN35" s="1041"/>
      <c r="LCO35" s="1041"/>
      <c r="LCP35" s="770"/>
      <c r="LCR35" s="770"/>
      <c r="LCS35" s="770"/>
      <c r="LDA35" s="1041"/>
      <c r="LDB35" s="1041"/>
      <c r="LDC35" s="770"/>
      <c r="LDE35" s="770"/>
      <c r="LDF35" s="770"/>
      <c r="LDN35" s="1041"/>
      <c r="LDO35" s="1041"/>
      <c r="LDP35" s="770"/>
      <c r="LDR35" s="770"/>
      <c r="LDS35" s="770"/>
      <c r="LEA35" s="1041"/>
      <c r="LEB35" s="1041"/>
      <c r="LEC35" s="770"/>
      <c r="LEE35" s="770"/>
      <c r="LEF35" s="770"/>
      <c r="LEN35" s="1041"/>
      <c r="LEO35" s="1041"/>
      <c r="LEP35" s="770"/>
      <c r="LER35" s="770"/>
      <c r="LES35" s="770"/>
      <c r="LFA35" s="1041"/>
      <c r="LFB35" s="1041"/>
      <c r="LFC35" s="770"/>
      <c r="LFE35" s="770"/>
      <c r="LFF35" s="770"/>
      <c r="LFN35" s="1041"/>
      <c r="LFO35" s="1041"/>
      <c r="LFP35" s="770"/>
      <c r="LFR35" s="770"/>
      <c r="LFS35" s="770"/>
      <c r="LGA35" s="1041"/>
      <c r="LGB35" s="1041"/>
      <c r="LGC35" s="770"/>
      <c r="LGE35" s="770"/>
      <c r="LGF35" s="770"/>
      <c r="LGN35" s="1041"/>
      <c r="LGO35" s="1041"/>
      <c r="LGP35" s="770"/>
      <c r="LGR35" s="770"/>
      <c r="LGS35" s="770"/>
      <c r="LHA35" s="1041"/>
      <c r="LHB35" s="1041"/>
      <c r="LHC35" s="770"/>
      <c r="LHE35" s="770"/>
      <c r="LHF35" s="770"/>
      <c r="LHN35" s="1041"/>
      <c r="LHO35" s="1041"/>
      <c r="LHP35" s="770"/>
      <c r="LHR35" s="770"/>
      <c r="LHS35" s="770"/>
      <c r="LIA35" s="1041"/>
      <c r="LIB35" s="1041"/>
      <c r="LIC35" s="770"/>
      <c r="LIE35" s="770"/>
      <c r="LIF35" s="770"/>
      <c r="LIN35" s="1041"/>
      <c r="LIO35" s="1041"/>
      <c r="LIP35" s="770"/>
      <c r="LIR35" s="770"/>
      <c r="LIS35" s="770"/>
      <c r="LJA35" s="1041"/>
      <c r="LJB35" s="1041"/>
      <c r="LJC35" s="770"/>
      <c r="LJE35" s="770"/>
      <c r="LJF35" s="770"/>
      <c r="LJN35" s="1041"/>
      <c r="LJO35" s="1041"/>
      <c r="LJP35" s="770"/>
      <c r="LJR35" s="770"/>
      <c r="LJS35" s="770"/>
      <c r="LKA35" s="1041"/>
      <c r="LKB35" s="1041"/>
      <c r="LKC35" s="770"/>
      <c r="LKE35" s="770"/>
      <c r="LKF35" s="770"/>
      <c r="LKN35" s="1041"/>
      <c r="LKO35" s="1041"/>
      <c r="LKP35" s="770"/>
      <c r="LKR35" s="770"/>
      <c r="LKS35" s="770"/>
      <c r="LLA35" s="1041"/>
      <c r="LLB35" s="1041"/>
      <c r="LLC35" s="770"/>
      <c r="LLE35" s="770"/>
      <c r="LLF35" s="770"/>
      <c r="LLN35" s="1041"/>
      <c r="LLO35" s="1041"/>
      <c r="LLP35" s="770"/>
      <c r="LLR35" s="770"/>
      <c r="LLS35" s="770"/>
      <c r="LMA35" s="1041"/>
      <c r="LMB35" s="1041"/>
      <c r="LMC35" s="770"/>
      <c r="LME35" s="770"/>
      <c r="LMF35" s="770"/>
      <c r="LMN35" s="1041"/>
      <c r="LMO35" s="1041"/>
      <c r="LMP35" s="770"/>
      <c r="LMR35" s="770"/>
      <c r="LMS35" s="770"/>
      <c r="LNA35" s="1041"/>
      <c r="LNB35" s="1041"/>
      <c r="LNC35" s="770"/>
      <c r="LNE35" s="770"/>
      <c r="LNF35" s="770"/>
      <c r="LNN35" s="1041"/>
      <c r="LNO35" s="1041"/>
      <c r="LNP35" s="770"/>
      <c r="LNR35" s="770"/>
      <c r="LNS35" s="770"/>
      <c r="LOA35" s="1041"/>
      <c r="LOB35" s="1041"/>
      <c r="LOC35" s="770"/>
      <c r="LOE35" s="770"/>
      <c r="LOF35" s="770"/>
      <c r="LON35" s="1041"/>
      <c r="LOO35" s="1041"/>
      <c r="LOP35" s="770"/>
      <c r="LOR35" s="770"/>
      <c r="LOS35" s="770"/>
      <c r="LPA35" s="1041"/>
      <c r="LPB35" s="1041"/>
      <c r="LPC35" s="770"/>
      <c r="LPE35" s="770"/>
      <c r="LPF35" s="770"/>
      <c r="LPN35" s="1041"/>
      <c r="LPO35" s="1041"/>
      <c r="LPP35" s="770"/>
      <c r="LPR35" s="770"/>
      <c r="LPS35" s="770"/>
      <c r="LQA35" s="1041"/>
      <c r="LQB35" s="1041"/>
      <c r="LQC35" s="770"/>
      <c r="LQE35" s="770"/>
      <c r="LQF35" s="770"/>
      <c r="LQN35" s="1041"/>
      <c r="LQO35" s="1041"/>
      <c r="LQP35" s="770"/>
      <c r="LQR35" s="770"/>
      <c r="LQS35" s="770"/>
      <c r="LRA35" s="1041"/>
      <c r="LRB35" s="1041"/>
      <c r="LRC35" s="770"/>
      <c r="LRE35" s="770"/>
      <c r="LRF35" s="770"/>
      <c r="LRN35" s="1041"/>
      <c r="LRO35" s="1041"/>
      <c r="LRP35" s="770"/>
      <c r="LRR35" s="770"/>
      <c r="LRS35" s="770"/>
      <c r="LSA35" s="1041"/>
      <c r="LSB35" s="1041"/>
      <c r="LSC35" s="770"/>
      <c r="LSE35" s="770"/>
      <c r="LSF35" s="770"/>
      <c r="LSN35" s="1041"/>
      <c r="LSO35" s="1041"/>
      <c r="LSP35" s="770"/>
      <c r="LSR35" s="770"/>
      <c r="LSS35" s="770"/>
      <c r="LTA35" s="1041"/>
      <c r="LTB35" s="1041"/>
      <c r="LTC35" s="770"/>
      <c r="LTE35" s="770"/>
      <c r="LTF35" s="770"/>
      <c r="LTN35" s="1041"/>
      <c r="LTO35" s="1041"/>
      <c r="LTP35" s="770"/>
      <c r="LTR35" s="770"/>
      <c r="LTS35" s="770"/>
      <c r="LUA35" s="1041"/>
      <c r="LUB35" s="1041"/>
      <c r="LUC35" s="770"/>
      <c r="LUE35" s="770"/>
      <c r="LUF35" s="770"/>
      <c r="LUN35" s="1041"/>
      <c r="LUO35" s="1041"/>
      <c r="LUP35" s="770"/>
      <c r="LUR35" s="770"/>
      <c r="LUS35" s="770"/>
      <c r="LVA35" s="1041"/>
      <c r="LVB35" s="1041"/>
      <c r="LVC35" s="770"/>
      <c r="LVE35" s="770"/>
      <c r="LVF35" s="770"/>
      <c r="LVN35" s="1041"/>
      <c r="LVO35" s="1041"/>
      <c r="LVP35" s="770"/>
      <c r="LVR35" s="770"/>
      <c r="LVS35" s="770"/>
      <c r="LWA35" s="1041"/>
      <c r="LWB35" s="1041"/>
      <c r="LWC35" s="770"/>
      <c r="LWE35" s="770"/>
      <c r="LWF35" s="770"/>
      <c r="LWN35" s="1041"/>
      <c r="LWO35" s="1041"/>
      <c r="LWP35" s="770"/>
      <c r="LWR35" s="770"/>
      <c r="LWS35" s="770"/>
      <c r="LXA35" s="1041"/>
      <c r="LXB35" s="1041"/>
      <c r="LXC35" s="770"/>
      <c r="LXE35" s="770"/>
      <c r="LXF35" s="770"/>
      <c r="LXN35" s="1041"/>
      <c r="LXO35" s="1041"/>
      <c r="LXP35" s="770"/>
      <c r="LXR35" s="770"/>
      <c r="LXS35" s="770"/>
      <c r="LYA35" s="1041"/>
      <c r="LYB35" s="1041"/>
      <c r="LYC35" s="770"/>
      <c r="LYE35" s="770"/>
      <c r="LYF35" s="770"/>
      <c r="LYN35" s="1041"/>
      <c r="LYO35" s="1041"/>
      <c r="LYP35" s="770"/>
      <c r="LYR35" s="770"/>
      <c r="LYS35" s="770"/>
      <c r="LZA35" s="1041"/>
      <c r="LZB35" s="1041"/>
      <c r="LZC35" s="770"/>
      <c r="LZE35" s="770"/>
      <c r="LZF35" s="770"/>
      <c r="LZN35" s="1041"/>
      <c r="LZO35" s="1041"/>
      <c r="LZP35" s="770"/>
      <c r="LZR35" s="770"/>
      <c r="LZS35" s="770"/>
      <c r="MAA35" s="1041"/>
      <c r="MAB35" s="1041"/>
      <c r="MAC35" s="770"/>
      <c r="MAE35" s="770"/>
      <c r="MAF35" s="770"/>
      <c r="MAN35" s="1041"/>
      <c r="MAO35" s="1041"/>
      <c r="MAP35" s="770"/>
      <c r="MAR35" s="770"/>
      <c r="MAS35" s="770"/>
      <c r="MBA35" s="1041"/>
      <c r="MBB35" s="1041"/>
      <c r="MBC35" s="770"/>
      <c r="MBE35" s="770"/>
      <c r="MBF35" s="770"/>
      <c r="MBN35" s="1041"/>
      <c r="MBO35" s="1041"/>
      <c r="MBP35" s="770"/>
      <c r="MBR35" s="770"/>
      <c r="MBS35" s="770"/>
      <c r="MCA35" s="1041"/>
      <c r="MCB35" s="1041"/>
      <c r="MCC35" s="770"/>
      <c r="MCE35" s="770"/>
      <c r="MCF35" s="770"/>
      <c r="MCN35" s="1041"/>
      <c r="MCO35" s="1041"/>
      <c r="MCP35" s="770"/>
      <c r="MCR35" s="770"/>
      <c r="MCS35" s="770"/>
      <c r="MDA35" s="1041"/>
      <c r="MDB35" s="1041"/>
      <c r="MDC35" s="770"/>
      <c r="MDE35" s="770"/>
      <c r="MDF35" s="770"/>
      <c r="MDN35" s="1041"/>
      <c r="MDO35" s="1041"/>
      <c r="MDP35" s="770"/>
      <c r="MDR35" s="770"/>
      <c r="MDS35" s="770"/>
      <c r="MEA35" s="1041"/>
      <c r="MEB35" s="1041"/>
      <c r="MEC35" s="770"/>
      <c r="MEE35" s="770"/>
      <c r="MEF35" s="770"/>
      <c r="MEN35" s="1041"/>
      <c r="MEO35" s="1041"/>
      <c r="MEP35" s="770"/>
      <c r="MER35" s="770"/>
      <c r="MES35" s="770"/>
      <c r="MFA35" s="1041"/>
      <c r="MFB35" s="1041"/>
      <c r="MFC35" s="770"/>
      <c r="MFE35" s="770"/>
      <c r="MFF35" s="770"/>
      <c r="MFN35" s="1041"/>
      <c r="MFO35" s="1041"/>
      <c r="MFP35" s="770"/>
      <c r="MFR35" s="770"/>
      <c r="MFS35" s="770"/>
      <c r="MGA35" s="1041"/>
      <c r="MGB35" s="1041"/>
      <c r="MGC35" s="770"/>
      <c r="MGE35" s="770"/>
      <c r="MGF35" s="770"/>
      <c r="MGN35" s="1041"/>
      <c r="MGO35" s="1041"/>
      <c r="MGP35" s="770"/>
      <c r="MGR35" s="770"/>
      <c r="MGS35" s="770"/>
      <c r="MHA35" s="1041"/>
      <c r="MHB35" s="1041"/>
      <c r="MHC35" s="770"/>
      <c r="MHE35" s="770"/>
      <c r="MHF35" s="770"/>
      <c r="MHN35" s="1041"/>
      <c r="MHO35" s="1041"/>
      <c r="MHP35" s="770"/>
      <c r="MHR35" s="770"/>
      <c r="MHS35" s="770"/>
      <c r="MIA35" s="1041"/>
      <c r="MIB35" s="1041"/>
      <c r="MIC35" s="770"/>
      <c r="MIE35" s="770"/>
      <c r="MIF35" s="770"/>
      <c r="MIN35" s="1041"/>
      <c r="MIO35" s="1041"/>
      <c r="MIP35" s="770"/>
      <c r="MIR35" s="770"/>
      <c r="MIS35" s="770"/>
      <c r="MJA35" s="1041"/>
      <c r="MJB35" s="1041"/>
      <c r="MJC35" s="770"/>
      <c r="MJE35" s="770"/>
      <c r="MJF35" s="770"/>
      <c r="MJN35" s="1041"/>
      <c r="MJO35" s="1041"/>
      <c r="MJP35" s="770"/>
      <c r="MJR35" s="770"/>
      <c r="MJS35" s="770"/>
      <c r="MKA35" s="1041"/>
      <c r="MKB35" s="1041"/>
      <c r="MKC35" s="770"/>
      <c r="MKE35" s="770"/>
      <c r="MKF35" s="770"/>
      <c r="MKN35" s="1041"/>
      <c r="MKO35" s="1041"/>
      <c r="MKP35" s="770"/>
      <c r="MKR35" s="770"/>
      <c r="MKS35" s="770"/>
      <c r="MLA35" s="1041"/>
      <c r="MLB35" s="1041"/>
      <c r="MLC35" s="770"/>
      <c r="MLE35" s="770"/>
      <c r="MLF35" s="770"/>
      <c r="MLN35" s="1041"/>
      <c r="MLO35" s="1041"/>
      <c r="MLP35" s="770"/>
      <c r="MLR35" s="770"/>
      <c r="MLS35" s="770"/>
      <c r="MMA35" s="1041"/>
      <c r="MMB35" s="1041"/>
      <c r="MMC35" s="770"/>
      <c r="MME35" s="770"/>
      <c r="MMF35" s="770"/>
      <c r="MMN35" s="1041"/>
      <c r="MMO35" s="1041"/>
      <c r="MMP35" s="770"/>
      <c r="MMR35" s="770"/>
      <c r="MMS35" s="770"/>
      <c r="MNA35" s="1041"/>
      <c r="MNB35" s="1041"/>
      <c r="MNC35" s="770"/>
      <c r="MNE35" s="770"/>
      <c r="MNF35" s="770"/>
      <c r="MNN35" s="1041"/>
      <c r="MNO35" s="1041"/>
      <c r="MNP35" s="770"/>
      <c r="MNR35" s="770"/>
      <c r="MNS35" s="770"/>
      <c r="MOA35" s="1041"/>
      <c r="MOB35" s="1041"/>
      <c r="MOC35" s="770"/>
      <c r="MOE35" s="770"/>
      <c r="MOF35" s="770"/>
      <c r="MON35" s="1041"/>
      <c r="MOO35" s="1041"/>
      <c r="MOP35" s="770"/>
      <c r="MOR35" s="770"/>
      <c r="MOS35" s="770"/>
      <c r="MPA35" s="1041"/>
      <c r="MPB35" s="1041"/>
      <c r="MPC35" s="770"/>
      <c r="MPE35" s="770"/>
      <c r="MPF35" s="770"/>
      <c r="MPN35" s="1041"/>
      <c r="MPO35" s="1041"/>
      <c r="MPP35" s="770"/>
      <c r="MPR35" s="770"/>
      <c r="MPS35" s="770"/>
      <c r="MQA35" s="1041"/>
      <c r="MQB35" s="1041"/>
      <c r="MQC35" s="770"/>
      <c r="MQE35" s="770"/>
      <c r="MQF35" s="770"/>
      <c r="MQN35" s="1041"/>
      <c r="MQO35" s="1041"/>
      <c r="MQP35" s="770"/>
      <c r="MQR35" s="770"/>
      <c r="MQS35" s="770"/>
      <c r="MRA35" s="1041"/>
      <c r="MRB35" s="1041"/>
      <c r="MRC35" s="770"/>
      <c r="MRE35" s="770"/>
      <c r="MRF35" s="770"/>
      <c r="MRN35" s="1041"/>
      <c r="MRO35" s="1041"/>
      <c r="MRP35" s="770"/>
      <c r="MRR35" s="770"/>
      <c r="MRS35" s="770"/>
      <c r="MSA35" s="1041"/>
      <c r="MSB35" s="1041"/>
      <c r="MSC35" s="770"/>
      <c r="MSE35" s="770"/>
      <c r="MSF35" s="770"/>
      <c r="MSN35" s="1041"/>
      <c r="MSO35" s="1041"/>
      <c r="MSP35" s="770"/>
      <c r="MSR35" s="770"/>
      <c r="MSS35" s="770"/>
      <c r="MTA35" s="1041"/>
      <c r="MTB35" s="1041"/>
      <c r="MTC35" s="770"/>
      <c r="MTE35" s="770"/>
      <c r="MTF35" s="770"/>
      <c r="MTN35" s="1041"/>
      <c r="MTO35" s="1041"/>
      <c r="MTP35" s="770"/>
      <c r="MTR35" s="770"/>
      <c r="MTS35" s="770"/>
      <c r="MUA35" s="1041"/>
      <c r="MUB35" s="1041"/>
      <c r="MUC35" s="770"/>
      <c r="MUE35" s="770"/>
      <c r="MUF35" s="770"/>
      <c r="MUN35" s="1041"/>
      <c r="MUO35" s="1041"/>
      <c r="MUP35" s="770"/>
      <c r="MUR35" s="770"/>
      <c r="MUS35" s="770"/>
      <c r="MVA35" s="1041"/>
      <c r="MVB35" s="1041"/>
      <c r="MVC35" s="770"/>
      <c r="MVE35" s="770"/>
      <c r="MVF35" s="770"/>
      <c r="MVN35" s="1041"/>
      <c r="MVO35" s="1041"/>
      <c r="MVP35" s="770"/>
      <c r="MVR35" s="770"/>
      <c r="MVS35" s="770"/>
      <c r="MWA35" s="1041"/>
      <c r="MWB35" s="1041"/>
      <c r="MWC35" s="770"/>
      <c r="MWE35" s="770"/>
      <c r="MWF35" s="770"/>
      <c r="MWN35" s="1041"/>
      <c r="MWO35" s="1041"/>
      <c r="MWP35" s="770"/>
      <c r="MWR35" s="770"/>
      <c r="MWS35" s="770"/>
      <c r="MXA35" s="1041"/>
      <c r="MXB35" s="1041"/>
      <c r="MXC35" s="770"/>
      <c r="MXE35" s="770"/>
      <c r="MXF35" s="770"/>
      <c r="MXN35" s="1041"/>
      <c r="MXO35" s="1041"/>
      <c r="MXP35" s="770"/>
      <c r="MXR35" s="770"/>
      <c r="MXS35" s="770"/>
      <c r="MYA35" s="1041"/>
      <c r="MYB35" s="1041"/>
      <c r="MYC35" s="770"/>
      <c r="MYE35" s="770"/>
      <c r="MYF35" s="770"/>
      <c r="MYN35" s="1041"/>
      <c r="MYO35" s="1041"/>
      <c r="MYP35" s="770"/>
      <c r="MYR35" s="770"/>
      <c r="MYS35" s="770"/>
      <c r="MZA35" s="1041"/>
      <c r="MZB35" s="1041"/>
      <c r="MZC35" s="770"/>
      <c r="MZE35" s="770"/>
      <c r="MZF35" s="770"/>
      <c r="MZN35" s="1041"/>
      <c r="MZO35" s="1041"/>
      <c r="MZP35" s="770"/>
      <c r="MZR35" s="770"/>
      <c r="MZS35" s="770"/>
      <c r="NAA35" s="1041"/>
      <c r="NAB35" s="1041"/>
      <c r="NAC35" s="770"/>
      <c r="NAE35" s="770"/>
      <c r="NAF35" s="770"/>
      <c r="NAN35" s="1041"/>
      <c r="NAO35" s="1041"/>
      <c r="NAP35" s="770"/>
      <c r="NAR35" s="770"/>
      <c r="NAS35" s="770"/>
      <c r="NBA35" s="1041"/>
      <c r="NBB35" s="1041"/>
      <c r="NBC35" s="770"/>
      <c r="NBE35" s="770"/>
      <c r="NBF35" s="770"/>
      <c r="NBN35" s="1041"/>
      <c r="NBO35" s="1041"/>
      <c r="NBP35" s="770"/>
      <c r="NBR35" s="770"/>
      <c r="NBS35" s="770"/>
      <c r="NCA35" s="1041"/>
      <c r="NCB35" s="1041"/>
      <c r="NCC35" s="770"/>
      <c r="NCE35" s="770"/>
      <c r="NCF35" s="770"/>
      <c r="NCN35" s="1041"/>
      <c r="NCO35" s="1041"/>
      <c r="NCP35" s="770"/>
      <c r="NCR35" s="770"/>
      <c r="NCS35" s="770"/>
      <c r="NDA35" s="1041"/>
      <c r="NDB35" s="1041"/>
      <c r="NDC35" s="770"/>
      <c r="NDE35" s="770"/>
      <c r="NDF35" s="770"/>
      <c r="NDN35" s="1041"/>
      <c r="NDO35" s="1041"/>
      <c r="NDP35" s="770"/>
      <c r="NDR35" s="770"/>
      <c r="NDS35" s="770"/>
      <c r="NEA35" s="1041"/>
      <c r="NEB35" s="1041"/>
      <c r="NEC35" s="770"/>
      <c r="NEE35" s="770"/>
      <c r="NEF35" s="770"/>
      <c r="NEN35" s="1041"/>
      <c r="NEO35" s="1041"/>
      <c r="NEP35" s="770"/>
      <c r="NER35" s="770"/>
      <c r="NES35" s="770"/>
      <c r="NFA35" s="1041"/>
      <c r="NFB35" s="1041"/>
      <c r="NFC35" s="770"/>
      <c r="NFE35" s="770"/>
      <c r="NFF35" s="770"/>
      <c r="NFN35" s="1041"/>
      <c r="NFO35" s="1041"/>
      <c r="NFP35" s="770"/>
      <c r="NFR35" s="770"/>
      <c r="NFS35" s="770"/>
      <c r="NGA35" s="1041"/>
      <c r="NGB35" s="1041"/>
      <c r="NGC35" s="770"/>
      <c r="NGE35" s="770"/>
      <c r="NGF35" s="770"/>
      <c r="NGN35" s="1041"/>
      <c r="NGO35" s="1041"/>
      <c r="NGP35" s="770"/>
      <c r="NGR35" s="770"/>
      <c r="NGS35" s="770"/>
      <c r="NHA35" s="1041"/>
      <c r="NHB35" s="1041"/>
      <c r="NHC35" s="770"/>
      <c r="NHE35" s="770"/>
      <c r="NHF35" s="770"/>
      <c r="NHN35" s="1041"/>
      <c r="NHO35" s="1041"/>
      <c r="NHP35" s="770"/>
      <c r="NHR35" s="770"/>
      <c r="NHS35" s="770"/>
      <c r="NIA35" s="1041"/>
      <c r="NIB35" s="1041"/>
      <c r="NIC35" s="770"/>
      <c r="NIE35" s="770"/>
      <c r="NIF35" s="770"/>
      <c r="NIN35" s="1041"/>
      <c r="NIO35" s="1041"/>
      <c r="NIP35" s="770"/>
      <c r="NIR35" s="770"/>
      <c r="NIS35" s="770"/>
      <c r="NJA35" s="1041"/>
      <c r="NJB35" s="1041"/>
      <c r="NJC35" s="770"/>
      <c r="NJE35" s="770"/>
      <c r="NJF35" s="770"/>
      <c r="NJN35" s="1041"/>
      <c r="NJO35" s="1041"/>
      <c r="NJP35" s="770"/>
      <c r="NJR35" s="770"/>
      <c r="NJS35" s="770"/>
      <c r="NKA35" s="1041"/>
      <c r="NKB35" s="1041"/>
      <c r="NKC35" s="770"/>
      <c r="NKE35" s="770"/>
      <c r="NKF35" s="770"/>
      <c r="NKN35" s="1041"/>
      <c r="NKO35" s="1041"/>
      <c r="NKP35" s="770"/>
      <c r="NKR35" s="770"/>
      <c r="NKS35" s="770"/>
      <c r="NLA35" s="1041"/>
      <c r="NLB35" s="1041"/>
      <c r="NLC35" s="770"/>
      <c r="NLE35" s="770"/>
      <c r="NLF35" s="770"/>
      <c r="NLN35" s="1041"/>
      <c r="NLO35" s="1041"/>
      <c r="NLP35" s="770"/>
      <c r="NLR35" s="770"/>
      <c r="NLS35" s="770"/>
      <c r="NMA35" s="1041"/>
      <c r="NMB35" s="1041"/>
      <c r="NMC35" s="770"/>
      <c r="NME35" s="770"/>
      <c r="NMF35" s="770"/>
      <c r="NMN35" s="1041"/>
      <c r="NMO35" s="1041"/>
      <c r="NMP35" s="770"/>
      <c r="NMR35" s="770"/>
      <c r="NMS35" s="770"/>
      <c r="NNA35" s="1041"/>
      <c r="NNB35" s="1041"/>
      <c r="NNC35" s="770"/>
      <c r="NNE35" s="770"/>
      <c r="NNF35" s="770"/>
      <c r="NNN35" s="1041"/>
      <c r="NNO35" s="1041"/>
      <c r="NNP35" s="770"/>
      <c r="NNR35" s="770"/>
      <c r="NNS35" s="770"/>
      <c r="NOA35" s="1041"/>
      <c r="NOB35" s="1041"/>
      <c r="NOC35" s="770"/>
      <c r="NOE35" s="770"/>
      <c r="NOF35" s="770"/>
      <c r="NON35" s="1041"/>
      <c r="NOO35" s="1041"/>
      <c r="NOP35" s="770"/>
      <c r="NOR35" s="770"/>
      <c r="NOS35" s="770"/>
      <c r="NPA35" s="1041"/>
      <c r="NPB35" s="1041"/>
      <c r="NPC35" s="770"/>
      <c r="NPE35" s="770"/>
      <c r="NPF35" s="770"/>
      <c r="NPN35" s="1041"/>
      <c r="NPO35" s="1041"/>
      <c r="NPP35" s="770"/>
      <c r="NPR35" s="770"/>
      <c r="NPS35" s="770"/>
      <c r="NQA35" s="1041"/>
      <c r="NQB35" s="1041"/>
      <c r="NQC35" s="770"/>
      <c r="NQE35" s="770"/>
      <c r="NQF35" s="770"/>
      <c r="NQN35" s="1041"/>
      <c r="NQO35" s="1041"/>
      <c r="NQP35" s="770"/>
      <c r="NQR35" s="770"/>
      <c r="NQS35" s="770"/>
      <c r="NRA35" s="1041"/>
      <c r="NRB35" s="1041"/>
      <c r="NRC35" s="770"/>
      <c r="NRE35" s="770"/>
      <c r="NRF35" s="770"/>
      <c r="NRN35" s="1041"/>
      <c r="NRO35" s="1041"/>
      <c r="NRP35" s="770"/>
      <c r="NRR35" s="770"/>
      <c r="NRS35" s="770"/>
      <c r="NSA35" s="1041"/>
      <c r="NSB35" s="1041"/>
      <c r="NSC35" s="770"/>
      <c r="NSE35" s="770"/>
      <c r="NSF35" s="770"/>
      <c r="NSN35" s="1041"/>
      <c r="NSO35" s="1041"/>
      <c r="NSP35" s="770"/>
      <c r="NSR35" s="770"/>
      <c r="NSS35" s="770"/>
      <c r="NTA35" s="1041"/>
      <c r="NTB35" s="1041"/>
      <c r="NTC35" s="770"/>
      <c r="NTE35" s="770"/>
      <c r="NTF35" s="770"/>
      <c r="NTN35" s="1041"/>
      <c r="NTO35" s="1041"/>
      <c r="NTP35" s="770"/>
      <c r="NTR35" s="770"/>
      <c r="NTS35" s="770"/>
      <c r="NUA35" s="1041"/>
      <c r="NUB35" s="1041"/>
      <c r="NUC35" s="770"/>
      <c r="NUE35" s="770"/>
      <c r="NUF35" s="770"/>
      <c r="NUN35" s="1041"/>
      <c r="NUO35" s="1041"/>
      <c r="NUP35" s="770"/>
      <c r="NUR35" s="770"/>
      <c r="NUS35" s="770"/>
      <c r="NVA35" s="1041"/>
      <c r="NVB35" s="1041"/>
      <c r="NVC35" s="770"/>
      <c r="NVE35" s="770"/>
      <c r="NVF35" s="770"/>
      <c r="NVN35" s="1041"/>
      <c r="NVO35" s="1041"/>
      <c r="NVP35" s="770"/>
      <c r="NVR35" s="770"/>
      <c r="NVS35" s="770"/>
      <c r="NWA35" s="1041"/>
      <c r="NWB35" s="1041"/>
      <c r="NWC35" s="770"/>
      <c r="NWE35" s="770"/>
      <c r="NWF35" s="770"/>
      <c r="NWN35" s="1041"/>
      <c r="NWO35" s="1041"/>
      <c r="NWP35" s="770"/>
      <c r="NWR35" s="770"/>
      <c r="NWS35" s="770"/>
      <c r="NXA35" s="1041"/>
      <c r="NXB35" s="1041"/>
      <c r="NXC35" s="770"/>
      <c r="NXE35" s="770"/>
      <c r="NXF35" s="770"/>
      <c r="NXN35" s="1041"/>
      <c r="NXO35" s="1041"/>
      <c r="NXP35" s="770"/>
      <c r="NXR35" s="770"/>
      <c r="NXS35" s="770"/>
      <c r="NYA35" s="1041"/>
      <c r="NYB35" s="1041"/>
      <c r="NYC35" s="770"/>
      <c r="NYE35" s="770"/>
      <c r="NYF35" s="770"/>
      <c r="NYN35" s="1041"/>
      <c r="NYO35" s="1041"/>
      <c r="NYP35" s="770"/>
      <c r="NYR35" s="770"/>
      <c r="NYS35" s="770"/>
      <c r="NZA35" s="1041"/>
      <c r="NZB35" s="1041"/>
      <c r="NZC35" s="770"/>
      <c r="NZE35" s="770"/>
      <c r="NZF35" s="770"/>
      <c r="NZN35" s="1041"/>
      <c r="NZO35" s="1041"/>
      <c r="NZP35" s="770"/>
      <c r="NZR35" s="770"/>
      <c r="NZS35" s="770"/>
      <c r="OAA35" s="1041"/>
      <c r="OAB35" s="1041"/>
      <c r="OAC35" s="770"/>
      <c r="OAE35" s="770"/>
      <c r="OAF35" s="770"/>
      <c r="OAN35" s="1041"/>
      <c r="OAO35" s="1041"/>
      <c r="OAP35" s="770"/>
      <c r="OAR35" s="770"/>
      <c r="OAS35" s="770"/>
      <c r="OBA35" s="1041"/>
      <c r="OBB35" s="1041"/>
      <c r="OBC35" s="770"/>
      <c r="OBE35" s="770"/>
      <c r="OBF35" s="770"/>
      <c r="OBN35" s="1041"/>
      <c r="OBO35" s="1041"/>
      <c r="OBP35" s="770"/>
      <c r="OBR35" s="770"/>
      <c r="OBS35" s="770"/>
      <c r="OCA35" s="1041"/>
      <c r="OCB35" s="1041"/>
      <c r="OCC35" s="770"/>
      <c r="OCE35" s="770"/>
      <c r="OCF35" s="770"/>
      <c r="OCN35" s="1041"/>
      <c r="OCO35" s="1041"/>
      <c r="OCP35" s="770"/>
      <c r="OCR35" s="770"/>
      <c r="OCS35" s="770"/>
      <c r="ODA35" s="1041"/>
      <c r="ODB35" s="1041"/>
      <c r="ODC35" s="770"/>
      <c r="ODE35" s="770"/>
      <c r="ODF35" s="770"/>
      <c r="ODN35" s="1041"/>
      <c r="ODO35" s="1041"/>
      <c r="ODP35" s="770"/>
      <c r="ODR35" s="770"/>
      <c r="ODS35" s="770"/>
      <c r="OEA35" s="1041"/>
      <c r="OEB35" s="1041"/>
      <c r="OEC35" s="770"/>
      <c r="OEE35" s="770"/>
      <c r="OEF35" s="770"/>
      <c r="OEN35" s="1041"/>
      <c r="OEO35" s="1041"/>
      <c r="OEP35" s="770"/>
      <c r="OER35" s="770"/>
      <c r="OES35" s="770"/>
      <c r="OFA35" s="1041"/>
      <c r="OFB35" s="1041"/>
      <c r="OFC35" s="770"/>
      <c r="OFE35" s="770"/>
      <c r="OFF35" s="770"/>
      <c r="OFN35" s="1041"/>
      <c r="OFO35" s="1041"/>
      <c r="OFP35" s="770"/>
      <c r="OFR35" s="770"/>
      <c r="OFS35" s="770"/>
      <c r="OGA35" s="1041"/>
      <c r="OGB35" s="1041"/>
      <c r="OGC35" s="770"/>
      <c r="OGE35" s="770"/>
      <c r="OGF35" s="770"/>
      <c r="OGN35" s="1041"/>
      <c r="OGO35" s="1041"/>
      <c r="OGP35" s="770"/>
      <c r="OGR35" s="770"/>
      <c r="OGS35" s="770"/>
      <c r="OHA35" s="1041"/>
      <c r="OHB35" s="1041"/>
      <c r="OHC35" s="770"/>
      <c r="OHE35" s="770"/>
      <c r="OHF35" s="770"/>
      <c r="OHN35" s="1041"/>
      <c r="OHO35" s="1041"/>
      <c r="OHP35" s="770"/>
      <c r="OHR35" s="770"/>
      <c r="OHS35" s="770"/>
      <c r="OIA35" s="1041"/>
      <c r="OIB35" s="1041"/>
      <c r="OIC35" s="770"/>
      <c r="OIE35" s="770"/>
      <c r="OIF35" s="770"/>
      <c r="OIN35" s="1041"/>
      <c r="OIO35" s="1041"/>
      <c r="OIP35" s="770"/>
      <c r="OIR35" s="770"/>
      <c r="OIS35" s="770"/>
      <c r="OJA35" s="1041"/>
      <c r="OJB35" s="1041"/>
      <c r="OJC35" s="770"/>
      <c r="OJE35" s="770"/>
      <c r="OJF35" s="770"/>
      <c r="OJN35" s="1041"/>
      <c r="OJO35" s="1041"/>
      <c r="OJP35" s="770"/>
      <c r="OJR35" s="770"/>
      <c r="OJS35" s="770"/>
      <c r="OKA35" s="1041"/>
      <c r="OKB35" s="1041"/>
      <c r="OKC35" s="770"/>
      <c r="OKE35" s="770"/>
      <c r="OKF35" s="770"/>
      <c r="OKN35" s="1041"/>
      <c r="OKO35" s="1041"/>
      <c r="OKP35" s="770"/>
      <c r="OKR35" s="770"/>
      <c r="OKS35" s="770"/>
      <c r="OLA35" s="1041"/>
      <c r="OLB35" s="1041"/>
      <c r="OLC35" s="770"/>
      <c r="OLE35" s="770"/>
      <c r="OLF35" s="770"/>
      <c r="OLN35" s="1041"/>
      <c r="OLO35" s="1041"/>
      <c r="OLP35" s="770"/>
      <c r="OLR35" s="770"/>
      <c r="OLS35" s="770"/>
      <c r="OMA35" s="1041"/>
      <c r="OMB35" s="1041"/>
      <c r="OMC35" s="770"/>
      <c r="OME35" s="770"/>
      <c r="OMF35" s="770"/>
      <c r="OMN35" s="1041"/>
      <c r="OMO35" s="1041"/>
      <c r="OMP35" s="770"/>
      <c r="OMR35" s="770"/>
      <c r="OMS35" s="770"/>
      <c r="ONA35" s="1041"/>
      <c r="ONB35" s="1041"/>
      <c r="ONC35" s="770"/>
      <c r="ONE35" s="770"/>
      <c r="ONF35" s="770"/>
      <c r="ONN35" s="1041"/>
      <c r="ONO35" s="1041"/>
      <c r="ONP35" s="770"/>
      <c r="ONR35" s="770"/>
      <c r="ONS35" s="770"/>
      <c r="OOA35" s="1041"/>
      <c r="OOB35" s="1041"/>
      <c r="OOC35" s="770"/>
      <c r="OOE35" s="770"/>
      <c r="OOF35" s="770"/>
      <c r="OON35" s="1041"/>
      <c r="OOO35" s="1041"/>
      <c r="OOP35" s="770"/>
      <c r="OOR35" s="770"/>
      <c r="OOS35" s="770"/>
      <c r="OPA35" s="1041"/>
      <c r="OPB35" s="1041"/>
      <c r="OPC35" s="770"/>
      <c r="OPE35" s="770"/>
      <c r="OPF35" s="770"/>
      <c r="OPN35" s="1041"/>
      <c r="OPO35" s="1041"/>
      <c r="OPP35" s="770"/>
      <c r="OPR35" s="770"/>
      <c r="OPS35" s="770"/>
      <c r="OQA35" s="1041"/>
      <c r="OQB35" s="1041"/>
      <c r="OQC35" s="770"/>
      <c r="OQE35" s="770"/>
      <c r="OQF35" s="770"/>
      <c r="OQN35" s="1041"/>
      <c r="OQO35" s="1041"/>
      <c r="OQP35" s="770"/>
      <c r="OQR35" s="770"/>
      <c r="OQS35" s="770"/>
      <c r="ORA35" s="1041"/>
      <c r="ORB35" s="1041"/>
      <c r="ORC35" s="770"/>
      <c r="ORE35" s="770"/>
      <c r="ORF35" s="770"/>
      <c r="ORN35" s="1041"/>
      <c r="ORO35" s="1041"/>
      <c r="ORP35" s="770"/>
      <c r="ORR35" s="770"/>
      <c r="ORS35" s="770"/>
      <c r="OSA35" s="1041"/>
      <c r="OSB35" s="1041"/>
      <c r="OSC35" s="770"/>
      <c r="OSE35" s="770"/>
      <c r="OSF35" s="770"/>
      <c r="OSN35" s="1041"/>
      <c r="OSO35" s="1041"/>
      <c r="OSP35" s="770"/>
      <c r="OSR35" s="770"/>
      <c r="OSS35" s="770"/>
      <c r="OTA35" s="1041"/>
      <c r="OTB35" s="1041"/>
      <c r="OTC35" s="770"/>
      <c r="OTE35" s="770"/>
      <c r="OTF35" s="770"/>
      <c r="OTN35" s="1041"/>
      <c r="OTO35" s="1041"/>
      <c r="OTP35" s="770"/>
      <c r="OTR35" s="770"/>
      <c r="OTS35" s="770"/>
      <c r="OUA35" s="1041"/>
      <c r="OUB35" s="1041"/>
      <c r="OUC35" s="770"/>
      <c r="OUE35" s="770"/>
      <c r="OUF35" s="770"/>
      <c r="OUN35" s="1041"/>
      <c r="OUO35" s="1041"/>
      <c r="OUP35" s="770"/>
      <c r="OUR35" s="770"/>
      <c r="OUS35" s="770"/>
      <c r="OVA35" s="1041"/>
      <c r="OVB35" s="1041"/>
      <c r="OVC35" s="770"/>
      <c r="OVE35" s="770"/>
      <c r="OVF35" s="770"/>
      <c r="OVN35" s="1041"/>
      <c r="OVO35" s="1041"/>
      <c r="OVP35" s="770"/>
      <c r="OVR35" s="770"/>
      <c r="OVS35" s="770"/>
      <c r="OWA35" s="1041"/>
      <c r="OWB35" s="1041"/>
      <c r="OWC35" s="770"/>
      <c r="OWE35" s="770"/>
      <c r="OWF35" s="770"/>
      <c r="OWN35" s="1041"/>
      <c r="OWO35" s="1041"/>
      <c r="OWP35" s="770"/>
      <c r="OWR35" s="770"/>
      <c r="OWS35" s="770"/>
      <c r="OXA35" s="1041"/>
      <c r="OXB35" s="1041"/>
      <c r="OXC35" s="770"/>
      <c r="OXE35" s="770"/>
      <c r="OXF35" s="770"/>
      <c r="OXN35" s="1041"/>
      <c r="OXO35" s="1041"/>
      <c r="OXP35" s="770"/>
      <c r="OXR35" s="770"/>
      <c r="OXS35" s="770"/>
      <c r="OYA35" s="1041"/>
      <c r="OYB35" s="1041"/>
      <c r="OYC35" s="770"/>
      <c r="OYE35" s="770"/>
      <c r="OYF35" s="770"/>
      <c r="OYN35" s="1041"/>
      <c r="OYO35" s="1041"/>
      <c r="OYP35" s="770"/>
      <c r="OYR35" s="770"/>
      <c r="OYS35" s="770"/>
      <c r="OZA35" s="1041"/>
      <c r="OZB35" s="1041"/>
      <c r="OZC35" s="770"/>
      <c r="OZE35" s="770"/>
      <c r="OZF35" s="770"/>
      <c r="OZN35" s="1041"/>
      <c r="OZO35" s="1041"/>
      <c r="OZP35" s="770"/>
      <c r="OZR35" s="770"/>
      <c r="OZS35" s="770"/>
      <c r="PAA35" s="1041"/>
      <c r="PAB35" s="1041"/>
      <c r="PAC35" s="770"/>
      <c r="PAE35" s="770"/>
      <c r="PAF35" s="770"/>
      <c r="PAN35" s="1041"/>
      <c r="PAO35" s="1041"/>
      <c r="PAP35" s="770"/>
      <c r="PAR35" s="770"/>
      <c r="PAS35" s="770"/>
      <c r="PBA35" s="1041"/>
      <c r="PBB35" s="1041"/>
      <c r="PBC35" s="770"/>
      <c r="PBE35" s="770"/>
      <c r="PBF35" s="770"/>
      <c r="PBN35" s="1041"/>
      <c r="PBO35" s="1041"/>
      <c r="PBP35" s="770"/>
      <c r="PBR35" s="770"/>
      <c r="PBS35" s="770"/>
      <c r="PCA35" s="1041"/>
      <c r="PCB35" s="1041"/>
      <c r="PCC35" s="770"/>
      <c r="PCE35" s="770"/>
      <c r="PCF35" s="770"/>
      <c r="PCN35" s="1041"/>
      <c r="PCO35" s="1041"/>
      <c r="PCP35" s="770"/>
      <c r="PCR35" s="770"/>
      <c r="PCS35" s="770"/>
      <c r="PDA35" s="1041"/>
      <c r="PDB35" s="1041"/>
      <c r="PDC35" s="770"/>
      <c r="PDE35" s="770"/>
      <c r="PDF35" s="770"/>
      <c r="PDN35" s="1041"/>
      <c r="PDO35" s="1041"/>
      <c r="PDP35" s="770"/>
      <c r="PDR35" s="770"/>
      <c r="PDS35" s="770"/>
      <c r="PEA35" s="1041"/>
      <c r="PEB35" s="1041"/>
      <c r="PEC35" s="770"/>
      <c r="PEE35" s="770"/>
      <c r="PEF35" s="770"/>
      <c r="PEN35" s="1041"/>
      <c r="PEO35" s="1041"/>
      <c r="PEP35" s="770"/>
      <c r="PER35" s="770"/>
      <c r="PES35" s="770"/>
      <c r="PFA35" s="1041"/>
      <c r="PFB35" s="1041"/>
      <c r="PFC35" s="770"/>
      <c r="PFE35" s="770"/>
      <c r="PFF35" s="770"/>
      <c r="PFN35" s="1041"/>
      <c r="PFO35" s="1041"/>
      <c r="PFP35" s="770"/>
      <c r="PFR35" s="770"/>
      <c r="PFS35" s="770"/>
      <c r="PGA35" s="1041"/>
      <c r="PGB35" s="1041"/>
      <c r="PGC35" s="770"/>
      <c r="PGE35" s="770"/>
      <c r="PGF35" s="770"/>
      <c r="PGN35" s="1041"/>
      <c r="PGO35" s="1041"/>
      <c r="PGP35" s="770"/>
      <c r="PGR35" s="770"/>
      <c r="PGS35" s="770"/>
      <c r="PHA35" s="1041"/>
      <c r="PHB35" s="1041"/>
      <c r="PHC35" s="770"/>
      <c r="PHE35" s="770"/>
      <c r="PHF35" s="770"/>
      <c r="PHN35" s="1041"/>
      <c r="PHO35" s="1041"/>
      <c r="PHP35" s="770"/>
      <c r="PHR35" s="770"/>
      <c r="PHS35" s="770"/>
      <c r="PIA35" s="1041"/>
      <c r="PIB35" s="1041"/>
      <c r="PIC35" s="770"/>
      <c r="PIE35" s="770"/>
      <c r="PIF35" s="770"/>
      <c r="PIN35" s="1041"/>
      <c r="PIO35" s="1041"/>
      <c r="PIP35" s="770"/>
      <c r="PIR35" s="770"/>
      <c r="PIS35" s="770"/>
      <c r="PJA35" s="1041"/>
      <c r="PJB35" s="1041"/>
      <c r="PJC35" s="770"/>
      <c r="PJE35" s="770"/>
      <c r="PJF35" s="770"/>
      <c r="PJN35" s="1041"/>
      <c r="PJO35" s="1041"/>
      <c r="PJP35" s="770"/>
      <c r="PJR35" s="770"/>
      <c r="PJS35" s="770"/>
      <c r="PKA35" s="1041"/>
      <c r="PKB35" s="1041"/>
      <c r="PKC35" s="770"/>
      <c r="PKE35" s="770"/>
      <c r="PKF35" s="770"/>
      <c r="PKN35" s="1041"/>
      <c r="PKO35" s="1041"/>
      <c r="PKP35" s="770"/>
      <c r="PKR35" s="770"/>
      <c r="PKS35" s="770"/>
      <c r="PLA35" s="1041"/>
      <c r="PLB35" s="1041"/>
      <c r="PLC35" s="770"/>
      <c r="PLE35" s="770"/>
      <c r="PLF35" s="770"/>
      <c r="PLN35" s="1041"/>
      <c r="PLO35" s="1041"/>
      <c r="PLP35" s="770"/>
      <c r="PLR35" s="770"/>
      <c r="PLS35" s="770"/>
      <c r="PMA35" s="1041"/>
      <c r="PMB35" s="1041"/>
      <c r="PMC35" s="770"/>
      <c r="PME35" s="770"/>
      <c r="PMF35" s="770"/>
      <c r="PMN35" s="1041"/>
      <c r="PMO35" s="1041"/>
      <c r="PMP35" s="770"/>
      <c r="PMR35" s="770"/>
      <c r="PMS35" s="770"/>
      <c r="PNA35" s="1041"/>
      <c r="PNB35" s="1041"/>
      <c r="PNC35" s="770"/>
      <c r="PNE35" s="770"/>
      <c r="PNF35" s="770"/>
      <c r="PNN35" s="1041"/>
      <c r="PNO35" s="1041"/>
      <c r="PNP35" s="770"/>
      <c r="PNR35" s="770"/>
      <c r="PNS35" s="770"/>
      <c r="POA35" s="1041"/>
      <c r="POB35" s="1041"/>
      <c r="POC35" s="770"/>
      <c r="POE35" s="770"/>
      <c r="POF35" s="770"/>
      <c r="PON35" s="1041"/>
      <c r="POO35" s="1041"/>
      <c r="POP35" s="770"/>
      <c r="POR35" s="770"/>
      <c r="POS35" s="770"/>
      <c r="PPA35" s="1041"/>
      <c r="PPB35" s="1041"/>
      <c r="PPC35" s="770"/>
      <c r="PPE35" s="770"/>
      <c r="PPF35" s="770"/>
      <c r="PPN35" s="1041"/>
      <c r="PPO35" s="1041"/>
      <c r="PPP35" s="770"/>
      <c r="PPR35" s="770"/>
      <c r="PPS35" s="770"/>
      <c r="PQA35" s="1041"/>
      <c r="PQB35" s="1041"/>
      <c r="PQC35" s="770"/>
      <c r="PQE35" s="770"/>
      <c r="PQF35" s="770"/>
      <c r="PQN35" s="1041"/>
      <c r="PQO35" s="1041"/>
      <c r="PQP35" s="770"/>
      <c r="PQR35" s="770"/>
      <c r="PQS35" s="770"/>
      <c r="PRA35" s="1041"/>
      <c r="PRB35" s="1041"/>
      <c r="PRC35" s="770"/>
      <c r="PRE35" s="770"/>
      <c r="PRF35" s="770"/>
      <c r="PRN35" s="1041"/>
      <c r="PRO35" s="1041"/>
      <c r="PRP35" s="770"/>
      <c r="PRR35" s="770"/>
      <c r="PRS35" s="770"/>
      <c r="PSA35" s="1041"/>
      <c r="PSB35" s="1041"/>
      <c r="PSC35" s="770"/>
      <c r="PSE35" s="770"/>
      <c r="PSF35" s="770"/>
      <c r="PSN35" s="1041"/>
      <c r="PSO35" s="1041"/>
      <c r="PSP35" s="770"/>
      <c r="PSR35" s="770"/>
      <c r="PSS35" s="770"/>
      <c r="PTA35" s="1041"/>
      <c r="PTB35" s="1041"/>
      <c r="PTC35" s="770"/>
      <c r="PTE35" s="770"/>
      <c r="PTF35" s="770"/>
      <c r="PTN35" s="1041"/>
      <c r="PTO35" s="1041"/>
      <c r="PTP35" s="770"/>
      <c r="PTR35" s="770"/>
      <c r="PTS35" s="770"/>
      <c r="PUA35" s="1041"/>
      <c r="PUB35" s="1041"/>
      <c r="PUC35" s="770"/>
      <c r="PUE35" s="770"/>
      <c r="PUF35" s="770"/>
      <c r="PUN35" s="1041"/>
      <c r="PUO35" s="1041"/>
      <c r="PUP35" s="770"/>
      <c r="PUR35" s="770"/>
      <c r="PUS35" s="770"/>
      <c r="PVA35" s="1041"/>
      <c r="PVB35" s="1041"/>
      <c r="PVC35" s="770"/>
      <c r="PVE35" s="770"/>
      <c r="PVF35" s="770"/>
      <c r="PVN35" s="1041"/>
      <c r="PVO35" s="1041"/>
      <c r="PVP35" s="770"/>
      <c r="PVR35" s="770"/>
      <c r="PVS35" s="770"/>
      <c r="PWA35" s="1041"/>
      <c r="PWB35" s="1041"/>
      <c r="PWC35" s="770"/>
      <c r="PWE35" s="770"/>
      <c r="PWF35" s="770"/>
      <c r="PWN35" s="1041"/>
      <c r="PWO35" s="1041"/>
      <c r="PWP35" s="770"/>
      <c r="PWR35" s="770"/>
      <c r="PWS35" s="770"/>
      <c r="PXA35" s="1041"/>
      <c r="PXB35" s="1041"/>
      <c r="PXC35" s="770"/>
      <c r="PXE35" s="770"/>
      <c r="PXF35" s="770"/>
      <c r="PXN35" s="1041"/>
      <c r="PXO35" s="1041"/>
      <c r="PXP35" s="770"/>
      <c r="PXR35" s="770"/>
      <c r="PXS35" s="770"/>
      <c r="PYA35" s="1041"/>
      <c r="PYB35" s="1041"/>
      <c r="PYC35" s="770"/>
      <c r="PYE35" s="770"/>
      <c r="PYF35" s="770"/>
      <c r="PYN35" s="1041"/>
      <c r="PYO35" s="1041"/>
      <c r="PYP35" s="770"/>
      <c r="PYR35" s="770"/>
      <c r="PYS35" s="770"/>
      <c r="PZA35" s="1041"/>
      <c r="PZB35" s="1041"/>
      <c r="PZC35" s="770"/>
      <c r="PZE35" s="770"/>
      <c r="PZF35" s="770"/>
      <c r="PZN35" s="1041"/>
      <c r="PZO35" s="1041"/>
      <c r="PZP35" s="770"/>
      <c r="PZR35" s="770"/>
      <c r="PZS35" s="770"/>
      <c r="QAA35" s="1041"/>
      <c r="QAB35" s="1041"/>
      <c r="QAC35" s="770"/>
      <c r="QAE35" s="770"/>
      <c r="QAF35" s="770"/>
      <c r="QAN35" s="1041"/>
      <c r="QAO35" s="1041"/>
      <c r="QAP35" s="770"/>
      <c r="QAR35" s="770"/>
      <c r="QAS35" s="770"/>
      <c r="QBA35" s="1041"/>
      <c r="QBB35" s="1041"/>
      <c r="QBC35" s="770"/>
      <c r="QBE35" s="770"/>
      <c r="QBF35" s="770"/>
      <c r="QBN35" s="1041"/>
      <c r="QBO35" s="1041"/>
      <c r="QBP35" s="770"/>
      <c r="QBR35" s="770"/>
      <c r="QBS35" s="770"/>
      <c r="QCA35" s="1041"/>
      <c r="QCB35" s="1041"/>
      <c r="QCC35" s="770"/>
      <c r="QCE35" s="770"/>
      <c r="QCF35" s="770"/>
      <c r="QCN35" s="1041"/>
      <c r="QCO35" s="1041"/>
      <c r="QCP35" s="770"/>
      <c r="QCR35" s="770"/>
      <c r="QCS35" s="770"/>
      <c r="QDA35" s="1041"/>
      <c r="QDB35" s="1041"/>
      <c r="QDC35" s="770"/>
      <c r="QDE35" s="770"/>
      <c r="QDF35" s="770"/>
      <c r="QDN35" s="1041"/>
      <c r="QDO35" s="1041"/>
      <c r="QDP35" s="770"/>
      <c r="QDR35" s="770"/>
      <c r="QDS35" s="770"/>
      <c r="QEA35" s="1041"/>
      <c r="QEB35" s="1041"/>
      <c r="QEC35" s="770"/>
      <c r="QEE35" s="770"/>
      <c r="QEF35" s="770"/>
      <c r="QEN35" s="1041"/>
      <c r="QEO35" s="1041"/>
      <c r="QEP35" s="770"/>
      <c r="QER35" s="770"/>
      <c r="QES35" s="770"/>
      <c r="QFA35" s="1041"/>
      <c r="QFB35" s="1041"/>
      <c r="QFC35" s="770"/>
      <c r="QFE35" s="770"/>
      <c r="QFF35" s="770"/>
      <c r="QFN35" s="1041"/>
      <c r="QFO35" s="1041"/>
      <c r="QFP35" s="770"/>
      <c r="QFR35" s="770"/>
      <c r="QFS35" s="770"/>
      <c r="QGA35" s="1041"/>
      <c r="QGB35" s="1041"/>
      <c r="QGC35" s="770"/>
      <c r="QGE35" s="770"/>
      <c r="QGF35" s="770"/>
      <c r="QGN35" s="1041"/>
      <c r="QGO35" s="1041"/>
      <c r="QGP35" s="770"/>
      <c r="QGR35" s="770"/>
      <c r="QGS35" s="770"/>
      <c r="QHA35" s="1041"/>
      <c r="QHB35" s="1041"/>
      <c r="QHC35" s="770"/>
      <c r="QHE35" s="770"/>
      <c r="QHF35" s="770"/>
      <c r="QHN35" s="1041"/>
      <c r="QHO35" s="1041"/>
      <c r="QHP35" s="770"/>
      <c r="QHR35" s="770"/>
      <c r="QHS35" s="770"/>
      <c r="QIA35" s="1041"/>
      <c r="QIB35" s="1041"/>
      <c r="QIC35" s="770"/>
      <c r="QIE35" s="770"/>
      <c r="QIF35" s="770"/>
      <c r="QIN35" s="1041"/>
      <c r="QIO35" s="1041"/>
      <c r="QIP35" s="770"/>
      <c r="QIR35" s="770"/>
      <c r="QIS35" s="770"/>
      <c r="QJA35" s="1041"/>
      <c r="QJB35" s="1041"/>
      <c r="QJC35" s="770"/>
      <c r="QJE35" s="770"/>
      <c r="QJF35" s="770"/>
      <c r="QJN35" s="1041"/>
      <c r="QJO35" s="1041"/>
      <c r="QJP35" s="770"/>
      <c r="QJR35" s="770"/>
      <c r="QJS35" s="770"/>
      <c r="QKA35" s="1041"/>
      <c r="QKB35" s="1041"/>
      <c r="QKC35" s="770"/>
      <c r="QKE35" s="770"/>
      <c r="QKF35" s="770"/>
      <c r="QKN35" s="1041"/>
      <c r="QKO35" s="1041"/>
      <c r="QKP35" s="770"/>
      <c r="QKR35" s="770"/>
      <c r="QKS35" s="770"/>
      <c r="QLA35" s="1041"/>
      <c r="QLB35" s="1041"/>
      <c r="QLC35" s="770"/>
      <c r="QLE35" s="770"/>
      <c r="QLF35" s="770"/>
      <c r="QLN35" s="1041"/>
      <c r="QLO35" s="1041"/>
      <c r="QLP35" s="770"/>
      <c r="QLR35" s="770"/>
      <c r="QLS35" s="770"/>
      <c r="QMA35" s="1041"/>
      <c r="QMB35" s="1041"/>
      <c r="QMC35" s="770"/>
      <c r="QME35" s="770"/>
      <c r="QMF35" s="770"/>
      <c r="QMN35" s="1041"/>
      <c r="QMO35" s="1041"/>
      <c r="QMP35" s="770"/>
      <c r="QMR35" s="770"/>
      <c r="QMS35" s="770"/>
      <c r="QNA35" s="1041"/>
      <c r="QNB35" s="1041"/>
      <c r="QNC35" s="770"/>
      <c r="QNE35" s="770"/>
      <c r="QNF35" s="770"/>
      <c r="QNN35" s="1041"/>
      <c r="QNO35" s="1041"/>
      <c r="QNP35" s="770"/>
      <c r="QNR35" s="770"/>
      <c r="QNS35" s="770"/>
      <c r="QOA35" s="1041"/>
      <c r="QOB35" s="1041"/>
      <c r="QOC35" s="770"/>
      <c r="QOE35" s="770"/>
      <c r="QOF35" s="770"/>
      <c r="QON35" s="1041"/>
      <c r="QOO35" s="1041"/>
      <c r="QOP35" s="770"/>
      <c r="QOR35" s="770"/>
      <c r="QOS35" s="770"/>
      <c r="QPA35" s="1041"/>
      <c r="QPB35" s="1041"/>
      <c r="QPC35" s="770"/>
      <c r="QPE35" s="770"/>
      <c r="QPF35" s="770"/>
      <c r="QPN35" s="1041"/>
      <c r="QPO35" s="1041"/>
      <c r="QPP35" s="770"/>
      <c r="QPR35" s="770"/>
      <c r="QPS35" s="770"/>
      <c r="QQA35" s="1041"/>
      <c r="QQB35" s="1041"/>
      <c r="QQC35" s="770"/>
      <c r="QQE35" s="770"/>
      <c r="QQF35" s="770"/>
      <c r="QQN35" s="1041"/>
      <c r="QQO35" s="1041"/>
      <c r="QQP35" s="770"/>
      <c r="QQR35" s="770"/>
      <c r="QQS35" s="770"/>
      <c r="QRA35" s="1041"/>
      <c r="QRB35" s="1041"/>
      <c r="QRC35" s="770"/>
      <c r="QRE35" s="770"/>
      <c r="QRF35" s="770"/>
      <c r="QRN35" s="1041"/>
      <c r="QRO35" s="1041"/>
      <c r="QRP35" s="770"/>
      <c r="QRR35" s="770"/>
      <c r="QRS35" s="770"/>
      <c r="QSA35" s="1041"/>
      <c r="QSB35" s="1041"/>
      <c r="QSC35" s="770"/>
      <c r="QSE35" s="770"/>
      <c r="QSF35" s="770"/>
      <c r="QSN35" s="1041"/>
      <c r="QSO35" s="1041"/>
      <c r="QSP35" s="770"/>
      <c r="QSR35" s="770"/>
      <c r="QSS35" s="770"/>
      <c r="QTA35" s="1041"/>
      <c r="QTB35" s="1041"/>
      <c r="QTC35" s="770"/>
      <c r="QTE35" s="770"/>
      <c r="QTF35" s="770"/>
      <c r="QTN35" s="1041"/>
      <c r="QTO35" s="1041"/>
      <c r="QTP35" s="770"/>
      <c r="QTR35" s="770"/>
      <c r="QTS35" s="770"/>
      <c r="QUA35" s="1041"/>
      <c r="QUB35" s="1041"/>
      <c r="QUC35" s="770"/>
      <c r="QUE35" s="770"/>
      <c r="QUF35" s="770"/>
      <c r="QUN35" s="1041"/>
      <c r="QUO35" s="1041"/>
      <c r="QUP35" s="770"/>
      <c r="QUR35" s="770"/>
      <c r="QUS35" s="770"/>
      <c r="QVA35" s="1041"/>
      <c r="QVB35" s="1041"/>
      <c r="QVC35" s="770"/>
      <c r="QVE35" s="770"/>
      <c r="QVF35" s="770"/>
      <c r="QVN35" s="1041"/>
      <c r="QVO35" s="1041"/>
      <c r="QVP35" s="770"/>
      <c r="QVR35" s="770"/>
      <c r="QVS35" s="770"/>
      <c r="QWA35" s="1041"/>
      <c r="QWB35" s="1041"/>
      <c r="QWC35" s="770"/>
      <c r="QWE35" s="770"/>
      <c r="QWF35" s="770"/>
      <c r="QWN35" s="1041"/>
      <c r="QWO35" s="1041"/>
      <c r="QWP35" s="770"/>
      <c r="QWR35" s="770"/>
      <c r="QWS35" s="770"/>
      <c r="QXA35" s="1041"/>
      <c r="QXB35" s="1041"/>
      <c r="QXC35" s="770"/>
      <c r="QXE35" s="770"/>
      <c r="QXF35" s="770"/>
      <c r="QXN35" s="1041"/>
      <c r="QXO35" s="1041"/>
      <c r="QXP35" s="770"/>
      <c r="QXR35" s="770"/>
      <c r="QXS35" s="770"/>
      <c r="QYA35" s="1041"/>
      <c r="QYB35" s="1041"/>
      <c r="QYC35" s="770"/>
      <c r="QYE35" s="770"/>
      <c r="QYF35" s="770"/>
      <c r="QYN35" s="1041"/>
      <c r="QYO35" s="1041"/>
      <c r="QYP35" s="770"/>
      <c r="QYR35" s="770"/>
      <c r="QYS35" s="770"/>
      <c r="QZA35" s="1041"/>
      <c r="QZB35" s="1041"/>
      <c r="QZC35" s="770"/>
      <c r="QZE35" s="770"/>
      <c r="QZF35" s="770"/>
      <c r="QZN35" s="1041"/>
      <c r="QZO35" s="1041"/>
      <c r="QZP35" s="770"/>
      <c r="QZR35" s="770"/>
      <c r="QZS35" s="770"/>
      <c r="RAA35" s="1041"/>
      <c r="RAB35" s="1041"/>
      <c r="RAC35" s="770"/>
      <c r="RAE35" s="770"/>
      <c r="RAF35" s="770"/>
      <c r="RAN35" s="1041"/>
      <c r="RAO35" s="1041"/>
      <c r="RAP35" s="770"/>
      <c r="RAR35" s="770"/>
      <c r="RAS35" s="770"/>
      <c r="RBA35" s="1041"/>
      <c r="RBB35" s="1041"/>
      <c r="RBC35" s="770"/>
      <c r="RBE35" s="770"/>
      <c r="RBF35" s="770"/>
      <c r="RBN35" s="1041"/>
      <c r="RBO35" s="1041"/>
      <c r="RBP35" s="770"/>
      <c r="RBR35" s="770"/>
      <c r="RBS35" s="770"/>
      <c r="RCA35" s="1041"/>
      <c r="RCB35" s="1041"/>
      <c r="RCC35" s="770"/>
      <c r="RCE35" s="770"/>
      <c r="RCF35" s="770"/>
      <c r="RCN35" s="1041"/>
      <c r="RCO35" s="1041"/>
      <c r="RCP35" s="770"/>
      <c r="RCR35" s="770"/>
      <c r="RCS35" s="770"/>
      <c r="RDA35" s="1041"/>
      <c r="RDB35" s="1041"/>
      <c r="RDC35" s="770"/>
      <c r="RDE35" s="770"/>
      <c r="RDF35" s="770"/>
      <c r="RDN35" s="1041"/>
      <c r="RDO35" s="1041"/>
      <c r="RDP35" s="770"/>
      <c r="RDR35" s="770"/>
      <c r="RDS35" s="770"/>
      <c r="REA35" s="1041"/>
      <c r="REB35" s="1041"/>
      <c r="REC35" s="770"/>
      <c r="REE35" s="770"/>
      <c r="REF35" s="770"/>
      <c r="REN35" s="1041"/>
      <c r="REO35" s="1041"/>
      <c r="REP35" s="770"/>
      <c r="RER35" s="770"/>
      <c r="RES35" s="770"/>
      <c r="RFA35" s="1041"/>
      <c r="RFB35" s="1041"/>
      <c r="RFC35" s="770"/>
      <c r="RFE35" s="770"/>
      <c r="RFF35" s="770"/>
      <c r="RFN35" s="1041"/>
      <c r="RFO35" s="1041"/>
      <c r="RFP35" s="770"/>
      <c r="RFR35" s="770"/>
      <c r="RFS35" s="770"/>
      <c r="RGA35" s="1041"/>
      <c r="RGB35" s="1041"/>
      <c r="RGC35" s="770"/>
      <c r="RGE35" s="770"/>
      <c r="RGF35" s="770"/>
      <c r="RGN35" s="1041"/>
      <c r="RGO35" s="1041"/>
      <c r="RGP35" s="770"/>
      <c r="RGR35" s="770"/>
      <c r="RGS35" s="770"/>
      <c r="RHA35" s="1041"/>
      <c r="RHB35" s="1041"/>
      <c r="RHC35" s="770"/>
      <c r="RHE35" s="770"/>
      <c r="RHF35" s="770"/>
      <c r="RHN35" s="1041"/>
      <c r="RHO35" s="1041"/>
      <c r="RHP35" s="770"/>
      <c r="RHR35" s="770"/>
      <c r="RHS35" s="770"/>
      <c r="RIA35" s="1041"/>
      <c r="RIB35" s="1041"/>
      <c r="RIC35" s="770"/>
      <c r="RIE35" s="770"/>
      <c r="RIF35" s="770"/>
      <c r="RIN35" s="1041"/>
      <c r="RIO35" s="1041"/>
      <c r="RIP35" s="770"/>
      <c r="RIR35" s="770"/>
      <c r="RIS35" s="770"/>
      <c r="RJA35" s="1041"/>
      <c r="RJB35" s="1041"/>
      <c r="RJC35" s="770"/>
      <c r="RJE35" s="770"/>
      <c r="RJF35" s="770"/>
      <c r="RJN35" s="1041"/>
      <c r="RJO35" s="1041"/>
      <c r="RJP35" s="770"/>
      <c r="RJR35" s="770"/>
      <c r="RJS35" s="770"/>
      <c r="RKA35" s="1041"/>
      <c r="RKB35" s="1041"/>
      <c r="RKC35" s="770"/>
      <c r="RKE35" s="770"/>
      <c r="RKF35" s="770"/>
      <c r="RKN35" s="1041"/>
      <c r="RKO35" s="1041"/>
      <c r="RKP35" s="770"/>
      <c r="RKR35" s="770"/>
      <c r="RKS35" s="770"/>
      <c r="RLA35" s="1041"/>
      <c r="RLB35" s="1041"/>
      <c r="RLC35" s="770"/>
      <c r="RLE35" s="770"/>
      <c r="RLF35" s="770"/>
      <c r="RLN35" s="1041"/>
      <c r="RLO35" s="1041"/>
      <c r="RLP35" s="770"/>
      <c r="RLR35" s="770"/>
      <c r="RLS35" s="770"/>
      <c r="RMA35" s="1041"/>
      <c r="RMB35" s="1041"/>
      <c r="RMC35" s="770"/>
      <c r="RME35" s="770"/>
      <c r="RMF35" s="770"/>
      <c r="RMN35" s="1041"/>
      <c r="RMO35" s="1041"/>
      <c r="RMP35" s="770"/>
      <c r="RMR35" s="770"/>
      <c r="RMS35" s="770"/>
      <c r="RNA35" s="1041"/>
      <c r="RNB35" s="1041"/>
      <c r="RNC35" s="770"/>
      <c r="RNE35" s="770"/>
      <c r="RNF35" s="770"/>
      <c r="RNN35" s="1041"/>
      <c r="RNO35" s="1041"/>
      <c r="RNP35" s="770"/>
      <c r="RNR35" s="770"/>
      <c r="RNS35" s="770"/>
      <c r="ROA35" s="1041"/>
      <c r="ROB35" s="1041"/>
      <c r="ROC35" s="770"/>
      <c r="ROE35" s="770"/>
      <c r="ROF35" s="770"/>
      <c r="RON35" s="1041"/>
      <c r="ROO35" s="1041"/>
      <c r="ROP35" s="770"/>
      <c r="ROR35" s="770"/>
      <c r="ROS35" s="770"/>
      <c r="RPA35" s="1041"/>
      <c r="RPB35" s="1041"/>
      <c r="RPC35" s="770"/>
      <c r="RPE35" s="770"/>
      <c r="RPF35" s="770"/>
      <c r="RPN35" s="1041"/>
      <c r="RPO35" s="1041"/>
      <c r="RPP35" s="770"/>
      <c r="RPR35" s="770"/>
      <c r="RPS35" s="770"/>
      <c r="RQA35" s="1041"/>
      <c r="RQB35" s="1041"/>
      <c r="RQC35" s="770"/>
      <c r="RQE35" s="770"/>
      <c r="RQF35" s="770"/>
      <c r="RQN35" s="1041"/>
      <c r="RQO35" s="1041"/>
      <c r="RQP35" s="770"/>
      <c r="RQR35" s="770"/>
      <c r="RQS35" s="770"/>
      <c r="RRA35" s="1041"/>
      <c r="RRB35" s="1041"/>
      <c r="RRC35" s="770"/>
      <c r="RRE35" s="770"/>
      <c r="RRF35" s="770"/>
      <c r="RRN35" s="1041"/>
      <c r="RRO35" s="1041"/>
      <c r="RRP35" s="770"/>
      <c r="RRR35" s="770"/>
      <c r="RRS35" s="770"/>
      <c r="RSA35" s="1041"/>
      <c r="RSB35" s="1041"/>
      <c r="RSC35" s="770"/>
      <c r="RSE35" s="770"/>
      <c r="RSF35" s="770"/>
      <c r="RSN35" s="1041"/>
      <c r="RSO35" s="1041"/>
      <c r="RSP35" s="770"/>
      <c r="RSR35" s="770"/>
      <c r="RSS35" s="770"/>
      <c r="RTA35" s="1041"/>
      <c r="RTB35" s="1041"/>
      <c r="RTC35" s="770"/>
      <c r="RTE35" s="770"/>
      <c r="RTF35" s="770"/>
      <c r="RTN35" s="1041"/>
      <c r="RTO35" s="1041"/>
      <c r="RTP35" s="770"/>
      <c r="RTR35" s="770"/>
      <c r="RTS35" s="770"/>
      <c r="RUA35" s="1041"/>
      <c r="RUB35" s="1041"/>
      <c r="RUC35" s="770"/>
      <c r="RUE35" s="770"/>
      <c r="RUF35" s="770"/>
      <c r="RUN35" s="1041"/>
      <c r="RUO35" s="1041"/>
      <c r="RUP35" s="770"/>
      <c r="RUR35" s="770"/>
      <c r="RUS35" s="770"/>
      <c r="RVA35" s="1041"/>
      <c r="RVB35" s="1041"/>
      <c r="RVC35" s="770"/>
      <c r="RVE35" s="770"/>
      <c r="RVF35" s="770"/>
      <c r="RVN35" s="1041"/>
      <c r="RVO35" s="1041"/>
      <c r="RVP35" s="770"/>
      <c r="RVR35" s="770"/>
      <c r="RVS35" s="770"/>
      <c r="RWA35" s="1041"/>
      <c r="RWB35" s="1041"/>
      <c r="RWC35" s="770"/>
      <c r="RWE35" s="770"/>
      <c r="RWF35" s="770"/>
      <c r="RWN35" s="1041"/>
      <c r="RWO35" s="1041"/>
      <c r="RWP35" s="770"/>
      <c r="RWR35" s="770"/>
      <c r="RWS35" s="770"/>
      <c r="RXA35" s="1041"/>
      <c r="RXB35" s="1041"/>
      <c r="RXC35" s="770"/>
      <c r="RXE35" s="770"/>
      <c r="RXF35" s="770"/>
      <c r="RXN35" s="1041"/>
      <c r="RXO35" s="1041"/>
      <c r="RXP35" s="770"/>
      <c r="RXR35" s="770"/>
      <c r="RXS35" s="770"/>
      <c r="RYA35" s="1041"/>
      <c r="RYB35" s="1041"/>
      <c r="RYC35" s="770"/>
      <c r="RYE35" s="770"/>
      <c r="RYF35" s="770"/>
      <c r="RYN35" s="1041"/>
      <c r="RYO35" s="1041"/>
      <c r="RYP35" s="770"/>
      <c r="RYR35" s="770"/>
      <c r="RYS35" s="770"/>
      <c r="RZA35" s="1041"/>
      <c r="RZB35" s="1041"/>
      <c r="RZC35" s="770"/>
      <c r="RZE35" s="770"/>
      <c r="RZF35" s="770"/>
      <c r="RZN35" s="1041"/>
      <c r="RZO35" s="1041"/>
      <c r="RZP35" s="770"/>
      <c r="RZR35" s="770"/>
      <c r="RZS35" s="770"/>
      <c r="SAA35" s="1041"/>
      <c r="SAB35" s="1041"/>
      <c r="SAC35" s="770"/>
      <c r="SAE35" s="770"/>
      <c r="SAF35" s="770"/>
      <c r="SAN35" s="1041"/>
      <c r="SAO35" s="1041"/>
      <c r="SAP35" s="770"/>
      <c r="SAR35" s="770"/>
      <c r="SAS35" s="770"/>
      <c r="SBA35" s="1041"/>
      <c r="SBB35" s="1041"/>
      <c r="SBC35" s="770"/>
      <c r="SBE35" s="770"/>
      <c r="SBF35" s="770"/>
      <c r="SBN35" s="1041"/>
      <c r="SBO35" s="1041"/>
      <c r="SBP35" s="770"/>
      <c r="SBR35" s="770"/>
      <c r="SBS35" s="770"/>
      <c r="SCA35" s="1041"/>
      <c r="SCB35" s="1041"/>
      <c r="SCC35" s="770"/>
      <c r="SCE35" s="770"/>
      <c r="SCF35" s="770"/>
      <c r="SCN35" s="1041"/>
      <c r="SCO35" s="1041"/>
      <c r="SCP35" s="770"/>
      <c r="SCR35" s="770"/>
      <c r="SCS35" s="770"/>
      <c r="SDA35" s="1041"/>
      <c r="SDB35" s="1041"/>
      <c r="SDC35" s="770"/>
      <c r="SDE35" s="770"/>
      <c r="SDF35" s="770"/>
      <c r="SDN35" s="1041"/>
      <c r="SDO35" s="1041"/>
      <c r="SDP35" s="770"/>
      <c r="SDR35" s="770"/>
      <c r="SDS35" s="770"/>
      <c r="SEA35" s="1041"/>
      <c r="SEB35" s="1041"/>
      <c r="SEC35" s="770"/>
      <c r="SEE35" s="770"/>
      <c r="SEF35" s="770"/>
      <c r="SEN35" s="1041"/>
      <c r="SEO35" s="1041"/>
      <c r="SEP35" s="770"/>
      <c r="SER35" s="770"/>
      <c r="SES35" s="770"/>
      <c r="SFA35" s="1041"/>
      <c r="SFB35" s="1041"/>
      <c r="SFC35" s="770"/>
      <c r="SFE35" s="770"/>
      <c r="SFF35" s="770"/>
      <c r="SFN35" s="1041"/>
      <c r="SFO35" s="1041"/>
      <c r="SFP35" s="770"/>
      <c r="SFR35" s="770"/>
      <c r="SFS35" s="770"/>
      <c r="SGA35" s="1041"/>
      <c r="SGB35" s="1041"/>
      <c r="SGC35" s="770"/>
      <c r="SGE35" s="770"/>
      <c r="SGF35" s="770"/>
      <c r="SGN35" s="1041"/>
      <c r="SGO35" s="1041"/>
      <c r="SGP35" s="770"/>
      <c r="SGR35" s="770"/>
      <c r="SGS35" s="770"/>
      <c r="SHA35" s="1041"/>
      <c r="SHB35" s="1041"/>
      <c r="SHC35" s="770"/>
      <c r="SHE35" s="770"/>
      <c r="SHF35" s="770"/>
      <c r="SHN35" s="1041"/>
      <c r="SHO35" s="1041"/>
      <c r="SHP35" s="770"/>
      <c r="SHR35" s="770"/>
      <c r="SHS35" s="770"/>
      <c r="SIA35" s="1041"/>
      <c r="SIB35" s="1041"/>
      <c r="SIC35" s="770"/>
      <c r="SIE35" s="770"/>
      <c r="SIF35" s="770"/>
      <c r="SIN35" s="1041"/>
      <c r="SIO35" s="1041"/>
      <c r="SIP35" s="770"/>
      <c r="SIR35" s="770"/>
      <c r="SIS35" s="770"/>
      <c r="SJA35" s="1041"/>
      <c r="SJB35" s="1041"/>
      <c r="SJC35" s="770"/>
      <c r="SJE35" s="770"/>
      <c r="SJF35" s="770"/>
      <c r="SJN35" s="1041"/>
      <c r="SJO35" s="1041"/>
      <c r="SJP35" s="770"/>
      <c r="SJR35" s="770"/>
      <c r="SJS35" s="770"/>
      <c r="SKA35" s="1041"/>
      <c r="SKB35" s="1041"/>
      <c r="SKC35" s="770"/>
      <c r="SKE35" s="770"/>
      <c r="SKF35" s="770"/>
      <c r="SKN35" s="1041"/>
      <c r="SKO35" s="1041"/>
      <c r="SKP35" s="770"/>
      <c r="SKR35" s="770"/>
      <c r="SKS35" s="770"/>
      <c r="SLA35" s="1041"/>
      <c r="SLB35" s="1041"/>
      <c r="SLC35" s="770"/>
      <c r="SLE35" s="770"/>
      <c r="SLF35" s="770"/>
      <c r="SLN35" s="1041"/>
      <c r="SLO35" s="1041"/>
      <c r="SLP35" s="770"/>
      <c r="SLR35" s="770"/>
      <c r="SLS35" s="770"/>
      <c r="SMA35" s="1041"/>
      <c r="SMB35" s="1041"/>
      <c r="SMC35" s="770"/>
      <c r="SME35" s="770"/>
      <c r="SMF35" s="770"/>
      <c r="SMN35" s="1041"/>
      <c r="SMO35" s="1041"/>
      <c r="SMP35" s="770"/>
      <c r="SMR35" s="770"/>
      <c r="SMS35" s="770"/>
      <c r="SNA35" s="1041"/>
      <c r="SNB35" s="1041"/>
      <c r="SNC35" s="770"/>
      <c r="SNE35" s="770"/>
      <c r="SNF35" s="770"/>
      <c r="SNN35" s="1041"/>
      <c r="SNO35" s="1041"/>
      <c r="SNP35" s="770"/>
      <c r="SNR35" s="770"/>
      <c r="SNS35" s="770"/>
      <c r="SOA35" s="1041"/>
      <c r="SOB35" s="1041"/>
      <c r="SOC35" s="770"/>
      <c r="SOE35" s="770"/>
      <c r="SOF35" s="770"/>
      <c r="SON35" s="1041"/>
      <c r="SOO35" s="1041"/>
      <c r="SOP35" s="770"/>
      <c r="SOR35" s="770"/>
      <c r="SOS35" s="770"/>
      <c r="SPA35" s="1041"/>
      <c r="SPB35" s="1041"/>
      <c r="SPC35" s="770"/>
      <c r="SPE35" s="770"/>
      <c r="SPF35" s="770"/>
      <c r="SPN35" s="1041"/>
      <c r="SPO35" s="1041"/>
      <c r="SPP35" s="770"/>
      <c r="SPR35" s="770"/>
      <c r="SPS35" s="770"/>
      <c r="SQA35" s="1041"/>
      <c r="SQB35" s="1041"/>
      <c r="SQC35" s="770"/>
      <c r="SQE35" s="770"/>
      <c r="SQF35" s="770"/>
      <c r="SQN35" s="1041"/>
      <c r="SQO35" s="1041"/>
      <c r="SQP35" s="770"/>
      <c r="SQR35" s="770"/>
      <c r="SQS35" s="770"/>
      <c r="SRA35" s="1041"/>
      <c r="SRB35" s="1041"/>
      <c r="SRC35" s="770"/>
      <c r="SRE35" s="770"/>
      <c r="SRF35" s="770"/>
      <c r="SRN35" s="1041"/>
      <c r="SRO35" s="1041"/>
      <c r="SRP35" s="770"/>
      <c r="SRR35" s="770"/>
      <c r="SRS35" s="770"/>
      <c r="SSA35" s="1041"/>
      <c r="SSB35" s="1041"/>
      <c r="SSC35" s="770"/>
      <c r="SSE35" s="770"/>
      <c r="SSF35" s="770"/>
      <c r="SSN35" s="1041"/>
      <c r="SSO35" s="1041"/>
      <c r="SSP35" s="770"/>
      <c r="SSR35" s="770"/>
      <c r="SSS35" s="770"/>
      <c r="STA35" s="1041"/>
      <c r="STB35" s="1041"/>
      <c r="STC35" s="770"/>
      <c r="STE35" s="770"/>
      <c r="STF35" s="770"/>
      <c r="STN35" s="1041"/>
      <c r="STO35" s="1041"/>
      <c r="STP35" s="770"/>
      <c r="STR35" s="770"/>
      <c r="STS35" s="770"/>
      <c r="SUA35" s="1041"/>
      <c r="SUB35" s="1041"/>
      <c r="SUC35" s="770"/>
      <c r="SUE35" s="770"/>
      <c r="SUF35" s="770"/>
      <c r="SUN35" s="1041"/>
      <c r="SUO35" s="1041"/>
      <c r="SUP35" s="770"/>
      <c r="SUR35" s="770"/>
      <c r="SUS35" s="770"/>
      <c r="SVA35" s="1041"/>
      <c r="SVB35" s="1041"/>
      <c r="SVC35" s="770"/>
      <c r="SVE35" s="770"/>
      <c r="SVF35" s="770"/>
      <c r="SVN35" s="1041"/>
      <c r="SVO35" s="1041"/>
      <c r="SVP35" s="770"/>
      <c r="SVR35" s="770"/>
      <c r="SVS35" s="770"/>
      <c r="SWA35" s="1041"/>
      <c r="SWB35" s="1041"/>
      <c r="SWC35" s="770"/>
      <c r="SWE35" s="770"/>
      <c r="SWF35" s="770"/>
      <c r="SWN35" s="1041"/>
      <c r="SWO35" s="1041"/>
      <c r="SWP35" s="770"/>
      <c r="SWR35" s="770"/>
      <c r="SWS35" s="770"/>
      <c r="SXA35" s="1041"/>
      <c r="SXB35" s="1041"/>
      <c r="SXC35" s="770"/>
      <c r="SXE35" s="770"/>
      <c r="SXF35" s="770"/>
      <c r="SXN35" s="1041"/>
      <c r="SXO35" s="1041"/>
      <c r="SXP35" s="770"/>
      <c r="SXR35" s="770"/>
      <c r="SXS35" s="770"/>
      <c r="SYA35" s="1041"/>
      <c r="SYB35" s="1041"/>
      <c r="SYC35" s="770"/>
      <c r="SYE35" s="770"/>
      <c r="SYF35" s="770"/>
      <c r="SYN35" s="1041"/>
      <c r="SYO35" s="1041"/>
      <c r="SYP35" s="770"/>
      <c r="SYR35" s="770"/>
      <c r="SYS35" s="770"/>
      <c r="SZA35" s="1041"/>
      <c r="SZB35" s="1041"/>
      <c r="SZC35" s="770"/>
      <c r="SZE35" s="770"/>
      <c r="SZF35" s="770"/>
      <c r="SZN35" s="1041"/>
      <c r="SZO35" s="1041"/>
      <c r="SZP35" s="770"/>
      <c r="SZR35" s="770"/>
      <c r="SZS35" s="770"/>
      <c r="TAA35" s="1041"/>
      <c r="TAB35" s="1041"/>
      <c r="TAC35" s="770"/>
      <c r="TAE35" s="770"/>
      <c r="TAF35" s="770"/>
      <c r="TAN35" s="1041"/>
      <c r="TAO35" s="1041"/>
      <c r="TAP35" s="770"/>
      <c r="TAR35" s="770"/>
      <c r="TAS35" s="770"/>
      <c r="TBA35" s="1041"/>
      <c r="TBB35" s="1041"/>
      <c r="TBC35" s="770"/>
      <c r="TBE35" s="770"/>
      <c r="TBF35" s="770"/>
      <c r="TBN35" s="1041"/>
      <c r="TBO35" s="1041"/>
      <c r="TBP35" s="770"/>
      <c r="TBR35" s="770"/>
      <c r="TBS35" s="770"/>
      <c r="TCA35" s="1041"/>
      <c r="TCB35" s="1041"/>
      <c r="TCC35" s="770"/>
      <c r="TCE35" s="770"/>
      <c r="TCF35" s="770"/>
      <c r="TCN35" s="1041"/>
      <c r="TCO35" s="1041"/>
      <c r="TCP35" s="770"/>
      <c r="TCR35" s="770"/>
      <c r="TCS35" s="770"/>
      <c r="TDA35" s="1041"/>
      <c r="TDB35" s="1041"/>
      <c r="TDC35" s="770"/>
      <c r="TDE35" s="770"/>
      <c r="TDF35" s="770"/>
      <c r="TDN35" s="1041"/>
      <c r="TDO35" s="1041"/>
      <c r="TDP35" s="770"/>
      <c r="TDR35" s="770"/>
      <c r="TDS35" s="770"/>
      <c r="TEA35" s="1041"/>
      <c r="TEB35" s="1041"/>
      <c r="TEC35" s="770"/>
      <c r="TEE35" s="770"/>
      <c r="TEF35" s="770"/>
      <c r="TEN35" s="1041"/>
      <c r="TEO35" s="1041"/>
      <c r="TEP35" s="770"/>
      <c r="TER35" s="770"/>
      <c r="TES35" s="770"/>
      <c r="TFA35" s="1041"/>
      <c r="TFB35" s="1041"/>
      <c r="TFC35" s="770"/>
      <c r="TFE35" s="770"/>
      <c r="TFF35" s="770"/>
      <c r="TFN35" s="1041"/>
      <c r="TFO35" s="1041"/>
      <c r="TFP35" s="770"/>
      <c r="TFR35" s="770"/>
      <c r="TFS35" s="770"/>
      <c r="TGA35" s="1041"/>
      <c r="TGB35" s="1041"/>
      <c r="TGC35" s="770"/>
      <c r="TGE35" s="770"/>
      <c r="TGF35" s="770"/>
      <c r="TGN35" s="1041"/>
      <c r="TGO35" s="1041"/>
      <c r="TGP35" s="770"/>
      <c r="TGR35" s="770"/>
      <c r="TGS35" s="770"/>
      <c r="THA35" s="1041"/>
      <c r="THB35" s="1041"/>
      <c r="THC35" s="770"/>
      <c r="THE35" s="770"/>
      <c r="THF35" s="770"/>
      <c r="THN35" s="1041"/>
      <c r="THO35" s="1041"/>
      <c r="THP35" s="770"/>
      <c r="THR35" s="770"/>
      <c r="THS35" s="770"/>
      <c r="TIA35" s="1041"/>
      <c r="TIB35" s="1041"/>
      <c r="TIC35" s="770"/>
      <c r="TIE35" s="770"/>
      <c r="TIF35" s="770"/>
      <c r="TIN35" s="1041"/>
      <c r="TIO35" s="1041"/>
      <c r="TIP35" s="770"/>
      <c r="TIR35" s="770"/>
      <c r="TIS35" s="770"/>
      <c r="TJA35" s="1041"/>
      <c r="TJB35" s="1041"/>
      <c r="TJC35" s="770"/>
      <c r="TJE35" s="770"/>
      <c r="TJF35" s="770"/>
      <c r="TJN35" s="1041"/>
      <c r="TJO35" s="1041"/>
      <c r="TJP35" s="770"/>
      <c r="TJR35" s="770"/>
      <c r="TJS35" s="770"/>
      <c r="TKA35" s="1041"/>
      <c r="TKB35" s="1041"/>
      <c r="TKC35" s="770"/>
      <c r="TKE35" s="770"/>
      <c r="TKF35" s="770"/>
      <c r="TKN35" s="1041"/>
      <c r="TKO35" s="1041"/>
      <c r="TKP35" s="770"/>
      <c r="TKR35" s="770"/>
      <c r="TKS35" s="770"/>
      <c r="TLA35" s="1041"/>
      <c r="TLB35" s="1041"/>
      <c r="TLC35" s="770"/>
      <c r="TLE35" s="770"/>
      <c r="TLF35" s="770"/>
      <c r="TLN35" s="1041"/>
      <c r="TLO35" s="1041"/>
      <c r="TLP35" s="770"/>
      <c r="TLR35" s="770"/>
      <c r="TLS35" s="770"/>
      <c r="TMA35" s="1041"/>
      <c r="TMB35" s="1041"/>
      <c r="TMC35" s="770"/>
      <c r="TME35" s="770"/>
      <c r="TMF35" s="770"/>
      <c r="TMN35" s="1041"/>
      <c r="TMO35" s="1041"/>
      <c r="TMP35" s="770"/>
      <c r="TMR35" s="770"/>
      <c r="TMS35" s="770"/>
      <c r="TNA35" s="1041"/>
      <c r="TNB35" s="1041"/>
      <c r="TNC35" s="770"/>
      <c r="TNE35" s="770"/>
      <c r="TNF35" s="770"/>
      <c r="TNN35" s="1041"/>
      <c r="TNO35" s="1041"/>
      <c r="TNP35" s="770"/>
      <c r="TNR35" s="770"/>
      <c r="TNS35" s="770"/>
      <c r="TOA35" s="1041"/>
      <c r="TOB35" s="1041"/>
      <c r="TOC35" s="770"/>
      <c r="TOE35" s="770"/>
      <c r="TOF35" s="770"/>
      <c r="TON35" s="1041"/>
      <c r="TOO35" s="1041"/>
      <c r="TOP35" s="770"/>
      <c r="TOR35" s="770"/>
      <c r="TOS35" s="770"/>
      <c r="TPA35" s="1041"/>
      <c r="TPB35" s="1041"/>
      <c r="TPC35" s="770"/>
      <c r="TPE35" s="770"/>
      <c r="TPF35" s="770"/>
      <c r="TPN35" s="1041"/>
      <c r="TPO35" s="1041"/>
      <c r="TPP35" s="770"/>
      <c r="TPR35" s="770"/>
      <c r="TPS35" s="770"/>
      <c r="TQA35" s="1041"/>
      <c r="TQB35" s="1041"/>
      <c r="TQC35" s="770"/>
      <c r="TQE35" s="770"/>
      <c r="TQF35" s="770"/>
      <c r="TQN35" s="1041"/>
      <c r="TQO35" s="1041"/>
      <c r="TQP35" s="770"/>
      <c r="TQR35" s="770"/>
      <c r="TQS35" s="770"/>
      <c r="TRA35" s="1041"/>
      <c r="TRB35" s="1041"/>
      <c r="TRC35" s="770"/>
      <c r="TRE35" s="770"/>
      <c r="TRF35" s="770"/>
      <c r="TRN35" s="1041"/>
      <c r="TRO35" s="1041"/>
      <c r="TRP35" s="770"/>
      <c r="TRR35" s="770"/>
      <c r="TRS35" s="770"/>
      <c r="TSA35" s="1041"/>
      <c r="TSB35" s="1041"/>
      <c r="TSC35" s="770"/>
      <c r="TSE35" s="770"/>
      <c r="TSF35" s="770"/>
      <c r="TSN35" s="1041"/>
      <c r="TSO35" s="1041"/>
      <c r="TSP35" s="770"/>
      <c r="TSR35" s="770"/>
      <c r="TSS35" s="770"/>
      <c r="TTA35" s="1041"/>
      <c r="TTB35" s="1041"/>
      <c r="TTC35" s="770"/>
      <c r="TTE35" s="770"/>
      <c r="TTF35" s="770"/>
      <c r="TTN35" s="1041"/>
      <c r="TTO35" s="1041"/>
      <c r="TTP35" s="770"/>
      <c r="TTR35" s="770"/>
      <c r="TTS35" s="770"/>
      <c r="TUA35" s="1041"/>
      <c r="TUB35" s="1041"/>
      <c r="TUC35" s="770"/>
      <c r="TUE35" s="770"/>
      <c r="TUF35" s="770"/>
      <c r="TUN35" s="1041"/>
      <c r="TUO35" s="1041"/>
      <c r="TUP35" s="770"/>
      <c r="TUR35" s="770"/>
      <c r="TUS35" s="770"/>
      <c r="TVA35" s="1041"/>
      <c r="TVB35" s="1041"/>
      <c r="TVC35" s="770"/>
      <c r="TVE35" s="770"/>
      <c r="TVF35" s="770"/>
      <c r="TVN35" s="1041"/>
      <c r="TVO35" s="1041"/>
      <c r="TVP35" s="770"/>
      <c r="TVR35" s="770"/>
      <c r="TVS35" s="770"/>
      <c r="TWA35" s="1041"/>
      <c r="TWB35" s="1041"/>
      <c r="TWC35" s="770"/>
      <c r="TWE35" s="770"/>
      <c r="TWF35" s="770"/>
      <c r="TWN35" s="1041"/>
      <c r="TWO35" s="1041"/>
      <c r="TWP35" s="770"/>
      <c r="TWR35" s="770"/>
      <c r="TWS35" s="770"/>
      <c r="TXA35" s="1041"/>
      <c r="TXB35" s="1041"/>
      <c r="TXC35" s="770"/>
      <c r="TXE35" s="770"/>
      <c r="TXF35" s="770"/>
      <c r="TXN35" s="1041"/>
      <c r="TXO35" s="1041"/>
      <c r="TXP35" s="770"/>
      <c r="TXR35" s="770"/>
      <c r="TXS35" s="770"/>
      <c r="TYA35" s="1041"/>
      <c r="TYB35" s="1041"/>
      <c r="TYC35" s="770"/>
      <c r="TYE35" s="770"/>
      <c r="TYF35" s="770"/>
      <c r="TYN35" s="1041"/>
      <c r="TYO35" s="1041"/>
      <c r="TYP35" s="770"/>
      <c r="TYR35" s="770"/>
      <c r="TYS35" s="770"/>
      <c r="TZA35" s="1041"/>
      <c r="TZB35" s="1041"/>
      <c r="TZC35" s="770"/>
      <c r="TZE35" s="770"/>
      <c r="TZF35" s="770"/>
      <c r="TZN35" s="1041"/>
      <c r="TZO35" s="1041"/>
      <c r="TZP35" s="770"/>
      <c r="TZR35" s="770"/>
      <c r="TZS35" s="770"/>
      <c r="UAA35" s="1041"/>
      <c r="UAB35" s="1041"/>
      <c r="UAC35" s="770"/>
      <c r="UAE35" s="770"/>
      <c r="UAF35" s="770"/>
      <c r="UAN35" s="1041"/>
      <c r="UAO35" s="1041"/>
      <c r="UAP35" s="770"/>
      <c r="UAR35" s="770"/>
      <c r="UAS35" s="770"/>
      <c r="UBA35" s="1041"/>
      <c r="UBB35" s="1041"/>
      <c r="UBC35" s="770"/>
      <c r="UBE35" s="770"/>
      <c r="UBF35" s="770"/>
      <c r="UBN35" s="1041"/>
      <c r="UBO35" s="1041"/>
      <c r="UBP35" s="770"/>
      <c r="UBR35" s="770"/>
      <c r="UBS35" s="770"/>
      <c r="UCA35" s="1041"/>
      <c r="UCB35" s="1041"/>
      <c r="UCC35" s="770"/>
      <c r="UCE35" s="770"/>
      <c r="UCF35" s="770"/>
      <c r="UCN35" s="1041"/>
      <c r="UCO35" s="1041"/>
      <c r="UCP35" s="770"/>
      <c r="UCR35" s="770"/>
      <c r="UCS35" s="770"/>
      <c r="UDA35" s="1041"/>
      <c r="UDB35" s="1041"/>
      <c r="UDC35" s="770"/>
      <c r="UDE35" s="770"/>
      <c r="UDF35" s="770"/>
      <c r="UDN35" s="1041"/>
      <c r="UDO35" s="1041"/>
      <c r="UDP35" s="770"/>
      <c r="UDR35" s="770"/>
      <c r="UDS35" s="770"/>
      <c r="UEA35" s="1041"/>
      <c r="UEB35" s="1041"/>
      <c r="UEC35" s="770"/>
      <c r="UEE35" s="770"/>
      <c r="UEF35" s="770"/>
      <c r="UEN35" s="1041"/>
      <c r="UEO35" s="1041"/>
      <c r="UEP35" s="770"/>
      <c r="UER35" s="770"/>
      <c r="UES35" s="770"/>
      <c r="UFA35" s="1041"/>
      <c r="UFB35" s="1041"/>
      <c r="UFC35" s="770"/>
      <c r="UFE35" s="770"/>
      <c r="UFF35" s="770"/>
      <c r="UFN35" s="1041"/>
      <c r="UFO35" s="1041"/>
      <c r="UFP35" s="770"/>
      <c r="UFR35" s="770"/>
      <c r="UFS35" s="770"/>
      <c r="UGA35" s="1041"/>
      <c r="UGB35" s="1041"/>
      <c r="UGC35" s="770"/>
      <c r="UGE35" s="770"/>
      <c r="UGF35" s="770"/>
      <c r="UGN35" s="1041"/>
      <c r="UGO35" s="1041"/>
      <c r="UGP35" s="770"/>
      <c r="UGR35" s="770"/>
      <c r="UGS35" s="770"/>
      <c r="UHA35" s="1041"/>
      <c r="UHB35" s="1041"/>
      <c r="UHC35" s="770"/>
      <c r="UHE35" s="770"/>
      <c r="UHF35" s="770"/>
      <c r="UHN35" s="1041"/>
      <c r="UHO35" s="1041"/>
      <c r="UHP35" s="770"/>
      <c r="UHR35" s="770"/>
      <c r="UHS35" s="770"/>
      <c r="UIA35" s="1041"/>
      <c r="UIB35" s="1041"/>
      <c r="UIC35" s="770"/>
      <c r="UIE35" s="770"/>
      <c r="UIF35" s="770"/>
      <c r="UIN35" s="1041"/>
      <c r="UIO35" s="1041"/>
      <c r="UIP35" s="770"/>
      <c r="UIR35" s="770"/>
      <c r="UIS35" s="770"/>
      <c r="UJA35" s="1041"/>
      <c r="UJB35" s="1041"/>
      <c r="UJC35" s="770"/>
      <c r="UJE35" s="770"/>
      <c r="UJF35" s="770"/>
      <c r="UJN35" s="1041"/>
      <c r="UJO35" s="1041"/>
      <c r="UJP35" s="770"/>
      <c r="UJR35" s="770"/>
      <c r="UJS35" s="770"/>
      <c r="UKA35" s="1041"/>
      <c r="UKB35" s="1041"/>
      <c r="UKC35" s="770"/>
      <c r="UKE35" s="770"/>
      <c r="UKF35" s="770"/>
      <c r="UKN35" s="1041"/>
      <c r="UKO35" s="1041"/>
      <c r="UKP35" s="770"/>
      <c r="UKR35" s="770"/>
      <c r="UKS35" s="770"/>
      <c r="ULA35" s="1041"/>
      <c r="ULB35" s="1041"/>
      <c r="ULC35" s="770"/>
      <c r="ULE35" s="770"/>
      <c r="ULF35" s="770"/>
      <c r="ULN35" s="1041"/>
      <c r="ULO35" s="1041"/>
      <c r="ULP35" s="770"/>
      <c r="ULR35" s="770"/>
      <c r="ULS35" s="770"/>
      <c r="UMA35" s="1041"/>
      <c r="UMB35" s="1041"/>
      <c r="UMC35" s="770"/>
      <c r="UME35" s="770"/>
      <c r="UMF35" s="770"/>
      <c r="UMN35" s="1041"/>
      <c r="UMO35" s="1041"/>
      <c r="UMP35" s="770"/>
      <c r="UMR35" s="770"/>
      <c r="UMS35" s="770"/>
      <c r="UNA35" s="1041"/>
      <c r="UNB35" s="1041"/>
      <c r="UNC35" s="770"/>
      <c r="UNE35" s="770"/>
      <c r="UNF35" s="770"/>
      <c r="UNN35" s="1041"/>
      <c r="UNO35" s="1041"/>
      <c r="UNP35" s="770"/>
      <c r="UNR35" s="770"/>
      <c r="UNS35" s="770"/>
      <c r="UOA35" s="1041"/>
      <c r="UOB35" s="1041"/>
      <c r="UOC35" s="770"/>
      <c r="UOE35" s="770"/>
      <c r="UOF35" s="770"/>
      <c r="UON35" s="1041"/>
      <c r="UOO35" s="1041"/>
      <c r="UOP35" s="770"/>
      <c r="UOR35" s="770"/>
      <c r="UOS35" s="770"/>
      <c r="UPA35" s="1041"/>
      <c r="UPB35" s="1041"/>
      <c r="UPC35" s="770"/>
      <c r="UPE35" s="770"/>
      <c r="UPF35" s="770"/>
      <c r="UPN35" s="1041"/>
      <c r="UPO35" s="1041"/>
      <c r="UPP35" s="770"/>
      <c r="UPR35" s="770"/>
      <c r="UPS35" s="770"/>
      <c r="UQA35" s="1041"/>
      <c r="UQB35" s="1041"/>
      <c r="UQC35" s="770"/>
      <c r="UQE35" s="770"/>
      <c r="UQF35" s="770"/>
      <c r="UQN35" s="1041"/>
      <c r="UQO35" s="1041"/>
      <c r="UQP35" s="770"/>
      <c r="UQR35" s="770"/>
      <c r="UQS35" s="770"/>
      <c r="URA35" s="1041"/>
      <c r="URB35" s="1041"/>
      <c r="URC35" s="770"/>
      <c r="URE35" s="770"/>
      <c r="URF35" s="770"/>
      <c r="URN35" s="1041"/>
      <c r="URO35" s="1041"/>
      <c r="URP35" s="770"/>
      <c r="URR35" s="770"/>
      <c r="URS35" s="770"/>
      <c r="USA35" s="1041"/>
      <c r="USB35" s="1041"/>
      <c r="USC35" s="770"/>
      <c r="USE35" s="770"/>
      <c r="USF35" s="770"/>
      <c r="USN35" s="1041"/>
      <c r="USO35" s="1041"/>
      <c r="USP35" s="770"/>
      <c r="USR35" s="770"/>
      <c r="USS35" s="770"/>
      <c r="UTA35" s="1041"/>
      <c r="UTB35" s="1041"/>
      <c r="UTC35" s="770"/>
      <c r="UTE35" s="770"/>
      <c r="UTF35" s="770"/>
      <c r="UTN35" s="1041"/>
      <c r="UTO35" s="1041"/>
      <c r="UTP35" s="770"/>
      <c r="UTR35" s="770"/>
      <c r="UTS35" s="770"/>
      <c r="UUA35" s="1041"/>
      <c r="UUB35" s="1041"/>
      <c r="UUC35" s="770"/>
      <c r="UUE35" s="770"/>
      <c r="UUF35" s="770"/>
      <c r="UUN35" s="1041"/>
      <c r="UUO35" s="1041"/>
      <c r="UUP35" s="770"/>
      <c r="UUR35" s="770"/>
      <c r="UUS35" s="770"/>
      <c r="UVA35" s="1041"/>
      <c r="UVB35" s="1041"/>
      <c r="UVC35" s="770"/>
      <c r="UVE35" s="770"/>
      <c r="UVF35" s="770"/>
      <c r="UVN35" s="1041"/>
      <c r="UVO35" s="1041"/>
      <c r="UVP35" s="770"/>
      <c r="UVR35" s="770"/>
      <c r="UVS35" s="770"/>
      <c r="UWA35" s="1041"/>
      <c r="UWB35" s="1041"/>
      <c r="UWC35" s="770"/>
      <c r="UWE35" s="770"/>
      <c r="UWF35" s="770"/>
      <c r="UWN35" s="1041"/>
      <c r="UWO35" s="1041"/>
      <c r="UWP35" s="770"/>
      <c r="UWR35" s="770"/>
      <c r="UWS35" s="770"/>
      <c r="UXA35" s="1041"/>
      <c r="UXB35" s="1041"/>
      <c r="UXC35" s="770"/>
      <c r="UXE35" s="770"/>
      <c r="UXF35" s="770"/>
      <c r="UXN35" s="1041"/>
      <c r="UXO35" s="1041"/>
      <c r="UXP35" s="770"/>
      <c r="UXR35" s="770"/>
      <c r="UXS35" s="770"/>
      <c r="UYA35" s="1041"/>
      <c r="UYB35" s="1041"/>
      <c r="UYC35" s="770"/>
      <c r="UYE35" s="770"/>
      <c r="UYF35" s="770"/>
      <c r="UYN35" s="1041"/>
      <c r="UYO35" s="1041"/>
      <c r="UYP35" s="770"/>
      <c r="UYR35" s="770"/>
      <c r="UYS35" s="770"/>
      <c r="UZA35" s="1041"/>
      <c r="UZB35" s="1041"/>
      <c r="UZC35" s="770"/>
      <c r="UZE35" s="770"/>
      <c r="UZF35" s="770"/>
      <c r="UZN35" s="1041"/>
      <c r="UZO35" s="1041"/>
      <c r="UZP35" s="770"/>
      <c r="UZR35" s="770"/>
      <c r="UZS35" s="770"/>
      <c r="VAA35" s="1041"/>
      <c r="VAB35" s="1041"/>
      <c r="VAC35" s="770"/>
      <c r="VAE35" s="770"/>
      <c r="VAF35" s="770"/>
      <c r="VAN35" s="1041"/>
      <c r="VAO35" s="1041"/>
      <c r="VAP35" s="770"/>
      <c r="VAR35" s="770"/>
      <c r="VAS35" s="770"/>
      <c r="VBA35" s="1041"/>
      <c r="VBB35" s="1041"/>
      <c r="VBC35" s="770"/>
      <c r="VBE35" s="770"/>
      <c r="VBF35" s="770"/>
      <c r="VBN35" s="1041"/>
      <c r="VBO35" s="1041"/>
      <c r="VBP35" s="770"/>
      <c r="VBR35" s="770"/>
      <c r="VBS35" s="770"/>
      <c r="VCA35" s="1041"/>
      <c r="VCB35" s="1041"/>
      <c r="VCC35" s="770"/>
      <c r="VCE35" s="770"/>
      <c r="VCF35" s="770"/>
      <c r="VCN35" s="1041"/>
      <c r="VCO35" s="1041"/>
      <c r="VCP35" s="770"/>
      <c r="VCR35" s="770"/>
      <c r="VCS35" s="770"/>
      <c r="VDA35" s="1041"/>
      <c r="VDB35" s="1041"/>
      <c r="VDC35" s="770"/>
      <c r="VDE35" s="770"/>
      <c r="VDF35" s="770"/>
      <c r="VDN35" s="1041"/>
      <c r="VDO35" s="1041"/>
      <c r="VDP35" s="770"/>
      <c r="VDR35" s="770"/>
      <c r="VDS35" s="770"/>
      <c r="VEA35" s="1041"/>
      <c r="VEB35" s="1041"/>
      <c r="VEC35" s="770"/>
      <c r="VEE35" s="770"/>
      <c r="VEF35" s="770"/>
      <c r="VEN35" s="1041"/>
      <c r="VEO35" s="1041"/>
      <c r="VEP35" s="770"/>
      <c r="VER35" s="770"/>
      <c r="VES35" s="770"/>
      <c r="VFA35" s="1041"/>
      <c r="VFB35" s="1041"/>
      <c r="VFC35" s="770"/>
      <c r="VFE35" s="770"/>
      <c r="VFF35" s="770"/>
      <c r="VFN35" s="1041"/>
      <c r="VFO35" s="1041"/>
      <c r="VFP35" s="770"/>
      <c r="VFR35" s="770"/>
      <c r="VFS35" s="770"/>
      <c r="VGA35" s="1041"/>
      <c r="VGB35" s="1041"/>
      <c r="VGC35" s="770"/>
      <c r="VGE35" s="770"/>
      <c r="VGF35" s="770"/>
      <c r="VGN35" s="1041"/>
      <c r="VGO35" s="1041"/>
      <c r="VGP35" s="770"/>
      <c r="VGR35" s="770"/>
      <c r="VGS35" s="770"/>
      <c r="VHA35" s="1041"/>
      <c r="VHB35" s="1041"/>
      <c r="VHC35" s="770"/>
      <c r="VHE35" s="770"/>
      <c r="VHF35" s="770"/>
      <c r="VHN35" s="1041"/>
      <c r="VHO35" s="1041"/>
      <c r="VHP35" s="770"/>
      <c r="VHR35" s="770"/>
      <c r="VHS35" s="770"/>
      <c r="VIA35" s="1041"/>
      <c r="VIB35" s="1041"/>
      <c r="VIC35" s="770"/>
      <c r="VIE35" s="770"/>
      <c r="VIF35" s="770"/>
      <c r="VIN35" s="1041"/>
      <c r="VIO35" s="1041"/>
      <c r="VIP35" s="770"/>
      <c r="VIR35" s="770"/>
      <c r="VIS35" s="770"/>
      <c r="VJA35" s="1041"/>
      <c r="VJB35" s="1041"/>
      <c r="VJC35" s="770"/>
      <c r="VJE35" s="770"/>
      <c r="VJF35" s="770"/>
      <c r="VJN35" s="1041"/>
      <c r="VJO35" s="1041"/>
      <c r="VJP35" s="770"/>
      <c r="VJR35" s="770"/>
      <c r="VJS35" s="770"/>
      <c r="VKA35" s="1041"/>
      <c r="VKB35" s="1041"/>
      <c r="VKC35" s="770"/>
      <c r="VKE35" s="770"/>
      <c r="VKF35" s="770"/>
      <c r="VKN35" s="1041"/>
      <c r="VKO35" s="1041"/>
      <c r="VKP35" s="770"/>
      <c r="VKR35" s="770"/>
      <c r="VKS35" s="770"/>
      <c r="VLA35" s="1041"/>
      <c r="VLB35" s="1041"/>
      <c r="VLC35" s="770"/>
      <c r="VLE35" s="770"/>
      <c r="VLF35" s="770"/>
      <c r="VLN35" s="1041"/>
      <c r="VLO35" s="1041"/>
      <c r="VLP35" s="770"/>
      <c r="VLR35" s="770"/>
      <c r="VLS35" s="770"/>
      <c r="VMA35" s="1041"/>
      <c r="VMB35" s="1041"/>
      <c r="VMC35" s="770"/>
      <c r="VME35" s="770"/>
      <c r="VMF35" s="770"/>
      <c r="VMN35" s="1041"/>
      <c r="VMO35" s="1041"/>
      <c r="VMP35" s="770"/>
      <c r="VMR35" s="770"/>
      <c r="VMS35" s="770"/>
      <c r="VNA35" s="1041"/>
      <c r="VNB35" s="1041"/>
      <c r="VNC35" s="770"/>
      <c r="VNE35" s="770"/>
      <c r="VNF35" s="770"/>
      <c r="VNN35" s="1041"/>
      <c r="VNO35" s="1041"/>
      <c r="VNP35" s="770"/>
      <c r="VNR35" s="770"/>
      <c r="VNS35" s="770"/>
      <c r="VOA35" s="1041"/>
      <c r="VOB35" s="1041"/>
      <c r="VOC35" s="770"/>
      <c r="VOE35" s="770"/>
      <c r="VOF35" s="770"/>
      <c r="VON35" s="1041"/>
      <c r="VOO35" s="1041"/>
      <c r="VOP35" s="770"/>
      <c r="VOR35" s="770"/>
      <c r="VOS35" s="770"/>
      <c r="VPA35" s="1041"/>
      <c r="VPB35" s="1041"/>
      <c r="VPC35" s="770"/>
      <c r="VPE35" s="770"/>
      <c r="VPF35" s="770"/>
      <c r="VPN35" s="1041"/>
      <c r="VPO35" s="1041"/>
      <c r="VPP35" s="770"/>
      <c r="VPR35" s="770"/>
      <c r="VPS35" s="770"/>
      <c r="VQA35" s="1041"/>
      <c r="VQB35" s="1041"/>
      <c r="VQC35" s="770"/>
      <c r="VQE35" s="770"/>
      <c r="VQF35" s="770"/>
      <c r="VQN35" s="1041"/>
      <c r="VQO35" s="1041"/>
      <c r="VQP35" s="770"/>
      <c r="VQR35" s="770"/>
      <c r="VQS35" s="770"/>
      <c r="VRA35" s="1041"/>
      <c r="VRB35" s="1041"/>
      <c r="VRC35" s="770"/>
      <c r="VRE35" s="770"/>
      <c r="VRF35" s="770"/>
      <c r="VRN35" s="1041"/>
      <c r="VRO35" s="1041"/>
      <c r="VRP35" s="770"/>
      <c r="VRR35" s="770"/>
      <c r="VRS35" s="770"/>
      <c r="VSA35" s="1041"/>
      <c r="VSB35" s="1041"/>
      <c r="VSC35" s="770"/>
      <c r="VSE35" s="770"/>
      <c r="VSF35" s="770"/>
      <c r="VSN35" s="1041"/>
      <c r="VSO35" s="1041"/>
      <c r="VSP35" s="770"/>
      <c r="VSR35" s="770"/>
      <c r="VSS35" s="770"/>
      <c r="VTA35" s="1041"/>
      <c r="VTB35" s="1041"/>
      <c r="VTC35" s="770"/>
      <c r="VTE35" s="770"/>
      <c r="VTF35" s="770"/>
      <c r="VTN35" s="1041"/>
      <c r="VTO35" s="1041"/>
      <c r="VTP35" s="770"/>
      <c r="VTR35" s="770"/>
      <c r="VTS35" s="770"/>
      <c r="VUA35" s="1041"/>
      <c r="VUB35" s="1041"/>
      <c r="VUC35" s="770"/>
      <c r="VUE35" s="770"/>
      <c r="VUF35" s="770"/>
      <c r="VUN35" s="1041"/>
      <c r="VUO35" s="1041"/>
      <c r="VUP35" s="770"/>
      <c r="VUR35" s="770"/>
      <c r="VUS35" s="770"/>
      <c r="VVA35" s="1041"/>
      <c r="VVB35" s="1041"/>
      <c r="VVC35" s="770"/>
      <c r="VVE35" s="770"/>
      <c r="VVF35" s="770"/>
      <c r="VVN35" s="1041"/>
      <c r="VVO35" s="1041"/>
      <c r="VVP35" s="770"/>
      <c r="VVR35" s="770"/>
      <c r="VVS35" s="770"/>
      <c r="VWA35" s="1041"/>
      <c r="VWB35" s="1041"/>
      <c r="VWC35" s="770"/>
      <c r="VWE35" s="770"/>
      <c r="VWF35" s="770"/>
      <c r="VWN35" s="1041"/>
      <c r="VWO35" s="1041"/>
      <c r="VWP35" s="770"/>
      <c r="VWR35" s="770"/>
      <c r="VWS35" s="770"/>
      <c r="VXA35" s="1041"/>
      <c r="VXB35" s="1041"/>
      <c r="VXC35" s="770"/>
      <c r="VXE35" s="770"/>
      <c r="VXF35" s="770"/>
      <c r="VXN35" s="1041"/>
      <c r="VXO35" s="1041"/>
      <c r="VXP35" s="770"/>
      <c r="VXR35" s="770"/>
      <c r="VXS35" s="770"/>
      <c r="VYA35" s="1041"/>
      <c r="VYB35" s="1041"/>
      <c r="VYC35" s="770"/>
      <c r="VYE35" s="770"/>
      <c r="VYF35" s="770"/>
      <c r="VYN35" s="1041"/>
      <c r="VYO35" s="1041"/>
      <c r="VYP35" s="770"/>
      <c r="VYR35" s="770"/>
      <c r="VYS35" s="770"/>
      <c r="VZA35" s="1041"/>
      <c r="VZB35" s="1041"/>
      <c r="VZC35" s="770"/>
      <c r="VZE35" s="770"/>
      <c r="VZF35" s="770"/>
      <c r="VZN35" s="1041"/>
      <c r="VZO35" s="1041"/>
      <c r="VZP35" s="770"/>
      <c r="VZR35" s="770"/>
      <c r="VZS35" s="770"/>
      <c r="WAA35" s="1041"/>
      <c r="WAB35" s="1041"/>
      <c r="WAC35" s="770"/>
      <c r="WAE35" s="770"/>
      <c r="WAF35" s="770"/>
      <c r="WAN35" s="1041"/>
      <c r="WAO35" s="1041"/>
      <c r="WAP35" s="770"/>
      <c r="WAR35" s="770"/>
      <c r="WAS35" s="770"/>
      <c r="WBA35" s="1041"/>
      <c r="WBB35" s="1041"/>
      <c r="WBC35" s="770"/>
      <c r="WBE35" s="770"/>
      <c r="WBF35" s="770"/>
      <c r="WBN35" s="1041"/>
      <c r="WBO35" s="1041"/>
      <c r="WBP35" s="770"/>
      <c r="WBR35" s="770"/>
      <c r="WBS35" s="770"/>
      <c r="WCA35" s="1041"/>
      <c r="WCB35" s="1041"/>
      <c r="WCC35" s="770"/>
      <c r="WCE35" s="770"/>
      <c r="WCF35" s="770"/>
      <c r="WCN35" s="1041"/>
      <c r="WCO35" s="1041"/>
      <c r="WCP35" s="770"/>
      <c r="WCR35" s="770"/>
      <c r="WCS35" s="770"/>
      <c r="WDA35" s="1041"/>
      <c r="WDB35" s="1041"/>
      <c r="WDC35" s="770"/>
      <c r="WDE35" s="770"/>
      <c r="WDF35" s="770"/>
      <c r="WDN35" s="1041"/>
      <c r="WDO35" s="1041"/>
      <c r="WDP35" s="770"/>
      <c r="WDR35" s="770"/>
      <c r="WDS35" s="770"/>
      <c r="WEA35" s="1041"/>
      <c r="WEB35" s="1041"/>
      <c r="WEC35" s="770"/>
      <c r="WEE35" s="770"/>
      <c r="WEF35" s="770"/>
      <c r="WEN35" s="1041"/>
      <c r="WEO35" s="1041"/>
      <c r="WEP35" s="770"/>
      <c r="WER35" s="770"/>
      <c r="WES35" s="770"/>
      <c r="WFA35" s="1041"/>
      <c r="WFB35" s="1041"/>
      <c r="WFC35" s="770"/>
      <c r="WFE35" s="770"/>
      <c r="WFF35" s="770"/>
      <c r="WFN35" s="1041"/>
      <c r="WFO35" s="1041"/>
      <c r="WFP35" s="770"/>
      <c r="WFR35" s="770"/>
      <c r="WFS35" s="770"/>
      <c r="WGA35" s="1041"/>
      <c r="WGB35" s="1041"/>
      <c r="WGC35" s="770"/>
      <c r="WGE35" s="770"/>
      <c r="WGF35" s="770"/>
      <c r="WGN35" s="1041"/>
      <c r="WGO35" s="1041"/>
      <c r="WGP35" s="770"/>
      <c r="WGR35" s="770"/>
      <c r="WGS35" s="770"/>
      <c r="WHA35" s="1041"/>
      <c r="WHB35" s="1041"/>
      <c r="WHC35" s="770"/>
      <c r="WHE35" s="770"/>
      <c r="WHF35" s="770"/>
      <c r="WHN35" s="1041"/>
      <c r="WHO35" s="1041"/>
      <c r="WHP35" s="770"/>
      <c r="WHR35" s="770"/>
      <c r="WHS35" s="770"/>
      <c r="WIA35" s="1041"/>
      <c r="WIB35" s="1041"/>
      <c r="WIC35" s="770"/>
      <c r="WIE35" s="770"/>
      <c r="WIF35" s="770"/>
      <c r="WIN35" s="1041"/>
      <c r="WIO35" s="1041"/>
      <c r="WIP35" s="770"/>
      <c r="WIR35" s="770"/>
      <c r="WIS35" s="770"/>
      <c r="WJA35" s="1041"/>
      <c r="WJB35" s="1041"/>
      <c r="WJC35" s="770"/>
      <c r="WJE35" s="770"/>
      <c r="WJF35" s="770"/>
      <c r="WJN35" s="1041"/>
      <c r="WJO35" s="1041"/>
      <c r="WJP35" s="770"/>
      <c r="WJR35" s="770"/>
      <c r="WJS35" s="770"/>
      <c r="WKA35" s="1041"/>
      <c r="WKB35" s="1041"/>
      <c r="WKC35" s="770"/>
      <c r="WKE35" s="770"/>
      <c r="WKF35" s="770"/>
      <c r="WKN35" s="1041"/>
      <c r="WKO35" s="1041"/>
      <c r="WKP35" s="770"/>
      <c r="WKR35" s="770"/>
      <c r="WKS35" s="770"/>
      <c r="WLA35" s="1041"/>
      <c r="WLB35" s="1041"/>
      <c r="WLC35" s="770"/>
      <c r="WLE35" s="770"/>
      <c r="WLF35" s="770"/>
      <c r="WLN35" s="1041"/>
      <c r="WLO35" s="1041"/>
      <c r="WLP35" s="770"/>
      <c r="WLR35" s="770"/>
      <c r="WLS35" s="770"/>
      <c r="WMA35" s="1041"/>
      <c r="WMB35" s="1041"/>
      <c r="WMC35" s="770"/>
      <c r="WME35" s="770"/>
      <c r="WMF35" s="770"/>
      <c r="WMN35" s="1041"/>
      <c r="WMO35" s="1041"/>
      <c r="WMP35" s="770"/>
      <c r="WMR35" s="770"/>
      <c r="WMS35" s="770"/>
      <c r="WNA35" s="1041"/>
      <c r="WNB35" s="1041"/>
      <c r="WNC35" s="770"/>
      <c r="WNE35" s="770"/>
      <c r="WNF35" s="770"/>
      <c r="WNN35" s="1041"/>
      <c r="WNO35" s="1041"/>
      <c r="WNP35" s="770"/>
      <c r="WNR35" s="770"/>
      <c r="WNS35" s="770"/>
      <c r="WOA35" s="1041"/>
      <c r="WOB35" s="1041"/>
      <c r="WOC35" s="770"/>
      <c r="WOE35" s="770"/>
      <c r="WOF35" s="770"/>
      <c r="WON35" s="1041"/>
      <c r="WOO35" s="1041"/>
      <c r="WOP35" s="770"/>
      <c r="WOR35" s="770"/>
      <c r="WOS35" s="770"/>
      <c r="WPA35" s="1041"/>
      <c r="WPB35" s="1041"/>
      <c r="WPC35" s="770"/>
      <c r="WPE35" s="770"/>
      <c r="WPF35" s="770"/>
      <c r="WPN35" s="1041"/>
      <c r="WPO35" s="1041"/>
      <c r="WPP35" s="770"/>
      <c r="WPR35" s="770"/>
      <c r="WPS35" s="770"/>
      <c r="WQA35" s="1041"/>
      <c r="WQB35" s="1041"/>
      <c r="WQC35" s="770"/>
      <c r="WQE35" s="770"/>
      <c r="WQF35" s="770"/>
      <c r="WQN35" s="1041"/>
      <c r="WQO35" s="1041"/>
      <c r="WQP35" s="770"/>
      <c r="WQR35" s="770"/>
      <c r="WQS35" s="770"/>
      <c r="WRA35" s="1041"/>
      <c r="WRB35" s="1041"/>
      <c r="WRC35" s="770"/>
      <c r="WRE35" s="770"/>
      <c r="WRF35" s="770"/>
      <c r="WRN35" s="1041"/>
      <c r="WRO35" s="1041"/>
      <c r="WRP35" s="770"/>
      <c r="WRR35" s="770"/>
      <c r="WRS35" s="770"/>
      <c r="WSA35" s="1041"/>
      <c r="WSB35" s="1041"/>
      <c r="WSC35" s="770"/>
      <c r="WSE35" s="770"/>
      <c r="WSF35" s="770"/>
      <c r="WSN35" s="1041"/>
      <c r="WSO35" s="1041"/>
      <c r="WSP35" s="770"/>
      <c r="WSR35" s="770"/>
      <c r="WSS35" s="770"/>
      <c r="WTA35" s="1041"/>
      <c r="WTB35" s="1041"/>
      <c r="WTC35" s="770"/>
      <c r="WTE35" s="770"/>
      <c r="WTF35" s="770"/>
      <c r="WTN35" s="1041"/>
      <c r="WTO35" s="1041"/>
      <c r="WTP35" s="770"/>
      <c r="WTR35" s="770"/>
      <c r="WTS35" s="770"/>
      <c r="WUA35" s="1041"/>
      <c r="WUB35" s="1041"/>
      <c r="WUC35" s="770"/>
      <c r="WUE35" s="770"/>
      <c r="WUF35" s="770"/>
      <c r="WUN35" s="1041"/>
      <c r="WUO35" s="1041"/>
      <c r="WUP35" s="770"/>
      <c r="WUR35" s="770"/>
      <c r="WUS35" s="770"/>
      <c r="WVA35" s="1041"/>
      <c r="WVB35" s="1041"/>
      <c r="WVC35" s="770"/>
      <c r="WVE35" s="770"/>
      <c r="WVF35" s="770"/>
      <c r="WVN35" s="1041"/>
      <c r="WVO35" s="1041"/>
      <c r="WVP35" s="770"/>
      <c r="WVR35" s="770"/>
      <c r="WVS35" s="770"/>
      <c r="WWA35" s="1041"/>
      <c r="WWB35" s="1041"/>
      <c r="WWC35" s="770"/>
      <c r="WWE35" s="770"/>
      <c r="WWF35" s="770"/>
      <c r="WWN35" s="1041"/>
      <c r="WWO35" s="1041"/>
      <c r="WWP35" s="770"/>
      <c r="WWR35" s="770"/>
      <c r="WWS35" s="770"/>
      <c r="WXA35" s="1041"/>
      <c r="WXB35" s="1041"/>
      <c r="WXC35" s="770"/>
      <c r="WXE35" s="770"/>
      <c r="WXF35" s="770"/>
      <c r="WXN35" s="1041"/>
      <c r="WXO35" s="1041"/>
      <c r="WXP35" s="770"/>
      <c r="WXR35" s="770"/>
      <c r="WXS35" s="770"/>
      <c r="WYA35" s="1041"/>
      <c r="WYB35" s="1041"/>
      <c r="WYC35" s="770"/>
      <c r="WYE35" s="770"/>
      <c r="WYF35" s="770"/>
      <c r="WYN35" s="1041"/>
      <c r="WYO35" s="1041"/>
      <c r="WYP35" s="770"/>
      <c r="WYR35" s="770"/>
      <c r="WYS35" s="770"/>
      <c r="WZA35" s="1041"/>
      <c r="WZB35" s="1041"/>
      <c r="WZC35" s="770"/>
      <c r="WZE35" s="770"/>
      <c r="WZF35" s="770"/>
      <c r="WZN35" s="1041"/>
      <c r="WZO35" s="1041"/>
      <c r="WZP35" s="770"/>
      <c r="WZR35" s="770"/>
      <c r="WZS35" s="770"/>
      <c r="XAA35" s="1041"/>
      <c r="XAB35" s="1041"/>
      <c r="XAC35" s="770"/>
      <c r="XAE35" s="770"/>
      <c r="XAF35" s="770"/>
      <c r="XAN35" s="1041"/>
      <c r="XAO35" s="1041"/>
      <c r="XAP35" s="770"/>
      <c r="XAR35" s="770"/>
      <c r="XAS35" s="770"/>
      <c r="XBA35" s="1041"/>
      <c r="XBB35" s="1041"/>
      <c r="XBC35" s="770"/>
      <c r="XBE35" s="770"/>
      <c r="XBF35" s="770"/>
      <c r="XBN35" s="1041"/>
      <c r="XBO35" s="1041"/>
      <c r="XBP35" s="770"/>
      <c r="XBR35" s="770"/>
      <c r="XBS35" s="770"/>
      <c r="XCA35" s="1041"/>
      <c r="XCB35" s="1041"/>
      <c r="XCC35" s="770"/>
      <c r="XCE35" s="770"/>
      <c r="XCF35" s="770"/>
      <c r="XCN35" s="1041"/>
      <c r="XCO35" s="1041"/>
      <c r="XCP35" s="770"/>
      <c r="XCR35" s="770"/>
      <c r="XCS35" s="770"/>
      <c r="XDA35" s="1041"/>
      <c r="XDB35" s="1041"/>
      <c r="XDC35" s="770"/>
      <c r="XDE35" s="770"/>
      <c r="XDF35" s="770"/>
      <c r="XDN35" s="1041"/>
      <c r="XDO35" s="1041"/>
      <c r="XDP35" s="770"/>
      <c r="XDR35" s="770"/>
      <c r="XDS35" s="770"/>
      <c r="XEA35" s="1041"/>
      <c r="XEB35" s="1041"/>
      <c r="XEC35" s="770"/>
      <c r="XEE35" s="770"/>
      <c r="XEF35" s="770"/>
      <c r="XEN35" s="1041"/>
      <c r="XEO35" s="1041"/>
      <c r="XEP35" s="770"/>
      <c r="XER35" s="770"/>
      <c r="XES35" s="770"/>
      <c r="XFA35" s="1041"/>
      <c r="XFB35" s="1041"/>
      <c r="XFC35" s="770"/>
    </row>
    <row r="36" spans="1:1020 1028:2047 2055:3071 3073:5115 5123:6142 6150:9210 9218:10237 10245:11264 11272:12288 12290:13305 13313:14332 14340:15359 15367:16383" s="349" customFormat="1" ht="15" x14ac:dyDescent="0.25">
      <c r="A36" s="965" t="s">
        <v>944</v>
      </c>
      <c r="B36" s="331" t="s">
        <v>1139</v>
      </c>
      <c r="C36" s="447"/>
      <c r="D36" s="447"/>
      <c r="E36" s="766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822">
        <f>'6. HC (LC)'!Q36</f>
        <v>3.7499999999999999E-2</v>
      </c>
      <c r="R36" s="892">
        <f>'6. HC (LC)'!R36</f>
        <v>3.7499999999999999E-2</v>
      </c>
      <c r="S36" s="966"/>
      <c r="T36" s="967"/>
      <c r="U36" s="888" t="str">
        <f>IF(ISBLANK('6. HC (LC)'!U36),"",'6. HC (LC)'!U36)</f>
        <v/>
      </c>
      <c r="W36" s="220" t="s">
        <v>1141</v>
      </c>
    </row>
    <row r="37" spans="1:1020 1028:2047 2055:3071 3073:5115 5123:6142 6150:9210 9218:10237 10245:11264 11272:12288 12290:13305 13313:14332 14340:15359 15367:16383" s="349" customFormat="1" ht="15" x14ac:dyDescent="0.25">
      <c r="A37" s="965" t="s">
        <v>945</v>
      </c>
      <c r="B37" s="331" t="s">
        <v>1139</v>
      </c>
      <c r="C37" s="447"/>
      <c r="D37" s="447"/>
      <c r="E37" s="766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822">
        <f>'6. HC (LC)'!Q37</f>
        <v>4.1300000000000003E-2</v>
      </c>
      <c r="R37" s="892">
        <f>'6. HC (LC)'!R37</f>
        <v>4.1300000000000003E-2</v>
      </c>
      <c r="S37" s="966"/>
      <c r="T37" s="967"/>
      <c r="U37" s="888" t="str">
        <f>IF(ISBLANK('6. HC (LC)'!U37),"",'6. HC (LC)'!U37)</f>
        <v/>
      </c>
      <c r="W37" s="220" t="s">
        <v>1141</v>
      </c>
    </row>
    <row r="38" spans="1:1020 1028:2047 2055:3071 3073:5115 5123:6142 6150:9210 9218:10237 10245:11264 11272:12288 12290:13305 13313:14332 14340:15359 15367:16383" s="349" customFormat="1" ht="12.75" customHeight="1" x14ac:dyDescent="0.25">
      <c r="A38" s="349" t="s">
        <v>1411</v>
      </c>
      <c r="B38" s="331" t="str">
        <f>"in '000 "&amp;'Input-FX Rates'!$B$8</f>
        <v>in '000 KRW</v>
      </c>
      <c r="C38" s="447"/>
      <c r="D38" s="447"/>
      <c r="E38" s="766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89">
        <f>+'6. HC (LC)'!Q38/'Input-FX Rates'!$H$16</f>
        <v>156.29735940174552</v>
      </c>
      <c r="R38" s="443">
        <f>+'6. HC (LC)'!R38/'Input-FX Rates'!$H$16</f>
        <v>156.29735940174552</v>
      </c>
      <c r="S38" s="966"/>
      <c r="T38" s="967"/>
      <c r="U38" s="888" t="str">
        <f>IF(ISBLANK('6. HC (LC)'!U38),"",'6. HC (LC)'!U38)</f>
        <v/>
      </c>
      <c r="W38" s="349" t="s">
        <v>1446</v>
      </c>
    </row>
    <row r="39" spans="1:1020 1028:2047 2055:3071 3073:5115 5123:6142 6150:9210 9218:10237 10245:11264 11272:12288 12290:13305 13313:14332 14340:15359 15367:16383" s="349" customFormat="1" ht="12.75" customHeight="1" x14ac:dyDescent="0.25">
      <c r="A39" s="349" t="s">
        <v>1410</v>
      </c>
      <c r="B39" s="331" t="str">
        <f>"in '000 "&amp;'Input-FX Rates'!$B$8</f>
        <v>in '000 KRW</v>
      </c>
      <c r="C39" s="447"/>
      <c r="D39" s="447"/>
      <c r="E39" s="766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89">
        <f>+'6. HC (LC)'!Q39/'Input-FX Rates'!$H$16</f>
        <v>43.085402759680491</v>
      </c>
      <c r="R39" s="443">
        <f>+'6. HC (LC)'!R39/'Input-FX Rates'!$H$16</f>
        <v>43.085402759680491</v>
      </c>
      <c r="S39" s="966"/>
      <c r="T39" s="967"/>
      <c r="U39" s="888" t="str">
        <f>IF(ISBLANK('6. HC (LC)'!U39),"",'6. HC (LC)'!U39)</f>
        <v/>
      </c>
      <c r="W39" s="349" t="s">
        <v>1463</v>
      </c>
    </row>
  </sheetData>
  <mergeCells count="1263"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</mergeCells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Normal="100" workbookViewId="0">
      <pane xSplit="2" ySplit="7" topLeftCell="C8" activePane="bottomRight" state="frozen"/>
      <selection activeCell="F20" sqref="F20"/>
      <selection pane="topRight" activeCell="F20" sqref="F20"/>
      <selection pane="bottomLeft" activeCell="F20" sqref="F20"/>
      <selection pane="bottomRight" activeCell="E22" sqref="E22"/>
    </sheetView>
  </sheetViews>
  <sheetFormatPr defaultColWidth="9.28515625" defaultRowHeight="12.75" customHeight="1" outlineLevelCol="1" x14ac:dyDescent="0.2"/>
  <cols>
    <col min="1" max="1" width="40.28515625" style="221" bestFit="1" customWidth="1"/>
    <col min="2" max="2" width="45" style="221" bestFit="1" customWidth="1"/>
    <col min="3" max="5" width="15.5703125" style="221" customWidth="1"/>
    <col min="6" max="17" width="15.5703125" style="221" hidden="1" customWidth="1" outlineLevel="1"/>
    <col min="18" max="18" width="15.5703125" style="221" customWidth="1" collapsed="1"/>
    <col min="19" max="20" width="15.5703125" style="221" customWidth="1"/>
    <col min="21" max="21" width="49.7109375" style="221" customWidth="1"/>
    <col min="22" max="22" width="4.28515625" style="221" customWidth="1"/>
    <col min="23" max="23" width="91.7109375" style="221" bestFit="1" customWidth="1"/>
    <col min="24" max="16384" width="9.28515625" style="221"/>
  </cols>
  <sheetData>
    <row r="1" spans="1:23" s="470" customFormat="1" ht="19.899999999999999" customHeight="1" x14ac:dyDescent="0.25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s="470" customFormat="1" ht="19.899999999999999" customHeight="1" thickBot="1" x14ac:dyDescent="0.3">
      <c r="A2" s="55" t="s">
        <v>435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7851 PL eMotor Controls</v>
      </c>
      <c r="W2" s="95" t="s">
        <v>142</v>
      </c>
    </row>
    <row r="4" spans="1:23" ht="22.9" customHeight="1" x14ac:dyDescent="0.2">
      <c r="A4" s="851"/>
      <c r="B4" s="851"/>
      <c r="C4" s="851"/>
      <c r="D4" s="851"/>
      <c r="E4" s="851"/>
      <c r="F4" s="851"/>
      <c r="G4" s="851"/>
      <c r="H4" s="851"/>
      <c r="I4" s="851"/>
      <c r="J4" s="851"/>
      <c r="K4" s="851"/>
      <c r="L4" s="851"/>
      <c r="M4" s="851"/>
      <c r="N4" s="851"/>
      <c r="O4" s="851"/>
      <c r="P4" s="851"/>
      <c r="Q4" s="851"/>
      <c r="R4" s="851"/>
      <c r="S4" s="851"/>
      <c r="T4" s="851"/>
      <c r="U4" s="851"/>
    </row>
    <row r="5" spans="1:23" ht="12.75" customHeight="1" x14ac:dyDescent="0.2">
      <c r="T5" s="469"/>
    </row>
    <row r="6" spans="1:23" ht="19.899999999999999" customHeight="1" x14ac:dyDescent="0.2">
      <c r="A6" s="1033" t="str">
        <f>"in '000 "&amp;'Input-FX Rates'!$B$8</f>
        <v>in '000 KRW</v>
      </c>
      <c r="B6" s="1034"/>
      <c r="C6" s="468">
        <v>2022</v>
      </c>
      <c r="D6" s="1037">
        <v>2023</v>
      </c>
      <c r="E6" s="1034"/>
      <c r="F6" s="1033">
        <v>2024</v>
      </c>
      <c r="G6" s="1033"/>
      <c r="H6" s="1033"/>
      <c r="I6" s="1033"/>
      <c r="J6" s="1033"/>
      <c r="K6" s="1033"/>
      <c r="L6" s="1033"/>
      <c r="M6" s="1033"/>
      <c r="N6" s="1033"/>
      <c r="O6" s="1033"/>
      <c r="P6" s="1033"/>
      <c r="Q6" s="1036"/>
      <c r="R6" s="1037">
        <v>2024</v>
      </c>
      <c r="S6" s="1034"/>
      <c r="T6" s="655" t="s">
        <v>171</v>
      </c>
      <c r="U6" s="187" t="s">
        <v>154</v>
      </c>
      <c r="W6" s="9" t="s">
        <v>965</v>
      </c>
    </row>
    <row r="7" spans="1:23" ht="19.899999999999999" customHeight="1" x14ac:dyDescent="0.2">
      <c r="A7" s="1033"/>
      <c r="B7" s="1034"/>
      <c r="C7" s="468" t="s">
        <v>170</v>
      </c>
      <c r="D7" s="304" t="s">
        <v>114</v>
      </c>
      <c r="E7" s="655" t="s">
        <v>115</v>
      </c>
      <c r="F7" s="187" t="s">
        <v>287</v>
      </c>
      <c r="G7" s="187" t="s">
        <v>286</v>
      </c>
      <c r="H7" s="187" t="s">
        <v>285</v>
      </c>
      <c r="I7" s="187" t="s">
        <v>284</v>
      </c>
      <c r="J7" s="187" t="s">
        <v>283</v>
      </c>
      <c r="K7" s="187" t="s">
        <v>282</v>
      </c>
      <c r="L7" s="187" t="s">
        <v>281</v>
      </c>
      <c r="M7" s="187" t="s">
        <v>280</v>
      </c>
      <c r="N7" s="187" t="s">
        <v>279</v>
      </c>
      <c r="O7" s="187" t="s">
        <v>278</v>
      </c>
      <c r="P7" s="187" t="s">
        <v>277</v>
      </c>
      <c r="Q7" s="188" t="s">
        <v>276</v>
      </c>
      <c r="R7" s="304" t="s">
        <v>210</v>
      </c>
      <c r="S7" s="655" t="s">
        <v>114</v>
      </c>
      <c r="T7" s="655" t="s">
        <v>332</v>
      </c>
      <c r="U7" s="187"/>
      <c r="W7" s="9" t="s">
        <v>166</v>
      </c>
    </row>
    <row r="8" spans="1:23" ht="15.75" x14ac:dyDescent="0.2">
      <c r="A8" s="214" t="s">
        <v>434</v>
      </c>
      <c r="B8" s="452"/>
      <c r="C8" s="453">
        <f>'P&amp;L'!D8</f>
        <v>69055108.461999997</v>
      </c>
      <c r="D8" s="287">
        <f>'P&amp;L'!E8</f>
        <v>122630144.677</v>
      </c>
      <c r="E8" s="265">
        <f>'P&amp;L'!H8</f>
        <v>133169528.691</v>
      </c>
      <c r="F8" s="78">
        <f>'P&amp;L_seasonal'!D8</f>
        <v>15924993.796</v>
      </c>
      <c r="G8" s="78">
        <f>'P&amp;L_seasonal'!E8</f>
        <v>14138873.407</v>
      </c>
      <c r="H8" s="78">
        <f>'P&amp;L_seasonal'!F8</f>
        <v>15464984.203</v>
      </c>
      <c r="I8" s="78">
        <f>'P&amp;L_seasonal'!G8</f>
        <v>16060070.305</v>
      </c>
      <c r="J8" s="78">
        <f>'P&amp;L_seasonal'!H8</f>
        <v>16393335.776000001</v>
      </c>
      <c r="K8" s="78">
        <f>'P&amp;L_seasonal'!I8</f>
        <v>15267090.880000001</v>
      </c>
      <c r="L8" s="78">
        <f>'P&amp;L_seasonal'!J8</f>
        <v>17520240.607000001</v>
      </c>
      <c r="M8" s="78">
        <f>'P&amp;L_seasonal'!K8</f>
        <v>13577475.045</v>
      </c>
      <c r="N8" s="78">
        <f>'P&amp;L_seasonal'!L8</f>
        <v>14709743.471000001</v>
      </c>
      <c r="O8" s="78">
        <f>'P&amp;L_seasonal'!M8</f>
        <v>16405514.567</v>
      </c>
      <c r="P8" s="78">
        <f>'P&amp;L_seasonal'!N8</f>
        <v>16405514.567</v>
      </c>
      <c r="Q8" s="78">
        <f>'P&amp;L_seasonal'!O8</f>
        <v>16405514.564999999</v>
      </c>
      <c r="R8" s="287">
        <f>+'2. Variable (LC)'!L6</f>
        <v>188273351.18900001</v>
      </c>
      <c r="S8" s="265">
        <f>'P&amp;L'!I8</f>
        <v>188273351.18900001</v>
      </c>
      <c r="T8" s="265">
        <f t="shared" ref="T8:T21" si="0">S8-E8</f>
        <v>55103822.498000011</v>
      </c>
      <c r="U8" s="412"/>
      <c r="W8" s="9" t="s">
        <v>433</v>
      </c>
    </row>
    <row r="9" spans="1:23" ht="15.75" x14ac:dyDescent="0.2">
      <c r="A9" s="214" t="s">
        <v>432</v>
      </c>
      <c r="B9" s="452"/>
      <c r="C9" s="453">
        <f>'P&amp;L'!D13</f>
        <v>68922843.578999996</v>
      </c>
      <c r="D9" s="287">
        <f>'P&amp;L'!E13</f>
        <v>122630144.677</v>
      </c>
      <c r="E9" s="265">
        <f>'P&amp;L'!H13</f>
        <v>133115138.045</v>
      </c>
      <c r="F9" s="78">
        <f>'P&amp;L_seasonal'!D13</f>
        <v>15924993.796</v>
      </c>
      <c r="G9" s="78">
        <f>'P&amp;L_seasonal'!E13</f>
        <v>14138873.407</v>
      </c>
      <c r="H9" s="78">
        <f>'P&amp;L_seasonal'!F13</f>
        <v>15464984.203</v>
      </c>
      <c r="I9" s="78">
        <f>'P&amp;L_seasonal'!G13</f>
        <v>16060070.305</v>
      </c>
      <c r="J9" s="78">
        <f>'P&amp;L_seasonal'!H13</f>
        <v>16393335.776000001</v>
      </c>
      <c r="K9" s="78">
        <f>'P&amp;L_seasonal'!I13</f>
        <v>15267090.880000001</v>
      </c>
      <c r="L9" s="78">
        <f>'P&amp;L_seasonal'!J13</f>
        <v>17520240.607000001</v>
      </c>
      <c r="M9" s="78">
        <f>'P&amp;L_seasonal'!K13</f>
        <v>13577475.045</v>
      </c>
      <c r="N9" s="78">
        <f>'P&amp;L_seasonal'!L13</f>
        <v>14709743.471000001</v>
      </c>
      <c r="O9" s="78">
        <f>'P&amp;L_seasonal'!M13</f>
        <v>16405514.567</v>
      </c>
      <c r="P9" s="78">
        <f>'P&amp;L_seasonal'!N13</f>
        <v>16405514.567</v>
      </c>
      <c r="Q9" s="78">
        <f>'P&amp;L_seasonal'!O13</f>
        <v>16405514.564999999</v>
      </c>
      <c r="R9" s="287"/>
      <c r="S9" s="265">
        <f>'P&amp;L'!I13</f>
        <v>188273351.18900001</v>
      </c>
      <c r="T9" s="265">
        <f t="shared" si="0"/>
        <v>55158213.144000009</v>
      </c>
      <c r="U9" s="412"/>
      <c r="W9" s="9"/>
    </row>
    <row r="10" spans="1:23" s="335" customFormat="1" ht="15.75" x14ac:dyDescent="0.2">
      <c r="A10" s="860" t="s">
        <v>422</v>
      </c>
      <c r="B10" s="861" t="s">
        <v>431</v>
      </c>
      <c r="C10" s="862">
        <f>KeyData!D8</f>
        <v>3585301.8709999998</v>
      </c>
      <c r="D10" s="863">
        <f>KeyData!E8</f>
        <v>4821906.6090000002</v>
      </c>
      <c r="E10" s="864">
        <f>KeyData!G8</f>
        <v>5665073.3849999998</v>
      </c>
      <c r="F10" s="865">
        <f>KeyData_seasonal!D8</f>
        <v>7398631.3099999996</v>
      </c>
      <c r="G10" s="865">
        <f>KeyData_seasonal!E8</f>
        <v>7385533.5529999994</v>
      </c>
      <c r="H10" s="865">
        <f>KeyData_seasonal!F8</f>
        <v>6621285.5919999992</v>
      </c>
      <c r="I10" s="865">
        <f>KeyData_seasonal!G8</f>
        <v>6223497.527999999</v>
      </c>
      <c r="J10" s="865">
        <f>KeyData_seasonal!H8</f>
        <v>5994506.9299999988</v>
      </c>
      <c r="K10" s="865">
        <f>KeyData_seasonal!I8</f>
        <v>9275798.4519999996</v>
      </c>
      <c r="L10" s="865">
        <f>KeyData_seasonal!J8</f>
        <v>9755986.625</v>
      </c>
      <c r="M10" s="865">
        <f>KeyData_seasonal!K8</f>
        <v>7995272.2489999998</v>
      </c>
      <c r="N10" s="865">
        <f>KeyData_seasonal!L8</f>
        <v>7483391.8470000001</v>
      </c>
      <c r="O10" s="865">
        <f>KeyData_seasonal!M8</f>
        <v>8259502.7920000004</v>
      </c>
      <c r="P10" s="865">
        <f>KeyData_seasonal!N8</f>
        <v>8234765.8859999999</v>
      </c>
      <c r="Q10" s="865">
        <f>KeyData_seasonal!O8</f>
        <v>8729162.5140000004</v>
      </c>
      <c r="R10" s="863"/>
      <c r="S10" s="864">
        <f>KeyData!H8</f>
        <v>8729162.5140000004</v>
      </c>
      <c r="T10" s="864">
        <f t="shared" si="0"/>
        <v>3064089.1290000007</v>
      </c>
      <c r="U10" s="454"/>
      <c r="W10" s="866" t="s">
        <v>966</v>
      </c>
    </row>
    <row r="11" spans="1:23" ht="19.899999999999999" customHeight="1" x14ac:dyDescent="0.2">
      <c r="A11" s="467"/>
      <c r="B11" s="465" t="s">
        <v>430</v>
      </c>
      <c r="C11" s="463">
        <f>KeyData!D9</f>
        <v>2856807.49</v>
      </c>
      <c r="D11" s="462">
        <f>KeyData!E9</f>
        <v>2570526.54</v>
      </c>
      <c r="E11" s="460">
        <f>KeyData!G9</f>
        <v>3144226.3849999998</v>
      </c>
      <c r="F11" s="461">
        <f>KeyData_seasonal!D9</f>
        <v>4952885.5649999995</v>
      </c>
      <c r="G11" s="461">
        <f>KeyData_seasonal!E9</f>
        <v>4149761.6089999992</v>
      </c>
      <c r="H11" s="461">
        <f>KeyData_seasonal!F9</f>
        <v>3659703.1899999995</v>
      </c>
      <c r="I11" s="461">
        <f>KeyData_seasonal!G9</f>
        <v>3758092.1019999995</v>
      </c>
      <c r="J11" s="461">
        <f>KeyData_seasonal!H9</f>
        <v>3476245.6009999993</v>
      </c>
      <c r="K11" s="461">
        <f>KeyData_seasonal!I9</f>
        <v>3697769.2229999993</v>
      </c>
      <c r="L11" s="461">
        <f>KeyData_seasonal!J9</f>
        <v>3806471.3719999995</v>
      </c>
      <c r="M11" s="461">
        <f>KeyData_seasonal!K9</f>
        <v>3067126.2839999995</v>
      </c>
      <c r="N11" s="461">
        <f>KeyData_seasonal!L9</f>
        <v>3223513.6419999995</v>
      </c>
      <c r="O11" s="461">
        <f>KeyData_seasonal!M9</f>
        <v>3389736.1409999994</v>
      </c>
      <c r="P11" s="461">
        <f>KeyData_seasonal!N9</f>
        <v>2734951.0139999995</v>
      </c>
      <c r="Q11" s="461">
        <f>KeyData_seasonal!O9</f>
        <v>3066825.8629999994</v>
      </c>
      <c r="R11" s="462"/>
      <c r="S11" s="460">
        <f>KeyData!H9</f>
        <v>3066825.8629999999</v>
      </c>
      <c r="T11" s="460">
        <f t="shared" si="0"/>
        <v>-77400.521999999881</v>
      </c>
      <c r="U11" s="454"/>
      <c r="W11" s="9" t="s">
        <v>968</v>
      </c>
    </row>
    <row r="12" spans="1:23" ht="19.899999999999999" customHeight="1" x14ac:dyDescent="0.2">
      <c r="A12" s="467"/>
      <c r="B12" s="465" t="s">
        <v>429</v>
      </c>
      <c r="C12" s="463">
        <f>KeyData!D10+KeyData!D11</f>
        <v>410363.60100000002</v>
      </c>
      <c r="D12" s="462">
        <f>KeyData!E10+KeyData!E11</f>
        <v>1048077.344</v>
      </c>
      <c r="E12" s="460">
        <f>KeyData!G10+KeyData!G11</f>
        <v>1229971</v>
      </c>
      <c r="F12" s="461">
        <f>KeyData_seasonal!D10+KeyData_seasonal!D11</f>
        <v>1212078.2819999999</v>
      </c>
      <c r="G12" s="461">
        <f>KeyData_seasonal!E10+KeyData_seasonal!E11</f>
        <v>1603604.5069999998</v>
      </c>
      <c r="H12" s="461">
        <f>KeyData_seasonal!F10+KeyData_seasonal!F11</f>
        <v>1467719.9039999996</v>
      </c>
      <c r="I12" s="461">
        <f>KeyData_seasonal!G10+KeyData_seasonal!G11</f>
        <v>1221821.3519999997</v>
      </c>
      <c r="J12" s="461">
        <f>KeyData_seasonal!H10+KeyData_seasonal!H11</f>
        <v>1248016.0179999997</v>
      </c>
      <c r="K12" s="461">
        <f>KeyData_seasonal!I10+KeyData_seasonal!I11</f>
        <v>4105067.9509999999</v>
      </c>
      <c r="L12" s="461">
        <f>KeyData_seasonal!J10+KeyData_seasonal!J11</f>
        <v>4246794.3559999997</v>
      </c>
      <c r="M12" s="461">
        <f>KeyData_seasonal!K10+KeyData_seasonal!K11</f>
        <v>3627479.0289999996</v>
      </c>
      <c r="N12" s="461">
        <f>KeyData_seasonal!L10+KeyData_seasonal!L11</f>
        <v>3126986.4849999994</v>
      </c>
      <c r="O12" s="461">
        <f>KeyData_seasonal!M10+KeyData_seasonal!M11</f>
        <v>3598547.0359999994</v>
      </c>
      <c r="P12" s="461">
        <f>KeyData_seasonal!N10+KeyData_seasonal!N11</f>
        <v>3910790.3539999994</v>
      </c>
      <c r="Q12" s="461">
        <f>KeyData_seasonal!O10+KeyData_seasonal!O11</f>
        <v>4391117.0359999994</v>
      </c>
      <c r="R12" s="462"/>
      <c r="S12" s="460">
        <f>KeyData!H10+KeyData!H11</f>
        <v>4391117.0360000003</v>
      </c>
      <c r="T12" s="460">
        <f t="shared" si="0"/>
        <v>3161146.0360000003</v>
      </c>
      <c r="U12" s="454"/>
      <c r="W12" s="9" t="s">
        <v>967</v>
      </c>
    </row>
    <row r="13" spans="1:23" ht="19.899999999999999" customHeight="1" x14ac:dyDescent="0.2">
      <c r="A13" s="467"/>
      <c r="B13" s="465" t="s">
        <v>428</v>
      </c>
      <c r="C13" s="463">
        <f>KeyData!D12</f>
        <v>318130.78000000003</v>
      </c>
      <c r="D13" s="462">
        <f>KeyData!E12</f>
        <v>1203302.7250000001</v>
      </c>
      <c r="E13" s="460">
        <f>KeyData!G12</f>
        <v>1290876</v>
      </c>
      <c r="F13" s="461">
        <f>KeyData_seasonal!D12</f>
        <v>1233667.463</v>
      </c>
      <c r="G13" s="461">
        <f>KeyData_seasonal!E12</f>
        <v>1632167.4369999999</v>
      </c>
      <c r="H13" s="461">
        <f>KeyData_seasonal!F12</f>
        <v>1493862.4979999999</v>
      </c>
      <c r="I13" s="461">
        <f>KeyData_seasonal!G12</f>
        <v>1243584.074</v>
      </c>
      <c r="J13" s="461">
        <f>KeyData_seasonal!H12</f>
        <v>1270245.311</v>
      </c>
      <c r="K13" s="461">
        <f>KeyData_seasonal!I12</f>
        <v>1472961.2779999999</v>
      </c>
      <c r="L13" s="461">
        <f>KeyData_seasonal!J12</f>
        <v>1702720.8969999999</v>
      </c>
      <c r="M13" s="461">
        <f>KeyData_seasonal!K12</f>
        <v>1300666.9359999998</v>
      </c>
      <c r="N13" s="461">
        <f>KeyData_seasonal!L12</f>
        <v>1132891.7199999997</v>
      </c>
      <c r="O13" s="461">
        <f>KeyData_seasonal!M12</f>
        <v>1271219.6149999998</v>
      </c>
      <c r="P13" s="461">
        <f>KeyData_seasonal!N12</f>
        <v>1589024.5179999997</v>
      </c>
      <c r="Q13" s="461">
        <f>KeyData_seasonal!O12</f>
        <v>1271219.6149999998</v>
      </c>
      <c r="R13" s="462"/>
      <c r="S13" s="460">
        <f>KeyData!H12</f>
        <v>1271219.615</v>
      </c>
      <c r="T13" s="460">
        <f t="shared" si="0"/>
        <v>-19656.385000000009</v>
      </c>
      <c r="U13" s="454"/>
      <c r="W13" s="9"/>
    </row>
    <row r="14" spans="1:23" s="451" customFormat="1" ht="19.899999999999999" customHeight="1" x14ac:dyDescent="0.2">
      <c r="A14" s="467"/>
      <c r="B14" s="465" t="s">
        <v>427</v>
      </c>
      <c r="C14" s="693">
        <f>IFERROR(C8/C10,0)</f>
        <v>19.260612061862279</v>
      </c>
      <c r="D14" s="694">
        <f>IFERROR(D8/D10,0)</f>
        <v>25.431878843964562</v>
      </c>
      <c r="E14" s="464">
        <f>IFERROR(E8/E10,0)</f>
        <v>23.50711449627585</v>
      </c>
      <c r="F14" s="742"/>
      <c r="G14" s="742"/>
      <c r="H14" s="742"/>
      <c r="I14" s="742"/>
      <c r="J14" s="742"/>
      <c r="K14" s="742"/>
      <c r="L14" s="742"/>
      <c r="M14" s="742"/>
      <c r="N14" s="742"/>
      <c r="O14" s="742"/>
      <c r="P14" s="742"/>
      <c r="Q14" s="466">
        <f>'5.1 Inventory (LC)'!P47</f>
        <v>21.568317795326134</v>
      </c>
      <c r="R14" s="462"/>
      <c r="S14" s="464">
        <f>'5.1 Inventory (LC)'!P47</f>
        <v>21.568317795326134</v>
      </c>
      <c r="T14" s="464">
        <f t="shared" si="0"/>
        <v>-1.938796700949716</v>
      </c>
      <c r="U14" s="454"/>
      <c r="V14" s="221"/>
      <c r="W14" s="9"/>
    </row>
    <row r="15" spans="1:23" s="451" customFormat="1" ht="19.899999999999999" customHeight="1" x14ac:dyDescent="0.2">
      <c r="A15" s="467"/>
      <c r="B15" s="465" t="s">
        <v>426</v>
      </c>
      <c r="C15" s="743">
        <v>0</v>
      </c>
      <c r="D15" s="744">
        <v>30.3</v>
      </c>
      <c r="E15" s="745">
        <v>25.8</v>
      </c>
      <c r="F15" s="742"/>
      <c r="G15" s="742"/>
      <c r="H15" s="742"/>
      <c r="I15" s="742"/>
      <c r="J15" s="742"/>
      <c r="K15" s="742"/>
      <c r="L15" s="742"/>
      <c r="M15" s="742"/>
      <c r="N15" s="742"/>
      <c r="O15" s="742"/>
      <c r="P15" s="742"/>
      <c r="Q15" s="742"/>
      <c r="R15" s="801"/>
      <c r="S15" s="464">
        <f>+'5.1 Inventory (LC)'!Q47</f>
        <v>24.200350272855399</v>
      </c>
      <c r="T15" s="464">
        <f t="shared" si="0"/>
        <v>-1.5996497271446017</v>
      </c>
      <c r="U15" s="454"/>
      <c r="V15" s="221"/>
      <c r="W15" s="9" t="s">
        <v>1429</v>
      </c>
    </row>
    <row r="16" spans="1:23" s="335" customFormat="1" ht="19.899999999999999" customHeight="1" x14ac:dyDescent="0.2">
      <c r="A16" s="867"/>
      <c r="B16" s="861" t="s">
        <v>425</v>
      </c>
      <c r="C16" s="862">
        <f>KeyData!D14</f>
        <v>12895525.856000001</v>
      </c>
      <c r="D16" s="863">
        <f>KeyData!E14</f>
        <v>25178295.27</v>
      </c>
      <c r="E16" s="864">
        <f>KeyData!G14</f>
        <v>19570563.401000001</v>
      </c>
      <c r="F16" s="865">
        <f>KeyData_seasonal!D14</f>
        <v>26814185.521000002</v>
      </c>
      <c r="G16" s="865">
        <f>KeyData_seasonal!E14</f>
        <v>25064132.458000001</v>
      </c>
      <c r="H16" s="865">
        <f>KeyData_seasonal!F14</f>
        <v>24485814.397</v>
      </c>
      <c r="I16" s="865">
        <f>KeyData_seasonal!G14</f>
        <v>25068031.396000002</v>
      </c>
      <c r="J16" s="865">
        <f>KeyData_seasonal!H14</f>
        <v>25596487.470000003</v>
      </c>
      <c r="K16" s="865">
        <f>KeyData_seasonal!I14</f>
        <v>24851978.000000004</v>
      </c>
      <c r="L16" s="865">
        <f>KeyData_seasonal!J14</f>
        <v>26249212.011000004</v>
      </c>
      <c r="M16" s="865">
        <f>KeyData_seasonal!K14</f>
        <v>23307044.398000002</v>
      </c>
      <c r="N16" s="865">
        <f>KeyData_seasonal!L14</f>
        <v>22485524.037</v>
      </c>
      <c r="O16" s="865">
        <f>KeyData_seasonal!M14</f>
        <v>24764948.75</v>
      </c>
      <c r="P16" s="865">
        <f>KeyData_seasonal!N14</f>
        <v>26021312.344999999</v>
      </c>
      <c r="Q16" s="865">
        <f>KeyData_seasonal!O14</f>
        <v>25830103.728</v>
      </c>
      <c r="R16" s="868"/>
      <c r="S16" s="864">
        <f>KeyData!H14</f>
        <v>25830103.728</v>
      </c>
      <c r="T16" s="864">
        <f t="shared" si="0"/>
        <v>6259540.3269999996</v>
      </c>
      <c r="U16" s="454"/>
      <c r="W16" s="866" t="s">
        <v>1430</v>
      </c>
    </row>
    <row r="17" spans="1:23" ht="19.899999999999999" customHeight="1" x14ac:dyDescent="0.2">
      <c r="A17" s="458"/>
      <c r="B17" s="457" t="s">
        <v>424</v>
      </c>
      <c r="C17" s="456">
        <f>IFERROR(C16/C$8,0)</f>
        <v>0.18674253278591571</v>
      </c>
      <c r="D17" s="252">
        <f>IFERROR(D16/D$8,0)</f>
        <v>0.20531897223409487</v>
      </c>
      <c r="E17" s="254">
        <f>IFERROR(E16/E$8,0)</f>
        <v>0.14695977070257993</v>
      </c>
      <c r="F17" s="222">
        <f t="shared" ref="F17:Q17" si="1">IFERROR(F16/$S$8,0)</f>
        <v>0.1424215660456499</v>
      </c>
      <c r="G17" s="222">
        <f t="shared" si="1"/>
        <v>0.13312628845087657</v>
      </c>
      <c r="H17" s="222">
        <f t="shared" si="1"/>
        <v>0.13005459478128523</v>
      </c>
      <c r="I17" s="222">
        <f t="shared" si="1"/>
        <v>0.13314699737210933</v>
      </c>
      <c r="J17" s="222">
        <f t="shared" si="1"/>
        <v>0.13595385278028393</v>
      </c>
      <c r="K17" s="222">
        <f t="shared" si="1"/>
        <v>0.13199944571577796</v>
      </c>
      <c r="L17" s="222">
        <f t="shared" si="1"/>
        <v>0.13942075097313947</v>
      </c>
      <c r="M17" s="222">
        <f t="shared" si="1"/>
        <v>0.12379364498910418</v>
      </c>
      <c r="N17" s="222">
        <f t="shared" si="1"/>
        <v>0.11943020026465503</v>
      </c>
      <c r="O17" s="222">
        <f t="shared" si="1"/>
        <v>0.13153719628190752</v>
      </c>
      <c r="P17" s="222">
        <f t="shared" si="1"/>
        <v>0.13821027872860378</v>
      </c>
      <c r="Q17" s="222">
        <f t="shared" si="1"/>
        <v>0.13719468828103135</v>
      </c>
      <c r="R17" s="455"/>
      <c r="S17" s="254">
        <f>IFERROR(S16/S$8,0)</f>
        <v>0.13719468828103135</v>
      </c>
      <c r="T17" s="254">
        <f t="shared" si="0"/>
        <v>-9.7650824215485821E-3</v>
      </c>
      <c r="U17" s="454"/>
      <c r="W17" s="9" t="s">
        <v>1431</v>
      </c>
    </row>
    <row r="18" spans="1:23" s="335" customFormat="1" ht="19.899999999999999" customHeight="1" x14ac:dyDescent="0.2">
      <c r="A18" s="869"/>
      <c r="B18" s="861" t="s">
        <v>423</v>
      </c>
      <c r="C18" s="870">
        <f>KeyData!D17</f>
        <v>18418282.191</v>
      </c>
      <c r="D18" s="871">
        <f>KeyData!E17</f>
        <v>27691680.829999998</v>
      </c>
      <c r="E18" s="872">
        <f>KeyData!G17</f>
        <v>26697199.857999999</v>
      </c>
      <c r="F18" s="873">
        <f>KeyData_seasonal!D17</f>
        <v>35380479.652999997</v>
      </c>
      <c r="G18" s="873">
        <f>KeyData_seasonal!E17</f>
        <v>34582077.781999998</v>
      </c>
      <c r="H18" s="873">
        <f>KeyData_seasonal!F17</f>
        <v>35969220.522</v>
      </c>
      <c r="I18" s="873">
        <f>KeyData_seasonal!G17</f>
        <v>34946682.023999996</v>
      </c>
      <c r="J18" s="873">
        <f>KeyData_seasonal!H17</f>
        <v>34184017.312999994</v>
      </c>
      <c r="K18" s="873">
        <f>KeyData_seasonal!I17</f>
        <v>33565725.017999992</v>
      </c>
      <c r="L18" s="873">
        <f>KeyData_seasonal!J17</f>
        <v>34318571.850999989</v>
      </c>
      <c r="M18" s="873">
        <f>KeyData_seasonal!K17</f>
        <v>33508292.344999988</v>
      </c>
      <c r="N18" s="873">
        <f>KeyData_seasonal!L17</f>
        <v>31862027.273999989</v>
      </c>
      <c r="O18" s="873">
        <f>KeyData_seasonal!M17</f>
        <v>33981781.205999985</v>
      </c>
      <c r="P18" s="873">
        <f>KeyData_seasonal!N17</f>
        <v>35547423.064999983</v>
      </c>
      <c r="Q18" s="873">
        <f>KeyData_seasonal!O17</f>
        <v>34732766.990999982</v>
      </c>
      <c r="R18" s="459"/>
      <c r="S18" s="872">
        <f>KeyData!H17</f>
        <v>34732766.990999997</v>
      </c>
      <c r="T18" s="872">
        <f t="shared" si="0"/>
        <v>8035567.1329999976</v>
      </c>
      <c r="U18" s="454"/>
      <c r="W18" s="866"/>
    </row>
    <row r="19" spans="1:23" ht="19.899999999999999" customHeight="1" x14ac:dyDescent="0.2">
      <c r="A19" s="458"/>
      <c r="B19" s="457" t="s">
        <v>420</v>
      </c>
      <c r="C19" s="456">
        <f>IFERROR(C18/C$8,0)</f>
        <v>0.26671860491154403</v>
      </c>
      <c r="D19" s="252">
        <f>IFERROR(D18/D$8,0)</f>
        <v>0.22581463067615326</v>
      </c>
      <c r="E19" s="254">
        <f>IFERROR(E18/E$8,0)</f>
        <v>0.20047528980857823</v>
      </c>
      <c r="F19" s="222">
        <f t="shared" ref="F19:Q19" si="2">IFERROR(F18/$S$8,0)</f>
        <v>0.1879208046681177</v>
      </c>
      <c r="G19" s="222">
        <f t="shared" si="2"/>
        <v>0.1836801520958983</v>
      </c>
      <c r="H19" s="222">
        <f t="shared" si="2"/>
        <v>0.19104785831262946</v>
      </c>
      <c r="I19" s="222">
        <f t="shared" si="2"/>
        <v>0.18561672059960538</v>
      </c>
      <c r="J19" s="222">
        <f t="shared" si="2"/>
        <v>0.1815658833133747</v>
      </c>
      <c r="K19" s="222">
        <f t="shared" si="2"/>
        <v>0.17828186945217073</v>
      </c>
      <c r="L19" s="222">
        <f t="shared" si="2"/>
        <v>0.18228055980449914</v>
      </c>
      <c r="M19" s="222">
        <f t="shared" si="2"/>
        <v>0.17797682005119442</v>
      </c>
      <c r="N19" s="222">
        <f t="shared" si="2"/>
        <v>0.16923280471071547</v>
      </c>
      <c r="O19" s="222">
        <f t="shared" si="2"/>
        <v>0.18049172116709736</v>
      </c>
      <c r="P19" s="222">
        <f t="shared" si="2"/>
        <v>0.18880751227142795</v>
      </c>
      <c r="Q19" s="222">
        <f t="shared" si="2"/>
        <v>0.18448052670042062</v>
      </c>
      <c r="R19" s="455"/>
      <c r="S19" s="254">
        <f>IFERROR(S18/S$8,0)</f>
        <v>0.18448052670042067</v>
      </c>
      <c r="T19" s="254">
        <f t="shared" si="0"/>
        <v>-1.5994763108157561E-2</v>
      </c>
      <c r="U19" s="454"/>
      <c r="W19" s="9"/>
    </row>
    <row r="20" spans="1:23" ht="19.899999999999999" customHeight="1" x14ac:dyDescent="0.2">
      <c r="A20" s="214" t="s">
        <v>422</v>
      </c>
      <c r="B20" s="452"/>
      <c r="C20" s="453">
        <f>C10+C16-C18</f>
        <v>-1937454.4639999997</v>
      </c>
      <c r="D20" s="287">
        <f>D10+D16-D18</f>
        <v>2308521.0490000024</v>
      </c>
      <c r="E20" s="265">
        <f>E10+E16-E18</f>
        <v>-1461563.0720000006</v>
      </c>
      <c r="F20" s="78">
        <f>KeyData_seasonal!D19</f>
        <v>-1167662.8219999969</v>
      </c>
      <c r="G20" s="78">
        <f>KeyData_seasonal!E19</f>
        <v>-2132411.7709999979</v>
      </c>
      <c r="H20" s="78">
        <f>KeyData_seasonal!F19</f>
        <v>-4862120.5329999998</v>
      </c>
      <c r="I20" s="78">
        <f>KeyData_seasonal!G19</f>
        <v>-3655153.099999994</v>
      </c>
      <c r="J20" s="78">
        <f>KeyData_seasonal!H19</f>
        <v>-2593022.9129999913</v>
      </c>
      <c r="K20" s="78">
        <f>KeyData_seasonal!I19</f>
        <v>562051.43400001526</v>
      </c>
      <c r="L20" s="78">
        <f>KeyData_seasonal!J19</f>
        <v>1686626.7850000188</v>
      </c>
      <c r="M20" s="78">
        <f>KeyData_seasonal!K19</f>
        <v>-2205975.6979999878</v>
      </c>
      <c r="N20" s="78">
        <f>KeyData_seasonal!L19</f>
        <v>-1893111.3899999894</v>
      </c>
      <c r="O20" s="78">
        <f>KeyData_seasonal!M19</f>
        <v>-957329.6639999859</v>
      </c>
      <c r="P20" s="78">
        <f>KeyData_seasonal!N19</f>
        <v>-1291344.833999984</v>
      </c>
      <c r="Q20" s="78">
        <f>KeyData_seasonal!O19</f>
        <v>-173500.74899998307</v>
      </c>
      <c r="R20" s="287"/>
      <c r="S20" s="265">
        <f>S10+S16-S18</f>
        <v>-173500.74899999797</v>
      </c>
      <c r="T20" s="265">
        <f t="shared" si="0"/>
        <v>1288062.3230000027</v>
      </c>
      <c r="U20" s="454"/>
      <c r="W20" s="9"/>
    </row>
    <row r="21" spans="1:23" ht="19.899999999999999" customHeight="1" x14ac:dyDescent="0.2">
      <c r="A21" s="412"/>
      <c r="B21" s="907" t="s">
        <v>420</v>
      </c>
      <c r="C21" s="908">
        <f>IFERROR(C20/C$8,0)</f>
        <v>-2.8056642110209012E-2</v>
      </c>
      <c r="D21" s="909">
        <f>IFERROR(D20/D$8,0)</f>
        <v>1.8825069929424777E-2</v>
      </c>
      <c r="E21" s="910">
        <f>IFERROR(E20/E$8,0)</f>
        <v>-1.0975206463269382E-2</v>
      </c>
      <c r="F21" s="911">
        <f t="shared" ref="F21:Q21" si="3">IFERROR(F20/$S$8,0)</f>
        <v>-6.2019548418609039E-3</v>
      </c>
      <c r="G21" s="911">
        <f t="shared" si="3"/>
        <v>-1.13261476333916E-2</v>
      </c>
      <c r="H21" s="911">
        <f t="shared" si="3"/>
        <v>-2.582479412138956E-2</v>
      </c>
      <c r="I21" s="911">
        <f t="shared" si="3"/>
        <v>-1.9414075741025789E-2</v>
      </c>
      <c r="J21" s="911">
        <f t="shared" si="3"/>
        <v>-1.3772649695903912E-2</v>
      </c>
      <c r="K21" s="911">
        <f t="shared" si="3"/>
        <v>2.9852946816450649E-3</v>
      </c>
      <c r="L21" s="911">
        <f t="shared" si="3"/>
        <v>8.9583936034945393E-3</v>
      </c>
      <c r="M21" s="911">
        <f t="shared" si="3"/>
        <v>-1.1716876998622592E-2</v>
      </c>
      <c r="N21" s="911">
        <f t="shared" si="3"/>
        <v>-1.0055121333127869E-2</v>
      </c>
      <c r="O21" s="911">
        <f t="shared" si="3"/>
        <v>-5.084785807200942E-3</v>
      </c>
      <c r="P21" s="911">
        <f t="shared" si="3"/>
        <v>-6.8588827141216344E-3</v>
      </c>
      <c r="Q21" s="911">
        <f t="shared" si="3"/>
        <v>-9.2153641449666814E-4</v>
      </c>
      <c r="R21" s="909"/>
      <c r="S21" s="910">
        <f>IFERROR(S20/S$8,0)</f>
        <v>-9.2153641449674729E-4</v>
      </c>
      <c r="T21" s="910">
        <f t="shared" si="0"/>
        <v>1.0053670048772636E-2</v>
      </c>
      <c r="U21" s="454"/>
      <c r="W21" s="9" t="s">
        <v>421</v>
      </c>
    </row>
    <row r="22" spans="1:23" ht="19.899999999999999" customHeight="1" x14ac:dyDescent="0.2">
      <c r="A22" s="214" t="s">
        <v>1432</v>
      </c>
      <c r="B22" s="452"/>
      <c r="C22" s="453">
        <f>KeyData!D49</f>
        <v>17238040.214000002</v>
      </c>
      <c r="D22" s="287">
        <f>KeyData!E49</f>
        <v>29193481.193</v>
      </c>
      <c r="E22" s="265">
        <f>KeyData!G49</f>
        <v>26074041.916999996</v>
      </c>
      <c r="F22" s="78">
        <f>KeyData_seasonal!D49</f>
        <v>389920.56099999999</v>
      </c>
      <c r="G22" s="78">
        <f>KeyData_seasonal!E49</f>
        <v>3012131.307</v>
      </c>
      <c r="H22" s="78">
        <f>KeyData_seasonal!F49</f>
        <v>2716650.335</v>
      </c>
      <c r="I22" s="78">
        <f>KeyData_seasonal!G49</f>
        <v>567196.09900000005</v>
      </c>
      <c r="J22" s="78">
        <f>KeyData_seasonal!H49</f>
        <v>940106.33100000001</v>
      </c>
      <c r="K22" s="78">
        <f>KeyData_seasonal!I49</f>
        <v>207948.28</v>
      </c>
      <c r="L22" s="78">
        <f>KeyData_seasonal!J49</f>
        <v>154726.31399999998</v>
      </c>
      <c r="M22" s="78">
        <f>KeyData_seasonal!K49</f>
        <v>1088925.3399999999</v>
      </c>
      <c r="N22" s="78">
        <f>KeyData_seasonal!L49</f>
        <v>342447.29499999998</v>
      </c>
      <c r="O22" s="78">
        <f>KeyData_seasonal!M49</f>
        <v>861149.89599999995</v>
      </c>
      <c r="P22" s="78">
        <f>KeyData_seasonal!N49</f>
        <v>180896.823</v>
      </c>
      <c r="Q22" s="78">
        <f>KeyData_seasonal!O49</f>
        <v>519927.33500000002</v>
      </c>
      <c r="R22" s="287"/>
      <c r="S22" s="265">
        <f>KeyData!H49</f>
        <v>10982025.916000001</v>
      </c>
      <c r="T22" s="265">
        <f>S22-E22</f>
        <v>-15092016.000999995</v>
      </c>
      <c r="U22" s="454"/>
    </row>
    <row r="23" spans="1:23" ht="19.899999999999999" customHeight="1" x14ac:dyDescent="0.2">
      <c r="A23" s="412"/>
      <c r="B23" s="907" t="s">
        <v>420</v>
      </c>
      <c r="C23" s="908">
        <f>IFERROR(C22/C$8,0)</f>
        <v>0.24962729909382214</v>
      </c>
      <c r="D23" s="909">
        <f>IFERROR(D22/D$8,0)</f>
        <v>0.23806121463767144</v>
      </c>
      <c r="E23" s="910">
        <f>IFERROR(E22/E$8,0)</f>
        <v>0.19579585640421476</v>
      </c>
      <c r="F23" s="911"/>
      <c r="G23" s="911"/>
      <c r="H23" s="911"/>
      <c r="I23" s="911"/>
      <c r="J23" s="911"/>
      <c r="K23" s="911"/>
      <c r="L23" s="911"/>
      <c r="M23" s="911"/>
      <c r="N23" s="911"/>
      <c r="O23" s="911"/>
      <c r="P23" s="911"/>
      <c r="Q23" s="911"/>
      <c r="R23" s="909"/>
      <c r="S23" s="910">
        <f>IFERROR(S22/S$8,0)</f>
        <v>5.8330219580441788E-2</v>
      </c>
      <c r="T23" s="910">
        <f t="shared" ref="T23" si="4">S23-E23</f>
        <v>-0.13746563682377297</v>
      </c>
      <c r="U23" s="454"/>
    </row>
  </sheetData>
  <mergeCells count="5">
    <mergeCell ref="D6:E6"/>
    <mergeCell ref="R6:S6"/>
    <mergeCell ref="A6:B6"/>
    <mergeCell ref="A7:B7"/>
    <mergeCell ref="F6:Q6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Normal="100" workbookViewId="0">
      <pane xSplit="2" ySplit="7" topLeftCell="C8" activePane="bottomRight" state="frozen"/>
      <selection activeCell="F20" sqref="F20"/>
      <selection pane="topRight" activeCell="F20" sqref="F20"/>
      <selection pane="bottomLeft" activeCell="F20" sqref="F20"/>
      <selection pane="bottomRight" activeCell="S20" sqref="S20"/>
    </sheetView>
  </sheetViews>
  <sheetFormatPr defaultColWidth="9.28515625" defaultRowHeight="12.75" customHeight="1" outlineLevelCol="1" x14ac:dyDescent="0.2"/>
  <cols>
    <col min="1" max="1" width="17.42578125" style="221" customWidth="1"/>
    <col min="2" max="2" width="49.7109375" style="221" customWidth="1"/>
    <col min="3" max="5" width="15.28515625" style="221" customWidth="1"/>
    <col min="6" max="17" width="15.28515625" style="221" hidden="1" customWidth="1" outlineLevel="1"/>
    <col min="18" max="18" width="8.42578125" style="221" bestFit="1" customWidth="1" collapsed="1"/>
    <col min="19" max="20" width="15.28515625" style="221" customWidth="1"/>
    <col min="21" max="21" width="49.7109375" style="221" customWidth="1"/>
    <col min="22" max="22" width="4.28515625" style="221" customWidth="1"/>
    <col min="23" max="23" width="91.7109375" style="221" bestFit="1" customWidth="1"/>
    <col min="24" max="16384" width="9.28515625" style="221"/>
  </cols>
  <sheetData>
    <row r="1" spans="1:23" ht="19.899999999999999" customHeight="1" x14ac:dyDescent="0.25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144</v>
      </c>
    </row>
    <row r="2" spans="1:23" ht="19.899999999999999" customHeight="1" thickBot="1" x14ac:dyDescent="0.3">
      <c r="A2" s="55" t="s">
        <v>435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7851 PL eMotor Controls</v>
      </c>
      <c r="W2" s="95" t="s">
        <v>142</v>
      </c>
    </row>
    <row r="3" spans="1:23" ht="12.75" customHeight="1" x14ac:dyDescent="0.2">
      <c r="U3" s="486"/>
    </row>
    <row r="4" spans="1:23" ht="22.9" customHeight="1" x14ac:dyDescent="0.2">
      <c r="A4" s="1042"/>
      <c r="B4" s="1042"/>
      <c r="C4" s="1042"/>
      <c r="D4" s="1042"/>
      <c r="E4" s="1042"/>
      <c r="F4" s="1042"/>
      <c r="G4" s="1042"/>
      <c r="H4" s="1042"/>
      <c r="I4" s="1042"/>
      <c r="J4" s="1042"/>
      <c r="K4" s="1042"/>
      <c r="L4" s="1042"/>
      <c r="M4" s="1042"/>
      <c r="N4" s="1042"/>
      <c r="O4" s="1042"/>
      <c r="P4" s="1042"/>
      <c r="Q4" s="1042"/>
      <c r="R4" s="1042"/>
      <c r="S4" s="1042"/>
      <c r="T4" s="1042"/>
      <c r="U4" s="1042"/>
    </row>
    <row r="6" spans="1:23" ht="19.899999999999999" customHeight="1" x14ac:dyDescent="0.2">
      <c r="A6" s="1033" t="str">
        <f>"in '000 "&amp;"EUR"</f>
        <v>in '000 EUR</v>
      </c>
      <c r="B6" s="1034"/>
      <c r="C6" s="468">
        <v>2022</v>
      </c>
      <c r="D6" s="1037">
        <v>2023</v>
      </c>
      <c r="E6" s="1034"/>
      <c r="F6" s="1033">
        <v>2024</v>
      </c>
      <c r="G6" s="1033"/>
      <c r="H6" s="1033"/>
      <c r="I6" s="1033"/>
      <c r="J6" s="1033"/>
      <c r="K6" s="1033"/>
      <c r="L6" s="1033"/>
      <c r="M6" s="1033"/>
      <c r="N6" s="1033"/>
      <c r="O6" s="1033"/>
      <c r="P6" s="1033"/>
      <c r="Q6" s="1036"/>
      <c r="R6" s="1037">
        <v>2024</v>
      </c>
      <c r="S6" s="1034"/>
      <c r="T6" s="655" t="s">
        <v>171</v>
      </c>
      <c r="U6" s="187" t="s">
        <v>154</v>
      </c>
      <c r="W6" s="9" t="s">
        <v>965</v>
      </c>
    </row>
    <row r="7" spans="1:23" ht="19.899999999999999" customHeight="1" x14ac:dyDescent="0.2">
      <c r="A7" s="1033"/>
      <c r="B7" s="1034"/>
      <c r="C7" s="468" t="s">
        <v>170</v>
      </c>
      <c r="D7" s="304" t="s">
        <v>114</v>
      </c>
      <c r="E7" s="655" t="s">
        <v>115</v>
      </c>
      <c r="F7" s="187" t="s">
        <v>287</v>
      </c>
      <c r="G7" s="187" t="s">
        <v>286</v>
      </c>
      <c r="H7" s="187" t="s">
        <v>285</v>
      </c>
      <c r="I7" s="187" t="s">
        <v>284</v>
      </c>
      <c r="J7" s="187" t="s">
        <v>283</v>
      </c>
      <c r="K7" s="187" t="s">
        <v>282</v>
      </c>
      <c r="L7" s="187" t="s">
        <v>281</v>
      </c>
      <c r="M7" s="187" t="s">
        <v>280</v>
      </c>
      <c r="N7" s="187" t="s">
        <v>279</v>
      </c>
      <c r="O7" s="187" t="s">
        <v>278</v>
      </c>
      <c r="P7" s="187" t="s">
        <v>277</v>
      </c>
      <c r="Q7" s="188" t="s">
        <v>276</v>
      </c>
      <c r="R7" s="304" t="s">
        <v>210</v>
      </c>
      <c r="S7" s="655" t="s">
        <v>114</v>
      </c>
      <c r="T7" s="655" t="s">
        <v>332</v>
      </c>
      <c r="U7" s="187"/>
      <c r="W7" s="9" t="s">
        <v>166</v>
      </c>
    </row>
    <row r="8" spans="1:23" ht="19.899999999999999" customHeight="1" x14ac:dyDescent="0.2">
      <c r="A8" s="214" t="s">
        <v>434</v>
      </c>
      <c r="B8" s="452"/>
      <c r="C8" s="475">
        <f>IFERROR('7. BS-Key Figures (LC)'!C8/'Input-FX Rates'!$C$16,0)</f>
        <v>50854.220662078274</v>
      </c>
      <c r="D8" s="473">
        <f>IFERROR('7. BS-Key Figures (LC)'!D8/'Input-FX Rates'!$D$16,0)</f>
        <v>92272.494113619265</v>
      </c>
      <c r="E8" s="472">
        <f>IFERROR('7. BS-Key Figures (LC)'!E8/'Input-FX Rates'!$G$16,0)</f>
        <v>94871.705380828425</v>
      </c>
      <c r="F8" s="474">
        <f>IFERROR('7. BS-Key Figures (LC)'!F8/'Input-FX Rates'!$H$13,0)</f>
        <v>10982.754342068965</v>
      </c>
      <c r="G8" s="474">
        <f>IFERROR('7. BS-Key Figures (LC)'!G8/'Input-FX Rates'!$H$13,0)</f>
        <v>9750.9471772413799</v>
      </c>
      <c r="H8" s="474">
        <f>IFERROR('7. BS-Key Figures (LC)'!H8/'Input-FX Rates'!$H$13,0)</f>
        <v>10665.506346896551</v>
      </c>
      <c r="I8" s="474">
        <f>IFERROR('7. BS-Key Figures (LC)'!I8/'Input-FX Rates'!$H$13,0)</f>
        <v>11075.910555172413</v>
      </c>
      <c r="J8" s="474">
        <f>IFERROR('7. BS-Key Figures (LC)'!J8/'Input-FX Rates'!$H$13,0)</f>
        <v>11305.748811034484</v>
      </c>
      <c r="K8" s="474">
        <f>IFERROR('7. BS-Key Figures (LC)'!K8/'Input-FX Rates'!$H$13,0)</f>
        <v>10529.02819310345</v>
      </c>
      <c r="L8" s="474">
        <f>IFERROR('7. BS-Key Figures (LC)'!L8/'Input-FX Rates'!$H$13,0)</f>
        <v>12082.924556551725</v>
      </c>
      <c r="M8" s="474">
        <f>IFERROR('7. BS-Key Figures (LC)'!M8/'Input-FX Rates'!$H$13,0)</f>
        <v>9363.7758931034477</v>
      </c>
      <c r="N8" s="474">
        <f>IFERROR('7. BS-Key Figures (LC)'!N8/'Input-FX Rates'!$H$13,0)</f>
        <v>10144.650669655173</v>
      </c>
      <c r="O8" s="474">
        <f>IFERROR('7. BS-Key Figures (LC)'!O8/'Input-FX Rates'!$H$13,0)</f>
        <v>11314.147977241379</v>
      </c>
      <c r="P8" s="474">
        <f>IFERROR('7. BS-Key Figures (LC)'!P8/'Input-FX Rates'!$H$13,0)</f>
        <v>11314.147977241379</v>
      </c>
      <c r="Q8" s="474">
        <f>IFERROR('7. BS-Key Figures (LC)'!Q8/'Input-FX Rates'!$H$13,0)</f>
        <v>11314.147975862068</v>
      </c>
      <c r="R8" s="473">
        <f>IFERROR('7. BS-Key Figures (LC)'!R8/'Input-FX Rates'!$H$13,0)</f>
        <v>129843.69047517242</v>
      </c>
      <c r="S8" s="472">
        <f>IFERROR('7. BS-Key Figures (LC)'!S8/'Input-FX Rates'!$H$16,0)</f>
        <v>129843.69047517242</v>
      </c>
      <c r="T8" s="265">
        <f t="shared" ref="T8:T21" si="0">S8-E8</f>
        <v>34971.985094343996</v>
      </c>
      <c r="U8" s="412" t="str">
        <f>IF(ISBLANK('7. BS-Key Figures (LC)'!U8),"",'7. BS-Key Figures (LC)'!U8)</f>
        <v/>
      </c>
      <c r="W8" s="9" t="s">
        <v>433</v>
      </c>
    </row>
    <row r="9" spans="1:23" ht="19.899999999999999" customHeight="1" x14ac:dyDescent="0.2">
      <c r="A9" s="214" t="s">
        <v>432</v>
      </c>
      <c r="B9" s="452"/>
      <c r="C9" s="475">
        <f>IFERROR('7. BS-Key Figures (LC)'!C9/'Input-FX Rates'!$C$16,0)</f>
        <v>50756.816897234035</v>
      </c>
      <c r="D9" s="473">
        <f>IFERROR('7. BS-Key Figures (LC)'!D9/'Input-FX Rates'!$D$16,0)</f>
        <v>92272.494113619265</v>
      </c>
      <c r="E9" s="472">
        <f>IFERROR('7. BS-Key Figures (LC)'!E9/'Input-FX Rates'!$G$16,0)</f>
        <v>94832.956776748309</v>
      </c>
      <c r="F9" s="474">
        <f>IFERROR('7. BS-Key Figures (LC)'!F9/'Input-FX Rates'!$H$13,0)</f>
        <v>10982.754342068965</v>
      </c>
      <c r="G9" s="474">
        <f>IFERROR('7. BS-Key Figures (LC)'!G9/'Input-FX Rates'!$H$13,0)</f>
        <v>9750.9471772413799</v>
      </c>
      <c r="H9" s="474">
        <f>IFERROR('7. BS-Key Figures (LC)'!H9/'Input-FX Rates'!$H$13,0)</f>
        <v>10665.506346896551</v>
      </c>
      <c r="I9" s="474">
        <f>IFERROR('7. BS-Key Figures (LC)'!I9/'Input-FX Rates'!$H$13,0)</f>
        <v>11075.910555172413</v>
      </c>
      <c r="J9" s="474">
        <f>IFERROR('7. BS-Key Figures (LC)'!J9/'Input-FX Rates'!$H$13,0)</f>
        <v>11305.748811034484</v>
      </c>
      <c r="K9" s="474">
        <f>IFERROR('7. BS-Key Figures (LC)'!K9/'Input-FX Rates'!$H$13,0)</f>
        <v>10529.02819310345</v>
      </c>
      <c r="L9" s="474">
        <f>IFERROR('7. BS-Key Figures (LC)'!L9/'Input-FX Rates'!$H$13,0)</f>
        <v>12082.924556551725</v>
      </c>
      <c r="M9" s="474">
        <f>IFERROR('7. BS-Key Figures (LC)'!M9/'Input-FX Rates'!$H$13,0)</f>
        <v>9363.7758931034477</v>
      </c>
      <c r="N9" s="474">
        <f>IFERROR('7. BS-Key Figures (LC)'!N9/'Input-FX Rates'!$H$13,0)</f>
        <v>10144.650669655173</v>
      </c>
      <c r="O9" s="474">
        <f>IFERROR('7. BS-Key Figures (LC)'!O9/'Input-FX Rates'!$H$13,0)</f>
        <v>11314.147977241379</v>
      </c>
      <c r="P9" s="474">
        <f>IFERROR('7. BS-Key Figures (LC)'!P9/'Input-FX Rates'!$H$13,0)</f>
        <v>11314.147977241379</v>
      </c>
      <c r="Q9" s="474">
        <f>IFERROR('7. BS-Key Figures (LC)'!Q9/'Input-FX Rates'!$H$13,0)</f>
        <v>11314.147975862068</v>
      </c>
      <c r="R9" s="473"/>
      <c r="S9" s="472">
        <f>IFERROR('7. BS-Key Figures (LC)'!S9/'Input-FX Rates'!$H$16,0)</f>
        <v>129843.69047517242</v>
      </c>
      <c r="T9" s="265">
        <f t="shared" si="0"/>
        <v>35010.733698424112</v>
      </c>
      <c r="U9" s="412" t="str">
        <f>IF(ISBLANK('7. BS-Key Figures (LC)'!U9),"",'7. BS-Key Figures (LC)'!U9)</f>
        <v/>
      </c>
      <c r="W9" s="9"/>
    </row>
    <row r="10" spans="1:23" s="335" customFormat="1" ht="19.899999999999999" customHeight="1" x14ac:dyDescent="0.2">
      <c r="A10" s="860" t="s">
        <v>422</v>
      </c>
      <c r="B10" s="861" t="s">
        <v>431</v>
      </c>
      <c r="C10" s="874">
        <f>IFERROR('7. BS-Key Figures (LC)'!C10/'Input-FX Rates'!$C$13,0)</f>
        <v>2666.2069955083584</v>
      </c>
      <c r="D10" s="875">
        <f>IFERROR('7. BS-Key Figures (LC)'!D10/'Input-FX Rates'!$D$13,0)</f>
        <v>3628.2216772009033</v>
      </c>
      <c r="E10" s="876">
        <f>IFERROR('7. BS-Key Figures (LC)'!E10/'Input-FX Rates'!$G$13,0)</f>
        <v>3981.6371837222378</v>
      </c>
      <c r="F10" s="877">
        <f>IFERROR('7. BS-Key Figures (LC)'!F10/'Input-FX Rates'!$H$13,0)</f>
        <v>5102.5043517241375</v>
      </c>
      <c r="G10" s="877">
        <f>IFERROR('7. BS-Key Figures (LC)'!G10/'Input-FX Rates'!$H$13,0)</f>
        <v>5093.4714158620682</v>
      </c>
      <c r="H10" s="877">
        <f>IFERROR('7. BS-Key Figures (LC)'!H10/'Input-FX Rates'!$H$13,0)</f>
        <v>4566.4038565517239</v>
      </c>
      <c r="I10" s="877">
        <f>IFERROR('7. BS-Key Figures (LC)'!I10/'Input-FX Rates'!$H$13,0)</f>
        <v>4292.0672606896542</v>
      </c>
      <c r="J10" s="877">
        <f>IFERROR('7. BS-Key Figures (LC)'!J10/'Input-FX Rates'!$H$13,0)</f>
        <v>4134.1427103448268</v>
      </c>
      <c r="K10" s="877">
        <f>IFERROR('7. BS-Key Figures (LC)'!K10/'Input-FX Rates'!$H$13,0)</f>
        <v>6397.1023806896546</v>
      </c>
      <c r="L10" s="877">
        <f>IFERROR('7. BS-Key Figures (LC)'!L10/'Input-FX Rates'!$H$13,0)</f>
        <v>6728.2666379310349</v>
      </c>
      <c r="M10" s="877">
        <f>IFERROR('7. BS-Key Figures (LC)'!M10/'Input-FX Rates'!$H$13,0)</f>
        <v>5513.9808613793102</v>
      </c>
      <c r="N10" s="877">
        <f>IFERROR('7. BS-Key Figures (LC)'!N10/'Input-FX Rates'!$H$13,0)</f>
        <v>5160.9598944827585</v>
      </c>
      <c r="O10" s="877">
        <f>IFERROR('7. BS-Key Figures (LC)'!O10/'Input-FX Rates'!$H$13,0)</f>
        <v>5696.2088220689657</v>
      </c>
      <c r="P10" s="877">
        <f>IFERROR('7. BS-Key Figures (LC)'!P10/'Input-FX Rates'!$H$13,0)</f>
        <v>5679.1488868965516</v>
      </c>
      <c r="Q10" s="877">
        <f>IFERROR('7. BS-Key Figures (LC)'!Q10/'Input-FX Rates'!$H$13,0)</f>
        <v>6020.1120786206902</v>
      </c>
      <c r="R10" s="875"/>
      <c r="S10" s="876">
        <f>IFERROR('7. BS-Key Figures (LC)'!S10/'Input-FX Rates'!$H$13,0)</f>
        <v>6020.1120786206902</v>
      </c>
      <c r="T10" s="876">
        <f t="shared" si="0"/>
        <v>2038.4748948984525</v>
      </c>
      <c r="U10" s="294" t="str">
        <f>IF(ISBLANK('7. BS-Key Figures (LC)'!U10),"",'7. BS-Key Figures (LC)'!U10)</f>
        <v/>
      </c>
      <c r="W10" s="866" t="s">
        <v>966</v>
      </c>
    </row>
    <row r="11" spans="1:23" ht="19.899999999999999" customHeight="1" x14ac:dyDescent="0.2">
      <c r="A11" s="467"/>
      <c r="B11" s="465" t="s">
        <v>430</v>
      </c>
      <c r="C11" s="485">
        <f>IFERROR('7. BS-Key Figures (LC)'!C11/'Input-FX Rates'!$C$13,0)</f>
        <v>2124.4627059908385</v>
      </c>
      <c r="D11" s="483">
        <f>IFERROR('7. BS-Key Figures (LC)'!D11/'Input-FX Rates'!$D$13,0)</f>
        <v>1934.1809932279909</v>
      </c>
      <c r="E11" s="482">
        <f>IFERROR('7. BS-Key Figures (LC)'!E11/'Input-FX Rates'!$G$13,0)</f>
        <v>2209.8864105988191</v>
      </c>
      <c r="F11" s="484">
        <f>IFERROR('7. BS-Key Figures (LC)'!F11/'Input-FX Rates'!$H$13,0)</f>
        <v>3415.7831482758615</v>
      </c>
      <c r="G11" s="484">
        <f>IFERROR('7. BS-Key Figures (LC)'!G11/'Input-FX Rates'!$H$13,0)</f>
        <v>2861.9045579310341</v>
      </c>
      <c r="H11" s="484">
        <f>IFERROR('7. BS-Key Figures (LC)'!H11/'Input-FX Rates'!$H$13,0)</f>
        <v>2523.9332344827581</v>
      </c>
      <c r="I11" s="484">
        <f>IFERROR('7. BS-Key Figures (LC)'!I11/'Input-FX Rates'!$H$13,0)</f>
        <v>2591.787656551724</v>
      </c>
      <c r="J11" s="484">
        <f>IFERROR('7. BS-Key Figures (LC)'!J11/'Input-FX Rates'!$H$13,0)</f>
        <v>2397.4107593103445</v>
      </c>
      <c r="K11" s="484">
        <f>IFERROR('7. BS-Key Figures (LC)'!K11/'Input-FX Rates'!$H$13,0)</f>
        <v>2550.1856710344823</v>
      </c>
      <c r="L11" s="484">
        <f>IFERROR('7. BS-Key Figures (LC)'!L11/'Input-FX Rates'!$H$13,0)</f>
        <v>2625.1526703448271</v>
      </c>
      <c r="M11" s="484">
        <f>IFERROR('7. BS-Key Figures (LC)'!M11/'Input-FX Rates'!$H$13,0)</f>
        <v>2115.2595062068963</v>
      </c>
      <c r="N11" s="484">
        <f>IFERROR('7. BS-Key Figures (LC)'!N11/'Input-FX Rates'!$H$13,0)</f>
        <v>2223.1128565517238</v>
      </c>
      <c r="O11" s="484">
        <f>IFERROR('7. BS-Key Figures (LC)'!O11/'Input-FX Rates'!$H$13,0)</f>
        <v>2337.7490627586203</v>
      </c>
      <c r="P11" s="484">
        <f>IFERROR('7. BS-Key Figures (LC)'!P11/'Input-FX Rates'!$H$13,0)</f>
        <v>1886.173113103448</v>
      </c>
      <c r="Q11" s="484">
        <f>IFERROR('7. BS-Key Figures (LC)'!Q11/'Input-FX Rates'!$H$13,0)</f>
        <v>2115.0523193103445</v>
      </c>
      <c r="R11" s="483"/>
      <c r="S11" s="482">
        <f>IFERROR('7. BS-Key Figures (LC)'!S11/'Input-FX Rates'!$H$13,0)</f>
        <v>2115.052319310345</v>
      </c>
      <c r="T11" s="482">
        <f t="shared" si="0"/>
        <v>-94.834091288474156</v>
      </c>
      <c r="U11" s="294" t="str">
        <f>IF(ISBLANK('7. BS-Key Figures (LC)'!U11),"",'7. BS-Key Figures (LC)'!U11)</f>
        <v/>
      </c>
      <c r="W11" s="9" t="s">
        <v>968</v>
      </c>
    </row>
    <row r="12" spans="1:23" ht="19.899999999999999" customHeight="1" x14ac:dyDescent="0.2">
      <c r="A12" s="467"/>
      <c r="B12" s="465" t="s">
        <v>429</v>
      </c>
      <c r="C12" s="481">
        <f>IFERROR('7. BS-Key Figures (LC)'!C12/'Input-FX Rates'!$C$13,0)</f>
        <v>305.16657817240764</v>
      </c>
      <c r="D12" s="480">
        <f>IFERROR('7. BS-Key Figures (LC)'!D12/'Input-FX Rates'!$D$13,0)</f>
        <v>788.62102633559073</v>
      </c>
      <c r="E12" s="479">
        <f>IFERROR('7. BS-Key Figures (LC)'!E12/'Input-FX Rates'!$G$13,0)</f>
        <v>864.47216755693</v>
      </c>
      <c r="F12" s="209">
        <f>IFERROR('7. BS-Key Figures (LC)'!F12/'Input-FX Rates'!$H$13,0)</f>
        <v>835.91605655172407</v>
      </c>
      <c r="G12" s="209">
        <f>IFERROR('7. BS-Key Figures (LC)'!G12/'Input-FX Rates'!$H$13,0)</f>
        <v>1105.9341427586205</v>
      </c>
      <c r="H12" s="209">
        <f>IFERROR('7. BS-Key Figures (LC)'!H12/'Input-FX Rates'!$H$13,0)</f>
        <v>1012.2206234482757</v>
      </c>
      <c r="I12" s="209">
        <f>IFERROR('7. BS-Key Figures (LC)'!I12/'Input-FX Rates'!$H$13,0)</f>
        <v>842.63541517241356</v>
      </c>
      <c r="J12" s="209">
        <f>IFERROR('7. BS-Key Figures (LC)'!J12/'Input-FX Rates'!$H$13,0)</f>
        <v>860.70070206896526</v>
      </c>
      <c r="K12" s="209">
        <f>IFERROR('7. BS-Key Figures (LC)'!K12/'Input-FX Rates'!$H$13,0)</f>
        <v>2831.0813455172415</v>
      </c>
      <c r="L12" s="209">
        <f>IFERROR('7. BS-Key Figures (LC)'!L12/'Input-FX Rates'!$H$13,0)</f>
        <v>2928.8236937931033</v>
      </c>
      <c r="M12" s="209">
        <f>IFERROR('7. BS-Key Figures (LC)'!M12/'Input-FX Rates'!$H$13,0)</f>
        <v>2501.7096751724134</v>
      </c>
      <c r="N12" s="209">
        <f>IFERROR('7. BS-Key Figures (LC)'!N12/'Input-FX Rates'!$H$13,0)</f>
        <v>2156.5424034482753</v>
      </c>
      <c r="O12" s="209">
        <f>IFERROR('7. BS-Key Figures (LC)'!O12/'Input-FX Rates'!$H$13,0)</f>
        <v>2481.7565765517238</v>
      </c>
      <c r="P12" s="209">
        <f>IFERROR('7. BS-Key Figures (LC)'!P12/'Input-FX Rates'!$H$13,0)</f>
        <v>2697.0967958620686</v>
      </c>
      <c r="Q12" s="209">
        <f>IFERROR('7. BS-Key Figures (LC)'!Q12/'Input-FX Rates'!$H$13,0)</f>
        <v>3028.3565765517237</v>
      </c>
      <c r="R12" s="480"/>
      <c r="S12" s="479">
        <f>IFERROR('7. BS-Key Figures (LC)'!S12/'Input-FX Rates'!$H$13,0)</f>
        <v>3028.3565765517242</v>
      </c>
      <c r="T12" s="479">
        <f t="shared" si="0"/>
        <v>2163.8844089947943</v>
      </c>
      <c r="U12" s="294" t="str">
        <f>IF(ISBLANK('7. BS-Key Figures (LC)'!U12),"",'7. BS-Key Figures (LC)'!U12)</f>
        <v/>
      </c>
      <c r="W12" s="9" t="s">
        <v>967</v>
      </c>
    </row>
    <row r="13" spans="1:23" ht="19.899999999999999" customHeight="1" x14ac:dyDescent="0.2">
      <c r="A13" s="467"/>
      <c r="B13" s="465" t="s">
        <v>428</v>
      </c>
      <c r="C13" s="481">
        <f>IFERROR('7. BS-Key Figures (LC)'!C13/'Input-FX Rates'!$C$13,0)</f>
        <v>236.57771134511276</v>
      </c>
      <c r="D13" s="480">
        <f>IFERROR('7. BS-Key Figures (LC)'!D13/'Input-FX Rates'!$D$13,0)</f>
        <v>905.41965763732139</v>
      </c>
      <c r="E13" s="479">
        <f>IFERROR('7. BS-Key Figures (LC)'!E13/'Input-FX Rates'!$G$13,0)</f>
        <v>907.27860556648864</v>
      </c>
      <c r="F13" s="209">
        <f>IFERROR('7. BS-Key Figures (LC)'!F13/'Input-FX Rates'!$H$13,0)</f>
        <v>850.80514689655172</v>
      </c>
      <c r="G13" s="209">
        <f>IFERROR('7. BS-Key Figures (LC)'!G13/'Input-FX Rates'!$H$13,0)</f>
        <v>1125.6327151724138</v>
      </c>
      <c r="H13" s="209">
        <f>IFERROR('7. BS-Key Figures (LC)'!H13/'Input-FX Rates'!$H$13,0)</f>
        <v>1030.2499986206897</v>
      </c>
      <c r="I13" s="209">
        <f>IFERROR('7. BS-Key Figures (LC)'!I13/'Input-FX Rates'!$H$13,0)</f>
        <v>857.64418896551729</v>
      </c>
      <c r="J13" s="209">
        <f>IFERROR('7. BS-Key Figures (LC)'!J13/'Input-FX Rates'!$H$13,0)</f>
        <v>876.03124896551719</v>
      </c>
      <c r="K13" s="209">
        <f>IFERROR('7. BS-Key Figures (LC)'!K13/'Input-FX Rates'!$H$13,0)</f>
        <v>1015.835364137931</v>
      </c>
      <c r="L13" s="209">
        <f>IFERROR('7. BS-Key Figures (LC)'!L13/'Input-FX Rates'!$H$13,0)</f>
        <v>1174.2902737931033</v>
      </c>
      <c r="M13" s="209">
        <f>IFERROR('7. BS-Key Figures (LC)'!M13/'Input-FX Rates'!$H$13,0)</f>
        <v>897.01167999999984</v>
      </c>
      <c r="N13" s="209">
        <f>IFERROR('7. BS-Key Figures (LC)'!N13/'Input-FX Rates'!$H$13,0)</f>
        <v>781.30463448275839</v>
      </c>
      <c r="O13" s="209">
        <f>IFERROR('7. BS-Key Figures (LC)'!O13/'Input-FX Rates'!$H$13,0)</f>
        <v>876.70318275862053</v>
      </c>
      <c r="P13" s="209">
        <f>IFERROR('7. BS-Key Figures (LC)'!P13/'Input-FX Rates'!$H$13,0)</f>
        <v>1095.8789779310343</v>
      </c>
      <c r="Q13" s="209">
        <f>IFERROR('7. BS-Key Figures (LC)'!Q13/'Input-FX Rates'!$H$13,0)</f>
        <v>876.70318275862053</v>
      </c>
      <c r="R13" s="480"/>
      <c r="S13" s="479">
        <f>IFERROR('7. BS-Key Figures (LC)'!S13/'Input-FX Rates'!$H$13,0)</f>
        <v>876.70318275862064</v>
      </c>
      <c r="T13" s="479">
        <f t="shared" si="0"/>
        <v>-30.575422807867994</v>
      </c>
      <c r="U13" s="294" t="str">
        <f>IF(ISBLANK('7. BS-Key Figures (LC)'!U13),"",'7. BS-Key Figures (LC)'!U13)</f>
        <v/>
      </c>
      <c r="W13" s="9"/>
    </row>
    <row r="14" spans="1:23" ht="19.899999999999999" customHeight="1" x14ac:dyDescent="0.2">
      <c r="A14" s="467"/>
      <c r="B14" s="465" t="s">
        <v>427</v>
      </c>
      <c r="C14" s="753">
        <f>IFERROR(C8/C10,0)</f>
        <v>19.073620595756498</v>
      </c>
      <c r="D14" s="754">
        <f>IFERROR(D8/D10,0)</f>
        <v>25.431878843964562</v>
      </c>
      <c r="E14" s="755">
        <f>IFERROR(E8/E10,0)</f>
        <v>23.827310476374823</v>
      </c>
      <c r="F14" s="756"/>
      <c r="G14" s="756"/>
      <c r="H14" s="756"/>
      <c r="I14" s="756"/>
      <c r="J14" s="756"/>
      <c r="K14" s="756"/>
      <c r="L14" s="756"/>
      <c r="M14" s="756"/>
      <c r="N14" s="756"/>
      <c r="O14" s="756"/>
      <c r="P14" s="756"/>
      <c r="Q14" s="757">
        <f>'7. BS-Key Figures (LC)'!Q14</f>
        <v>21.568317795326134</v>
      </c>
      <c r="R14" s="754"/>
      <c r="S14" s="758">
        <f>+'7. BS-Key Figures (LC)'!S14</f>
        <v>21.568317795326134</v>
      </c>
      <c r="T14" s="758">
        <f t="shared" si="0"/>
        <v>-2.2589926810486887</v>
      </c>
      <c r="U14" s="294" t="str">
        <f>IF(ISBLANK('7. BS-Key Figures (LC)'!U14),"",'7. BS-Key Figures (LC)'!U14)</f>
        <v/>
      </c>
      <c r="W14" s="9"/>
    </row>
    <row r="15" spans="1:23" ht="19.899999999999999" customHeight="1" x14ac:dyDescent="0.2">
      <c r="A15" s="467"/>
      <c r="B15" s="465" t="s">
        <v>426</v>
      </c>
      <c r="C15" s="759">
        <f>+'7. BS-Key Figures (LC)'!C15</f>
        <v>0</v>
      </c>
      <c r="D15" s="760">
        <f>+'7. BS-Key Figures (LC)'!D15</f>
        <v>30.3</v>
      </c>
      <c r="E15" s="761">
        <f>+'7. BS-Key Figures (LC)'!E15</f>
        <v>25.8</v>
      </c>
      <c r="F15" s="756"/>
      <c r="G15" s="756"/>
      <c r="H15" s="756"/>
      <c r="I15" s="756"/>
      <c r="J15" s="756"/>
      <c r="K15" s="756"/>
      <c r="L15" s="756"/>
      <c r="M15" s="756"/>
      <c r="N15" s="756"/>
      <c r="O15" s="756"/>
      <c r="P15" s="756"/>
      <c r="Q15" s="756"/>
      <c r="R15" s="754">
        <f>'7. BS-Key Figures (LC)'!R15</f>
        <v>0</v>
      </c>
      <c r="S15" s="758">
        <f>+'7. BS-Key Figures (LC)'!S15</f>
        <v>24.200350272855399</v>
      </c>
      <c r="T15" s="758">
        <f t="shared" si="0"/>
        <v>-1.5996497271446017</v>
      </c>
      <c r="U15" s="294" t="str">
        <f>IF(ISBLANK('7. BS-Key Figures (LC)'!U15),"",'7. BS-Key Figures (LC)'!U15)</f>
        <v/>
      </c>
      <c r="W15" s="9" t="s">
        <v>1429</v>
      </c>
    </row>
    <row r="16" spans="1:23" s="335" customFormat="1" ht="19.899999999999999" customHeight="1" x14ac:dyDescent="0.2">
      <c r="A16" s="867"/>
      <c r="B16" s="861" t="s">
        <v>425</v>
      </c>
      <c r="C16" s="878">
        <f>IFERROR('7. BS-Key Figures (LC)'!C16/'Input-FX Rates'!$C$13,0)</f>
        <v>9589.7479445535137</v>
      </c>
      <c r="D16" s="879">
        <f>IFERROR('7. BS-Key Figures (LC)'!D16/'Input-FX Rates'!$D$13,0)</f>
        <v>18945.293656884875</v>
      </c>
      <c r="E16" s="880">
        <f>IFERROR('7. BS-Key Figures (LC)'!E16/'Input-FX Rates'!$G$13,0)</f>
        <v>13754.964437025585</v>
      </c>
      <c r="F16" s="881">
        <f>IFERROR('7. BS-Key Figures (LC)'!F16/'Input-FX Rates'!$H$13,0)</f>
        <v>18492.54173862069</v>
      </c>
      <c r="G16" s="881">
        <f>IFERROR('7. BS-Key Figures (LC)'!G16/'Input-FX Rates'!$H$13,0)</f>
        <v>17285.60859172414</v>
      </c>
      <c r="H16" s="881">
        <f>IFERROR('7. BS-Key Figures (LC)'!H16/'Input-FX Rates'!$H$13,0)</f>
        <v>16886.768549655171</v>
      </c>
      <c r="I16" s="881">
        <f>IFERROR('7. BS-Key Figures (LC)'!I16/'Input-FX Rates'!$H$13,0)</f>
        <v>17288.297514482761</v>
      </c>
      <c r="J16" s="881">
        <f>IFERROR('7. BS-Key Figures (LC)'!J16/'Input-FX Rates'!$H$13,0)</f>
        <v>17652.749979310345</v>
      </c>
      <c r="K16" s="881">
        <f>IFERROR('7. BS-Key Figures (LC)'!K16/'Input-FX Rates'!$H$13,0)</f>
        <v>17139.295172413797</v>
      </c>
      <c r="L16" s="881">
        <f>IFERROR('7. BS-Key Figures (LC)'!L16/'Input-FX Rates'!$H$13,0)</f>
        <v>18102.904835172416</v>
      </c>
      <c r="M16" s="881">
        <f>IFERROR('7. BS-Key Figures (LC)'!M16/'Input-FX Rates'!$H$13,0)</f>
        <v>16073.823722758621</v>
      </c>
      <c r="N16" s="881">
        <f>IFERROR('7. BS-Key Figures (LC)'!N16/'Input-FX Rates'!$H$13,0)</f>
        <v>15507.257956551724</v>
      </c>
      <c r="O16" s="881">
        <f>IFERROR('7. BS-Key Figures (LC)'!O16/'Input-FX Rates'!$H$13,0)</f>
        <v>17079.275000000001</v>
      </c>
      <c r="P16" s="881">
        <f>IFERROR('7. BS-Key Figures (LC)'!P16/'Input-FX Rates'!$H$13,0)</f>
        <v>17945.732651724138</v>
      </c>
      <c r="Q16" s="881">
        <f>IFERROR('7. BS-Key Figures (LC)'!Q16/'Input-FX Rates'!$H$13,0)</f>
        <v>17813.86464</v>
      </c>
      <c r="R16" s="879"/>
      <c r="S16" s="880">
        <f>IFERROR('7. BS-Key Figures (LC)'!S16/'Input-FX Rates'!$H$13,0)</f>
        <v>17813.86464</v>
      </c>
      <c r="T16" s="880">
        <f t="shared" si="0"/>
        <v>4058.9002029744152</v>
      </c>
      <c r="U16" s="294" t="str">
        <f>IF(ISBLANK('7. BS-Key Figures (LC)'!U16),"",'7. BS-Key Figures (LC)'!U16)</f>
        <v/>
      </c>
      <c r="W16" s="866" t="s">
        <v>1430</v>
      </c>
    </row>
    <row r="17" spans="1:23" ht="19.899999999999999" customHeight="1" x14ac:dyDescent="0.2">
      <c r="A17" s="458"/>
      <c r="B17" s="457" t="s">
        <v>424</v>
      </c>
      <c r="C17" s="478">
        <f>IFERROR(C16/C$8,0)</f>
        <v>0.18857329479644427</v>
      </c>
      <c r="D17" s="477">
        <f>IFERROR(D16/D$8,0)</f>
        <v>0.20531897223409484</v>
      </c>
      <c r="E17" s="296">
        <f>IFERROR(E16/E$8,0)</f>
        <v>0.14498489704397338</v>
      </c>
      <c r="F17" s="224">
        <f t="shared" ref="F17:Q17" si="1">IFERROR(F16/$S$8,0)</f>
        <v>0.14242156604564987</v>
      </c>
      <c r="G17" s="224">
        <f t="shared" si="1"/>
        <v>0.13312628845087657</v>
      </c>
      <c r="H17" s="224">
        <f t="shared" si="1"/>
        <v>0.1300545947812852</v>
      </c>
      <c r="I17" s="224">
        <f t="shared" si="1"/>
        <v>0.13314699737210933</v>
      </c>
      <c r="J17" s="224">
        <f t="shared" si="1"/>
        <v>0.13595385278028393</v>
      </c>
      <c r="K17" s="224">
        <f t="shared" si="1"/>
        <v>0.13199944571577796</v>
      </c>
      <c r="L17" s="224">
        <f t="shared" si="1"/>
        <v>0.13942075097313947</v>
      </c>
      <c r="M17" s="224">
        <f t="shared" si="1"/>
        <v>0.12379364498910417</v>
      </c>
      <c r="N17" s="224">
        <f t="shared" si="1"/>
        <v>0.11943020026465503</v>
      </c>
      <c r="O17" s="224">
        <f t="shared" si="1"/>
        <v>0.13153719628190752</v>
      </c>
      <c r="P17" s="224">
        <f t="shared" si="1"/>
        <v>0.13821027872860381</v>
      </c>
      <c r="Q17" s="224">
        <f t="shared" si="1"/>
        <v>0.13719468828103135</v>
      </c>
      <c r="R17" s="476"/>
      <c r="S17" s="296">
        <f>IFERROR(S16/S$8,0)</f>
        <v>0.13719468828103135</v>
      </c>
      <c r="T17" s="296">
        <f t="shared" si="0"/>
        <v>-7.7902087629420358E-3</v>
      </c>
      <c r="U17" s="294" t="str">
        <f>IF(ISBLANK('7. BS-Key Figures (LC)'!U17),"",'7. BS-Key Figures (LC)'!U17)</f>
        <v/>
      </c>
      <c r="W17" s="9" t="s">
        <v>1431</v>
      </c>
    </row>
    <row r="18" spans="1:23" s="335" customFormat="1" ht="19.899999999999999" customHeight="1" x14ac:dyDescent="0.2">
      <c r="A18" s="869"/>
      <c r="B18" s="861" t="s">
        <v>423</v>
      </c>
      <c r="C18" s="882">
        <f>IFERROR('7. BS-Key Figures (LC)'!C18/'Input-FX Rates'!$C$13,0)</f>
        <v>13696.741471086918</v>
      </c>
      <c r="D18" s="883">
        <f>IFERROR('7. BS-Key Figures (LC)'!D18/'Input-FX Rates'!$D$13,0)</f>
        <v>20836.47917983446</v>
      </c>
      <c r="E18" s="884">
        <f>IFERROR('7. BS-Key Figures (LC)'!E18/'Input-FX Rates'!$G$13,0)</f>
        <v>18763.845837784651</v>
      </c>
      <c r="F18" s="885">
        <f>IFERROR('7. BS-Key Figures (LC)'!F18/'Input-FX Rates'!$H$13,0)</f>
        <v>24400.330795172413</v>
      </c>
      <c r="G18" s="885">
        <f>IFERROR('7. BS-Key Figures (LC)'!G18/'Input-FX Rates'!$H$13,0)</f>
        <v>23849.708815172413</v>
      </c>
      <c r="H18" s="885">
        <f>IFERROR('7. BS-Key Figures (LC)'!H18/'Input-FX Rates'!$H$13,0)</f>
        <v>24806.358980689656</v>
      </c>
      <c r="I18" s="885">
        <f>IFERROR('7. BS-Key Figures (LC)'!I18/'Input-FX Rates'!$H$13,0)</f>
        <v>24101.160016551723</v>
      </c>
      <c r="J18" s="885">
        <f>IFERROR('7. BS-Key Figures (LC)'!J18/'Input-FX Rates'!$H$13,0)</f>
        <v>23575.184353793098</v>
      </c>
      <c r="K18" s="885">
        <f>IFERROR('7. BS-Key Figures (LC)'!K18/'Input-FX Rates'!$H$13,0)</f>
        <v>23148.775874482752</v>
      </c>
      <c r="L18" s="885">
        <f>IFERROR('7. BS-Key Figures (LC)'!L18/'Input-FX Rates'!$H$13,0)</f>
        <v>23667.980586896545</v>
      </c>
      <c r="M18" s="885">
        <f>IFERROR('7. BS-Key Figures (LC)'!M18/'Input-FX Rates'!$H$13,0)</f>
        <v>23109.167134482752</v>
      </c>
      <c r="N18" s="885">
        <f>IFERROR('7. BS-Key Figures (LC)'!N18/'Input-FX Rates'!$H$13,0)</f>
        <v>21973.81191310344</v>
      </c>
      <c r="O18" s="885">
        <f>IFERROR('7. BS-Key Figures (LC)'!O18/'Input-FX Rates'!$H$13,0)</f>
        <v>23435.711176551715</v>
      </c>
      <c r="P18" s="885">
        <f>IFERROR('7. BS-Key Figures (LC)'!P18/'Input-FX Rates'!$H$13,0)</f>
        <v>24515.464182758609</v>
      </c>
      <c r="Q18" s="885">
        <f>IFERROR('7. BS-Key Figures (LC)'!Q18/'Input-FX Rates'!$H$13,0)</f>
        <v>23953.632407586196</v>
      </c>
      <c r="R18" s="883"/>
      <c r="S18" s="884">
        <f>IFERROR('7. BS-Key Figures (LC)'!S18/'Input-FX Rates'!$H$13,0)</f>
        <v>23953.632407586203</v>
      </c>
      <c r="T18" s="886">
        <f t="shared" si="0"/>
        <v>5189.7865698015521</v>
      </c>
      <c r="U18" s="294" t="str">
        <f>IF(ISBLANK('7. BS-Key Figures (LC)'!U18),"",'7. BS-Key Figures (LC)'!U18)</f>
        <v/>
      </c>
      <c r="W18" s="866"/>
    </row>
    <row r="19" spans="1:23" ht="19.899999999999999" customHeight="1" x14ac:dyDescent="0.2">
      <c r="A19" s="458"/>
      <c r="B19" s="457" t="s">
        <v>420</v>
      </c>
      <c r="C19" s="478">
        <f>IFERROR(C18/C$8,0)</f>
        <v>0.26933342587433468</v>
      </c>
      <c r="D19" s="477">
        <f>IFERROR(D18/D$8,0)</f>
        <v>0.22581463067615326</v>
      </c>
      <c r="E19" s="296">
        <f>IFERROR(E18/E$8,0)</f>
        <v>0.19778126431335796</v>
      </c>
      <c r="F19" s="224">
        <f t="shared" ref="F19:Q19" si="2">IFERROR(F18/$S$8,0)</f>
        <v>0.18792080466811772</v>
      </c>
      <c r="G19" s="224">
        <f t="shared" si="2"/>
        <v>0.1836801520958983</v>
      </c>
      <c r="H19" s="224">
        <f t="shared" si="2"/>
        <v>0.19104785831262946</v>
      </c>
      <c r="I19" s="224">
        <f t="shared" si="2"/>
        <v>0.18561672059960538</v>
      </c>
      <c r="J19" s="224">
        <f t="shared" si="2"/>
        <v>0.1815658833133747</v>
      </c>
      <c r="K19" s="224">
        <f t="shared" si="2"/>
        <v>0.17828186945217073</v>
      </c>
      <c r="L19" s="224">
        <f t="shared" si="2"/>
        <v>0.18228055980449917</v>
      </c>
      <c r="M19" s="224">
        <f t="shared" si="2"/>
        <v>0.17797682005119445</v>
      </c>
      <c r="N19" s="224">
        <f t="shared" si="2"/>
        <v>0.16923280471071547</v>
      </c>
      <c r="O19" s="224">
        <f t="shared" si="2"/>
        <v>0.18049172116709736</v>
      </c>
      <c r="P19" s="224">
        <f t="shared" si="2"/>
        <v>0.18880751227142795</v>
      </c>
      <c r="Q19" s="224">
        <f t="shared" si="2"/>
        <v>0.18448052670042062</v>
      </c>
      <c r="R19" s="476"/>
      <c r="S19" s="296">
        <f>IFERROR(S18/S$8,0)</f>
        <v>0.18448052670042067</v>
      </c>
      <c r="T19" s="296">
        <f t="shared" si="0"/>
        <v>-1.3300737612937291E-2</v>
      </c>
      <c r="U19" s="294" t="str">
        <f>IF(ISBLANK('7. BS-Key Figures (LC)'!U19),"",'7. BS-Key Figures (LC)'!U19)</f>
        <v/>
      </c>
      <c r="W19" s="9"/>
    </row>
    <row r="20" spans="1:23" ht="19.899999999999999" customHeight="1" x14ac:dyDescent="0.2">
      <c r="A20" s="214" t="s">
        <v>422</v>
      </c>
      <c r="B20" s="452"/>
      <c r="C20" s="475">
        <f>C10+C16-C18</f>
        <v>-1440.7865310250454</v>
      </c>
      <c r="D20" s="473">
        <f>D10+D16-D18</f>
        <v>1737.0361542513201</v>
      </c>
      <c r="E20" s="472">
        <f>E10+E16-E18</f>
        <v>-1027.2442170368267</v>
      </c>
      <c r="F20" s="474">
        <f>IFERROR('7. BS-Key Figures (LC)'!F20/'Input-FX Rates'!$H$13,0)</f>
        <v>-805.28470482758405</v>
      </c>
      <c r="G20" s="474">
        <f>IFERROR('7. BS-Key Figures (LC)'!G20/'Input-FX Rates'!$H$13,0)</f>
        <v>-1470.6288075862053</v>
      </c>
      <c r="H20" s="474">
        <f>IFERROR('7. BS-Key Figures (LC)'!H20/'Input-FX Rates'!$H$13,0)</f>
        <v>-3353.1865744827587</v>
      </c>
      <c r="I20" s="474">
        <f>IFERROR('7. BS-Key Figures (LC)'!I20/'Input-FX Rates'!$H$13,0)</f>
        <v>-2520.7952413793064</v>
      </c>
      <c r="J20" s="474">
        <f>IFERROR('7. BS-Key Figures (LC)'!J20/'Input-FX Rates'!$H$13,0)</f>
        <v>-1788.291664137925</v>
      </c>
      <c r="K20" s="474">
        <f>IFERROR('7. BS-Key Figures (LC)'!K20/'Input-FX Rates'!$H$13,0)</f>
        <v>387.62167862070015</v>
      </c>
      <c r="L20" s="474">
        <f>IFERROR('7. BS-Key Figures (LC)'!L20/'Input-FX Rates'!$H$13,0)</f>
        <v>1163.1908862069095</v>
      </c>
      <c r="M20" s="474">
        <f>IFERROR('7. BS-Key Figures (LC)'!M20/'Input-FX Rates'!$H$13,0)</f>
        <v>-1521.3625503448191</v>
      </c>
      <c r="N20" s="474">
        <f>IFERROR('7. BS-Key Figures (LC)'!N20/'Input-FX Rates'!$H$13,0)</f>
        <v>-1305.5940620689582</v>
      </c>
      <c r="O20" s="474">
        <f>IFERROR('7. BS-Key Figures (LC)'!O20/'Input-FX Rates'!$H$13,0)</f>
        <v>-660.22735448274886</v>
      </c>
      <c r="P20" s="474">
        <f>IFERROR('7. BS-Key Figures (LC)'!P20/'Input-FX Rates'!$H$13,0)</f>
        <v>-890.58264413791994</v>
      </c>
      <c r="Q20" s="474">
        <f>IFERROR('7. BS-Key Figures (LC)'!Q20/'Input-FX Rates'!$H$13,0)</f>
        <v>-119.65568896550556</v>
      </c>
      <c r="R20" s="473"/>
      <c r="S20" s="472">
        <f>S10+S16-S18</f>
        <v>-119.65568896551486</v>
      </c>
      <c r="T20" s="265">
        <f t="shared" si="0"/>
        <v>907.58852807131188</v>
      </c>
      <c r="U20" s="412" t="str">
        <f>IF(ISBLANK('7. BS-Key Figures (LC)'!U20),"",'7. BS-Key Figures (LC)'!U20)</f>
        <v/>
      </c>
      <c r="W20" s="9"/>
    </row>
    <row r="21" spans="1:23" ht="19.899999999999999" customHeight="1" x14ac:dyDescent="0.2">
      <c r="A21" s="412"/>
      <c r="B21" s="907" t="s">
        <v>420</v>
      </c>
      <c r="C21" s="912">
        <f>IFERROR(C20/C$8,0)</f>
        <v>-2.83317001473475E-2</v>
      </c>
      <c r="D21" s="913">
        <f>IFERROR(D20/D$8,0)</f>
        <v>1.882506992942479E-2</v>
      </c>
      <c r="E21" s="914">
        <f>IFERROR(E20/E$8,0)</f>
        <v>-1.0827719528317988E-2</v>
      </c>
      <c r="F21" s="915">
        <f t="shared" ref="F21:Q21" si="3">IFERROR(F20/$S$8,0)</f>
        <v>-6.201954841860903E-3</v>
      </c>
      <c r="G21" s="915">
        <f t="shared" si="3"/>
        <v>-1.1326147633391598E-2</v>
      </c>
      <c r="H21" s="915">
        <f t="shared" si="3"/>
        <v>-2.5824794121389563E-2</v>
      </c>
      <c r="I21" s="915">
        <f t="shared" si="3"/>
        <v>-1.9414075741025789E-2</v>
      </c>
      <c r="J21" s="915">
        <f t="shared" si="3"/>
        <v>-1.3772649695903911E-2</v>
      </c>
      <c r="K21" s="915">
        <f t="shared" si="3"/>
        <v>2.9852946816450645E-3</v>
      </c>
      <c r="L21" s="915">
        <f t="shared" si="3"/>
        <v>8.9583936034945393E-3</v>
      </c>
      <c r="M21" s="915">
        <f t="shared" si="3"/>
        <v>-1.1716876998622592E-2</v>
      </c>
      <c r="N21" s="915">
        <f t="shared" si="3"/>
        <v>-1.0055121333127869E-2</v>
      </c>
      <c r="O21" s="915">
        <f t="shared" si="3"/>
        <v>-5.084785807200942E-3</v>
      </c>
      <c r="P21" s="915">
        <f t="shared" si="3"/>
        <v>-6.8588827141216335E-3</v>
      </c>
      <c r="Q21" s="915">
        <f t="shared" si="3"/>
        <v>-9.2153641449666803E-4</v>
      </c>
      <c r="R21" s="913"/>
      <c r="S21" s="914">
        <f>IFERROR(S20/S$8,0)</f>
        <v>-9.2153641449673959E-4</v>
      </c>
      <c r="T21" s="910">
        <f t="shared" si="0"/>
        <v>9.9061831138212483E-3</v>
      </c>
      <c r="U21" s="412" t="str">
        <f>IF(ISBLANK('7. BS-Key Figures (LC)'!U21),"",'7. BS-Key Figures (LC)'!U21)</f>
        <v/>
      </c>
      <c r="W21" s="9" t="s">
        <v>421</v>
      </c>
    </row>
    <row r="22" spans="1:23" ht="19.899999999999999" customHeight="1" x14ac:dyDescent="0.2">
      <c r="A22" s="214" t="s">
        <v>1432</v>
      </c>
      <c r="B22" s="452"/>
      <c r="C22" s="453">
        <f>IFERROR('7. BS-Key Figures (LC)'!C22/'Input-FX Rates'!$C$13,0)</f>
        <v>12819.055427152121</v>
      </c>
      <c r="D22" s="287">
        <f>IFERROR('7. BS-Key Figures (LC)'!D22/'Input-FX Rates'!$D$13,0)</f>
        <v>21966.502026335591</v>
      </c>
      <c r="E22" s="265">
        <f>IFERROR('7. BS-Key Figures (LC)'!E22/'Input-FX Rates'!$G$13,0)</f>
        <v>18325.865839893166</v>
      </c>
      <c r="F22" s="78">
        <f>IFERROR('7. BS-Key Figures (LC)'!F22/'Input-FX Rates'!$H$13,0)</f>
        <v>268.91073172413792</v>
      </c>
      <c r="G22" s="78">
        <f>IFERROR('7. BS-Key Figures (LC)'!G22/'Input-FX Rates'!$H$13,0)</f>
        <v>2077.3319358620688</v>
      </c>
      <c r="H22" s="78">
        <f>IFERROR('7. BS-Key Figures (LC)'!H22/'Input-FX Rates'!$H$13,0)</f>
        <v>1873.5519551724137</v>
      </c>
      <c r="I22" s="78">
        <f>IFERROR('7. BS-Key Figures (LC)'!I22/'Input-FX Rates'!$H$13,0)</f>
        <v>391.16972344827587</v>
      </c>
      <c r="J22" s="78">
        <f>IFERROR('7. BS-Key Figures (LC)'!J22/'Input-FX Rates'!$H$13,0)</f>
        <v>648.3491937931035</v>
      </c>
      <c r="K22" s="78">
        <f>IFERROR('7. BS-Key Figures (LC)'!K22/'Input-FX Rates'!$H$13,0)</f>
        <v>143.41260689655172</v>
      </c>
      <c r="L22" s="78">
        <f>IFERROR('7. BS-Key Figures (LC)'!L22/'Input-FX Rates'!$H$13,0)</f>
        <v>106.70780275862067</v>
      </c>
      <c r="M22" s="78">
        <f>IFERROR('7. BS-Key Figures (LC)'!M22/'Input-FX Rates'!$H$13,0)</f>
        <v>750.98299310344817</v>
      </c>
      <c r="N22" s="78">
        <f>IFERROR('7. BS-Key Figures (LC)'!N22/'Input-FX Rates'!$H$13,0)</f>
        <v>236.17054827586205</v>
      </c>
      <c r="O22" s="78">
        <f>IFERROR('7. BS-Key Figures (LC)'!O22/'Input-FX Rates'!$H$13,0)</f>
        <v>593.89648</v>
      </c>
      <c r="P22" s="78">
        <f>IFERROR('7. BS-Key Figures (LC)'!P22/'Input-FX Rates'!$H$13,0)</f>
        <v>124.75642965517241</v>
      </c>
      <c r="Q22" s="78">
        <f>IFERROR('7. BS-Key Figures (LC)'!Q22/'Input-FX Rates'!$H$13,0)</f>
        <v>358.57057586206901</v>
      </c>
      <c r="R22" s="287"/>
      <c r="S22" s="265">
        <f>IFERROR('7. BS-Key Figures (LC)'!S22/'Input-FX Rates'!$H$13,0)</f>
        <v>7573.8109765517247</v>
      </c>
      <c r="T22" s="265">
        <f t="shared" ref="T22:T23" si="4">S22-E22</f>
        <v>-10752.05486334144</v>
      </c>
      <c r="U22" s="412" t="str">
        <f>IF(ISBLANK('7. BS-Key Figures (LC)'!U22),"",'7. BS-Key Figures (LC)'!U22)</f>
        <v/>
      </c>
    </row>
    <row r="23" spans="1:23" ht="19.899999999999999" customHeight="1" x14ac:dyDescent="0.2">
      <c r="A23" s="412"/>
      <c r="B23" s="907" t="s">
        <v>420</v>
      </c>
      <c r="C23" s="908">
        <f>IFERROR(C22/C$8,0)</f>
        <v>0.25207456254877236</v>
      </c>
      <c r="D23" s="909">
        <f>IFERROR(D22/D$8,0)</f>
        <v>0.23806121463767144</v>
      </c>
      <c r="E23" s="910">
        <f>IFERROR(E22/E$8,0)</f>
        <v>0.19316471403492275</v>
      </c>
      <c r="F23" s="911"/>
      <c r="G23" s="911"/>
      <c r="H23" s="911"/>
      <c r="I23" s="911"/>
      <c r="J23" s="911"/>
      <c r="K23" s="911"/>
      <c r="L23" s="911"/>
      <c r="M23" s="911"/>
      <c r="N23" s="911"/>
      <c r="O23" s="911"/>
      <c r="P23" s="911"/>
      <c r="Q23" s="911"/>
      <c r="R23" s="909"/>
      <c r="S23" s="910">
        <f>IFERROR(S22/S$8,0)</f>
        <v>5.8330219580441781E-2</v>
      </c>
      <c r="T23" s="910">
        <f t="shared" si="4"/>
        <v>-0.13483449445448098</v>
      </c>
      <c r="U23" s="412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Normal="100" workbookViewId="0">
      <pane ySplit="6" topLeftCell="A7" activePane="bottomLeft" state="frozen"/>
      <selection activeCell="F20" sqref="F20"/>
      <selection pane="bottomLeft" activeCell="E7" sqref="E7:E8"/>
    </sheetView>
  </sheetViews>
  <sheetFormatPr defaultColWidth="9.28515625" defaultRowHeight="12.75" customHeight="1" x14ac:dyDescent="0.2"/>
  <cols>
    <col min="1" max="1" width="15.28515625" style="221" customWidth="1"/>
    <col min="2" max="2" width="20" style="221" customWidth="1"/>
    <col min="3" max="3" width="51.42578125" style="221" customWidth="1"/>
    <col min="4" max="4" width="19.7109375" style="221" customWidth="1"/>
    <col min="5" max="6" width="19.28515625" style="221" customWidth="1"/>
    <col min="7" max="7" width="6.7109375" style="221" customWidth="1"/>
    <col min="8" max="8" width="164.7109375" style="221" bestFit="1" customWidth="1"/>
    <col min="9" max="16384" width="9.28515625" style="221"/>
  </cols>
  <sheetData>
    <row r="1" spans="1:8" ht="19.899999999999999" customHeight="1" x14ac:dyDescent="0.25">
      <c r="A1" s="60" t="str">
        <f>+'0. Instructions'!A1</f>
        <v>Budget 2024</v>
      </c>
      <c r="B1" s="60"/>
      <c r="C1" s="60"/>
      <c r="D1" s="219"/>
      <c r="E1" s="219"/>
      <c r="F1" s="57" t="str">
        <f>'Input-FX Rates'!$H$1</f>
        <v>Plant ICH Icheon (242)</v>
      </c>
      <c r="H1" s="397" t="s">
        <v>144</v>
      </c>
    </row>
    <row r="2" spans="1:8" ht="19.899999999999999" customHeight="1" thickBot="1" x14ac:dyDescent="0.3">
      <c r="A2" s="55" t="s">
        <v>443</v>
      </c>
      <c r="B2" s="55"/>
      <c r="C2" s="55"/>
      <c r="D2" s="55"/>
      <c r="E2" s="55"/>
      <c r="F2" s="54" t="str">
        <f>'Input-FX Rates'!$H$2</f>
        <v>7851 PL eMotor Controls</v>
      </c>
      <c r="H2" s="95" t="s">
        <v>142</v>
      </c>
    </row>
    <row r="5" spans="1:8" ht="55.5" customHeight="1" x14ac:dyDescent="0.2">
      <c r="A5" s="1033">
        <v>2023</v>
      </c>
      <c r="B5" s="1036"/>
      <c r="C5" s="188"/>
      <c r="D5" s="216">
        <v>2024</v>
      </c>
      <c r="E5" s="187" t="s">
        <v>442</v>
      </c>
      <c r="F5" s="187" t="s">
        <v>1066</v>
      </c>
    </row>
    <row r="6" spans="1:8" ht="47.25" x14ac:dyDescent="0.2">
      <c r="A6" s="501" t="s">
        <v>441</v>
      </c>
      <c r="B6" s="188" t="s">
        <v>440</v>
      </c>
      <c r="C6" s="188" t="s">
        <v>439</v>
      </c>
      <c r="D6" s="216" t="s">
        <v>438</v>
      </c>
      <c r="E6" s="187"/>
      <c r="F6" s="187"/>
      <c r="H6" s="267" t="s">
        <v>437</v>
      </c>
    </row>
    <row r="7" spans="1:8" ht="14.25" customHeight="1" x14ac:dyDescent="0.2">
      <c r="A7" s="500">
        <v>0.11799999999999999</v>
      </c>
      <c r="B7" s="499">
        <v>1018.9830000000001</v>
      </c>
      <c r="C7" s="746" t="s">
        <v>1535</v>
      </c>
      <c r="D7" s="497">
        <v>1213.3789999999999</v>
      </c>
      <c r="E7" s="496">
        <f t="shared" ref="E7:E17" si="0">D7-B7</f>
        <v>194.39599999999984</v>
      </c>
      <c r="F7" s="495">
        <f t="shared" ref="F7:F18" si="1">IFERROR(D7/B7-1,0)</f>
        <v>0.19077452715109078</v>
      </c>
    </row>
    <row r="8" spans="1:8" ht="14.25" customHeight="1" x14ac:dyDescent="0.2">
      <c r="A8" s="500">
        <v>3.3000000000000002E-2</v>
      </c>
      <c r="B8" s="499">
        <v>536.55900000000008</v>
      </c>
      <c r="C8" s="746" t="s">
        <v>1536</v>
      </c>
      <c r="D8" s="497">
        <v>720.61599999999999</v>
      </c>
      <c r="E8" s="496">
        <f t="shared" si="0"/>
        <v>184.0569999999999</v>
      </c>
      <c r="F8" s="495">
        <f t="shared" si="1"/>
        <v>0.3430321735354358</v>
      </c>
    </row>
    <row r="9" spans="1:8" ht="14.25" customHeight="1" x14ac:dyDescent="0.2">
      <c r="A9" s="500">
        <v>0.156</v>
      </c>
      <c r="B9" s="499">
        <v>54.209000000000003</v>
      </c>
      <c r="C9" s="746" t="s">
        <v>1537</v>
      </c>
      <c r="D9" s="497">
        <v>92.608000000000004</v>
      </c>
      <c r="E9" s="496">
        <f t="shared" si="0"/>
        <v>38.399000000000001</v>
      </c>
      <c r="F9" s="495">
        <f t="shared" si="1"/>
        <v>0.7083510118246048</v>
      </c>
    </row>
    <row r="10" spans="1:8" ht="14.25" customHeight="1" x14ac:dyDescent="0.2">
      <c r="A10" s="500">
        <v>-0.38200000000000001</v>
      </c>
      <c r="B10" s="499">
        <v>3</v>
      </c>
      <c r="C10" s="746" t="s">
        <v>1538</v>
      </c>
      <c r="D10" s="497">
        <v>61.02</v>
      </c>
      <c r="E10" s="496">
        <f t="shared" si="0"/>
        <v>58.02</v>
      </c>
      <c r="F10" s="495">
        <f t="shared" si="1"/>
        <v>19.34</v>
      </c>
    </row>
    <row r="11" spans="1:8" ht="14.25" customHeight="1" x14ac:dyDescent="0.2">
      <c r="A11" s="500">
        <v>0.55500000000000005</v>
      </c>
      <c r="B11" s="499">
        <v>24.847999999999999</v>
      </c>
      <c r="C11" s="498" t="s">
        <v>1539</v>
      </c>
      <c r="D11" s="497">
        <v>0</v>
      </c>
      <c r="E11" s="496">
        <f t="shared" si="0"/>
        <v>-24.847999999999999</v>
      </c>
      <c r="F11" s="495">
        <f t="shared" si="1"/>
        <v>-1</v>
      </c>
    </row>
    <row r="12" spans="1:8" ht="14.25" customHeight="1" x14ac:dyDescent="0.2">
      <c r="A12" s="500"/>
      <c r="B12" s="499"/>
      <c r="C12" s="498"/>
      <c r="D12" s="497"/>
      <c r="E12" s="496">
        <f t="shared" si="0"/>
        <v>0</v>
      </c>
      <c r="F12" s="495">
        <f t="shared" si="1"/>
        <v>0</v>
      </c>
    </row>
    <row r="13" spans="1:8" ht="14.25" customHeight="1" x14ac:dyDescent="0.2">
      <c r="A13" s="500"/>
      <c r="B13" s="499"/>
      <c r="C13" s="498"/>
      <c r="D13" s="497"/>
      <c r="E13" s="496">
        <f t="shared" si="0"/>
        <v>0</v>
      </c>
      <c r="F13" s="495">
        <f t="shared" si="1"/>
        <v>0</v>
      </c>
    </row>
    <row r="14" spans="1:8" ht="15" x14ac:dyDescent="0.2">
      <c r="A14" s="500"/>
      <c r="B14" s="499"/>
      <c r="C14" s="498"/>
      <c r="D14" s="497"/>
      <c r="E14" s="496">
        <f t="shared" si="0"/>
        <v>0</v>
      </c>
      <c r="F14" s="495">
        <f t="shared" si="1"/>
        <v>0</v>
      </c>
    </row>
    <row r="15" spans="1:8" ht="15" x14ac:dyDescent="0.2">
      <c r="A15" s="500"/>
      <c r="B15" s="499"/>
      <c r="C15" s="498"/>
      <c r="D15" s="497"/>
      <c r="E15" s="496">
        <f t="shared" si="0"/>
        <v>0</v>
      </c>
      <c r="F15" s="495">
        <f t="shared" si="1"/>
        <v>0</v>
      </c>
    </row>
    <row r="16" spans="1:8" ht="15" x14ac:dyDescent="0.2">
      <c r="A16" s="500"/>
      <c r="B16" s="499"/>
      <c r="C16" s="498"/>
      <c r="D16" s="497"/>
      <c r="E16" s="496">
        <f t="shared" si="0"/>
        <v>0</v>
      </c>
      <c r="F16" s="495">
        <f t="shared" si="1"/>
        <v>0</v>
      </c>
    </row>
    <row r="17" spans="1:8" ht="15" x14ac:dyDescent="0.2">
      <c r="A17" s="494"/>
      <c r="B17" s="493"/>
      <c r="C17" s="492"/>
      <c r="D17" s="491"/>
      <c r="E17" s="490">
        <f t="shared" si="0"/>
        <v>0</v>
      </c>
      <c r="F17" s="489">
        <f t="shared" si="1"/>
        <v>0</v>
      </c>
    </row>
    <row r="18" spans="1:8" ht="25.5" x14ac:dyDescent="0.2">
      <c r="A18" s="429"/>
      <c r="B18" s="80">
        <f>SUM(B7:B17)</f>
        <v>1637.5990000000002</v>
      </c>
      <c r="C18" s="488" t="s">
        <v>436</v>
      </c>
      <c r="D18" s="78">
        <f>SUM(D7:D17)</f>
        <v>2087.623</v>
      </c>
      <c r="E18" s="78">
        <f>SUM(E7:E17)</f>
        <v>450.02399999999972</v>
      </c>
      <c r="F18" s="487">
        <f t="shared" si="1"/>
        <v>0.274807202495849</v>
      </c>
      <c r="H18" s="9" t="s">
        <v>969</v>
      </c>
    </row>
  </sheetData>
  <mergeCells count="1">
    <mergeCell ref="A5:B5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Normal="100" workbookViewId="0">
      <pane xSplit="2" ySplit="7" topLeftCell="C8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defaultColWidth="9.28515625" defaultRowHeight="12.75" x14ac:dyDescent="0.2"/>
  <cols>
    <col min="1" max="1" width="73.28515625" style="502" customWidth="1"/>
    <col min="2" max="2" width="26" style="502" customWidth="1"/>
    <col min="3" max="3" width="30" style="502" customWidth="1"/>
    <col min="4" max="4" width="26.7109375" style="502" customWidth="1"/>
    <col min="5" max="5" width="21.7109375" style="502" customWidth="1"/>
    <col min="6" max="6" width="16.28515625" style="502" customWidth="1"/>
    <col min="7" max="7" width="37.28515625" style="502" customWidth="1"/>
    <col min="8" max="8" width="9.28515625" style="502"/>
    <col min="9" max="9" width="104.7109375" style="502" bestFit="1" customWidth="1"/>
    <col min="10" max="16384" width="9.28515625" style="502"/>
  </cols>
  <sheetData>
    <row r="1" spans="1:9" ht="20.25" x14ac:dyDescent="0.3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144</v>
      </c>
    </row>
    <row r="2" spans="1:9" ht="18.75" thickBot="1" x14ac:dyDescent="0.3">
      <c r="A2" s="55" t="s">
        <v>483</v>
      </c>
      <c r="B2" s="55"/>
      <c r="C2" s="55"/>
      <c r="D2" s="55"/>
      <c r="E2" s="55"/>
      <c r="F2" s="54"/>
      <c r="G2" s="54" t="str">
        <f>'Input-FX Rates'!$H$2</f>
        <v>7851 PL eMotor Controls</v>
      </c>
      <c r="H2" s="522"/>
      <c r="I2" s="95" t="s">
        <v>142</v>
      </c>
    </row>
    <row r="3" spans="1:9" ht="15.75" x14ac:dyDescent="0.2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 x14ac:dyDescent="0.25">
      <c r="A4" s="304" t="str">
        <f>"in '000 "&amp;'Input-FX Rates'!$B$8</f>
        <v>in '000 KRW</v>
      </c>
      <c r="B4" s="188"/>
      <c r="C4" s="1035" t="s">
        <v>458</v>
      </c>
      <c r="D4" s="1036"/>
      <c r="E4" s="1035" t="s">
        <v>457</v>
      </c>
      <c r="F4" s="1034"/>
      <c r="G4" s="187" t="s">
        <v>456</v>
      </c>
      <c r="H4" s="503"/>
      <c r="I4" s="243"/>
    </row>
    <row r="5" spans="1:9" ht="15.75" x14ac:dyDescent="0.25">
      <c r="A5" s="187"/>
      <c r="B5" s="188"/>
      <c r="C5" s="520" t="s">
        <v>1068</v>
      </c>
      <c r="D5" s="188" t="s">
        <v>1067</v>
      </c>
      <c r="E5" s="187" t="s">
        <v>455</v>
      </c>
      <c r="F5" s="655" t="s">
        <v>330</v>
      </c>
      <c r="G5" s="187"/>
      <c r="H5" s="503"/>
      <c r="I5" s="243" t="s">
        <v>454</v>
      </c>
    </row>
    <row r="6" spans="1:9" ht="15.75" x14ac:dyDescent="0.25">
      <c r="A6" s="187"/>
      <c r="B6" s="188"/>
      <c r="C6" s="520"/>
      <c r="D6" s="188"/>
      <c r="E6" s="187"/>
      <c r="F6" s="655"/>
      <c r="G6" s="187"/>
      <c r="H6" s="503"/>
      <c r="I6" s="242"/>
    </row>
    <row r="7" spans="1:9" ht="15.75" x14ac:dyDescent="0.25">
      <c r="A7" s="519"/>
      <c r="B7" s="518"/>
      <c r="C7" s="516"/>
      <c r="D7" s="517"/>
      <c r="E7" s="516"/>
      <c r="F7" s="515"/>
      <c r="G7" s="514"/>
      <c r="H7" s="503"/>
      <c r="I7" s="243" t="s">
        <v>1386</v>
      </c>
    </row>
    <row r="8" spans="1:9" ht="15.75" x14ac:dyDescent="0.25">
      <c r="A8" s="979" t="s">
        <v>453</v>
      </c>
      <c r="B8" s="980">
        <v>44805</v>
      </c>
      <c r="C8" s="981">
        <v>-154188756.84614986</v>
      </c>
      <c r="D8" s="982">
        <v>-152274382.7396248</v>
      </c>
      <c r="E8" s="983">
        <f t="shared" ref="E8:E13" si="0">D8-C8</f>
        <v>1914374.1065250635</v>
      </c>
      <c r="F8" s="984">
        <v>-1.2E-2</v>
      </c>
      <c r="G8" s="985"/>
      <c r="H8" s="503"/>
      <c r="I8" s="243" t="s">
        <v>1387</v>
      </c>
    </row>
    <row r="9" spans="1:9" ht="15.75" x14ac:dyDescent="0.25">
      <c r="A9" s="512" t="s">
        <v>452</v>
      </c>
      <c r="B9" s="511"/>
      <c r="C9" s="510"/>
      <c r="D9" s="509"/>
      <c r="E9" s="508">
        <f t="shared" si="0"/>
        <v>0</v>
      </c>
      <c r="F9" s="507">
        <f t="shared" ref="F9:F14" si="1">ROUND(IF(C9=0,0,E9/C9),3)</f>
        <v>0</v>
      </c>
      <c r="G9" s="506"/>
      <c r="H9" s="503"/>
      <c r="I9" s="243" t="s">
        <v>448</v>
      </c>
    </row>
    <row r="10" spans="1:9" ht="15.75" x14ac:dyDescent="0.25">
      <c r="A10" s="512" t="s">
        <v>451</v>
      </c>
      <c r="B10" s="511"/>
      <c r="C10" s="510"/>
      <c r="D10" s="509"/>
      <c r="E10" s="508">
        <f t="shared" si="0"/>
        <v>0</v>
      </c>
      <c r="F10" s="507">
        <f t="shared" si="1"/>
        <v>0</v>
      </c>
      <c r="G10" s="506"/>
      <c r="H10" s="503"/>
      <c r="I10" s="243" t="s">
        <v>448</v>
      </c>
    </row>
    <row r="11" spans="1:9" ht="15.75" x14ac:dyDescent="0.25">
      <c r="A11" s="512" t="s">
        <v>450</v>
      </c>
      <c r="B11" s="511"/>
      <c r="C11" s="510"/>
      <c r="D11" s="509"/>
      <c r="E11" s="508">
        <f t="shared" si="0"/>
        <v>0</v>
      </c>
      <c r="F11" s="507">
        <f t="shared" si="1"/>
        <v>0</v>
      </c>
      <c r="G11" s="506"/>
      <c r="H11" s="503"/>
      <c r="I11" s="243" t="s">
        <v>448</v>
      </c>
    </row>
    <row r="12" spans="1:9" ht="15.75" x14ac:dyDescent="0.25">
      <c r="A12" s="512" t="s">
        <v>449</v>
      </c>
      <c r="B12" s="511"/>
      <c r="C12" s="510"/>
      <c r="D12" s="509"/>
      <c r="E12" s="508">
        <f t="shared" si="0"/>
        <v>0</v>
      </c>
      <c r="F12" s="507">
        <f t="shared" si="1"/>
        <v>0</v>
      </c>
      <c r="G12" s="506"/>
      <c r="H12" s="503"/>
      <c r="I12" s="243" t="s">
        <v>448</v>
      </c>
    </row>
    <row r="13" spans="1:9" ht="15.75" x14ac:dyDescent="0.25">
      <c r="A13" s="512" t="s">
        <v>447</v>
      </c>
      <c r="B13" s="511"/>
      <c r="C13" s="510"/>
      <c r="D13" s="509"/>
      <c r="E13" s="508">
        <f t="shared" si="0"/>
        <v>0</v>
      </c>
      <c r="F13" s="507">
        <f t="shared" si="1"/>
        <v>0</v>
      </c>
      <c r="G13" s="506"/>
      <c r="H13" s="503"/>
      <c r="I13" s="243"/>
    </row>
    <row r="14" spans="1:9" ht="15.75" x14ac:dyDescent="0.25">
      <c r="A14" s="505" t="s">
        <v>446</v>
      </c>
      <c r="B14" s="80"/>
      <c r="C14" s="78">
        <f>SUM(C8:C13)</f>
        <v>-154188756.84614986</v>
      </c>
      <c r="D14" s="80">
        <f>SUM(D8:D13)</f>
        <v>-152274382.7396248</v>
      </c>
      <c r="E14" s="78">
        <f>SUM(E8:E13)</f>
        <v>1914374.1065250635</v>
      </c>
      <c r="F14" s="504">
        <f t="shared" si="1"/>
        <v>-1.2E-2</v>
      </c>
      <c r="G14" s="428"/>
      <c r="H14" s="503"/>
      <c r="I14" s="243" t="s">
        <v>445</v>
      </c>
    </row>
  </sheetData>
  <mergeCells count="2">
    <mergeCell ref="C4:D4"/>
    <mergeCell ref="E4:F4"/>
  </mergeCells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Normal="100" workbookViewId="0">
      <pane xSplit="2" ySplit="7" topLeftCell="C8" activePane="bottomRight" state="frozen"/>
      <selection activeCell="F20" sqref="F20"/>
      <selection pane="topRight" activeCell="F20" sqref="F20"/>
      <selection pane="bottomLeft" activeCell="F20" sqref="F20"/>
      <selection pane="bottomRight" activeCell="F8" sqref="F8"/>
    </sheetView>
  </sheetViews>
  <sheetFormatPr defaultColWidth="9.28515625" defaultRowHeight="12.75" x14ac:dyDescent="0.2"/>
  <cols>
    <col min="1" max="1" width="74.42578125" style="502" bestFit="1" customWidth="1"/>
    <col min="2" max="2" width="13.7109375" style="502" bestFit="1" customWidth="1"/>
    <col min="3" max="3" width="30" style="502" customWidth="1"/>
    <col min="4" max="4" width="26.7109375" style="502" customWidth="1"/>
    <col min="5" max="5" width="21.7109375" style="502" customWidth="1"/>
    <col min="6" max="6" width="16.28515625" style="502" customWidth="1"/>
    <col min="7" max="7" width="25.5703125" style="502" customWidth="1"/>
    <col min="8" max="8" width="2.7109375" style="502" customWidth="1"/>
    <col min="9" max="9" width="102.5703125" style="502" bestFit="1" customWidth="1"/>
    <col min="10" max="16384" width="9.28515625" style="502"/>
  </cols>
  <sheetData>
    <row r="1" spans="1:9" ht="20.25" x14ac:dyDescent="0.3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144</v>
      </c>
    </row>
    <row r="2" spans="1:9" ht="18.75" thickBot="1" x14ac:dyDescent="0.3">
      <c r="A2" s="55" t="s">
        <v>483</v>
      </c>
      <c r="B2" s="55"/>
      <c r="C2" s="55"/>
      <c r="D2" s="55"/>
      <c r="E2" s="55"/>
      <c r="F2" s="54"/>
      <c r="G2" s="54" t="str">
        <f>'Input-FX Rates'!$H$2</f>
        <v>7851 PL eMotor Controls</v>
      </c>
      <c r="H2" s="522"/>
      <c r="I2" s="95" t="s">
        <v>142</v>
      </c>
    </row>
    <row r="3" spans="1:9" ht="15.75" x14ac:dyDescent="0.2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 x14ac:dyDescent="0.25">
      <c r="A4" s="304" t="str">
        <f>"in '000 "&amp;"EUR"</f>
        <v>in '000 EUR</v>
      </c>
      <c r="B4" s="188"/>
      <c r="C4" s="1035" t="s">
        <v>458</v>
      </c>
      <c r="D4" s="1036"/>
      <c r="E4" s="1035" t="s">
        <v>457</v>
      </c>
      <c r="F4" s="1033"/>
      <c r="G4" s="304" t="s">
        <v>456</v>
      </c>
      <c r="H4" s="503"/>
      <c r="I4" s="243"/>
    </row>
    <row r="5" spans="1:9" ht="15.75" x14ac:dyDescent="0.25">
      <c r="A5" s="187"/>
      <c r="B5" s="188"/>
      <c r="C5" s="520" t="s">
        <v>1068</v>
      </c>
      <c r="D5" s="188" t="s">
        <v>1067</v>
      </c>
      <c r="E5" s="187" t="s">
        <v>455</v>
      </c>
      <c r="F5" s="187" t="s">
        <v>330</v>
      </c>
      <c r="G5" s="304"/>
      <c r="H5" s="503"/>
      <c r="I5" s="243" t="s">
        <v>454</v>
      </c>
    </row>
    <row r="6" spans="1:9" ht="15.75" x14ac:dyDescent="0.25">
      <c r="A6" s="187"/>
      <c r="B6" s="188"/>
      <c r="C6" s="187"/>
      <c r="D6" s="188"/>
      <c r="E6" s="187"/>
      <c r="F6" s="187"/>
      <c r="G6" s="304"/>
      <c r="H6" s="503"/>
      <c r="I6" s="242"/>
    </row>
    <row r="7" spans="1:9" ht="15.75" x14ac:dyDescent="0.25">
      <c r="A7" s="519"/>
      <c r="B7" s="518"/>
      <c r="C7" s="516"/>
      <c r="D7" s="517"/>
      <c r="E7" s="516"/>
      <c r="F7" s="534"/>
      <c r="G7" s="533"/>
      <c r="H7" s="503"/>
      <c r="I7" s="243" t="s">
        <v>1386</v>
      </c>
    </row>
    <row r="8" spans="1:9" ht="15.75" x14ac:dyDescent="0.25">
      <c r="A8" s="505" t="s">
        <v>453</v>
      </c>
      <c r="B8" s="513">
        <f>+'10. Purchasing (LC)'!B8</f>
        <v>44805</v>
      </c>
      <c r="C8" s="78">
        <f>+'10. Purchasing (LC)'!C8/'Input-FX Rates'!$H$16</f>
        <v>-106337.07368699991</v>
      </c>
      <c r="D8" s="80">
        <f>+'10. Purchasing (LC)'!D8/'Input-FX Rates'!$H$16</f>
        <v>-105016.81568249986</v>
      </c>
      <c r="E8" s="78">
        <f t="shared" ref="E8" si="0">D8-C8</f>
        <v>1320.2580045000504</v>
      </c>
      <c r="F8" s="429">
        <f t="shared" ref="F8" si="1">ROUND(IF(C8=0,0,E8/C8),3)</f>
        <v>-1.2E-2</v>
      </c>
      <c r="G8" s="526" t="str">
        <f>IF('10. Purchasing (LC)'!G8="", "", '10. Purchasing (LC)'!G8)</f>
        <v/>
      </c>
      <c r="H8" s="503"/>
      <c r="I8" s="243" t="s">
        <v>1387</v>
      </c>
    </row>
    <row r="9" spans="1:9" ht="15.75" x14ac:dyDescent="0.25">
      <c r="A9" s="532" t="str">
        <f>IF('10. Purchasing (LC)'!A9="", "", '10. Purchasing (LC)'!A9)</f>
        <v>Specifiy deviation to Modias 1</v>
      </c>
      <c r="B9" s="531"/>
      <c r="C9" s="530">
        <f>+'10. Purchasing (LC)'!C9/'Input-FX Rates'!$H$16</f>
        <v>0</v>
      </c>
      <c r="D9" s="529">
        <f>+'10. Purchasing (LC)'!D9/'Input-FX Rates'!$H$16</f>
        <v>0</v>
      </c>
      <c r="E9" s="508">
        <f t="shared" ref="E9:E13" si="2">D9-C9</f>
        <v>0</v>
      </c>
      <c r="F9" s="528">
        <f t="shared" ref="F9:F14" si="3">ROUND(IF(C9=0,0,E9/C9),3)</f>
        <v>0</v>
      </c>
      <c r="G9" s="527" t="str">
        <f>IF('10. Purchasing (LC)'!G9="", "", '10. Purchasing (LC)'!G9)</f>
        <v/>
      </c>
      <c r="H9" s="503"/>
      <c r="I9" s="243" t="s">
        <v>448</v>
      </c>
    </row>
    <row r="10" spans="1:9" ht="15.75" x14ac:dyDescent="0.25">
      <c r="A10" s="532" t="str">
        <f>IF('10. Purchasing (LC)'!A10="", "", '10. Purchasing (LC)'!A10)</f>
        <v>Specifiy deviation to Modias 2</v>
      </c>
      <c r="B10" s="531"/>
      <c r="C10" s="530">
        <f>+'10. Purchasing (LC)'!C10/'Input-FX Rates'!$H$16</f>
        <v>0</v>
      </c>
      <c r="D10" s="529">
        <f>+'10. Purchasing (LC)'!D10/'Input-FX Rates'!$H$16</f>
        <v>0</v>
      </c>
      <c r="E10" s="508">
        <f t="shared" si="2"/>
        <v>0</v>
      </c>
      <c r="F10" s="528">
        <f t="shared" si="3"/>
        <v>0</v>
      </c>
      <c r="G10" s="527" t="str">
        <f>IF('10. Purchasing (LC)'!G10="", "", '10. Purchasing (LC)'!G10)</f>
        <v/>
      </c>
      <c r="H10" s="503"/>
      <c r="I10" s="243" t="s">
        <v>448</v>
      </c>
    </row>
    <row r="11" spans="1:9" ht="15.75" x14ac:dyDescent="0.25">
      <c r="A11" s="532" t="str">
        <f>IF('10. Purchasing (LC)'!A11="", "", '10. Purchasing (LC)'!A11)</f>
        <v>Specifiy deviation to Modias 3</v>
      </c>
      <c r="B11" s="531"/>
      <c r="C11" s="530">
        <f>+'10. Purchasing (LC)'!C11/'Input-FX Rates'!$H$16</f>
        <v>0</v>
      </c>
      <c r="D11" s="529">
        <f>+'10. Purchasing (LC)'!D11/'Input-FX Rates'!$H$16</f>
        <v>0</v>
      </c>
      <c r="E11" s="508">
        <f t="shared" si="2"/>
        <v>0</v>
      </c>
      <c r="F11" s="528">
        <f t="shared" si="3"/>
        <v>0</v>
      </c>
      <c r="G11" s="527" t="str">
        <f>IF('10. Purchasing (LC)'!G11="", "", '10. Purchasing (LC)'!G11)</f>
        <v/>
      </c>
      <c r="H11" s="503"/>
      <c r="I11" s="243" t="s">
        <v>448</v>
      </c>
    </row>
    <row r="12" spans="1:9" ht="15.75" x14ac:dyDescent="0.25">
      <c r="A12" s="532" t="str">
        <f>IF('10. Purchasing (LC)'!A12="", "", '10. Purchasing (LC)'!A12)</f>
        <v>Specifiy deviation to Modias 4</v>
      </c>
      <c r="B12" s="531"/>
      <c r="C12" s="530">
        <f>+'10. Purchasing (LC)'!C12/'Input-FX Rates'!$H$16</f>
        <v>0</v>
      </c>
      <c r="D12" s="529">
        <f>+'10. Purchasing (LC)'!D12/'Input-FX Rates'!$H$16</f>
        <v>0</v>
      </c>
      <c r="E12" s="508">
        <f t="shared" si="2"/>
        <v>0</v>
      </c>
      <c r="F12" s="528">
        <f t="shared" si="3"/>
        <v>0</v>
      </c>
      <c r="G12" s="527" t="str">
        <f>IF('10. Purchasing (LC)'!G12="", "", '10. Purchasing (LC)'!G12)</f>
        <v/>
      </c>
      <c r="H12" s="503"/>
      <c r="I12" s="243" t="s">
        <v>448</v>
      </c>
    </row>
    <row r="13" spans="1:9" ht="15.75" x14ac:dyDescent="0.25">
      <c r="A13" s="532" t="str">
        <f>IF('10. Purchasing (LC)'!A13="", "", '10. Purchasing (LC)'!A13)</f>
        <v>Specifiy deviation to Modias 5</v>
      </c>
      <c r="B13" s="531"/>
      <c r="C13" s="530">
        <f>+'10. Purchasing (LC)'!C13/'Input-FX Rates'!$H$16</f>
        <v>0</v>
      </c>
      <c r="D13" s="529">
        <f>+'10. Purchasing (LC)'!D13/'Input-FX Rates'!$H$16</f>
        <v>0</v>
      </c>
      <c r="E13" s="508">
        <f t="shared" si="2"/>
        <v>0</v>
      </c>
      <c r="F13" s="528">
        <f t="shared" si="3"/>
        <v>0</v>
      </c>
      <c r="G13" s="527" t="str">
        <f>IF('10. Purchasing (LC)'!G13="", "", '10. Purchasing (LC)'!G13)</f>
        <v/>
      </c>
      <c r="H13" s="503"/>
      <c r="I13" s="243"/>
    </row>
    <row r="14" spans="1:9" ht="15.75" x14ac:dyDescent="0.25">
      <c r="A14" s="505" t="s">
        <v>446</v>
      </c>
      <c r="B14" s="80"/>
      <c r="C14" s="78">
        <f>+'10. Purchasing (LC)'!C14/'Input-FX Rates'!$H$16</f>
        <v>-106337.07368699991</v>
      </c>
      <c r="D14" s="80">
        <f>+'10. Purchasing (LC)'!D14/'Input-FX Rates'!$H$16</f>
        <v>-105016.81568249986</v>
      </c>
      <c r="E14" s="78">
        <f>SUM(E8:E13)</f>
        <v>1320.2580045000504</v>
      </c>
      <c r="F14" s="429">
        <f t="shared" si="3"/>
        <v>-1.2E-2</v>
      </c>
      <c r="G14" s="526" t="str">
        <f>IF('10. Purchasing (LC)'!G14="", "", '10. Purchasing (LC)'!G14)</f>
        <v/>
      </c>
      <c r="H14" s="503"/>
      <c r="I14" s="243" t="s">
        <v>445</v>
      </c>
    </row>
  </sheetData>
  <mergeCells count="2">
    <mergeCell ref="C4:D4"/>
    <mergeCell ref="E4:F4"/>
  </mergeCells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zoomScaleNormal="100" workbookViewId="0">
      <pane xSplit="1" ySplit="5" topLeftCell="B6" activePane="bottomRight" state="frozen"/>
      <selection activeCell="F20" sqref="F20"/>
      <selection pane="topRight" activeCell="F20" sqref="F20"/>
      <selection pane="bottomLeft" activeCell="F20" sqref="F20"/>
      <selection pane="bottomRight" activeCell="B18" sqref="B18"/>
    </sheetView>
  </sheetViews>
  <sheetFormatPr defaultColWidth="9.28515625" defaultRowHeight="12.75" customHeight="1" x14ac:dyDescent="0.2"/>
  <cols>
    <col min="1" max="1" width="53.7109375" style="221" bestFit="1" customWidth="1"/>
    <col min="2" max="4" width="36.7109375" style="221" customWidth="1"/>
    <col min="5" max="5" width="9.28515625" style="221"/>
    <col min="6" max="6" width="88.7109375" style="221" bestFit="1" customWidth="1"/>
    <col min="7" max="16384" width="9.28515625" style="451"/>
  </cols>
  <sheetData>
    <row r="1" spans="1:6" ht="19.899999999999999" customHeight="1" x14ac:dyDescent="0.25">
      <c r="A1" s="60" t="str">
        <f>+'0. Instructions'!A1</f>
        <v>Budget 2024</v>
      </c>
      <c r="B1" s="60"/>
      <c r="C1" s="747"/>
      <c r="D1" s="57" t="str">
        <f>'Input-FX Rates'!$H$1</f>
        <v>Plant ICH Icheon (242)</v>
      </c>
      <c r="F1" s="397" t="s">
        <v>144</v>
      </c>
    </row>
    <row r="2" spans="1:6" ht="19.899999999999999" customHeight="1" thickBot="1" x14ac:dyDescent="0.3">
      <c r="A2" s="55" t="s">
        <v>481</v>
      </c>
      <c r="B2" s="55"/>
      <c r="C2" s="55"/>
      <c r="D2" s="54" t="str">
        <f>'Input-FX Rates'!$H$2</f>
        <v>7851 PL eMotor Controls</v>
      </c>
      <c r="F2" s="95" t="s">
        <v>142</v>
      </c>
    </row>
    <row r="4" spans="1:6" ht="24" customHeight="1" x14ac:dyDescent="0.2">
      <c r="A4" s="655" t="str">
        <f>"in '000 "&amp;'Input-FX Rates'!$B$8</f>
        <v>in '000 KRW</v>
      </c>
      <c r="B4" s="1033" t="s">
        <v>1040</v>
      </c>
      <c r="C4" s="1033"/>
      <c r="D4" s="1034"/>
      <c r="F4" s="267" t="s">
        <v>1385</v>
      </c>
    </row>
    <row r="5" spans="1:6" ht="24" customHeight="1" x14ac:dyDescent="0.2">
      <c r="A5" s="655"/>
      <c r="B5" s="187" t="s">
        <v>167</v>
      </c>
      <c r="C5" s="187" t="s">
        <v>156</v>
      </c>
      <c r="D5" s="655" t="s">
        <v>480</v>
      </c>
    </row>
    <row r="6" spans="1:6" ht="19.149999999999999" customHeight="1" x14ac:dyDescent="0.2">
      <c r="A6" s="699" t="s">
        <v>1553</v>
      </c>
      <c r="B6" s="700">
        <v>0</v>
      </c>
      <c r="C6" s="700">
        <v>0</v>
      </c>
      <c r="D6" s="701">
        <v>0</v>
      </c>
      <c r="F6" s="267" t="s">
        <v>970</v>
      </c>
    </row>
    <row r="7" spans="1:6" ht="19.149999999999999" customHeight="1" x14ac:dyDescent="0.2">
      <c r="A7" s="699" t="s">
        <v>478</v>
      </c>
      <c r="B7" s="700"/>
      <c r="C7" s="700"/>
      <c r="D7" s="701"/>
    </row>
    <row r="8" spans="1:6" ht="19.149999999999999" customHeight="1" x14ac:dyDescent="0.2">
      <c r="A8" s="699" t="s">
        <v>477</v>
      </c>
      <c r="B8" s="700"/>
      <c r="C8" s="700"/>
      <c r="D8" s="701"/>
    </row>
    <row r="9" spans="1:6" ht="19.149999999999999" customHeight="1" x14ac:dyDescent="0.2">
      <c r="A9" s="699" t="s">
        <v>476</v>
      </c>
      <c r="B9" s="700"/>
      <c r="C9" s="700"/>
      <c r="D9" s="701"/>
    </row>
    <row r="10" spans="1:6" ht="19.149999999999999" customHeight="1" x14ac:dyDescent="0.2">
      <c r="A10" s="699" t="s">
        <v>475</v>
      </c>
      <c r="B10" s="700"/>
      <c r="C10" s="700"/>
      <c r="D10" s="701"/>
    </row>
    <row r="11" spans="1:6" ht="19.149999999999999" customHeight="1" x14ac:dyDescent="0.2">
      <c r="A11" s="699" t="s">
        <v>474</v>
      </c>
      <c r="B11" s="700"/>
      <c r="C11" s="700"/>
      <c r="D11" s="701"/>
    </row>
    <row r="12" spans="1:6" ht="19.149999999999999" customHeight="1" x14ac:dyDescent="0.2">
      <c r="A12" s="699" t="s">
        <v>473</v>
      </c>
      <c r="B12" s="700"/>
      <c r="C12" s="700"/>
      <c r="D12" s="701"/>
    </row>
    <row r="13" spans="1:6" ht="19.149999999999999" customHeight="1" x14ac:dyDescent="0.2">
      <c r="A13" s="699" t="s">
        <v>472</v>
      </c>
      <c r="B13" s="700"/>
      <c r="C13" s="700"/>
      <c r="D13" s="701"/>
    </row>
    <row r="14" spans="1:6" ht="19.149999999999999" customHeight="1" x14ac:dyDescent="0.2">
      <c r="A14" s="699" t="s">
        <v>471</v>
      </c>
      <c r="B14" s="700"/>
      <c r="C14" s="700"/>
      <c r="D14" s="701"/>
    </row>
    <row r="15" spans="1:6" ht="22.9" customHeight="1" x14ac:dyDescent="0.2">
      <c r="A15" s="452" t="s">
        <v>470</v>
      </c>
      <c r="B15" s="78">
        <f>SUM(B6:B14)</f>
        <v>0</v>
      </c>
      <c r="C15" s="78">
        <f>SUM(C6:C14)</f>
        <v>0</v>
      </c>
      <c r="D15" s="265">
        <f>SUM(D6:D14)</f>
        <v>0</v>
      </c>
    </row>
    <row r="16" spans="1:6" ht="19.149999999999999" customHeight="1" x14ac:dyDescent="0.2">
      <c r="A16" s="699" t="s">
        <v>469</v>
      </c>
      <c r="B16" s="700"/>
      <c r="C16" s="700"/>
      <c r="D16" s="701"/>
    </row>
    <row r="17" spans="1:4" ht="19.149999999999999" customHeight="1" x14ac:dyDescent="0.2">
      <c r="A17" s="699" t="s">
        <v>468</v>
      </c>
      <c r="B17" s="700"/>
      <c r="C17" s="700"/>
      <c r="D17" s="701"/>
    </row>
    <row r="18" spans="1:4" ht="19.149999999999999" customHeight="1" x14ac:dyDescent="0.2">
      <c r="A18" s="699" t="s">
        <v>467</v>
      </c>
      <c r="B18" s="700"/>
      <c r="C18" s="700"/>
      <c r="D18" s="701"/>
    </row>
    <row r="19" spans="1:4" ht="19.149999999999999" customHeight="1" x14ac:dyDescent="0.2">
      <c r="A19" s="699" t="s">
        <v>466</v>
      </c>
      <c r="B19" s="700"/>
      <c r="C19" s="700"/>
      <c r="D19" s="701"/>
    </row>
    <row r="20" spans="1:4" ht="19.149999999999999" customHeight="1" x14ac:dyDescent="0.2">
      <c r="A20" s="699" t="s">
        <v>465</v>
      </c>
      <c r="B20" s="700"/>
      <c r="C20" s="700"/>
      <c r="D20" s="701"/>
    </row>
    <row r="21" spans="1:4" ht="19.149999999999999" customHeight="1" x14ac:dyDescent="0.2">
      <c r="A21" s="699" t="s">
        <v>464</v>
      </c>
      <c r="B21" s="700"/>
      <c r="C21" s="700"/>
      <c r="D21" s="701"/>
    </row>
    <row r="22" spans="1:4" ht="19.149999999999999" customHeight="1" x14ac:dyDescent="0.2">
      <c r="A22" s="699" t="s">
        <v>463</v>
      </c>
      <c r="B22" s="700"/>
      <c r="C22" s="700"/>
      <c r="D22" s="701"/>
    </row>
    <row r="23" spans="1:4" ht="19.149999999999999" customHeight="1" x14ac:dyDescent="0.2">
      <c r="A23" s="699" t="s">
        <v>462</v>
      </c>
      <c r="B23" s="700"/>
      <c r="C23" s="700"/>
      <c r="D23" s="701"/>
    </row>
    <row r="24" spans="1:4" ht="19.149999999999999" customHeight="1" x14ac:dyDescent="0.2">
      <c r="A24" s="699" t="s">
        <v>461</v>
      </c>
      <c r="B24" s="700"/>
      <c r="C24" s="700"/>
      <c r="D24" s="701"/>
    </row>
    <row r="25" spans="1:4" ht="22.9" customHeight="1" x14ac:dyDescent="0.2">
      <c r="A25" s="452" t="s">
        <v>460</v>
      </c>
      <c r="B25" s="78">
        <f>SUM(B16:B24)</f>
        <v>0</v>
      </c>
      <c r="C25" s="78">
        <f>SUM(C16:C24)</f>
        <v>0</v>
      </c>
      <c r="D25" s="265">
        <f>SUM(D16:D24)</f>
        <v>0</v>
      </c>
    </row>
    <row r="26" spans="1:4" ht="26.65" customHeight="1" x14ac:dyDescent="0.2">
      <c r="A26" s="452" t="s">
        <v>459</v>
      </c>
      <c r="B26" s="78">
        <f>+B25+B15</f>
        <v>0</v>
      </c>
      <c r="C26" s="78">
        <f>+C25+C15</f>
        <v>0</v>
      </c>
      <c r="D26" s="265">
        <f>+D25+D15</f>
        <v>0</v>
      </c>
    </row>
  </sheetData>
  <mergeCells count="1">
    <mergeCell ref="B4:D4"/>
  </mergeCells>
  <phoneticPr fontId="54" type="noConversion"/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Normal="100" workbookViewId="0">
      <pane xSplit="1" ySplit="5" topLeftCell="B6" activePane="bottomRight" state="frozen"/>
      <selection activeCell="F20" sqref="F20"/>
      <selection pane="topRight" activeCell="F20" sqref="F20"/>
      <selection pane="bottomLeft" activeCell="F20" sqref="F20"/>
      <selection pane="bottomRight" activeCell="A16" sqref="A16"/>
    </sheetView>
  </sheetViews>
  <sheetFormatPr defaultColWidth="16.7109375" defaultRowHeight="12.75" customHeight="1" x14ac:dyDescent="0.2"/>
  <cols>
    <col min="1" max="1" width="53.7109375" style="221" bestFit="1" customWidth="1"/>
    <col min="2" max="4" width="36.7109375" style="221" customWidth="1"/>
    <col min="5" max="5" width="9.28515625" style="221" customWidth="1"/>
    <col min="6" max="6" width="76.28515625" style="221" bestFit="1" customWidth="1"/>
    <col min="7" max="16384" width="16.7109375" style="451"/>
  </cols>
  <sheetData>
    <row r="1" spans="1:6" ht="19.899999999999999" customHeight="1" x14ac:dyDescent="0.25">
      <c r="A1" s="60" t="str">
        <f>+'0. Instructions'!A1</f>
        <v>Budget 2024</v>
      </c>
      <c r="B1" s="60"/>
      <c r="C1" s="60"/>
      <c r="D1" s="57" t="str">
        <f>'Input-FX Rates'!$H$1</f>
        <v>Plant ICH Icheon (242)</v>
      </c>
      <c r="F1" s="397" t="s">
        <v>144</v>
      </c>
    </row>
    <row r="2" spans="1:6" ht="19.899999999999999" customHeight="1" thickBot="1" x14ac:dyDescent="0.3">
      <c r="A2" s="55" t="s">
        <v>481</v>
      </c>
      <c r="B2" s="55"/>
      <c r="C2" s="55"/>
      <c r="D2" s="54" t="str">
        <f>'Input-FX Rates'!$H$2</f>
        <v>7851 PL eMotor Controls</v>
      </c>
      <c r="F2" s="95" t="s">
        <v>142</v>
      </c>
    </row>
    <row r="4" spans="1:6" ht="24" customHeight="1" x14ac:dyDescent="0.2">
      <c r="A4" s="188" t="str">
        <f>"in '000 "&amp;"EUR"</f>
        <v>in '000 EUR</v>
      </c>
      <c r="B4" s="1035" t="s">
        <v>1040</v>
      </c>
      <c r="C4" s="1033"/>
      <c r="D4" s="1036"/>
      <c r="F4" s="267" t="s">
        <v>1385</v>
      </c>
    </row>
    <row r="5" spans="1:6" ht="24" customHeight="1" x14ac:dyDescent="0.2">
      <c r="A5" s="188"/>
      <c r="B5" s="656" t="s">
        <v>167</v>
      </c>
      <c r="C5" s="187" t="s">
        <v>156</v>
      </c>
      <c r="D5" s="188" t="s">
        <v>480</v>
      </c>
    </row>
    <row r="6" spans="1:6" ht="19.149999999999999" customHeight="1" x14ac:dyDescent="0.2">
      <c r="A6" s="748" t="str">
        <f>'11. R&amp;O (LC) '!A6</f>
        <v>Additional MOU Overstock Risk (value not yet defined)</v>
      </c>
      <c r="B6" s="749">
        <f>IFERROR('11. R&amp;O (LC) '!B6/'Input-FX Rates'!$H$16,0)</f>
        <v>0</v>
      </c>
      <c r="C6" s="750">
        <f>IFERROR('11. R&amp;O (LC) '!C6/'Input-FX Rates'!$H$16,0)</f>
        <v>0</v>
      </c>
      <c r="D6" s="751">
        <f>IFERROR('11. R&amp;O (LC) '!D6/'Input-FX Rates'!$H$16,0)</f>
        <v>0</v>
      </c>
      <c r="F6" s="267" t="s">
        <v>970</v>
      </c>
    </row>
    <row r="7" spans="1:6" ht="19.149999999999999" customHeight="1" x14ac:dyDescent="0.2">
      <c r="A7" s="748" t="str">
        <f>'11. R&amp;O (LC) '!A7</f>
        <v>Risk 2</v>
      </c>
      <c r="B7" s="749">
        <f>IFERROR('11. R&amp;O (LC) '!B7/'Input-FX Rates'!$H$16,0)</f>
        <v>0</v>
      </c>
      <c r="C7" s="750">
        <f>IFERROR('11. R&amp;O (LC) '!C7/'Input-FX Rates'!$H$16,0)</f>
        <v>0</v>
      </c>
      <c r="D7" s="751">
        <f>IFERROR('11. R&amp;O (LC) '!D7/'Input-FX Rates'!$H$16,0)</f>
        <v>0</v>
      </c>
    </row>
    <row r="8" spans="1:6" ht="19.149999999999999" customHeight="1" x14ac:dyDescent="0.2">
      <c r="A8" s="748" t="str">
        <f>'11. R&amp;O (LC) '!A8</f>
        <v>Risk 3</v>
      </c>
      <c r="B8" s="749">
        <f>IFERROR('11. R&amp;O (LC) '!B8/'Input-FX Rates'!$H$16,0)</f>
        <v>0</v>
      </c>
      <c r="C8" s="750">
        <f>IFERROR('11. R&amp;O (LC) '!C8/'Input-FX Rates'!$H$16,0)</f>
        <v>0</v>
      </c>
      <c r="D8" s="751">
        <f>IFERROR('11. R&amp;O (LC) '!D8/'Input-FX Rates'!$H$16,0)</f>
        <v>0</v>
      </c>
    </row>
    <row r="9" spans="1:6" ht="19.149999999999999" customHeight="1" x14ac:dyDescent="0.2">
      <c r="A9" s="748" t="str">
        <f>'11. R&amp;O (LC) '!A9</f>
        <v>Risk 4</v>
      </c>
      <c r="B9" s="749">
        <f>IFERROR('11. R&amp;O (LC) '!B9/'Input-FX Rates'!$H$16,0)</f>
        <v>0</v>
      </c>
      <c r="C9" s="750">
        <f>IFERROR('11. R&amp;O (LC) '!C9/'Input-FX Rates'!$H$16,0)</f>
        <v>0</v>
      </c>
      <c r="D9" s="751">
        <f>IFERROR('11. R&amp;O (LC) '!D9/'Input-FX Rates'!$H$16,0)</f>
        <v>0</v>
      </c>
    </row>
    <row r="10" spans="1:6" ht="19.149999999999999" customHeight="1" x14ac:dyDescent="0.2">
      <c r="A10" s="748" t="str">
        <f>'11. R&amp;O (LC) '!A10</f>
        <v>Risk 5</v>
      </c>
      <c r="B10" s="749">
        <f>IFERROR('11. R&amp;O (LC) '!B10/'Input-FX Rates'!$H$16,0)</f>
        <v>0</v>
      </c>
      <c r="C10" s="750">
        <f>IFERROR('11. R&amp;O (LC) '!C10/'Input-FX Rates'!$H$16,0)</f>
        <v>0</v>
      </c>
      <c r="D10" s="751">
        <f>IFERROR('11. R&amp;O (LC) '!D10/'Input-FX Rates'!$H$16,0)</f>
        <v>0</v>
      </c>
    </row>
    <row r="11" spans="1:6" ht="19.149999999999999" customHeight="1" x14ac:dyDescent="0.2">
      <c r="A11" s="748" t="str">
        <f>'11. R&amp;O (LC) '!A11</f>
        <v>Risk 6</v>
      </c>
      <c r="B11" s="749">
        <f>IFERROR('11. R&amp;O (LC) '!B11/'Input-FX Rates'!$H$16,0)</f>
        <v>0</v>
      </c>
      <c r="C11" s="750">
        <f>IFERROR('11. R&amp;O (LC) '!C11/'Input-FX Rates'!$H$16,0)</f>
        <v>0</v>
      </c>
      <c r="D11" s="751">
        <f>IFERROR('11. R&amp;O (LC) '!D11/'Input-FX Rates'!$H$16,0)</f>
        <v>0</v>
      </c>
    </row>
    <row r="12" spans="1:6" ht="19.149999999999999" customHeight="1" x14ac:dyDescent="0.2">
      <c r="A12" s="748" t="str">
        <f>'11. R&amp;O (LC) '!A12</f>
        <v>Risk 7</v>
      </c>
      <c r="B12" s="749">
        <f>IFERROR('11. R&amp;O (LC) '!B12/'Input-FX Rates'!$H$16,0)</f>
        <v>0</v>
      </c>
      <c r="C12" s="750">
        <f>IFERROR('11. R&amp;O (LC) '!C12/'Input-FX Rates'!$H$16,0)</f>
        <v>0</v>
      </c>
      <c r="D12" s="751">
        <f>IFERROR('11. R&amp;O (LC) '!D12/'Input-FX Rates'!$H$16,0)</f>
        <v>0</v>
      </c>
    </row>
    <row r="13" spans="1:6" ht="19.149999999999999" customHeight="1" x14ac:dyDescent="0.2">
      <c r="A13" s="748" t="str">
        <f>'11. R&amp;O (LC) '!A13</f>
        <v>Risk 8</v>
      </c>
      <c r="B13" s="749">
        <f>IFERROR('11. R&amp;O (LC) '!B13/'Input-FX Rates'!$H$16,0)</f>
        <v>0</v>
      </c>
      <c r="C13" s="750">
        <f>IFERROR('11. R&amp;O (LC) '!C13/'Input-FX Rates'!$H$16,0)</f>
        <v>0</v>
      </c>
      <c r="D13" s="751">
        <f>IFERROR('11. R&amp;O (LC) '!D13/'Input-FX Rates'!$H$16,0)</f>
        <v>0</v>
      </c>
    </row>
    <row r="14" spans="1:6" ht="19.149999999999999" customHeight="1" x14ac:dyDescent="0.2">
      <c r="A14" s="748" t="str">
        <f>'11. R&amp;O (LC) '!A14</f>
        <v>Risk 9</v>
      </c>
      <c r="B14" s="749">
        <f>IFERROR('11. R&amp;O (LC) '!B14/'Input-FX Rates'!$H$16,0)</f>
        <v>0</v>
      </c>
      <c r="C14" s="750">
        <f>IFERROR('11. R&amp;O (LC) '!C14/'Input-FX Rates'!$H$16,0)</f>
        <v>0</v>
      </c>
      <c r="D14" s="751">
        <f>IFERROR('11. R&amp;O (LC) '!D14/'Input-FX Rates'!$H$16,0)</f>
        <v>0</v>
      </c>
    </row>
    <row r="15" spans="1:6" ht="22.9" customHeight="1" x14ac:dyDescent="0.2">
      <c r="A15" s="215" t="str">
        <f>'11. R&amp;O (LC) '!A15</f>
        <v>Total Risks</v>
      </c>
      <c r="B15" s="266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 x14ac:dyDescent="0.2">
      <c r="A16" s="748" t="str">
        <f>'11. R&amp;O (LC) '!A16</f>
        <v>Opportunity 1</v>
      </c>
      <c r="B16" s="749">
        <f>IFERROR('11. R&amp;O (LC) '!B16/'Input-FX Rates'!$H$16,0)</f>
        <v>0</v>
      </c>
      <c r="C16" s="750">
        <f>IFERROR('11. R&amp;O (LC) '!C16/'Input-FX Rates'!$H$16,0)</f>
        <v>0</v>
      </c>
      <c r="D16" s="751">
        <f>IFERROR('11. R&amp;O (LC) '!D16/'Input-FX Rates'!$H$16,0)</f>
        <v>0</v>
      </c>
    </row>
    <row r="17" spans="1:4" ht="19.149999999999999" customHeight="1" x14ac:dyDescent="0.2">
      <c r="A17" s="748" t="str">
        <f>'11. R&amp;O (LC) '!A17</f>
        <v>Opportunity 2</v>
      </c>
      <c r="B17" s="749">
        <f>IFERROR('11. R&amp;O (LC) '!B17/'Input-FX Rates'!$H$16,0)</f>
        <v>0</v>
      </c>
      <c r="C17" s="750">
        <f>IFERROR('11. R&amp;O (LC) '!C17/'Input-FX Rates'!$H$16,0)</f>
        <v>0</v>
      </c>
      <c r="D17" s="751">
        <f>IFERROR('11. R&amp;O (LC) '!D17/'Input-FX Rates'!$H$16,0)</f>
        <v>0</v>
      </c>
    </row>
    <row r="18" spans="1:4" ht="19.149999999999999" customHeight="1" x14ac:dyDescent="0.2">
      <c r="A18" s="748" t="str">
        <f>'11. R&amp;O (LC) '!A18</f>
        <v>Opportunity 3</v>
      </c>
      <c r="B18" s="749">
        <f>IFERROR('11. R&amp;O (LC) '!B18/'Input-FX Rates'!$H$16,0)</f>
        <v>0</v>
      </c>
      <c r="C18" s="750">
        <f>IFERROR('11. R&amp;O (LC) '!C18/'Input-FX Rates'!$H$16,0)</f>
        <v>0</v>
      </c>
      <c r="D18" s="751">
        <f>IFERROR('11. R&amp;O (LC) '!D18/'Input-FX Rates'!$H$16,0)</f>
        <v>0</v>
      </c>
    </row>
    <row r="19" spans="1:4" ht="19.149999999999999" customHeight="1" x14ac:dyDescent="0.2">
      <c r="A19" s="748" t="str">
        <f>'11. R&amp;O (LC) '!A19</f>
        <v>Opportunity 4</v>
      </c>
      <c r="B19" s="749">
        <f>IFERROR('11. R&amp;O (LC) '!B19/'Input-FX Rates'!$H$16,0)</f>
        <v>0</v>
      </c>
      <c r="C19" s="750">
        <f>IFERROR('11. R&amp;O (LC) '!C19/'Input-FX Rates'!$H$16,0)</f>
        <v>0</v>
      </c>
      <c r="D19" s="751">
        <f>IFERROR('11. R&amp;O (LC) '!D19/'Input-FX Rates'!$H$16,0)</f>
        <v>0</v>
      </c>
    </row>
    <row r="20" spans="1:4" ht="19.149999999999999" customHeight="1" x14ac:dyDescent="0.2">
      <c r="A20" s="748" t="str">
        <f>'11. R&amp;O (LC) '!A20</f>
        <v>Opportunity 5</v>
      </c>
      <c r="B20" s="749">
        <f>IFERROR('11. R&amp;O (LC) '!B20/'Input-FX Rates'!$H$16,0)</f>
        <v>0</v>
      </c>
      <c r="C20" s="750">
        <f>IFERROR('11. R&amp;O (LC) '!C20/'Input-FX Rates'!$H$16,0)</f>
        <v>0</v>
      </c>
      <c r="D20" s="751">
        <f>IFERROR('11. R&amp;O (LC) '!D20/'Input-FX Rates'!$H$16,0)</f>
        <v>0</v>
      </c>
    </row>
    <row r="21" spans="1:4" ht="19.149999999999999" customHeight="1" x14ac:dyDescent="0.2">
      <c r="A21" s="748" t="str">
        <f>'11. R&amp;O (LC) '!A21</f>
        <v>Opportunity 6</v>
      </c>
      <c r="B21" s="749">
        <f>IFERROR('11. R&amp;O (LC) '!B21/'Input-FX Rates'!$H$16,0)</f>
        <v>0</v>
      </c>
      <c r="C21" s="750">
        <f>IFERROR('11. R&amp;O (LC) '!C21/'Input-FX Rates'!$H$16,0)</f>
        <v>0</v>
      </c>
      <c r="D21" s="751">
        <f>IFERROR('11. R&amp;O (LC) '!D21/'Input-FX Rates'!$H$16,0)</f>
        <v>0</v>
      </c>
    </row>
    <row r="22" spans="1:4" ht="19.149999999999999" customHeight="1" x14ac:dyDescent="0.2">
      <c r="A22" s="748" t="str">
        <f>'11. R&amp;O (LC) '!A22</f>
        <v>Opportunity 7</v>
      </c>
      <c r="B22" s="749">
        <f>IFERROR('11. R&amp;O (LC) '!B22/'Input-FX Rates'!$H$16,0)</f>
        <v>0</v>
      </c>
      <c r="C22" s="750">
        <f>IFERROR('11. R&amp;O (LC) '!C22/'Input-FX Rates'!$H$16,0)</f>
        <v>0</v>
      </c>
      <c r="D22" s="751">
        <f>IFERROR('11. R&amp;O (LC) '!D22/'Input-FX Rates'!$H$16,0)</f>
        <v>0</v>
      </c>
    </row>
    <row r="23" spans="1:4" ht="19.149999999999999" customHeight="1" x14ac:dyDescent="0.2">
      <c r="A23" s="748" t="str">
        <f>'11. R&amp;O (LC) '!A23</f>
        <v>Opportunity 8</v>
      </c>
      <c r="B23" s="749">
        <f>IFERROR('11. R&amp;O (LC) '!B23/'Input-FX Rates'!$H$16,0)</f>
        <v>0</v>
      </c>
      <c r="C23" s="750">
        <f>IFERROR('11. R&amp;O (LC) '!C23/'Input-FX Rates'!$H$16,0)</f>
        <v>0</v>
      </c>
      <c r="D23" s="751">
        <f>IFERROR('11. R&amp;O (LC) '!D23/'Input-FX Rates'!$H$16,0)</f>
        <v>0</v>
      </c>
    </row>
    <row r="24" spans="1:4" ht="19.149999999999999" customHeight="1" x14ac:dyDescent="0.2">
      <c r="A24" s="748" t="str">
        <f>'11. R&amp;O (LC) '!A24</f>
        <v>Opportunity 9</v>
      </c>
      <c r="B24" s="749">
        <f>IFERROR('11. R&amp;O (LC) '!B24/'Input-FX Rates'!$H$16,0)</f>
        <v>0</v>
      </c>
      <c r="C24" s="750">
        <f>IFERROR('11. R&amp;O (LC) '!C24/'Input-FX Rates'!$H$16,0)</f>
        <v>0</v>
      </c>
      <c r="D24" s="751">
        <f>IFERROR('11. R&amp;O (LC) '!D24/'Input-FX Rates'!$H$16,0)</f>
        <v>0</v>
      </c>
    </row>
    <row r="25" spans="1:4" ht="22.9" customHeight="1" x14ac:dyDescent="0.2">
      <c r="A25" s="215" t="str">
        <f>'11. R&amp;O (LC) '!A25</f>
        <v>Total Opportunities</v>
      </c>
      <c r="B25" s="266">
        <f>SUM(B16:B24)</f>
        <v>0</v>
      </c>
      <c r="C25" s="78">
        <f>SUM(C16:C24)</f>
        <v>0</v>
      </c>
      <c r="D25" s="80">
        <f>SUM(D16:D24)</f>
        <v>0</v>
      </c>
    </row>
    <row r="26" spans="1:4" ht="26.65" customHeight="1" x14ac:dyDescent="0.2">
      <c r="A26" s="215" t="str">
        <f>'11. R&amp;O (LC) '!A26</f>
        <v>Total Risks &amp; Opportunities</v>
      </c>
      <c r="B26" s="266">
        <f>+B25+B15</f>
        <v>0</v>
      </c>
      <c r="C26" s="78">
        <f>+C25+C15</f>
        <v>0</v>
      </c>
      <c r="D26" s="80">
        <f>+D25+D15</f>
        <v>0</v>
      </c>
    </row>
  </sheetData>
  <mergeCells count="1">
    <mergeCell ref="B4:D4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Normal="100" workbookViewId="0">
      <pane xSplit="3" ySplit="7" topLeftCell="D58" activePane="bottomRight" state="frozen"/>
      <selection activeCell="D14" sqref="D14"/>
      <selection pane="topRight" activeCell="D14" sqref="D14"/>
      <selection pane="bottomLeft" activeCell="D14" sqref="D14"/>
      <selection pane="bottomRight" activeCell="I77" sqref="I77"/>
    </sheetView>
  </sheetViews>
  <sheetFormatPr defaultColWidth="9.28515625" defaultRowHeight="12.75" customHeight="1" outlineLevelCol="1" x14ac:dyDescent="0.2"/>
  <cols>
    <col min="1" max="1" width="16.7109375" style="451" customWidth="1" outlineLevel="1"/>
    <col min="2" max="2" width="56.42578125" style="451" customWidth="1" outlineLevel="1"/>
    <col min="3" max="3" width="60.5703125" style="451" bestFit="1" customWidth="1"/>
    <col min="4" max="4" width="16.140625" style="451" bestFit="1" customWidth="1"/>
    <col min="5" max="9" width="20" style="451" customWidth="1"/>
    <col min="10" max="10" width="9.28515625" style="451" customWidth="1"/>
    <col min="11" max="11" width="24.42578125" style="451" bestFit="1" customWidth="1"/>
    <col min="12" max="16384" width="9.28515625" style="451"/>
  </cols>
  <sheetData>
    <row r="1" spans="1:14" ht="19.899999999999999" customHeight="1" x14ac:dyDescent="0.25">
      <c r="C1" s="60" t="str">
        <f>+'0. Instructions'!A1</f>
        <v>Budget 2024</v>
      </c>
      <c r="F1" s="423"/>
      <c r="G1" s="423"/>
      <c r="H1" s="423"/>
      <c r="I1" s="423"/>
      <c r="K1" s="1043"/>
      <c r="L1" s="1044"/>
      <c r="N1" s="676" t="s">
        <v>934</v>
      </c>
    </row>
    <row r="2" spans="1:14" ht="19.899999999999999" customHeight="1" thickBot="1" x14ac:dyDescent="0.3">
      <c r="C2" s="55" t="s">
        <v>702</v>
      </c>
      <c r="D2" s="55"/>
      <c r="E2" s="55"/>
      <c r="F2" s="55"/>
      <c r="G2" s="55"/>
      <c r="H2" s="55"/>
      <c r="I2" s="55"/>
      <c r="K2" s="1043"/>
      <c r="L2" s="1044"/>
      <c r="N2" s="676" t="s">
        <v>935</v>
      </c>
    </row>
    <row r="3" spans="1:14" ht="39.6" customHeight="1" x14ac:dyDescent="0.25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</row>
    <row r="4" spans="1:14" ht="15" x14ac:dyDescent="0.2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</row>
    <row r="5" spans="1:14" ht="15" x14ac:dyDescent="0.25">
      <c r="A5" s="546"/>
      <c r="B5" s="546"/>
      <c r="C5" s="544"/>
      <c r="D5" s="619"/>
      <c r="E5" s="619"/>
      <c r="F5" s="619"/>
      <c r="G5" s="619"/>
      <c r="H5" s="619"/>
      <c r="I5" s="619"/>
      <c r="J5" s="545"/>
      <c r="K5" s="544"/>
    </row>
    <row r="6" spans="1:14" ht="30" x14ac:dyDescent="0.25">
      <c r="A6" s="546"/>
      <c r="B6" s="546"/>
      <c r="C6" s="574"/>
      <c r="D6" s="620" t="s">
        <v>1146</v>
      </c>
      <c r="E6" s="620" t="s">
        <v>894</v>
      </c>
      <c r="F6" s="620" t="s">
        <v>1147</v>
      </c>
      <c r="G6" s="620" t="s">
        <v>1148</v>
      </c>
      <c r="H6" s="620" t="s">
        <v>1149</v>
      </c>
      <c r="I6" s="620" t="s">
        <v>1150</v>
      </c>
      <c r="J6" s="554"/>
      <c r="K6" s="544"/>
    </row>
    <row r="7" spans="1:14" ht="28.9" customHeight="1" x14ac:dyDescent="0.25">
      <c r="A7" s="546"/>
      <c r="B7" s="546"/>
      <c r="C7" s="571" t="s">
        <v>700</v>
      </c>
      <c r="D7" s="571" t="str">
        <f>KeyData!D7</f>
        <v>Year-2</v>
      </c>
      <c r="E7" s="571" t="str">
        <f>KeyData!E7</f>
        <v>Plan-1</v>
      </c>
      <c r="F7" s="571" t="s">
        <v>699</v>
      </c>
      <c r="G7" s="571" t="s">
        <v>698</v>
      </c>
      <c r="H7" s="571" t="str">
        <f>KeyData!G7</f>
        <v>FC PY</v>
      </c>
      <c r="I7" s="571" t="str">
        <f>KeyData!H7</f>
        <v>Plan</v>
      </c>
      <c r="J7" s="554"/>
      <c r="K7" s="544"/>
    </row>
    <row r="8" spans="1:14" ht="15" x14ac:dyDescent="0.25">
      <c r="A8" s="546" t="s">
        <v>1208</v>
      </c>
      <c r="B8" s="546" t="str">
        <f>IFERROR(VLOOKUP(A8,Race_2024!A:C,3,FALSE), VLOOKUP(A8,Race_2024!A:C,3,FALSE))</f>
        <v>Sales</v>
      </c>
      <c r="C8" s="570" t="s">
        <v>167</v>
      </c>
      <c r="D8" s="569">
        <f>IFERROR(VLOOKUP($A8,Race_2024!A:L, 7,FALSE),0)</f>
        <v>69055108.461999997</v>
      </c>
      <c r="E8" s="569">
        <f>IFERROR(VLOOKUP($A8,Race_2024!A:L, 9,FALSE),0)</f>
        <v>122630144.677</v>
      </c>
      <c r="F8" s="569">
        <f>IFERROR(VLOOKUP($A8,Race_2024!A:L, 8,FALSE),0)</f>
        <v>50414410.311999999</v>
      </c>
      <c r="G8" s="569">
        <f>IFERROR(VLOOKUP($A8,Race_2024!A:L, 10,FALSE),0)</f>
        <v>136601620.99599999</v>
      </c>
      <c r="H8" s="569">
        <f>IFERROR(VLOOKUP($A8,Race_2024!A:L, 11,FALSE),0)</f>
        <v>133169528.691</v>
      </c>
      <c r="I8" s="569">
        <f>IFERROR(VLOOKUP($A8,Race_2024!A:L, 12,FALSE),0)</f>
        <v>188273351.18900001</v>
      </c>
      <c r="J8" s="554"/>
      <c r="K8" s="544"/>
    </row>
    <row r="9" spans="1:14" ht="15" x14ac:dyDescent="0.25">
      <c r="A9" s="546" t="s">
        <v>1209</v>
      </c>
      <c r="B9" s="546" t="str">
        <f>IFERROR(VLOOKUP(A9,Race_2024!A:C,3,FALSE), VLOOKUP(A9,Race_2024!A:C,3,FALSE))</f>
        <v>Net sales</v>
      </c>
      <c r="C9" s="566" t="s">
        <v>697</v>
      </c>
      <c r="D9" s="551">
        <f>IFERROR(VLOOKUP($A9,Race_2024!A:L, 7,FALSE),0)</f>
        <v>69064675.172000006</v>
      </c>
      <c r="E9" s="551">
        <f>IFERROR(VLOOKUP($A9,Race_2024!A:L, 9,FALSE),0)</f>
        <v>122630144.677</v>
      </c>
      <c r="F9" s="551">
        <f>IFERROR(VLOOKUP($A9,Race_2024!A:L, 8,FALSE),0)</f>
        <v>50414410.311999999</v>
      </c>
      <c r="G9" s="551">
        <f>IFERROR(VLOOKUP($A9,Race_2024!A:L, 10,FALSE),0)</f>
        <v>136601620.99599999</v>
      </c>
      <c r="H9" s="551">
        <f>IFERROR(VLOOKUP($A9,Race_2024!A:L, 11,FALSE),0)</f>
        <v>133169528.691</v>
      </c>
      <c r="I9" s="550">
        <f>IFERROR(VLOOKUP($A9,Race_2024!A:L, 12,FALSE),0)</f>
        <v>188273351.18900001</v>
      </c>
      <c r="J9" s="554"/>
      <c r="K9" s="544"/>
    </row>
    <row r="10" spans="1:14" ht="15" x14ac:dyDescent="0.25">
      <c r="A10" s="546" t="s">
        <v>1210</v>
      </c>
      <c r="B10" s="546" t="e">
        <f>IFERROR(VLOOKUP(A10,Race_2024!A:C,3,FALSE), VLOOKUP(A10,Race_2024!A:C,3,FALSE))</f>
        <v>#N/A</v>
      </c>
      <c r="C10" s="553" t="s">
        <v>696</v>
      </c>
      <c r="D10" s="548">
        <f>IFERROR(VLOOKUP($A10,Race_2024!A:L, 7,FALSE),0)</f>
        <v>0</v>
      </c>
      <c r="E10" s="548">
        <f>IFERROR(VLOOKUP($A10,Race_2024!A:L, 9,FALSE),0)</f>
        <v>0</v>
      </c>
      <c r="F10" s="548">
        <f>IFERROR(VLOOKUP($A10,Race_2024!A:L, 8,FALSE),0)</f>
        <v>0</v>
      </c>
      <c r="G10" s="548">
        <f>IFERROR(VLOOKUP($A10,Race_2024!A:L, 10,FALSE),0)</f>
        <v>0</v>
      </c>
      <c r="H10" s="548">
        <f>IFERROR(VLOOKUP($A10,Race_2024!A:L, 11,FALSE),0)</f>
        <v>0</v>
      </c>
      <c r="I10" s="547">
        <f>IFERROR(VLOOKUP($A10,Race_2024!A:L, 12,FALSE),0)</f>
        <v>0</v>
      </c>
      <c r="J10" s="554"/>
      <c r="K10" s="544"/>
    </row>
    <row r="11" spans="1:14" ht="15" x14ac:dyDescent="0.25">
      <c r="A11" s="546" t="s">
        <v>1211</v>
      </c>
      <c r="B11" s="546" t="str">
        <f>IFERROR(VLOOKUP(A11,Race_2024!A:C,3,FALSE), VLOOKUP(A11,Race_2024!A:C,3,FALSE))</f>
        <v>Net sales ICO</v>
      </c>
      <c r="C11" s="553" t="s">
        <v>695</v>
      </c>
      <c r="D11" s="548">
        <f>IFERROR(VLOOKUP($A11,Race_2024!A:L, 7,FALSE),0)</f>
        <v>137880.29199999999</v>
      </c>
      <c r="E11" s="548">
        <f>IFERROR(VLOOKUP($A11,Race_2024!A:L, 9,FALSE),0)</f>
        <v>0</v>
      </c>
      <c r="F11" s="548">
        <f>IFERROR(VLOOKUP($A11,Race_2024!A:L, 8,FALSE),0)</f>
        <v>54390.646000000001</v>
      </c>
      <c r="G11" s="548">
        <f>IFERROR(VLOOKUP($A11,Race_2024!A:L, 10,FALSE),0)</f>
        <v>15256.457</v>
      </c>
      <c r="H11" s="548">
        <f>IFERROR(VLOOKUP($A11,Race_2024!A:L, 11,FALSE),0)</f>
        <v>54390.646000000001</v>
      </c>
      <c r="I11" s="547">
        <f>IFERROR(VLOOKUP($A11,Race_2024!A:L, 12,FALSE),0)</f>
        <v>0</v>
      </c>
      <c r="J11" s="554"/>
      <c r="K11" s="544"/>
    </row>
    <row r="12" spans="1:14" ht="15" x14ac:dyDescent="0.25">
      <c r="A12" s="546" t="s">
        <v>1212</v>
      </c>
      <c r="B12" s="546" t="str">
        <f>IFERROR(VLOOKUP(A12,Race_2024!A:C,3,FALSE), VLOOKUP(A12,Race_2024!A:C,3,FALSE))</f>
        <v>Net sales rel. par.</v>
      </c>
      <c r="C12" s="553" t="s">
        <v>694</v>
      </c>
      <c r="D12" s="548">
        <f>IFERROR(VLOOKUP($A12,Race_2024!A:L, 7,FALSE),0)</f>
        <v>3951.3009999999999</v>
      </c>
      <c r="E12" s="548">
        <f>IFERROR(VLOOKUP($A12,Race_2024!A:L, 9,FALSE),0)</f>
        <v>0</v>
      </c>
      <c r="F12" s="548">
        <f>IFERROR(VLOOKUP($A12,Race_2024!A:L, 8,FALSE),0)</f>
        <v>20</v>
      </c>
      <c r="G12" s="548">
        <f>IFERROR(VLOOKUP($A12,Race_2024!A:L, 10,FALSE),0)</f>
        <v>0</v>
      </c>
      <c r="H12" s="548">
        <f>IFERROR(VLOOKUP($A12,Race_2024!A:L, 11,FALSE),0)</f>
        <v>0</v>
      </c>
      <c r="I12" s="547">
        <f>IFERROR(VLOOKUP($A12,Race_2024!A:L, 12,FALSE),0)</f>
        <v>0</v>
      </c>
      <c r="J12" s="554"/>
      <c r="K12" s="544"/>
    </row>
    <row r="13" spans="1:14" ht="15" x14ac:dyDescent="0.25">
      <c r="A13" s="546" t="s">
        <v>1213</v>
      </c>
      <c r="B13" s="546" t="str">
        <f>IFERROR(VLOOKUP(A13,Race_2024!A:C,3,FALSE), VLOOKUP(A13,Race_2024!A:C,3,FALSE))</f>
        <v>Net sales external</v>
      </c>
      <c r="C13" s="553" t="s">
        <v>693</v>
      </c>
      <c r="D13" s="548">
        <f>IFERROR(VLOOKUP($A13,Race_2024!A:L, 7,FALSE),0)</f>
        <v>68922843.578999996</v>
      </c>
      <c r="E13" s="548">
        <f>IFERROR(VLOOKUP($A13,Race_2024!A:L, 9,FALSE),0)</f>
        <v>122630144.677</v>
      </c>
      <c r="F13" s="548">
        <f>IFERROR(VLOOKUP($A13,Race_2024!A:L, 8,FALSE),0)</f>
        <v>50359999.666000001</v>
      </c>
      <c r="G13" s="548">
        <f>IFERROR(VLOOKUP($A13,Race_2024!A:L, 10,FALSE),0)</f>
        <v>136586364.539</v>
      </c>
      <c r="H13" s="548">
        <f>IFERROR(VLOOKUP($A13,Race_2024!A:L, 11,FALSE),0)</f>
        <v>133115138.045</v>
      </c>
      <c r="I13" s="547">
        <f>IFERROR(VLOOKUP($A13,Race_2024!A:L, 12,FALSE),0)</f>
        <v>188273351.18900001</v>
      </c>
      <c r="J13" s="554"/>
      <c r="K13" s="544"/>
    </row>
    <row r="14" spans="1:14" ht="15" x14ac:dyDescent="0.25">
      <c r="A14" s="546" t="s">
        <v>1214</v>
      </c>
      <c r="B14" s="546" t="str">
        <f>IFERROR(VLOOKUP(A14,Race_2024!A:C,3,FALSE), VLOOKUP(A14,Race_2024!A:C,3,FALSE))</f>
        <v>Sales variations</v>
      </c>
      <c r="C14" s="566" t="s">
        <v>692</v>
      </c>
      <c r="D14" s="551">
        <f>IFERROR(VLOOKUP($A14,Race_2024!A:L, 7,FALSE),0)</f>
        <v>-9566.7099999999991</v>
      </c>
      <c r="E14" s="551">
        <f>IFERROR(VLOOKUP($A14,Race_2024!A:L, 9,FALSE),0)</f>
        <v>0</v>
      </c>
      <c r="F14" s="551">
        <f>IFERROR(VLOOKUP($A14,Race_2024!A:L, 8,FALSE),0)</f>
        <v>0</v>
      </c>
      <c r="G14" s="551">
        <f>IFERROR(VLOOKUP($A14,Race_2024!A:L, 10,FALSE),0)</f>
        <v>0</v>
      </c>
      <c r="H14" s="551">
        <f>IFERROR(VLOOKUP($A14,Race_2024!A:L, 11,FALSE),0)</f>
        <v>0</v>
      </c>
      <c r="I14" s="550">
        <f>IFERROR(VLOOKUP($A14,Race_2024!A:L, 12,FALSE),0)</f>
        <v>0</v>
      </c>
      <c r="J14" s="554"/>
      <c r="K14" s="544"/>
    </row>
    <row r="15" spans="1:14" ht="15" x14ac:dyDescent="0.25">
      <c r="A15" s="546" t="s">
        <v>1215</v>
      </c>
      <c r="B15" s="546" t="e">
        <f>IFERROR(VLOOKUP(A15,Race_2024!A:C,3,FALSE), VLOOKUP(A15,Race_2024!A:C,3,FALSE))</f>
        <v>#N/A</v>
      </c>
      <c r="C15" s="553" t="s">
        <v>691</v>
      </c>
      <c r="D15" s="548">
        <f>IFERROR(VLOOKUP($A15,Race_2024!A:L, 7,FALSE),0)</f>
        <v>0</v>
      </c>
      <c r="E15" s="548">
        <f>IFERROR(VLOOKUP($A15,Race_2024!A:L, 9,FALSE),0)</f>
        <v>0</v>
      </c>
      <c r="F15" s="548">
        <f>IFERROR(VLOOKUP($A15,Race_2024!A:L, 8,FALSE),0)</f>
        <v>0</v>
      </c>
      <c r="G15" s="548">
        <f>IFERROR(VLOOKUP($A15,Race_2024!A:L, 10,FALSE),0)</f>
        <v>0</v>
      </c>
      <c r="H15" s="548">
        <f>IFERROR(VLOOKUP($A15,Race_2024!A:L, 11,FALSE),0)</f>
        <v>0</v>
      </c>
      <c r="I15" s="547">
        <f>IFERROR(VLOOKUP($A15,Race_2024!A:L, 12,FALSE),0)</f>
        <v>0</v>
      </c>
      <c r="J15" s="554"/>
      <c r="K15" s="544"/>
    </row>
    <row r="16" spans="1:14" ht="15" x14ac:dyDescent="0.25">
      <c r="A16" s="546" t="s">
        <v>1216</v>
      </c>
      <c r="B16" s="546" t="str">
        <f>IFERROR(VLOOKUP(A16,Race_2024!A:C,3,FALSE), VLOOKUP(A16,Race_2024!A:C,3,FALSE))</f>
        <v>Equalization ICO</v>
      </c>
      <c r="C16" s="555" t="s">
        <v>690</v>
      </c>
      <c r="D16" s="548">
        <f>IFERROR(VLOOKUP($A16,Race_2024!A:L, 7,FALSE),0)</f>
        <v>-9566.7099999999991</v>
      </c>
      <c r="E16" s="548">
        <f>IFERROR(VLOOKUP($A16,Race_2024!A:L, 9,FALSE),0)</f>
        <v>0</v>
      </c>
      <c r="F16" s="548">
        <f>IFERROR(VLOOKUP($A16,Race_2024!A:L, 8,FALSE),0)</f>
        <v>0</v>
      </c>
      <c r="G16" s="548">
        <f>IFERROR(VLOOKUP($A16,Race_2024!A:L, 10,FALSE),0)</f>
        <v>0</v>
      </c>
      <c r="H16" s="548">
        <f>IFERROR(VLOOKUP($A16,Race_2024!A:L, 11,FALSE),0)</f>
        <v>0</v>
      </c>
      <c r="I16" s="547">
        <f>IFERROR(VLOOKUP($A16,Race_2024!A:L, 12,FALSE),0)</f>
        <v>0</v>
      </c>
      <c r="J16" s="554"/>
      <c r="K16" s="544"/>
    </row>
    <row r="17" spans="1:11" ht="15" x14ac:dyDescent="0.25">
      <c r="A17" s="546" t="s">
        <v>1217</v>
      </c>
      <c r="B17" s="546" t="str">
        <f>IFERROR(VLOOKUP(A17,Race_2024!A:C,3,FALSE), VLOOKUP(A17,Race_2024!A:C,3,FALSE))</f>
        <v>Variable costs</v>
      </c>
      <c r="C17" s="552" t="s">
        <v>689</v>
      </c>
      <c r="D17" s="551">
        <f>IFERROR(VLOOKUP($A17,Race_2024!A:L, 7,FALSE),0)</f>
        <v>-48602949.935999997</v>
      </c>
      <c r="E17" s="551">
        <f>IFERROR(VLOOKUP($A17,Race_2024!A:L, 9,FALSE),0)</f>
        <v>-109849304.809</v>
      </c>
      <c r="F17" s="551">
        <f>IFERROR(VLOOKUP($A17,Race_2024!A:L, 8,FALSE),0)</f>
        <v>-45638858.292999998</v>
      </c>
      <c r="G17" s="551">
        <f>IFERROR(VLOOKUP($A17,Race_2024!A:L, 10,FALSE),0)</f>
        <v>-115273675.697</v>
      </c>
      <c r="H17" s="551">
        <f>IFERROR(VLOOKUP($A17,Race_2024!A:L, 11,FALSE),0)</f>
        <v>-112804860.442</v>
      </c>
      <c r="I17" s="550">
        <f>IFERROR(VLOOKUP($A17,Race_2024!A:L, 12,FALSE),0)</f>
        <v>-158695524.79800001</v>
      </c>
      <c r="J17" s="554"/>
      <c r="K17" s="544"/>
    </row>
    <row r="18" spans="1:11" ht="15" x14ac:dyDescent="0.25">
      <c r="A18" s="546" t="s">
        <v>1218</v>
      </c>
      <c r="B18" s="546" t="str">
        <f>IFERROR(VLOOKUP(A18,Race_2024!A:C,3,FALSE), VLOOKUP(A18,Race_2024!A:C,3,FALSE))</f>
        <v>Var costs over stand</v>
      </c>
      <c r="C18" s="566" t="s">
        <v>688</v>
      </c>
      <c r="D18" s="551">
        <f>IFERROR(VLOOKUP($A18,Race_2024!A:L, 7,FALSE),0)</f>
        <v>-41026005.261</v>
      </c>
      <c r="E18" s="551">
        <f>IFERROR(VLOOKUP($A18,Race_2024!A:L, 9,FALSE),0)</f>
        <v>-106812052.976</v>
      </c>
      <c r="F18" s="551">
        <f>IFERROR(VLOOKUP($A18,Race_2024!A:L, 8,FALSE),0)</f>
        <v>-44938247.575999998</v>
      </c>
      <c r="G18" s="551">
        <f>IFERROR(VLOOKUP($A18,Race_2024!A:L, 10,FALSE),0)</f>
        <v>-114600012.16</v>
      </c>
      <c r="H18" s="551">
        <f>IFERROR(VLOOKUP($A18,Race_2024!A:L, 11,FALSE),0)</f>
        <v>-111875677.075</v>
      </c>
      <c r="I18" s="550">
        <f>IFERROR(VLOOKUP($A18,Race_2024!A:L, 12,FALSE),0)</f>
        <v>-152991108.14199999</v>
      </c>
      <c r="J18" s="554"/>
      <c r="K18" s="544"/>
    </row>
    <row r="19" spans="1:11" ht="15" x14ac:dyDescent="0.25">
      <c r="A19" s="546" t="s">
        <v>1219</v>
      </c>
      <c r="B19" s="546" t="str">
        <f>IFERROR(VLOOKUP(A19,Race_2024!A:C,3,FALSE), VLOOKUP(A19,Race_2024!A:C,3,FALSE))</f>
        <v>Variable costs ICO</v>
      </c>
      <c r="C19" s="553" t="s">
        <v>687</v>
      </c>
      <c r="D19" s="548">
        <f>IFERROR(VLOOKUP($A19,Race_2024!A:L, 7,FALSE),0)</f>
        <v>-98645.562999999995</v>
      </c>
      <c r="E19" s="548">
        <f>IFERROR(VLOOKUP($A19,Race_2024!A:L, 9,FALSE),0)</f>
        <v>0</v>
      </c>
      <c r="F19" s="548">
        <f>IFERROR(VLOOKUP($A19,Race_2024!A:L, 8,FALSE),0)</f>
        <v>-17269.848000000002</v>
      </c>
      <c r="G19" s="548">
        <f>IFERROR(VLOOKUP($A19,Race_2024!A:L, 10,FALSE),0)</f>
        <v>-14305.748</v>
      </c>
      <c r="H19" s="548">
        <f>IFERROR(VLOOKUP($A19,Race_2024!A:L, 11,FALSE),0)</f>
        <v>-45740.097999999998</v>
      </c>
      <c r="I19" s="547">
        <f>IFERROR(VLOOKUP($A19,Race_2024!A:L, 12,FALSE),0)</f>
        <v>0</v>
      </c>
      <c r="J19" s="554"/>
      <c r="K19" s="544"/>
    </row>
    <row r="20" spans="1:11" ht="15" x14ac:dyDescent="0.25">
      <c r="A20" s="546" t="s">
        <v>1220</v>
      </c>
      <c r="B20" s="546" t="str">
        <f>IFERROR(VLOOKUP(A20,Race_2024!A:C,3,FALSE), VLOOKUP(A20,Race_2024!A:C,3,FALSE))</f>
        <v>Var. manuf. costs</v>
      </c>
      <c r="C20" s="553" t="s">
        <v>686</v>
      </c>
      <c r="D20" s="548">
        <f>IFERROR(VLOOKUP($A20,Race_2024!A:L, 7,FALSE),0)</f>
        <v>-40311516.375</v>
      </c>
      <c r="E20" s="548">
        <f>IFERROR(VLOOKUP($A20,Race_2024!A:L, 9,FALSE),0)</f>
        <v>-105368782.76199999</v>
      </c>
      <c r="F20" s="548">
        <f>IFERROR(VLOOKUP($A20,Race_2024!A:L, 8,FALSE),0)</f>
        <v>-44263402.145000003</v>
      </c>
      <c r="G20" s="548">
        <f>IFERROR(VLOOKUP($A20,Race_2024!A:L, 10,FALSE),0)</f>
        <v>-112780737.08499999</v>
      </c>
      <c r="H20" s="548">
        <f>IFERROR(VLOOKUP($A20,Race_2024!A:L, 11,FALSE),0)</f>
        <v>-110092952.84999999</v>
      </c>
      <c r="I20" s="547">
        <f>IFERROR(VLOOKUP($A20,Race_2024!A:L, 12,FALSE),0)</f>
        <v>-150867616.69999999</v>
      </c>
      <c r="J20" s="554"/>
      <c r="K20" s="544"/>
    </row>
    <row r="21" spans="1:11" ht="15" x14ac:dyDescent="0.25">
      <c r="A21" s="546" t="s">
        <v>1221</v>
      </c>
      <c r="B21" s="546" t="str">
        <f>IFERROR(VLOOKUP(A21,Race_2024!A:C,3,FALSE), VLOOKUP(A21,Race_2024!A:C,3,FALSE))</f>
        <v>Other var. costs</v>
      </c>
      <c r="C21" s="564" t="s">
        <v>685</v>
      </c>
      <c r="D21" s="551">
        <f>IFERROR(VLOOKUP($A21,Race_2024!A:L, 7,FALSE),0)</f>
        <v>-615843.32299999997</v>
      </c>
      <c r="E21" s="551">
        <f>IFERROR(VLOOKUP($A21,Race_2024!A:L, 9,FALSE),0)</f>
        <v>-1443270.2139999999</v>
      </c>
      <c r="F21" s="551">
        <f>IFERROR(VLOOKUP($A21,Race_2024!A:L, 8,FALSE),0)</f>
        <v>-657575.58299999998</v>
      </c>
      <c r="G21" s="551">
        <f>IFERROR(VLOOKUP($A21,Race_2024!A:L, 10,FALSE),0)</f>
        <v>-1804969.327</v>
      </c>
      <c r="H21" s="551">
        <f>IFERROR(VLOOKUP($A21,Race_2024!A:L, 11,FALSE),0)</f>
        <v>-1736984.1270000001</v>
      </c>
      <c r="I21" s="550">
        <f>IFERROR(VLOOKUP($A21,Race_2024!A:L, 12,FALSE),0)</f>
        <v>-2123491.4419999998</v>
      </c>
      <c r="J21" s="554"/>
      <c r="K21" s="544"/>
    </row>
    <row r="22" spans="1:11" ht="15" x14ac:dyDescent="0.25">
      <c r="A22" s="546" t="s">
        <v>1222</v>
      </c>
      <c r="B22" s="546" t="str">
        <f>IFERROR(VLOOKUP(A22,Race_2024!A:C,3,FALSE), VLOOKUP(A22,Race_2024!A:C,3,FALSE))</f>
        <v>OVC handling</v>
      </c>
      <c r="C22" s="563" t="s">
        <v>684</v>
      </c>
      <c r="D22" s="548">
        <f>IFERROR(VLOOKUP($A22,Race_2024!A:L, 7,FALSE),0)</f>
        <v>-388085.81400000001</v>
      </c>
      <c r="E22" s="548">
        <f>IFERROR(VLOOKUP($A22,Race_2024!A:L, 9,FALSE),0)</f>
        <v>-951537.50899999996</v>
      </c>
      <c r="F22" s="548">
        <f>IFERROR(VLOOKUP($A22,Race_2024!A:L, 8,FALSE),0)</f>
        <v>-420624.29700000002</v>
      </c>
      <c r="G22" s="548">
        <f>IFERROR(VLOOKUP($A22,Race_2024!A:L, 10,FALSE),0)</f>
        <v>-1142033.291</v>
      </c>
      <c r="H22" s="548">
        <f>IFERROR(VLOOKUP($A22,Race_2024!A:L, 11,FALSE),0)</f>
        <v>-1111077.9450000001</v>
      </c>
      <c r="I22" s="547">
        <f>IFERROR(VLOOKUP($A22,Race_2024!A:L, 12,FALSE),0)</f>
        <v>-1339175.446</v>
      </c>
      <c r="J22" s="554"/>
      <c r="K22" s="544"/>
    </row>
    <row r="23" spans="1:11" ht="15" x14ac:dyDescent="0.25">
      <c r="A23" s="546" t="s">
        <v>1223</v>
      </c>
      <c r="B23" s="546" t="str">
        <f>IFERROR(VLOOKUP(A23,Race_2024!A:C,3,FALSE), VLOOKUP(A23,Race_2024!A:C,3,FALSE))</f>
        <v>OVC freight</v>
      </c>
      <c r="C23" s="563" t="s">
        <v>683</v>
      </c>
      <c r="D23" s="548">
        <f>IFERROR(VLOOKUP($A23,Race_2024!A:L, 7,FALSE),0)</f>
        <v>-227757.50899999999</v>
      </c>
      <c r="E23" s="548">
        <f>IFERROR(VLOOKUP($A23,Race_2024!A:L, 9,FALSE),0)</f>
        <v>-491732.70500000002</v>
      </c>
      <c r="F23" s="548">
        <f>IFERROR(VLOOKUP($A23,Race_2024!A:L, 8,FALSE),0)</f>
        <v>-236951.28599999999</v>
      </c>
      <c r="G23" s="548">
        <f>IFERROR(VLOOKUP($A23,Race_2024!A:L, 10,FALSE),0)</f>
        <v>-662936.03599999996</v>
      </c>
      <c r="H23" s="548">
        <f>IFERROR(VLOOKUP($A23,Race_2024!A:L, 11,FALSE),0)</f>
        <v>-625906.18200000003</v>
      </c>
      <c r="I23" s="547">
        <f>IFERROR(VLOOKUP($A23,Race_2024!A:L, 12,FALSE),0)</f>
        <v>-784315.99600000004</v>
      </c>
      <c r="J23" s="554"/>
      <c r="K23" s="544"/>
    </row>
    <row r="24" spans="1:11" ht="15" x14ac:dyDescent="0.25">
      <c r="A24" s="546" t="s">
        <v>1224</v>
      </c>
      <c r="B24" s="546" t="e">
        <f>IFERROR(VLOOKUP(A24,Race_2024!A:C,3,FALSE), VLOOKUP(A24,Race_2024!A:C,3,FALSE))</f>
        <v>#N/A</v>
      </c>
      <c r="C24" s="563" t="s">
        <v>682</v>
      </c>
      <c r="D24" s="548">
        <f>IFERROR(VLOOKUP($A24,Race_2024!A:L, 7,FALSE),0)</f>
        <v>0</v>
      </c>
      <c r="E24" s="548">
        <f>IFERROR(VLOOKUP($A24,Race_2024!A:L, 9,FALSE),0)</f>
        <v>0</v>
      </c>
      <c r="F24" s="548">
        <f>IFERROR(VLOOKUP($A24,Race_2024!A:L, 8,FALSE),0)</f>
        <v>0</v>
      </c>
      <c r="G24" s="548">
        <f>IFERROR(VLOOKUP($A24,Race_2024!A:L, 10,FALSE),0)</f>
        <v>0</v>
      </c>
      <c r="H24" s="548">
        <f>IFERROR(VLOOKUP($A24,Race_2024!A:L, 11,FALSE),0)</f>
        <v>0</v>
      </c>
      <c r="I24" s="547">
        <f>IFERROR(VLOOKUP($A24,Race_2024!A:L, 12,FALSE),0)</f>
        <v>0</v>
      </c>
      <c r="J24" s="554"/>
      <c r="K24" s="544"/>
    </row>
    <row r="25" spans="1:11" ht="15" x14ac:dyDescent="0.25">
      <c r="A25" s="546" t="s">
        <v>1225</v>
      </c>
      <c r="B25" s="546" t="str">
        <f>IFERROR(VLOOKUP(A25,Race_2024!A:C,3,FALSE), VLOOKUP(A25,Race_2024!A:C,3,FALSE))</f>
        <v>Cost variations</v>
      </c>
      <c r="C25" s="566" t="s">
        <v>681</v>
      </c>
      <c r="D25" s="551">
        <f>IFERROR(VLOOKUP($A25,Race_2024!A:L, 7,FALSE),0)</f>
        <v>-7576944.6749999998</v>
      </c>
      <c r="E25" s="551">
        <f>IFERROR(VLOOKUP($A25,Race_2024!A:L, 9,FALSE),0)</f>
        <v>-3037251.8330000001</v>
      </c>
      <c r="F25" s="551">
        <f>IFERROR(VLOOKUP($A25,Race_2024!A:L, 8,FALSE),0)</f>
        <v>-700610.71699999995</v>
      </c>
      <c r="G25" s="551">
        <f>IFERROR(VLOOKUP($A25,Race_2024!A:L, 10,FALSE),0)</f>
        <v>-673663.53700000001</v>
      </c>
      <c r="H25" s="551">
        <f>IFERROR(VLOOKUP($A25,Race_2024!A:L, 11,FALSE),0)</f>
        <v>-929183.36699999997</v>
      </c>
      <c r="I25" s="550">
        <f>IFERROR(VLOOKUP($A25,Race_2024!A:L, 12,FALSE),0)</f>
        <v>-5704416.6560000004</v>
      </c>
      <c r="J25" s="554"/>
      <c r="K25" s="544"/>
    </row>
    <row r="26" spans="1:11" ht="13.15" customHeight="1" x14ac:dyDescent="0.25">
      <c r="A26" s="546" t="s">
        <v>1226</v>
      </c>
      <c r="B26" s="546" t="str">
        <f>IFERROR(VLOOKUP(A26,Race_2024!A:C,3,FALSE), VLOOKUP(A26,Race_2024!A:C,3,FALSE))</f>
        <v>Var.to raw mat total</v>
      </c>
      <c r="C26" s="564" t="s">
        <v>680</v>
      </c>
      <c r="D26" s="551">
        <f>IFERROR(VLOOKUP($A26,Race_2024!A:L, 7,FALSE),0)</f>
        <v>-6399395.7939999998</v>
      </c>
      <c r="E26" s="551">
        <f>IFERROR(VLOOKUP($A26,Race_2024!A:L, 9,FALSE),0)</f>
        <v>0</v>
      </c>
      <c r="F26" s="551">
        <f>IFERROR(VLOOKUP($A26,Race_2024!A:L, 8,FALSE),0)</f>
        <v>-80160.665999999997</v>
      </c>
      <c r="G26" s="551">
        <f>IFERROR(VLOOKUP($A26,Race_2024!A:L, 10,FALSE),0)</f>
        <v>2524102.202</v>
      </c>
      <c r="H26" s="551">
        <f>IFERROR(VLOOKUP($A26,Race_2024!A:L, 11,FALSE),0)</f>
        <v>1939397.75</v>
      </c>
      <c r="I26" s="550">
        <f>IFERROR(VLOOKUP($A26,Race_2024!A:L, 12,FALSE),0)</f>
        <v>0</v>
      </c>
      <c r="J26" s="554"/>
      <c r="K26" s="544"/>
    </row>
    <row r="27" spans="1:11" ht="15" x14ac:dyDescent="0.25">
      <c r="A27" s="546" t="s">
        <v>1227</v>
      </c>
      <c r="B27" s="546" t="str">
        <f>IFERROR(VLOOKUP(A27,Race_2024!A:C,3,FALSE), VLOOKUP(A27,Race_2024!A:C,3,FALSE))</f>
        <v>Var.to raw mat price</v>
      </c>
      <c r="C27" s="563" t="s">
        <v>679</v>
      </c>
      <c r="D27" s="548">
        <f>IFERROR(VLOOKUP($A27,Race_2024!A:L, 7,FALSE),0)</f>
        <v>-6716195.1220000004</v>
      </c>
      <c r="E27" s="548">
        <f>IFERROR(VLOOKUP($A27,Race_2024!A:L, 9,FALSE),0)</f>
        <v>0</v>
      </c>
      <c r="F27" s="548">
        <f>IFERROR(VLOOKUP($A27,Race_2024!A:L, 8,FALSE),0)</f>
        <v>296517.141</v>
      </c>
      <c r="G27" s="548">
        <f>IFERROR(VLOOKUP($A27,Race_2024!A:L, 10,FALSE),0)</f>
        <v>2714270.0150000001</v>
      </c>
      <c r="H27" s="548">
        <f>IFERROR(VLOOKUP($A27,Race_2024!A:L, 11,FALSE),0)</f>
        <v>2457305.557</v>
      </c>
      <c r="I27" s="547">
        <f>IFERROR(VLOOKUP($A27,Race_2024!A:L, 12,FALSE),0)</f>
        <v>0</v>
      </c>
      <c r="J27" s="554"/>
      <c r="K27" s="544"/>
    </row>
    <row r="28" spans="1:11" ht="15" x14ac:dyDescent="0.25">
      <c r="A28" s="546" t="s">
        <v>1228</v>
      </c>
      <c r="B28" s="546" t="e">
        <f>IFERROR(VLOOKUP(A28,Race_2024!A:C,3,FALSE), VLOOKUP(A28,Race_2024!A:C,3,FALSE))</f>
        <v>#N/A</v>
      </c>
      <c r="C28" s="563" t="s">
        <v>933</v>
      </c>
      <c r="D28" s="548">
        <f>IFERROR(VLOOKUP($A28,Race_2024!A:L, 7,FALSE),0)</f>
        <v>0</v>
      </c>
      <c r="E28" s="548">
        <f>IFERROR(VLOOKUP($A28,Race_2024!A:L, 9,FALSE),0)</f>
        <v>0</v>
      </c>
      <c r="F28" s="548">
        <f>IFERROR(VLOOKUP($A28,Race_2024!A:L, 8,FALSE),0)</f>
        <v>0</v>
      </c>
      <c r="G28" s="548">
        <f>IFERROR(VLOOKUP($A28,Race_2024!A:L, 10,FALSE),0)</f>
        <v>0</v>
      </c>
      <c r="H28" s="548">
        <f>IFERROR(VLOOKUP($A28,Race_2024!A:L, 11,FALSE),0)</f>
        <v>0</v>
      </c>
      <c r="I28" s="547">
        <f>IFERROR(VLOOKUP($A28,Race_2024!A:L, 12,FALSE),0)</f>
        <v>0</v>
      </c>
      <c r="J28" s="554"/>
      <c r="K28" s="544"/>
    </row>
    <row r="29" spans="1:11" ht="15" x14ac:dyDescent="0.25">
      <c r="A29" s="546" t="s">
        <v>1229</v>
      </c>
      <c r="B29" s="546" t="str">
        <f>IFERROR(VLOOKUP(A29,Race_2024!A:C,3,FALSE), VLOOKUP(A29,Race_2024!A:C,3,FALSE))</f>
        <v>Inv.val.allo RM&amp;supp</v>
      </c>
      <c r="C29" s="563" t="s">
        <v>678</v>
      </c>
      <c r="D29" s="548">
        <f>IFERROR(VLOOKUP($A29,Race_2024!A:L, 7,FALSE),0)</f>
        <v>424854.48300000001</v>
      </c>
      <c r="E29" s="548">
        <f>IFERROR(VLOOKUP($A29,Race_2024!A:L, 9,FALSE),0)</f>
        <v>0</v>
      </c>
      <c r="F29" s="548">
        <f>IFERROR(VLOOKUP($A29,Race_2024!A:L, 8,FALSE),0)</f>
        <v>-369749.28600000002</v>
      </c>
      <c r="G29" s="548">
        <f>IFERROR(VLOOKUP($A29,Race_2024!A:L, 10,FALSE),0)</f>
        <v>-43886.997000000003</v>
      </c>
      <c r="H29" s="548">
        <f>IFERROR(VLOOKUP($A29,Race_2024!A:L, 11,FALSE),0)</f>
        <v>-369749.28600000002</v>
      </c>
      <c r="I29" s="547">
        <f>IFERROR(VLOOKUP($A29,Race_2024!A:L, 12,FALSE),0)</f>
        <v>0</v>
      </c>
      <c r="J29" s="554"/>
      <c r="K29" s="544"/>
    </row>
    <row r="30" spans="1:11" ht="15" x14ac:dyDescent="0.25">
      <c r="A30" s="546" t="s">
        <v>1230</v>
      </c>
      <c r="B30" s="546" t="str">
        <f>IFERROR(VLOOKUP(A30,Race_2024!A:C,3,FALSE), VLOOKUP(A30,Race_2024!A:C,3,FALSE))</f>
        <v>Inv.var.(RM&amp;supp)</v>
      </c>
      <c r="C30" s="563" t="s">
        <v>677</v>
      </c>
      <c r="D30" s="548">
        <f>IFERROR(VLOOKUP($A30,Race_2024!A:L, 7,FALSE),0)</f>
        <v>-108055.155</v>
      </c>
      <c r="E30" s="548">
        <f>IFERROR(VLOOKUP($A30,Race_2024!A:L, 9,FALSE),0)</f>
        <v>0</v>
      </c>
      <c r="F30" s="548">
        <f>IFERROR(VLOOKUP($A30,Race_2024!A:L, 8,FALSE),0)</f>
        <v>-6928.5209999999997</v>
      </c>
      <c r="G30" s="548">
        <f>IFERROR(VLOOKUP($A30,Race_2024!A:L, 10,FALSE),0)</f>
        <v>-146280.81599999999</v>
      </c>
      <c r="H30" s="548">
        <f>IFERROR(VLOOKUP($A30,Race_2024!A:L, 11,FALSE),0)</f>
        <v>-148158.52100000001</v>
      </c>
      <c r="I30" s="547">
        <f>IFERROR(VLOOKUP($A30,Race_2024!A:L, 12,FALSE),0)</f>
        <v>0</v>
      </c>
      <c r="J30" s="554"/>
      <c r="K30" s="544"/>
    </row>
    <row r="31" spans="1:11" ht="15" x14ac:dyDescent="0.25">
      <c r="A31" s="546" t="s">
        <v>1231</v>
      </c>
      <c r="B31" s="546" t="e">
        <f>IFERROR(VLOOKUP(A31,Race_2024!A:C,3,FALSE), VLOOKUP(A31,Race_2024!A:C,3,FALSE))</f>
        <v>#N/A</v>
      </c>
      <c r="C31" s="563" t="s">
        <v>676</v>
      </c>
      <c r="D31" s="548">
        <f>IFERROR(VLOOKUP($A31,Race_2024!A:L, 7,FALSE),0)</f>
        <v>0</v>
      </c>
      <c r="E31" s="548">
        <f>IFERROR(VLOOKUP($A31,Race_2024!A:L, 9,FALSE),0)</f>
        <v>0</v>
      </c>
      <c r="F31" s="548">
        <f>IFERROR(VLOOKUP($A31,Race_2024!A:L, 8,FALSE),0)</f>
        <v>0</v>
      </c>
      <c r="G31" s="548">
        <f>IFERROR(VLOOKUP($A31,Race_2024!A:L, 10,FALSE),0)</f>
        <v>0</v>
      </c>
      <c r="H31" s="548">
        <f>IFERROR(VLOOKUP($A31,Race_2024!A:L, 11,FALSE),0)</f>
        <v>0</v>
      </c>
      <c r="I31" s="547">
        <f>IFERROR(VLOOKUP($A31,Race_2024!A:L, 12,FALSE),0)</f>
        <v>0</v>
      </c>
      <c r="J31" s="554"/>
      <c r="K31" s="544"/>
    </row>
    <row r="32" spans="1:11" ht="15" x14ac:dyDescent="0.25">
      <c r="A32" s="546" t="s">
        <v>1232</v>
      </c>
      <c r="B32" s="546" t="e">
        <f>IFERROR(VLOOKUP(A32,Race_2024!A:C,3,FALSE), VLOOKUP(A32,Race_2024!A:C,3,FALSE))</f>
        <v>#N/A</v>
      </c>
      <c r="C32" s="563" t="s">
        <v>675</v>
      </c>
      <c r="D32" s="548">
        <f>IFERROR(VLOOKUP($A32,Race_2024!A:L, 7,FALSE),0)</f>
        <v>0</v>
      </c>
      <c r="E32" s="548">
        <f>IFERROR(VLOOKUP($A32,Race_2024!A:L, 9,FALSE),0)</f>
        <v>0</v>
      </c>
      <c r="F32" s="548">
        <f>IFERROR(VLOOKUP($A32,Race_2024!A:L, 8,FALSE),0)</f>
        <v>0</v>
      </c>
      <c r="G32" s="548">
        <f>IFERROR(VLOOKUP($A32,Race_2024!A:L, 10,FALSE),0)</f>
        <v>0</v>
      </c>
      <c r="H32" s="548">
        <f>IFERROR(VLOOKUP($A32,Race_2024!A:L, 11,FALSE),0)</f>
        <v>0</v>
      </c>
      <c r="I32" s="547">
        <f>IFERROR(VLOOKUP($A32,Race_2024!A:L, 12,FALSE),0)</f>
        <v>0</v>
      </c>
      <c r="J32" s="554"/>
      <c r="K32" s="544"/>
    </row>
    <row r="33" spans="1:11" ht="15" x14ac:dyDescent="0.25">
      <c r="A33" s="546" t="s">
        <v>1233</v>
      </c>
      <c r="B33" s="546" t="str">
        <f>IFERROR(VLOOKUP(A33,Race_2024!A:C,3,FALSE), VLOOKUP(A33,Race_2024!A:C,3,FALSE))</f>
        <v>Var. in manuf. tot</v>
      </c>
      <c r="C33" s="564" t="s">
        <v>674</v>
      </c>
      <c r="D33" s="551">
        <f>IFERROR(VLOOKUP($A33,Race_2024!A:L, 7,FALSE),0)</f>
        <v>-899582.55299999996</v>
      </c>
      <c r="E33" s="551">
        <f>IFERROR(VLOOKUP($A33,Race_2024!A:L, 9,FALSE),0)</f>
        <v>-2424101.11</v>
      </c>
      <c r="F33" s="551">
        <f>IFERROR(VLOOKUP($A33,Race_2024!A:L, 8,FALSE),0)</f>
        <v>-578067.24899999995</v>
      </c>
      <c r="G33" s="551">
        <f>IFERROR(VLOOKUP($A33,Race_2024!A:L, 10,FALSE),0)</f>
        <v>-2604182.2779999999</v>
      </c>
      <c r="H33" s="551">
        <f>IFERROR(VLOOKUP($A33,Race_2024!A:L, 11,FALSE),0)</f>
        <v>-2486200.14</v>
      </c>
      <c r="I33" s="550">
        <f>IFERROR(VLOOKUP($A33,Race_2024!A:L, 12,FALSE),0)</f>
        <v>-4807963.6500000004</v>
      </c>
      <c r="J33" s="554"/>
      <c r="K33" s="544"/>
    </row>
    <row r="34" spans="1:11" ht="15" x14ac:dyDescent="0.25">
      <c r="A34" s="546" t="s">
        <v>1234</v>
      </c>
      <c r="B34" s="546" t="e">
        <f>IFERROR(VLOOKUP(A34,Race_2024!A:C,3,FALSE), VLOOKUP(A34,Race_2024!A:C,3,FALSE))</f>
        <v>#N/A</v>
      </c>
      <c r="C34" s="565" t="s">
        <v>673</v>
      </c>
      <c r="D34" s="548">
        <f>IFERROR(VLOOKUP($A34,Race_2024!A:L, 7,FALSE),0)</f>
        <v>0</v>
      </c>
      <c r="E34" s="548">
        <f>IFERROR(VLOOKUP($A34,Race_2024!A:L, 9,FALSE),0)</f>
        <v>0</v>
      </c>
      <c r="F34" s="548">
        <f>IFERROR(VLOOKUP($A34,Race_2024!A:L, 8,FALSE),0)</f>
        <v>0</v>
      </c>
      <c r="G34" s="548">
        <f>IFERROR(VLOOKUP($A34,Race_2024!A:L, 10,FALSE),0)</f>
        <v>0</v>
      </c>
      <c r="H34" s="548">
        <f>IFERROR(VLOOKUP($A34,Race_2024!A:L, 11,FALSE),0)</f>
        <v>0</v>
      </c>
      <c r="I34" s="547">
        <f>IFERROR(VLOOKUP($A34,Race_2024!A:L, 12,FALSE),0)</f>
        <v>0</v>
      </c>
      <c r="J34" s="554"/>
      <c r="K34" s="544"/>
    </row>
    <row r="35" spans="1:11" ht="15" x14ac:dyDescent="0.25">
      <c r="A35" s="546" t="s">
        <v>1235</v>
      </c>
      <c r="B35" s="546" t="str">
        <f>IFERROR(VLOOKUP(A35,Race_2024!A:C,3,FALSE), VLOOKUP(A35,Race_2024!A:C,3,FALSE))</f>
        <v>Var.to mfg oth.inp.</v>
      </c>
      <c r="C35" s="565" t="s">
        <v>922</v>
      </c>
      <c r="D35" s="548">
        <f>IFERROR(VLOOKUP($A35,Race_2024!A:L, 7,FALSE),0)</f>
        <v>10885.778</v>
      </c>
      <c r="E35" s="548">
        <f>IFERROR(VLOOKUP($A35,Race_2024!A:L, 9,FALSE),0)</f>
        <v>0</v>
      </c>
      <c r="F35" s="548">
        <f>IFERROR(VLOOKUP($A35,Race_2024!A:L, 8,FALSE),0)</f>
        <v>7773.4110000000001</v>
      </c>
      <c r="G35" s="548">
        <f>IFERROR(VLOOKUP($A35,Race_2024!A:L, 10,FALSE),0)</f>
        <v>9090.6119999999992</v>
      </c>
      <c r="H35" s="548">
        <f>IFERROR(VLOOKUP($A35,Race_2024!A:L, 11,FALSE),0)</f>
        <v>15546.822</v>
      </c>
      <c r="I35" s="547">
        <f>IFERROR(VLOOKUP($A35,Race_2024!A:L, 12,FALSE),0)</f>
        <v>0</v>
      </c>
      <c r="J35" s="554"/>
      <c r="K35" s="544"/>
    </row>
    <row r="36" spans="1:11" ht="15" x14ac:dyDescent="0.25">
      <c r="A36" s="546" t="s">
        <v>1236</v>
      </c>
      <c r="B36" s="546" t="str">
        <f>IFERROR(VLOOKUP(A36,Race_2024!A:C,3,FALSE), VLOOKUP(A36,Race_2024!A:C,3,FALSE))</f>
        <v>Var.to mfg oth.inp.</v>
      </c>
      <c r="C36" s="565" t="s">
        <v>923</v>
      </c>
      <c r="D36" s="548">
        <f>IFERROR(VLOOKUP($A36,Race_2024!A:L, 7,FALSE),0)</f>
        <v>7839.7740000000003</v>
      </c>
      <c r="E36" s="548">
        <f>IFERROR(VLOOKUP($A36,Race_2024!A:L, 9,FALSE),0)</f>
        <v>0</v>
      </c>
      <c r="F36" s="548">
        <f>IFERROR(VLOOKUP($A36,Race_2024!A:L, 8,FALSE),0)</f>
        <v>-57735.146999999997</v>
      </c>
      <c r="G36" s="548">
        <f>IFERROR(VLOOKUP($A36,Race_2024!A:L, 10,FALSE),0)</f>
        <v>-106155.768</v>
      </c>
      <c r="H36" s="548">
        <f>IFERROR(VLOOKUP($A36,Race_2024!A:L, 11,FALSE),0)</f>
        <v>-115470.29399999999</v>
      </c>
      <c r="I36" s="547">
        <f>IFERROR(VLOOKUP($A36,Race_2024!A:L, 12,FALSE),0)</f>
        <v>0</v>
      </c>
      <c r="J36" s="554"/>
      <c r="K36" s="544"/>
    </row>
    <row r="37" spans="1:11" ht="15" x14ac:dyDescent="0.25">
      <c r="A37" s="546" t="s">
        <v>1237</v>
      </c>
      <c r="B37" s="546" t="e">
        <f>IFERROR(VLOOKUP(A37,Race_2024!A:C,3,FALSE), VLOOKUP(A37,Race_2024!A:C,3,FALSE))</f>
        <v>#N/A</v>
      </c>
      <c r="C37" s="565" t="s">
        <v>672</v>
      </c>
      <c r="D37" s="548">
        <f>IFERROR(VLOOKUP($A37,Race_2024!A:L, 7,FALSE),0)</f>
        <v>0</v>
      </c>
      <c r="E37" s="548">
        <f>IFERROR(VLOOKUP($A37,Race_2024!A:L, 9,FALSE),0)</f>
        <v>0</v>
      </c>
      <c r="F37" s="548">
        <f>IFERROR(VLOOKUP($A37,Race_2024!A:L, 8,FALSE),0)</f>
        <v>0</v>
      </c>
      <c r="G37" s="548">
        <f>IFERROR(VLOOKUP($A37,Race_2024!A:L, 10,FALSE),0)</f>
        <v>0</v>
      </c>
      <c r="H37" s="548">
        <f>IFERROR(VLOOKUP($A37,Race_2024!A:L, 11,FALSE),0)</f>
        <v>0</v>
      </c>
      <c r="I37" s="547">
        <f>IFERROR(VLOOKUP($A37,Race_2024!A:L, 12,FALSE),0)</f>
        <v>0</v>
      </c>
      <c r="J37" s="554"/>
      <c r="K37" s="544"/>
    </row>
    <row r="38" spans="1:11" ht="15" x14ac:dyDescent="0.25">
      <c r="A38" s="546" t="s">
        <v>1238</v>
      </c>
      <c r="B38" s="546" t="str">
        <f>IFERROR(VLOOKUP(A38,Race_2024!A:C,3,FALSE), VLOOKUP(A38,Race_2024!A:C,3,FALSE))</f>
        <v>Var.in Pr.Labor dep.</v>
      </c>
      <c r="C38" s="565" t="s">
        <v>924</v>
      </c>
      <c r="D38" s="548">
        <f>IFERROR(VLOOKUP($A38,Race_2024!A:L, 7,FALSE),0)</f>
        <v>-140694.541</v>
      </c>
      <c r="E38" s="548">
        <f>IFERROR(VLOOKUP($A38,Race_2024!A:L, 9,FALSE),0)</f>
        <v>0</v>
      </c>
      <c r="F38" s="548">
        <f>IFERROR(VLOOKUP($A38,Race_2024!A:L, 8,FALSE),0)</f>
        <v>12253.276</v>
      </c>
      <c r="G38" s="548">
        <f>IFERROR(VLOOKUP($A38,Race_2024!A:L, 10,FALSE),0)</f>
        <v>-206837.61199999999</v>
      </c>
      <c r="H38" s="548">
        <f>IFERROR(VLOOKUP($A38,Race_2024!A:L, 11,FALSE),0)</f>
        <v>-364549.82199999999</v>
      </c>
      <c r="I38" s="547">
        <f>IFERROR(VLOOKUP($A38,Race_2024!A:L, 12,FALSE),0)</f>
        <v>0</v>
      </c>
      <c r="J38" s="554"/>
      <c r="K38" s="544"/>
    </row>
    <row r="39" spans="1:11" ht="15" x14ac:dyDescent="0.25">
      <c r="A39" s="546" t="s">
        <v>1239</v>
      </c>
      <c r="B39" s="546" t="str">
        <f>IFERROR(VLOOKUP(A39,Race_2024!A:C,3,FALSE), VLOOKUP(A39,Race_2024!A:C,3,FALSE))</f>
        <v>Var.in Pro.Machine d</v>
      </c>
      <c r="C39" s="565" t="s">
        <v>925</v>
      </c>
      <c r="D39" s="548">
        <f>IFERROR(VLOOKUP($A39,Race_2024!A:L, 7,FALSE),0)</f>
        <v>-15358.883</v>
      </c>
      <c r="E39" s="548">
        <f>IFERROR(VLOOKUP($A39,Race_2024!A:L, 9,FALSE),0)</f>
        <v>0</v>
      </c>
      <c r="F39" s="548">
        <f>IFERROR(VLOOKUP($A39,Race_2024!A:L, 8,FALSE),0)</f>
        <v>-205478.71799999999</v>
      </c>
      <c r="G39" s="548">
        <f>IFERROR(VLOOKUP($A39,Race_2024!A:L, 10,FALSE),0)</f>
        <v>-272939.23200000002</v>
      </c>
      <c r="H39" s="548">
        <f>IFERROR(VLOOKUP($A39,Race_2024!A:L, 11,FALSE),0)</f>
        <v>-262278.70600000001</v>
      </c>
      <c r="I39" s="547">
        <f>IFERROR(VLOOKUP($A39,Race_2024!A:L, 12,FALSE),0)</f>
        <v>0</v>
      </c>
      <c r="J39" s="554"/>
      <c r="K39" s="544"/>
    </row>
    <row r="40" spans="1:11" ht="15" x14ac:dyDescent="0.25">
      <c r="A40" s="546" t="s">
        <v>1240</v>
      </c>
      <c r="B40" s="546" t="str">
        <f>IFERROR(VLOOKUP(A40,Race_2024!A:C,3,FALSE), VLOOKUP(A40,Race_2024!A:C,3,FALSE))</f>
        <v>Var.act to std.prod.</v>
      </c>
      <c r="C40" s="565" t="s">
        <v>926</v>
      </c>
      <c r="D40" s="548">
        <f>IFERROR(VLOOKUP($A40,Race_2024!A:L, 7,FALSE),0)</f>
        <v>-46293.252999999997</v>
      </c>
      <c r="E40" s="548">
        <f>IFERROR(VLOOKUP($A40,Race_2024!A:L, 9,FALSE),0)</f>
        <v>0</v>
      </c>
      <c r="F40" s="548">
        <f>IFERROR(VLOOKUP($A40,Race_2024!A:L, 8,FALSE),0)</f>
        <v>-1415.943</v>
      </c>
      <c r="G40" s="548">
        <f>IFERROR(VLOOKUP($A40,Race_2024!A:L, 10,FALSE),0)</f>
        <v>0</v>
      </c>
      <c r="H40" s="548">
        <f>IFERROR(VLOOKUP($A40,Race_2024!A:L, 11,FALSE),0)</f>
        <v>-1415.943</v>
      </c>
      <c r="I40" s="547">
        <f>IFERROR(VLOOKUP($A40,Race_2024!A:L, 12,FALSE),0)</f>
        <v>0</v>
      </c>
      <c r="J40" s="554"/>
      <c r="K40" s="544"/>
    </row>
    <row r="41" spans="1:11" ht="15" x14ac:dyDescent="0.25">
      <c r="A41" s="546" t="s">
        <v>1241</v>
      </c>
      <c r="B41" s="546" t="str">
        <f>IFERROR(VLOOKUP(A41,Race_2024!A:C,3,FALSE), VLOOKUP(A41,Race_2024!A:C,3,FALSE))</f>
        <v>Var.Inbound freight</v>
      </c>
      <c r="C41" s="565" t="s">
        <v>927</v>
      </c>
      <c r="D41" s="548">
        <f>IFERROR(VLOOKUP($A41,Race_2024!A:L, 7,FALSE),0)</f>
        <v>-498933.19500000001</v>
      </c>
      <c r="E41" s="548">
        <f>IFERROR(VLOOKUP($A41,Race_2024!A:L, 9,FALSE),0)</f>
        <v>0</v>
      </c>
      <c r="F41" s="548">
        <f>IFERROR(VLOOKUP($A41,Race_2024!A:L, 8,FALSE),0)</f>
        <v>59629.938999999998</v>
      </c>
      <c r="G41" s="548">
        <f>IFERROR(VLOOKUP($A41,Race_2024!A:L, 10,FALSE),0)</f>
        <v>-14471.741</v>
      </c>
      <c r="H41" s="548">
        <f>IFERROR(VLOOKUP($A41,Race_2024!A:L, 11,FALSE),0)</f>
        <v>34144</v>
      </c>
      <c r="I41" s="547">
        <f>IFERROR(VLOOKUP($A41,Race_2024!A:L, 12,FALSE),0)</f>
        <v>0</v>
      </c>
      <c r="J41" s="554"/>
      <c r="K41" s="544"/>
    </row>
    <row r="42" spans="1:11" ht="15" x14ac:dyDescent="0.25">
      <c r="A42" s="546" t="s">
        <v>1242</v>
      </c>
      <c r="B42" s="546" t="str">
        <f>IFERROR(VLOOKUP(A42,Race_2024!A:C,3,FALSE), VLOOKUP(A42,Race_2024!A:C,3,FALSE))</f>
        <v>Var. ICO Cus. &amp; Duty</v>
      </c>
      <c r="C42" s="565" t="s">
        <v>928</v>
      </c>
      <c r="D42" s="548">
        <f>IFERROR(VLOOKUP($A42,Race_2024!A:L, 7,FALSE),0)</f>
        <v>-80.233999999999995</v>
      </c>
      <c r="E42" s="548">
        <f>IFERROR(VLOOKUP($A42,Race_2024!A:L, 9,FALSE),0)</f>
        <v>0</v>
      </c>
      <c r="F42" s="548">
        <f>IFERROR(VLOOKUP($A42,Race_2024!A:L, 8,FALSE),0)</f>
        <v>14.218</v>
      </c>
      <c r="G42" s="548">
        <f>IFERROR(VLOOKUP($A42,Race_2024!A:L, 10,FALSE),0)</f>
        <v>0</v>
      </c>
      <c r="H42" s="548">
        <f>IFERROR(VLOOKUP($A42,Race_2024!A:L, 11,FALSE),0)</f>
        <v>14.218</v>
      </c>
      <c r="I42" s="547">
        <f>IFERROR(VLOOKUP($A42,Race_2024!A:L, 12,FALSE),0)</f>
        <v>0</v>
      </c>
      <c r="J42" s="554"/>
      <c r="K42" s="544"/>
    </row>
    <row r="43" spans="1:11" ht="15" x14ac:dyDescent="0.25">
      <c r="A43" s="546" t="s">
        <v>1243</v>
      </c>
      <c r="B43" s="546" t="str">
        <f>IFERROR(VLOOKUP(A43,Race_2024!A:C,3,FALSE), VLOOKUP(A43,Race_2024!A:C,3,FALSE))</f>
        <v>Var.to lab.C.T.incr.</v>
      </c>
      <c r="C43" s="565" t="s">
        <v>671</v>
      </c>
      <c r="D43" s="548">
        <f>IFERROR(VLOOKUP($A43,Race_2024!A:L, 7,FALSE),0)</f>
        <v>139006.83199999999</v>
      </c>
      <c r="E43" s="548">
        <f>IFERROR(VLOOKUP($A43,Race_2024!A:L, 9,FALSE),0)</f>
        <v>0</v>
      </c>
      <c r="F43" s="548">
        <f>IFERROR(VLOOKUP($A43,Race_2024!A:L, 8,FALSE),0)</f>
        <v>-17714.415000000001</v>
      </c>
      <c r="G43" s="548">
        <f>IFERROR(VLOOKUP($A43,Race_2024!A:L, 10,FALSE),0)</f>
        <v>-17714.415000000001</v>
      </c>
      <c r="H43" s="548">
        <f>IFERROR(VLOOKUP($A43,Race_2024!A:L, 11,FALSE),0)</f>
        <v>-17714.415000000001</v>
      </c>
      <c r="I43" s="547">
        <f>IFERROR(VLOOKUP($A43,Race_2024!A:L, 12,FALSE),0)</f>
        <v>0</v>
      </c>
      <c r="J43" s="554"/>
      <c r="K43" s="544"/>
    </row>
    <row r="44" spans="1:11" ht="15" x14ac:dyDescent="0.25">
      <c r="A44" s="546" t="s">
        <v>1244</v>
      </c>
      <c r="B44" s="546" t="str">
        <f>IFERROR(VLOOKUP(A44,Race_2024!A:C,3,FALSE), VLOOKUP(A44,Race_2024!A:C,3,FALSE))</f>
        <v>Var.rew/spoil/scrap</v>
      </c>
      <c r="C44" s="565" t="s">
        <v>184</v>
      </c>
      <c r="D44" s="548">
        <f>IFERROR(VLOOKUP($A44,Race_2024!A:L, 7,FALSE),0)</f>
        <v>-44586.343000000001</v>
      </c>
      <c r="E44" s="548">
        <f>IFERROR(VLOOKUP($A44,Race_2024!A:L, 9,FALSE),0)</f>
        <v>-804050.11</v>
      </c>
      <c r="F44" s="548">
        <f>IFERROR(VLOOKUP($A44,Race_2024!A:L, 8,FALSE),0)</f>
        <v>-184294.21</v>
      </c>
      <c r="G44" s="548">
        <f>IFERROR(VLOOKUP($A44,Race_2024!A:L, 10,FALSE),0)</f>
        <v>-675029.11</v>
      </c>
      <c r="H44" s="548">
        <f>IFERROR(VLOOKUP($A44,Race_2024!A:L, 11,FALSE),0)</f>
        <v>-878747</v>
      </c>
      <c r="I44" s="547">
        <f>IFERROR(VLOOKUP($A44,Race_2024!A:L, 12,FALSE),0)</f>
        <v>-2837413.65</v>
      </c>
      <c r="J44" s="554"/>
      <c r="K44" s="544"/>
    </row>
    <row r="45" spans="1:11" ht="15" x14ac:dyDescent="0.25">
      <c r="A45" s="546" t="s">
        <v>1245</v>
      </c>
      <c r="B45" s="546" t="str">
        <f>IFERROR(VLOOKUP(A45,Race_2024!A:C,3,FALSE), VLOOKUP(A45,Race_2024!A:C,3,FALSE))</f>
        <v>Var. material usage</v>
      </c>
      <c r="C45" s="565" t="s">
        <v>670</v>
      </c>
      <c r="D45" s="548">
        <f>IFERROR(VLOOKUP($A45,Race_2024!A:L, 7,FALSE),0)</f>
        <v>-311368.48800000001</v>
      </c>
      <c r="E45" s="548">
        <f>IFERROR(VLOOKUP($A45,Race_2024!A:L, 9,FALSE),0)</f>
        <v>0</v>
      </c>
      <c r="F45" s="548">
        <f>IFERROR(VLOOKUP($A45,Race_2024!A:L, 8,FALSE),0)</f>
        <v>-83134.895000000004</v>
      </c>
      <c r="G45" s="548">
        <f>IFERROR(VLOOKUP($A45,Race_2024!A:L, 10,FALSE),0)</f>
        <v>4864.9880000000003</v>
      </c>
      <c r="H45" s="548">
        <f>IFERROR(VLOOKUP($A45,Race_2024!A:L, 11,FALSE),0)</f>
        <v>27261</v>
      </c>
      <c r="I45" s="547">
        <f>IFERROR(VLOOKUP($A45,Race_2024!A:L, 12,FALSE),0)</f>
        <v>0</v>
      </c>
      <c r="J45" s="554"/>
      <c r="K45" s="544"/>
    </row>
    <row r="46" spans="1:11" ht="15" x14ac:dyDescent="0.25">
      <c r="A46" s="546" t="s">
        <v>1246</v>
      </c>
      <c r="B46" s="546" t="str">
        <f>IFERROR(VLOOKUP(A46,Race_2024!A:C,3,FALSE), VLOOKUP(A46,Race_2024!A:C,3,FALSE))</f>
        <v>Var.due t.startUp C</v>
      </c>
      <c r="C46" s="565" t="s">
        <v>669</v>
      </c>
      <c r="D46" s="548">
        <f>IFERROR(VLOOKUP($A46,Race_2024!A:L, 7,FALSE),0)</f>
        <v>0</v>
      </c>
      <c r="E46" s="548">
        <f>IFERROR(VLOOKUP($A46,Race_2024!A:L, 9,FALSE),0)</f>
        <v>-1620051</v>
      </c>
      <c r="F46" s="548">
        <f>IFERROR(VLOOKUP($A46,Race_2024!A:L, 8,FALSE),0)</f>
        <v>-107964.765</v>
      </c>
      <c r="G46" s="548">
        <f>IFERROR(VLOOKUP($A46,Race_2024!A:L, 10,FALSE),0)</f>
        <v>-1324990</v>
      </c>
      <c r="H46" s="548">
        <f>IFERROR(VLOOKUP($A46,Race_2024!A:L, 11,FALSE),0)</f>
        <v>-922990</v>
      </c>
      <c r="I46" s="547">
        <f>IFERROR(VLOOKUP($A46,Race_2024!A:L, 12,FALSE),0)</f>
        <v>-1970550</v>
      </c>
      <c r="J46" s="554"/>
      <c r="K46" s="544"/>
    </row>
    <row r="47" spans="1:11" ht="15" x14ac:dyDescent="0.25">
      <c r="A47" s="546" t="s">
        <v>1247</v>
      </c>
      <c r="B47" s="546" t="str">
        <f>IFERROR(VLOOKUP(A47,Race_2024!A:C,3,FALSE), VLOOKUP(A47,Race_2024!A:C,3,FALSE))</f>
        <v>Other cost var. tot</v>
      </c>
      <c r="C47" s="564" t="s">
        <v>668</v>
      </c>
      <c r="D47" s="551">
        <f>IFERROR(VLOOKUP($A47,Race_2024!A:L, 7,FALSE),0)</f>
        <v>-277966.32799999998</v>
      </c>
      <c r="E47" s="551">
        <f>IFERROR(VLOOKUP($A47,Race_2024!A:L, 9,FALSE),0)</f>
        <v>-613150.723</v>
      </c>
      <c r="F47" s="551">
        <f>IFERROR(VLOOKUP($A47,Race_2024!A:L, 8,FALSE),0)</f>
        <v>-42382.802000000003</v>
      </c>
      <c r="G47" s="551">
        <f>IFERROR(VLOOKUP($A47,Race_2024!A:L, 10,FALSE),0)</f>
        <v>-593583.46100000001</v>
      </c>
      <c r="H47" s="551">
        <f>IFERROR(VLOOKUP($A47,Race_2024!A:L, 11,FALSE),0)</f>
        <v>-382380.97700000001</v>
      </c>
      <c r="I47" s="550">
        <f>IFERROR(VLOOKUP($A47,Race_2024!A:L, 12,FALSE),0)</f>
        <v>-896453.00600000005</v>
      </c>
      <c r="J47" s="554"/>
      <c r="K47" s="544"/>
    </row>
    <row r="48" spans="1:11" ht="15" x14ac:dyDescent="0.25">
      <c r="A48" s="546" t="s">
        <v>1248</v>
      </c>
      <c r="B48" s="546" t="e">
        <f>IFERROR(VLOOKUP(A48,Race_2024!A:C,3,FALSE), VLOOKUP(A48,Race_2024!A:C,3,FALSE))</f>
        <v>#N/A</v>
      </c>
      <c r="C48" s="563" t="s">
        <v>921</v>
      </c>
      <c r="D48" s="548">
        <f>IFERROR(VLOOKUP($A48,Race_2024!A:L, 7,FALSE),0)</f>
        <v>0</v>
      </c>
      <c r="E48" s="548">
        <f>IFERROR(VLOOKUP($A48,Race_2024!A:L, 9,FALSE),0)</f>
        <v>0</v>
      </c>
      <c r="F48" s="548">
        <f>IFERROR(VLOOKUP($A48,Race_2024!A:L, 8,FALSE),0)</f>
        <v>0</v>
      </c>
      <c r="G48" s="548">
        <f>IFERROR(VLOOKUP($A48,Race_2024!A:L, 10,FALSE),0)</f>
        <v>0</v>
      </c>
      <c r="H48" s="548">
        <f>IFERROR(VLOOKUP($A48,Race_2024!A:L, 11,FALSE),0)</f>
        <v>0</v>
      </c>
      <c r="I48" s="547">
        <f>IFERROR(VLOOKUP($A48,Race_2024!A:L, 12,FALSE),0)</f>
        <v>0</v>
      </c>
      <c r="J48" s="554"/>
      <c r="K48" s="544"/>
    </row>
    <row r="49" spans="1:11" ht="15" x14ac:dyDescent="0.25">
      <c r="A49" s="546" t="s">
        <v>1249</v>
      </c>
      <c r="B49" s="546" t="str">
        <f>IFERROR(VLOOKUP(A49,Race_2024!A:C,3,FALSE), VLOOKUP(A49,Race_2024!A:C,3,FALSE))</f>
        <v>R&amp;A and gen.warr.</v>
      </c>
      <c r="C49" s="563" t="s">
        <v>667</v>
      </c>
      <c r="D49" s="548">
        <f>IFERROR(VLOOKUP($A49,Race_2024!A:L, 7,FALSE),0)</f>
        <v>-185508.25200000001</v>
      </c>
      <c r="E49" s="548">
        <f>IFERROR(VLOOKUP($A49,Race_2024!A:L, 9,FALSE),0)</f>
        <v>-613150.723</v>
      </c>
      <c r="F49" s="548">
        <f>IFERROR(VLOOKUP($A49,Race_2024!A:L, 8,FALSE),0)</f>
        <v>-178413.932</v>
      </c>
      <c r="G49" s="548">
        <f>IFERROR(VLOOKUP($A49,Race_2024!A:L, 10,FALSE),0)</f>
        <v>-682931.82299999997</v>
      </c>
      <c r="H49" s="548">
        <f>IFERROR(VLOOKUP($A49,Race_2024!A:L, 11,FALSE),0)</f>
        <v>-507144.62800000003</v>
      </c>
      <c r="I49" s="547">
        <f>IFERROR(VLOOKUP($A49,Race_2024!A:L, 12,FALSE),0)</f>
        <v>-896453.00600000005</v>
      </c>
      <c r="J49" s="554"/>
      <c r="K49" s="544"/>
    </row>
    <row r="50" spans="1:11" ht="15" x14ac:dyDescent="0.25">
      <c r="A50" s="546" t="s">
        <v>1250</v>
      </c>
      <c r="B50" s="546" t="str">
        <f>IFERROR(VLOOKUP(A50,Race_2024!A:C,3,FALSE), VLOOKUP(A50,Race_2024!A:C,3,FALSE))</f>
        <v>Var. to handling</v>
      </c>
      <c r="C50" s="563" t="s">
        <v>666</v>
      </c>
      <c r="D50" s="548">
        <f>IFERROR(VLOOKUP($A50,Race_2024!A:L, 7,FALSE),0)</f>
        <v>25867.114000000001</v>
      </c>
      <c r="E50" s="548">
        <f>IFERROR(VLOOKUP($A50,Race_2024!A:L, 9,FALSE),0)</f>
        <v>0</v>
      </c>
      <c r="F50" s="548">
        <f>IFERROR(VLOOKUP($A50,Race_2024!A:L, 8,FALSE),0)</f>
        <v>121325.933</v>
      </c>
      <c r="G50" s="548">
        <f>IFERROR(VLOOKUP($A50,Race_2024!A:L, 10,FALSE),0)</f>
        <v>67822.353000000003</v>
      </c>
      <c r="H50" s="548">
        <f>IFERROR(VLOOKUP($A50,Race_2024!A:L, 11,FALSE),0)</f>
        <v>110058.454</v>
      </c>
      <c r="I50" s="547">
        <f>IFERROR(VLOOKUP($A50,Race_2024!A:L, 12,FALSE),0)</f>
        <v>0</v>
      </c>
      <c r="J50" s="554"/>
      <c r="K50" s="544"/>
    </row>
    <row r="51" spans="1:11" ht="15" x14ac:dyDescent="0.25">
      <c r="A51" s="546" t="s">
        <v>1251</v>
      </c>
      <c r="B51" s="546" t="str">
        <f>IFERROR(VLOOKUP(A51,Race_2024!A:C,3,FALSE), VLOOKUP(A51,Race_2024!A:C,3,FALSE))</f>
        <v>Var. to freight</v>
      </c>
      <c r="C51" s="563" t="s">
        <v>665</v>
      </c>
      <c r="D51" s="548">
        <f>IFERROR(VLOOKUP($A51,Race_2024!A:L, 7,FALSE),0)</f>
        <v>-131360.89199999999</v>
      </c>
      <c r="E51" s="548">
        <f>IFERROR(VLOOKUP($A51,Race_2024!A:L, 9,FALSE),0)</f>
        <v>0</v>
      </c>
      <c r="F51" s="548">
        <f>IFERROR(VLOOKUP($A51,Race_2024!A:L, 8,FALSE),0)</f>
        <v>13134.306</v>
      </c>
      <c r="G51" s="548">
        <f>IFERROR(VLOOKUP($A51,Race_2024!A:L, 10,FALSE),0)</f>
        <v>19955.117999999999</v>
      </c>
      <c r="H51" s="548">
        <f>IFERROR(VLOOKUP($A51,Race_2024!A:L, 11,FALSE),0)</f>
        <v>13134.306</v>
      </c>
      <c r="I51" s="547">
        <f>IFERROR(VLOOKUP($A51,Race_2024!A:L, 12,FALSE),0)</f>
        <v>0</v>
      </c>
      <c r="J51" s="554"/>
      <c r="K51" s="544"/>
    </row>
    <row r="52" spans="1:11" ht="15" x14ac:dyDescent="0.25">
      <c r="A52" s="546" t="s">
        <v>1252</v>
      </c>
      <c r="B52" s="546" t="str">
        <f>IFERROR(VLOOKUP(A52,Race_2024!A:C,3,FALSE), VLOOKUP(A52,Race_2024!A:C,3,FALSE))</f>
        <v>Other cost var.</v>
      </c>
      <c r="C52" s="563" t="s">
        <v>664</v>
      </c>
      <c r="D52" s="548">
        <f>IFERROR(VLOOKUP($A52,Race_2024!A:L, 7,FALSE),0)</f>
        <v>13035.701999999999</v>
      </c>
      <c r="E52" s="548">
        <f>IFERROR(VLOOKUP($A52,Race_2024!A:L, 9,FALSE),0)</f>
        <v>0</v>
      </c>
      <c r="F52" s="548">
        <f>IFERROR(VLOOKUP($A52,Race_2024!A:L, 8,FALSE),0)</f>
        <v>1570.8910000000001</v>
      </c>
      <c r="G52" s="548">
        <f>IFERROR(VLOOKUP($A52,Race_2024!A:L, 10,FALSE),0)</f>
        <v>1570.8910000000001</v>
      </c>
      <c r="H52" s="548">
        <f>IFERROR(VLOOKUP($A52,Race_2024!A:L, 11,FALSE),0)</f>
        <v>1570.8910000000001</v>
      </c>
      <c r="I52" s="547">
        <f>IFERROR(VLOOKUP($A52,Race_2024!A:L, 12,FALSE),0)</f>
        <v>0</v>
      </c>
      <c r="J52" s="554"/>
      <c r="K52" s="544"/>
    </row>
    <row r="53" spans="1:11" ht="15" x14ac:dyDescent="0.25">
      <c r="A53" s="614" t="s">
        <v>1253</v>
      </c>
      <c r="B53" s="546" t="str">
        <f>IFERROR(VLOOKUP(A53,Race_2024!A:C,3,FALSE), VLOOKUP(A53,Race_2024!A:C,3,FALSE))</f>
        <v>MC after variations</v>
      </c>
      <c r="C53" s="615" t="s">
        <v>444</v>
      </c>
      <c r="D53" s="568">
        <f>IFERROR(VLOOKUP($A53,Race_2024!A:L, 7,FALSE),0)</f>
        <v>20452158.526000001</v>
      </c>
      <c r="E53" s="568">
        <f>IFERROR(VLOOKUP($A53,Race_2024!A:L, 9,FALSE),0)</f>
        <v>12780839.868000001</v>
      </c>
      <c r="F53" s="568">
        <f>IFERROR(VLOOKUP($A53,Race_2024!A:L, 8,FALSE),0)</f>
        <v>4775552.0190000003</v>
      </c>
      <c r="G53" s="568">
        <f>IFERROR(VLOOKUP($A53,Race_2024!A:L, 10,FALSE),0)</f>
        <v>21327945.298999999</v>
      </c>
      <c r="H53" s="568">
        <f>IFERROR(VLOOKUP($A53,Race_2024!A:L, 11,FALSE),0)</f>
        <v>20364668.249000002</v>
      </c>
      <c r="I53" s="567">
        <f>IFERROR(VLOOKUP($A53,Race_2024!A:L, 12,FALSE),0)</f>
        <v>29577826.390999999</v>
      </c>
      <c r="J53" s="554"/>
      <c r="K53" s="544"/>
    </row>
    <row r="54" spans="1:11" ht="15" x14ac:dyDescent="0.25">
      <c r="A54" s="546" t="s">
        <v>1254</v>
      </c>
      <c r="B54" s="546" t="str">
        <f>IFERROR(VLOOKUP(A54,Race_2024!A:C,3,FALSE), VLOOKUP(A54,Race_2024!A:C,3,FALSE))</f>
        <v>Prod.&amp;mat.mgmt.exp.</v>
      </c>
      <c r="C54" s="552" t="s">
        <v>663</v>
      </c>
      <c r="D54" s="551">
        <f>IFERROR(VLOOKUP($A54,Race_2024!A:L, 7,FALSE),0)</f>
        <v>-7485919.0949999997</v>
      </c>
      <c r="E54" s="551">
        <f>IFERROR(VLOOKUP($A54,Race_2024!A:L, 9,FALSE),0)</f>
        <v>-16436717.347999999</v>
      </c>
      <c r="F54" s="551">
        <f>IFERROR(VLOOKUP($A54,Race_2024!A:L, 8,FALSE),0)</f>
        <v>-8102987.1849999996</v>
      </c>
      <c r="G54" s="551">
        <f>IFERROR(VLOOKUP($A54,Race_2024!A:L, 10,FALSE),0)</f>
        <v>-15958756.688999999</v>
      </c>
      <c r="H54" s="551">
        <f>IFERROR(VLOOKUP($A54,Race_2024!A:L, 11,FALSE),0)</f>
        <v>-16560948.946</v>
      </c>
      <c r="I54" s="550">
        <f>IFERROR(VLOOKUP($A54,Race_2024!A:L, 12,FALSE),0)</f>
        <v>-20107462.675000001</v>
      </c>
      <c r="J54" s="554"/>
      <c r="K54" s="544"/>
    </row>
    <row r="55" spans="1:11" ht="15" x14ac:dyDescent="0.25">
      <c r="A55" s="546" t="s">
        <v>1255</v>
      </c>
      <c r="B55" s="546" t="str">
        <f>IFERROR(VLOOKUP(A55,Race_2024!A:C,3,FALSE), VLOOKUP(A55,Race_2024!A:C,3,FALSE))</f>
        <v>PE production</v>
      </c>
      <c r="C55" s="549" t="s">
        <v>662</v>
      </c>
      <c r="D55" s="548">
        <f>IFERROR(VLOOKUP($A55,Race_2024!A:L, 7,FALSE),0)</f>
        <v>-5919933.6440000003</v>
      </c>
      <c r="E55" s="548">
        <f>IFERROR(VLOOKUP($A55,Race_2024!A:L, 9,FALSE),0)</f>
        <v>-12733969.291999999</v>
      </c>
      <c r="F55" s="548">
        <f>IFERROR(VLOOKUP($A55,Race_2024!A:L, 8,FALSE),0)</f>
        <v>-6223955.551</v>
      </c>
      <c r="G55" s="548">
        <f>IFERROR(VLOOKUP($A55,Race_2024!A:L, 10,FALSE),0)</f>
        <v>-12114355.251</v>
      </c>
      <c r="H55" s="548">
        <f>IFERROR(VLOOKUP($A55,Race_2024!A:L, 11,FALSE),0)</f>
        <v>-12725921.755999999</v>
      </c>
      <c r="I55" s="547">
        <f>IFERROR(VLOOKUP($A55,Race_2024!A:L, 12,FALSE),0)</f>
        <v>-8433746.8149999995</v>
      </c>
      <c r="J55" s="554"/>
      <c r="K55" s="544"/>
    </row>
    <row r="56" spans="1:11" ht="15" x14ac:dyDescent="0.25">
      <c r="A56" s="546" t="s">
        <v>1256</v>
      </c>
      <c r="B56" s="546" t="str">
        <f>IFERROR(VLOOKUP(A56,Race_2024!A:C,3,FALSE), VLOOKUP(A56,Race_2024!A:C,3,FALSE))</f>
        <v>PE mat. management</v>
      </c>
      <c r="C56" s="549" t="s">
        <v>661</v>
      </c>
      <c r="D56" s="548">
        <f>IFERROR(VLOOKUP($A56,Race_2024!A:L, 7,FALSE),0)</f>
        <v>-1180339.3019999999</v>
      </c>
      <c r="E56" s="548">
        <f>IFERROR(VLOOKUP($A56,Race_2024!A:L, 9,FALSE),0)</f>
        <v>-2840206.074</v>
      </c>
      <c r="F56" s="548">
        <f>IFERROR(VLOOKUP($A56,Race_2024!A:L, 8,FALSE),0)</f>
        <v>-1470689.274</v>
      </c>
      <c r="G56" s="548">
        <f>IFERROR(VLOOKUP($A56,Race_2024!A:L, 10,FALSE),0)</f>
        <v>-3003433.7629999998</v>
      </c>
      <c r="H56" s="548">
        <f>IFERROR(VLOOKUP($A56,Race_2024!A:L, 11,FALSE),0)</f>
        <v>-3000782.9610000001</v>
      </c>
      <c r="I56" s="547">
        <f>IFERROR(VLOOKUP($A56,Race_2024!A:L, 12,FALSE),0)</f>
        <v>-3980647.2110000001</v>
      </c>
      <c r="J56" s="554"/>
      <c r="K56" s="544"/>
    </row>
    <row r="57" spans="1:11" ht="15" x14ac:dyDescent="0.25">
      <c r="A57" s="546" t="s">
        <v>1257</v>
      </c>
      <c r="B57" s="546" t="str">
        <f>IFERROR(VLOOKUP(A57,Race_2024!A:C,3,FALSE), VLOOKUP(A57,Race_2024!A:C,3,FALSE))</f>
        <v>PE plant admin.</v>
      </c>
      <c r="C57" s="549" t="s">
        <v>660</v>
      </c>
      <c r="D57" s="548">
        <f>IFERROR(VLOOKUP($A57,Race_2024!A:L, 7,FALSE),0)</f>
        <v>-334478.61499999999</v>
      </c>
      <c r="E57" s="548">
        <f>IFERROR(VLOOKUP($A57,Race_2024!A:L, 9,FALSE),0)</f>
        <v>-862541.98199999996</v>
      </c>
      <c r="F57" s="548">
        <f>IFERROR(VLOOKUP($A57,Race_2024!A:L, 8,FALSE),0)</f>
        <v>-407124.88500000001</v>
      </c>
      <c r="G57" s="548">
        <f>IFERROR(VLOOKUP($A57,Race_2024!A:L, 10,FALSE),0)</f>
        <v>-840442.75800000003</v>
      </c>
      <c r="H57" s="548">
        <f>IFERROR(VLOOKUP($A57,Race_2024!A:L, 11,FALSE),0)</f>
        <v>-833026.75399999996</v>
      </c>
      <c r="I57" s="547">
        <f>IFERROR(VLOOKUP($A57,Race_2024!A:L, 12,FALSE),0)</f>
        <v>-1027882.649</v>
      </c>
      <c r="J57" s="554"/>
      <c r="K57" s="544"/>
    </row>
    <row r="58" spans="1:11" ht="15" x14ac:dyDescent="0.25">
      <c r="A58" s="546" t="s">
        <v>1258</v>
      </c>
      <c r="B58" s="546" t="str">
        <f>IFERROR(VLOOKUP(A58,Race_2024!A:C,3,FALSE), VLOOKUP(A58,Race_2024!A:C,3,FALSE))</f>
        <v>Period expenses ICO</v>
      </c>
      <c r="C58" s="549" t="s">
        <v>313</v>
      </c>
      <c r="D58" s="548">
        <f>IFERROR(VLOOKUP($A58,Race_2024!A:L, 7,FALSE),0)</f>
        <v>-51167.534</v>
      </c>
      <c r="E58" s="548">
        <f>IFERROR(VLOOKUP($A58,Race_2024!A:L, 9,FALSE),0)</f>
        <v>0</v>
      </c>
      <c r="F58" s="548">
        <f>IFERROR(VLOOKUP($A58,Race_2024!A:L, 8,FALSE),0)</f>
        <v>-1217.4749999999999</v>
      </c>
      <c r="G58" s="548">
        <f>IFERROR(VLOOKUP($A58,Race_2024!A:L, 10,FALSE),0)</f>
        <v>-524.91700000000003</v>
      </c>
      <c r="H58" s="548">
        <f>IFERROR(VLOOKUP($A58,Race_2024!A:L, 11,FALSE),0)</f>
        <v>-1217.4749999999999</v>
      </c>
      <c r="I58" s="547">
        <f>IFERROR(VLOOKUP($A58,Race_2024!A:L, 12,FALSE),0)</f>
        <v>-6665186</v>
      </c>
      <c r="J58" s="554"/>
      <c r="K58" s="544"/>
    </row>
    <row r="59" spans="1:11" ht="15" x14ac:dyDescent="0.25">
      <c r="A59" s="546" t="s">
        <v>1259</v>
      </c>
      <c r="B59" s="546" t="e">
        <f>IFERROR(VLOOKUP(A59,Race_2024!A:C,3,FALSE), VLOOKUP(A59,Race_2024!A:C,3,FALSE))</f>
        <v>#N/A</v>
      </c>
      <c r="C59" s="556" t="s">
        <v>659</v>
      </c>
      <c r="D59" s="548">
        <f>IFERROR(VLOOKUP($A59,Race_2024!A:L, 7,FALSE),0)</f>
        <v>0</v>
      </c>
      <c r="E59" s="548">
        <f>IFERROR(VLOOKUP($A59,Race_2024!A:L, 9,FALSE),0)</f>
        <v>0</v>
      </c>
      <c r="F59" s="548">
        <f>IFERROR(VLOOKUP($A59,Race_2024!A:L, 8,FALSE),0)</f>
        <v>0</v>
      </c>
      <c r="G59" s="548">
        <f>IFERROR(VLOOKUP($A59,Race_2024!A:L, 10,FALSE),0)</f>
        <v>0</v>
      </c>
      <c r="H59" s="548">
        <f>IFERROR(VLOOKUP($A59,Race_2024!A:L, 11,FALSE),0)</f>
        <v>0</v>
      </c>
      <c r="I59" s="547">
        <f>IFERROR(VLOOKUP($A59,Race_2024!A:L, 12,FALSE),0)</f>
        <v>0</v>
      </c>
      <c r="J59" s="554"/>
      <c r="K59" s="544"/>
    </row>
    <row r="60" spans="1:11" ht="15" x14ac:dyDescent="0.25">
      <c r="A60" s="546" t="s">
        <v>1260</v>
      </c>
      <c r="B60" s="546" t="str">
        <f>IFERROR(VLOOKUP(A60,Race_2024!A:C,3,FALSE), VLOOKUP(A60,Race_2024!A:C,3,FALSE))</f>
        <v>Gross margin adj.</v>
      </c>
      <c r="C60" s="552" t="s">
        <v>658</v>
      </c>
      <c r="D60" s="551">
        <f>IFERROR(VLOOKUP($A60,Race_2024!A:L, 7,FALSE),0)</f>
        <v>92711.835999999996</v>
      </c>
      <c r="E60" s="551">
        <f>IFERROR(VLOOKUP($A60,Race_2024!A:L, 9,FALSE),0)</f>
        <v>0</v>
      </c>
      <c r="F60" s="551">
        <f>IFERROR(VLOOKUP($A60,Race_2024!A:L, 8,FALSE),0)</f>
        <v>-221688.00399999999</v>
      </c>
      <c r="G60" s="551">
        <f>IFERROR(VLOOKUP($A60,Race_2024!A:L, 10,FALSE),0)</f>
        <v>142654.79500000001</v>
      </c>
      <c r="H60" s="550">
        <f>IFERROR(VLOOKUP($A60,Race_2024!A:L, 11,FALSE),0)</f>
        <v>-221688.00399999999</v>
      </c>
      <c r="I60" s="550">
        <f>IFERROR(VLOOKUP($A60,Race_2024!A:L, 12,FALSE),0)</f>
        <v>0</v>
      </c>
      <c r="J60" s="554"/>
      <c r="K60" s="544"/>
    </row>
    <row r="61" spans="1:11" ht="15" x14ac:dyDescent="0.25">
      <c r="A61" s="546" t="s">
        <v>1261</v>
      </c>
      <c r="B61" s="546" t="str">
        <f>IFERROR(VLOOKUP(A61,Race_2024!A:C,3,FALSE), VLOOKUP(A61,Race_2024!A:C,3,FALSE))</f>
        <v>Inv.var.fin.goods</v>
      </c>
      <c r="C61" s="549" t="s">
        <v>657</v>
      </c>
      <c r="D61" s="548">
        <f>IFERROR(VLOOKUP($A61,Race_2024!A:L, 7,FALSE),0)</f>
        <v>-9721.52</v>
      </c>
      <c r="E61" s="548">
        <f>IFERROR(VLOOKUP($A61,Race_2024!A:L, 9,FALSE),0)</f>
        <v>0</v>
      </c>
      <c r="F61" s="548">
        <f>IFERROR(VLOOKUP($A61,Race_2024!A:L, 8,FALSE),0)</f>
        <v>0</v>
      </c>
      <c r="G61" s="548">
        <f>IFERROR(VLOOKUP($A61,Race_2024!A:L, 10,FALSE),0)</f>
        <v>0</v>
      </c>
      <c r="H61" s="548">
        <f>IFERROR(VLOOKUP($A61,Race_2024!A:L, 11,FALSE),0)</f>
        <v>0</v>
      </c>
      <c r="I61" s="547">
        <f>IFERROR(VLOOKUP($A61,Race_2024!A:L, 12,FALSE),0)</f>
        <v>0</v>
      </c>
      <c r="J61" s="554"/>
      <c r="K61" s="544"/>
    </row>
    <row r="62" spans="1:11" ht="15" x14ac:dyDescent="0.25">
      <c r="A62" s="546" t="s">
        <v>1262</v>
      </c>
      <c r="B62" s="546" t="str">
        <f>IFERROR(VLOOKUP(A62,Race_2024!A:C,3,FALSE), VLOOKUP(A62,Race_2024!A:C,3,FALSE))</f>
        <v>Inv.val.allow.fin.g.</v>
      </c>
      <c r="C62" s="549" t="s">
        <v>656</v>
      </c>
      <c r="D62" s="548">
        <f>IFERROR(VLOOKUP($A62,Race_2024!A:L, 7,FALSE),0)</f>
        <v>119697.558</v>
      </c>
      <c r="E62" s="548">
        <f>IFERROR(VLOOKUP($A62,Race_2024!A:L, 9,FALSE),0)</f>
        <v>0</v>
      </c>
      <c r="F62" s="548">
        <f>IFERROR(VLOOKUP($A62,Race_2024!A:L, 8,FALSE),0)</f>
        <v>-432274.87800000003</v>
      </c>
      <c r="G62" s="548">
        <f>IFERROR(VLOOKUP($A62,Race_2024!A:L, 10,FALSE),0)</f>
        <v>-102180.308</v>
      </c>
      <c r="H62" s="548">
        <f>IFERROR(VLOOKUP($A62,Race_2024!A:L, 11,FALSE),0)</f>
        <v>-432274.87800000003</v>
      </c>
      <c r="I62" s="547">
        <f>IFERROR(VLOOKUP($A62,Race_2024!A:L, 12,FALSE),0)</f>
        <v>0</v>
      </c>
      <c r="J62" s="554"/>
      <c r="K62" s="544"/>
    </row>
    <row r="63" spans="1:11" ht="15" x14ac:dyDescent="0.25">
      <c r="A63" s="546" t="s">
        <v>1263</v>
      </c>
      <c r="B63" s="546" t="str">
        <f>IFERROR(VLOOKUP(A63,Race_2024!A:C,3,FALSE), VLOOKUP(A63,Race_2024!A:C,3,FALSE))</f>
        <v>Inv.val.allow.fin.g.</v>
      </c>
      <c r="C63" s="556" t="s">
        <v>656</v>
      </c>
      <c r="D63" s="548">
        <f>IFERROR(VLOOKUP($A63,Race_2024!A:L, 7,FALSE),0)</f>
        <v>-17264.202000000001</v>
      </c>
      <c r="E63" s="548">
        <f>IFERROR(VLOOKUP($A63,Race_2024!A:L, 9,FALSE),0)</f>
        <v>0</v>
      </c>
      <c r="F63" s="548">
        <f>IFERROR(VLOOKUP($A63,Race_2024!A:L, 8,FALSE),0)</f>
        <v>210586.87400000001</v>
      </c>
      <c r="G63" s="548">
        <f>IFERROR(VLOOKUP($A63,Race_2024!A:L, 10,FALSE),0)</f>
        <v>244835.103</v>
      </c>
      <c r="H63" s="548">
        <f>IFERROR(VLOOKUP($A63,Race_2024!A:L, 11,FALSE),0)</f>
        <v>210586.87400000001</v>
      </c>
      <c r="I63" s="561">
        <f>IFERROR(VLOOKUP($A63,Race_2024!A:L, 12,FALSE),0)</f>
        <v>0</v>
      </c>
      <c r="J63" s="554"/>
      <c r="K63" s="544"/>
    </row>
    <row r="64" spans="1:11" ht="15" x14ac:dyDescent="0.25">
      <c r="A64" s="614" t="s">
        <v>1264</v>
      </c>
      <c r="B64" s="546" t="str">
        <f>IFERROR(VLOOKUP(A64,Race_2024!A:C,3,FALSE), VLOOKUP(A64,Race_2024!A:C,3,FALSE))</f>
        <v>Gross margin</v>
      </c>
      <c r="C64" s="615" t="s">
        <v>655</v>
      </c>
      <c r="D64" s="568">
        <f>IFERROR(VLOOKUP($A64,Race_2024!A:L, 7,FALSE),0)</f>
        <v>13058951.267000001</v>
      </c>
      <c r="E64" s="568">
        <f>IFERROR(VLOOKUP($A64,Race_2024!A:L, 9,FALSE),0)</f>
        <v>-3655877.48</v>
      </c>
      <c r="F64" s="568">
        <f>IFERROR(VLOOKUP($A64,Race_2024!A:L, 8,FALSE),0)</f>
        <v>-3549123.17</v>
      </c>
      <c r="G64" s="568">
        <f>IFERROR(VLOOKUP($A64,Race_2024!A:L, 10,FALSE),0)</f>
        <v>5511843.4050000003</v>
      </c>
      <c r="H64" s="568">
        <f>IFERROR(VLOOKUP($A64,Race_2024!A:L, 11,FALSE),0)</f>
        <v>3582031.2990000001</v>
      </c>
      <c r="I64" s="567">
        <f>IFERROR(VLOOKUP($A64,Race_2024!A:L, 12,FALSE),0)</f>
        <v>9470363.716</v>
      </c>
      <c r="J64" s="554"/>
      <c r="K64" s="544"/>
    </row>
    <row r="65" spans="1:12" ht="15" x14ac:dyDescent="0.25">
      <c r="A65" s="546" t="s">
        <v>1265</v>
      </c>
      <c r="B65" s="546" t="str">
        <f>IFERROR(VLOOKUP(A65,Race_2024!A:C,3,FALSE), VLOOKUP(A65,Race_2024!A:C,3,FALSE))</f>
        <v>R, D &amp; E expenses</v>
      </c>
      <c r="C65" s="552" t="s">
        <v>654</v>
      </c>
      <c r="D65" s="551">
        <f>IFERROR(VLOOKUP($A65,Race_2024!A:L, 7,FALSE),0)</f>
        <v>-15372375.272</v>
      </c>
      <c r="E65" s="551">
        <f>IFERROR(VLOOKUP($A65,Race_2024!A:L, 9,FALSE),0)</f>
        <v>-10804444.709000001</v>
      </c>
      <c r="F65" s="551">
        <f>IFERROR(VLOOKUP($A65,Race_2024!A:L, 8,FALSE),0)</f>
        <v>883284.97600000002</v>
      </c>
      <c r="G65" s="551">
        <f>IFERROR(VLOOKUP($A65,Race_2024!A:L, 10,FALSE),0)</f>
        <v>-4475564.2170000002</v>
      </c>
      <c r="H65" s="551">
        <f>IFERROR(VLOOKUP($A65,Race_2024!A:L, 11,FALSE),0)</f>
        <v>-4475564.2170000002</v>
      </c>
      <c r="I65" s="550">
        <f>IFERROR(VLOOKUP($A65,Race_2024!A:L, 12,FALSE),0)</f>
        <v>-15957991.08</v>
      </c>
      <c r="J65" s="554"/>
      <c r="K65" s="544"/>
    </row>
    <row r="66" spans="1:12" ht="15" x14ac:dyDescent="0.25">
      <c r="A66" s="546" t="s">
        <v>1266</v>
      </c>
      <c r="B66" s="546" t="e">
        <f>IFERROR(VLOOKUP(A66,Race_2024!A:C,3,FALSE), VLOOKUP(A66,Race_2024!A:C,3,FALSE))</f>
        <v>#N/A</v>
      </c>
      <c r="C66" s="560" t="s">
        <v>653</v>
      </c>
      <c r="D66" s="559">
        <f>IFERROR(VLOOKUP($A66,Race_2024!A:L, 7,FALSE),0)</f>
        <v>0</v>
      </c>
      <c r="E66" s="559">
        <f>IFERROR(VLOOKUP($A66,Race_2024!A:L, 9,FALSE),0)</f>
        <v>0</v>
      </c>
      <c r="F66" s="559">
        <f>IFERROR(VLOOKUP($A66,Race_2024!A:L, 8,FALSE),0)</f>
        <v>0</v>
      </c>
      <c r="G66" s="559">
        <f>IFERROR(VLOOKUP($A66,Race_2024!A:L, 10,FALSE),0)</f>
        <v>0</v>
      </c>
      <c r="H66" s="559">
        <f>IFERROR(VLOOKUP($A66,Race_2024!A:L, 11,FALSE),0)</f>
        <v>0</v>
      </c>
      <c r="I66" s="562">
        <f>IFERROR(VLOOKUP($A66,Race_2024!A:L, 12,FALSE),0)</f>
        <v>0</v>
      </c>
      <c r="J66" s="554"/>
      <c r="K66" s="544"/>
    </row>
    <row r="67" spans="1:12" ht="15" x14ac:dyDescent="0.25">
      <c r="A67" s="546" t="s">
        <v>1267</v>
      </c>
      <c r="B67" s="546" t="e">
        <f>IFERROR(VLOOKUP(A67,Race_2024!A:C,3,FALSE), VLOOKUP(A67,Race_2024!A:C,3,FALSE))</f>
        <v>#N/A</v>
      </c>
      <c r="C67" s="553" t="s">
        <v>652</v>
      </c>
      <c r="D67" s="548">
        <f>IFERROR(VLOOKUP($A67,Race_2024!A:L, 7,FALSE),0)</f>
        <v>0</v>
      </c>
      <c r="E67" s="548">
        <f>IFERROR(VLOOKUP($A67,Race_2024!A:L, 9,FALSE),0)</f>
        <v>0</v>
      </c>
      <c r="F67" s="548">
        <f>IFERROR(VLOOKUP($A67,Race_2024!A:L, 8,FALSE),0)</f>
        <v>0</v>
      </c>
      <c r="G67" s="548">
        <f>IFERROR(VLOOKUP($A67,Race_2024!A:L, 10,FALSE),0)</f>
        <v>0</v>
      </c>
      <c r="H67" s="548">
        <f>IFERROR(VLOOKUP($A67,Race_2024!A:L, 11,FALSE),0)</f>
        <v>0</v>
      </c>
      <c r="I67" s="547">
        <f>IFERROR(VLOOKUP($A67,Race_2024!A:L, 12,FALSE),0)</f>
        <v>0</v>
      </c>
      <c r="J67" s="554"/>
      <c r="K67" s="544"/>
    </row>
    <row r="68" spans="1:12" ht="15" x14ac:dyDescent="0.25">
      <c r="A68" s="546" t="s">
        <v>1268</v>
      </c>
      <c r="B68" s="546" t="e">
        <f>IFERROR(VLOOKUP(A68,Race_2024!A:C,3,FALSE), VLOOKUP(A68,Race_2024!A:C,3,FALSE))</f>
        <v>#N/A</v>
      </c>
      <c r="C68" s="553" t="s">
        <v>651</v>
      </c>
      <c r="D68" s="548">
        <f>IFERROR(VLOOKUP($A68,Race_2024!A:L, 7,FALSE),0)</f>
        <v>0</v>
      </c>
      <c r="E68" s="548">
        <f>IFERROR(VLOOKUP($A68,Race_2024!A:L, 9,FALSE),0)</f>
        <v>0</v>
      </c>
      <c r="F68" s="548">
        <f>IFERROR(VLOOKUP($A68,Race_2024!A:L, 8,FALSE),0)</f>
        <v>0</v>
      </c>
      <c r="G68" s="548">
        <f>IFERROR(VLOOKUP($A68,Race_2024!A:L, 10,FALSE),0)</f>
        <v>0</v>
      </c>
      <c r="H68" s="548">
        <f>IFERROR(VLOOKUP($A68,Race_2024!A:L, 11,FALSE),0)</f>
        <v>0</v>
      </c>
      <c r="I68" s="547">
        <f>IFERROR(VLOOKUP($A68,Race_2024!A:L, 12,FALSE),0)</f>
        <v>0</v>
      </c>
      <c r="J68" s="554"/>
      <c r="K68" s="544"/>
    </row>
    <row r="69" spans="1:12" ht="15" x14ac:dyDescent="0.25">
      <c r="A69" s="546" t="s">
        <v>1269</v>
      </c>
      <c r="B69" s="546" t="e">
        <f>IFERROR(VLOOKUP(A69,Race_2024!A:C,3,FALSE), VLOOKUP(A69,Race_2024!A:C,3,FALSE))</f>
        <v>#N/A</v>
      </c>
      <c r="C69" s="560" t="s">
        <v>650</v>
      </c>
      <c r="D69" s="559">
        <f>IFERROR(VLOOKUP($A69,Race_2024!A:L, 7,FALSE),0)</f>
        <v>0</v>
      </c>
      <c r="E69" s="559">
        <f>IFERROR(VLOOKUP($A69,Race_2024!A:L, 9,FALSE),0)</f>
        <v>0</v>
      </c>
      <c r="F69" s="558">
        <f>IFERROR(VLOOKUP($A69,Race_2024!A:L, 8,FALSE),0)</f>
        <v>0</v>
      </c>
      <c r="G69" s="558">
        <f>IFERROR(VLOOKUP($A69,Race_2024!A:L, 10,FALSE),0)</f>
        <v>0</v>
      </c>
      <c r="H69" s="558">
        <f>IFERROR(VLOOKUP($A69,Race_2024!A:L, 11,FALSE),0)</f>
        <v>0</v>
      </c>
      <c r="I69" s="557">
        <f>IFERROR(VLOOKUP($A69,Race_2024!A:L, 12,FALSE),0)</f>
        <v>0</v>
      </c>
      <c r="J69" s="554"/>
      <c r="K69" s="544"/>
    </row>
    <row r="70" spans="1:12" ht="15" x14ac:dyDescent="0.25">
      <c r="A70" s="546" t="s">
        <v>1270</v>
      </c>
      <c r="B70" s="546" t="e">
        <f>IFERROR(VLOOKUP(A70,Race_2024!A:C,3,FALSE), VLOOKUP(A70,Race_2024!A:C,3,FALSE))</f>
        <v>#N/A</v>
      </c>
      <c r="C70" s="553" t="s">
        <v>649</v>
      </c>
      <c r="D70" s="548">
        <f>IFERROR(VLOOKUP($A70,Race_2024!A:L, 7,FALSE),0)</f>
        <v>0</v>
      </c>
      <c r="E70" s="548">
        <f>IFERROR(VLOOKUP($A70,Race_2024!A:L, 9,FALSE),0)</f>
        <v>0</v>
      </c>
      <c r="F70" s="548">
        <f>IFERROR(VLOOKUP($A70,Race_2024!A:L, 8,FALSE),0)</f>
        <v>0</v>
      </c>
      <c r="G70" s="548">
        <f>IFERROR(VLOOKUP($A70,Race_2024!A:L, 10,FALSE),0)</f>
        <v>0</v>
      </c>
      <c r="H70" s="548">
        <f>IFERROR(VLOOKUP($A70,Race_2024!A:L, 11,FALSE),0)</f>
        <v>0</v>
      </c>
      <c r="I70" s="547">
        <f>IFERROR(VLOOKUP($A70,Race_2024!A:L, 12,FALSE),0)</f>
        <v>0</v>
      </c>
      <c r="J70" s="554"/>
      <c r="K70" s="544"/>
    </row>
    <row r="71" spans="1:12" ht="15" x14ac:dyDescent="0.25">
      <c r="A71" s="546" t="s">
        <v>1271</v>
      </c>
      <c r="B71" s="546" t="e">
        <f>IFERROR(VLOOKUP(A71,Race_2024!A:C,3,FALSE), VLOOKUP(A71,Race_2024!A:C,3,FALSE))</f>
        <v>#N/A</v>
      </c>
      <c r="C71" s="553" t="s">
        <v>648</v>
      </c>
      <c r="D71" s="548">
        <f>IFERROR(VLOOKUP($A71,Race_2024!A:L, 7,FALSE),0)</f>
        <v>0</v>
      </c>
      <c r="E71" s="548">
        <f>IFERROR(VLOOKUP($A71,Race_2024!A:L, 9,FALSE),0)</f>
        <v>0</v>
      </c>
      <c r="F71" s="548">
        <f>IFERROR(VLOOKUP($A71,Race_2024!A:L, 8,FALSE),0)</f>
        <v>0</v>
      </c>
      <c r="G71" s="548">
        <f>IFERROR(VLOOKUP($A71,Race_2024!A:L, 10,FALSE),0)</f>
        <v>0</v>
      </c>
      <c r="H71" s="548">
        <f>IFERROR(VLOOKUP($A71,Race_2024!A:L, 11,FALSE),0)</f>
        <v>0</v>
      </c>
      <c r="I71" s="547">
        <f>IFERROR(VLOOKUP($A71,Race_2024!A:L, 12,FALSE),0)</f>
        <v>0</v>
      </c>
      <c r="J71" s="554"/>
      <c r="K71" s="544"/>
    </row>
    <row r="72" spans="1:12" ht="15" x14ac:dyDescent="0.25">
      <c r="A72" s="546" t="s">
        <v>1272</v>
      </c>
      <c r="B72" s="546" t="e">
        <f>IFERROR(VLOOKUP(A72,Race_2024!A:C,3,FALSE), VLOOKUP(A72,Race_2024!A:C,3,FALSE))</f>
        <v>#N/A</v>
      </c>
      <c r="C72" s="560" t="s">
        <v>647</v>
      </c>
      <c r="D72" s="559">
        <f>IFERROR(VLOOKUP($A72,Race_2024!A:L, 7,FALSE),0)</f>
        <v>0</v>
      </c>
      <c r="E72" s="559">
        <f>IFERROR(VLOOKUP($A72,Race_2024!A:L, 9,FALSE),0)</f>
        <v>0</v>
      </c>
      <c r="F72" s="558">
        <f>IFERROR(VLOOKUP($A72,Race_2024!A:L, 8,FALSE),0)</f>
        <v>0</v>
      </c>
      <c r="G72" s="558">
        <f>IFERROR(VLOOKUP($A72,Race_2024!A:L, 10,FALSE),0)</f>
        <v>0</v>
      </c>
      <c r="H72" s="558">
        <f>IFERROR(VLOOKUP($A72,Race_2024!A:L, 11,FALSE),0)</f>
        <v>0</v>
      </c>
      <c r="I72" s="557">
        <f>IFERROR(VLOOKUP($A72,Race_2024!A:L, 12,FALSE),0)</f>
        <v>0</v>
      </c>
      <c r="J72" s="554"/>
      <c r="K72" s="544"/>
    </row>
    <row r="73" spans="1:12" ht="15" x14ac:dyDescent="0.25">
      <c r="A73" s="546" t="s">
        <v>1273</v>
      </c>
      <c r="B73" s="546" t="e">
        <f>IFERROR(VLOOKUP(A73,Race_2024!A:C,3,FALSE), VLOOKUP(A73,Race_2024!A:C,3,FALSE))</f>
        <v>#N/A</v>
      </c>
      <c r="C73" s="553" t="s">
        <v>646</v>
      </c>
      <c r="D73" s="548">
        <f>IFERROR(VLOOKUP($A73,Race_2024!A:L, 7,FALSE),0)</f>
        <v>0</v>
      </c>
      <c r="E73" s="548">
        <f>IFERROR(VLOOKUP($A73,Race_2024!A:L, 9,FALSE),0)</f>
        <v>0</v>
      </c>
      <c r="F73" s="548">
        <f>IFERROR(VLOOKUP($A73,Race_2024!A:L, 8,FALSE),0)</f>
        <v>0</v>
      </c>
      <c r="G73" s="548">
        <f>IFERROR(VLOOKUP($A73,Race_2024!A:L, 10,FALSE),0)</f>
        <v>0</v>
      </c>
      <c r="H73" s="548">
        <f>IFERROR(VLOOKUP($A73,Race_2024!A:L, 11,FALSE),0)</f>
        <v>0</v>
      </c>
      <c r="I73" s="547">
        <f>IFERROR(VLOOKUP($A73,Race_2024!A:L, 12,FALSE),0)</f>
        <v>0</v>
      </c>
      <c r="J73" s="554"/>
      <c r="K73" s="544"/>
    </row>
    <row r="74" spans="1:12" ht="15" x14ac:dyDescent="0.25">
      <c r="A74" s="546" t="s">
        <v>1274</v>
      </c>
      <c r="B74" s="546" t="e">
        <f>IFERROR(VLOOKUP(A74,Race_2024!A:C,3,FALSE), VLOOKUP(A74,Race_2024!A:C,3,FALSE))</f>
        <v>#N/A</v>
      </c>
      <c r="C74" s="553" t="s">
        <v>645</v>
      </c>
      <c r="D74" s="548">
        <f>IFERROR(VLOOKUP($A74,Race_2024!A:L, 7,FALSE),0)</f>
        <v>0</v>
      </c>
      <c r="E74" s="548">
        <f>IFERROR(VLOOKUP($A74,Race_2024!A:L, 9,FALSE),0)</f>
        <v>0</v>
      </c>
      <c r="F74" s="548">
        <f>IFERROR(VLOOKUP($A74,Race_2024!A:L, 8,FALSE),0)</f>
        <v>0</v>
      </c>
      <c r="G74" s="548">
        <f>IFERROR(VLOOKUP($A74,Race_2024!A:L, 10,FALSE),0)</f>
        <v>0</v>
      </c>
      <c r="H74" s="548">
        <f>IFERROR(VLOOKUP($A74,Race_2024!A:L, 11,FALSE),0)</f>
        <v>0</v>
      </c>
      <c r="I74" s="547">
        <f>IFERROR(VLOOKUP($A74,Race_2024!A:L, 12,FALSE),0)</f>
        <v>0</v>
      </c>
      <c r="J74" s="554"/>
      <c r="K74" s="544"/>
    </row>
    <row r="75" spans="1:12" ht="15" x14ac:dyDescent="0.25">
      <c r="A75" s="546" t="s">
        <v>1275</v>
      </c>
      <c r="B75" s="546" t="e">
        <f>IFERROR(VLOOKUP(A75,Race_2024!A:C,3,FALSE), VLOOKUP(A75,Race_2024!A:C,3,FALSE))</f>
        <v>#N/A</v>
      </c>
      <c r="C75" s="560" t="s">
        <v>644</v>
      </c>
      <c r="D75" s="559">
        <f>IFERROR(VLOOKUP($A75,Race_2024!A:L, 7,FALSE),0)</f>
        <v>0</v>
      </c>
      <c r="E75" s="559">
        <f>IFERROR(VLOOKUP($A75,Race_2024!A:L, 9,FALSE),0)</f>
        <v>0</v>
      </c>
      <c r="F75" s="558">
        <f>IFERROR(VLOOKUP($A75,Race_2024!A:L, 8,FALSE),0)</f>
        <v>0</v>
      </c>
      <c r="G75" s="558">
        <f>IFERROR(VLOOKUP($A75,Race_2024!A:L, 10,FALSE),0)</f>
        <v>0</v>
      </c>
      <c r="H75" s="558">
        <f>IFERROR(VLOOKUP($A75,Race_2024!A:L, 11,FALSE),0)</f>
        <v>0</v>
      </c>
      <c r="I75" s="557">
        <f>IFERROR(VLOOKUP($A75,Race_2024!A:L, 12,FALSE),0)</f>
        <v>0</v>
      </c>
      <c r="J75" s="554"/>
      <c r="K75" s="544"/>
    </row>
    <row r="76" spans="1:12" ht="15" x14ac:dyDescent="0.25">
      <c r="A76" s="546" t="s">
        <v>1276</v>
      </c>
      <c r="B76" s="546" t="e">
        <f>IFERROR(VLOOKUP(A76,Race_2024!A:C,3,FALSE), VLOOKUP(A76,Race_2024!A:C,3,FALSE))</f>
        <v>#N/A</v>
      </c>
      <c r="C76" s="553" t="s">
        <v>643</v>
      </c>
      <c r="D76" s="548">
        <f>IFERROR(VLOOKUP($A76,Race_2024!A:L, 7,FALSE),0)</f>
        <v>0</v>
      </c>
      <c r="E76" s="548">
        <f>IFERROR(VLOOKUP($A76,Race_2024!A:L, 9,FALSE),0)</f>
        <v>0</v>
      </c>
      <c r="F76" s="548">
        <f>IFERROR(VLOOKUP($A76,Race_2024!A:L, 8,FALSE),0)</f>
        <v>0</v>
      </c>
      <c r="G76" s="548">
        <f>IFERROR(VLOOKUP($A76,Race_2024!A:L, 10,FALSE),0)</f>
        <v>0</v>
      </c>
      <c r="H76" s="548">
        <f>IFERROR(VLOOKUP($A76,Race_2024!A:L, 11,FALSE),0)</f>
        <v>0</v>
      </c>
      <c r="I76" s="547">
        <f>IFERROR(VLOOKUP($A76,Race_2024!A:L, 12,FALSE),0)</f>
        <v>0</v>
      </c>
      <c r="J76" s="554"/>
      <c r="K76" s="544"/>
    </row>
    <row r="77" spans="1:12" ht="15" x14ac:dyDescent="0.25">
      <c r="A77" s="546" t="s">
        <v>1277</v>
      </c>
      <c r="B77" s="546" t="str">
        <f>IFERROR(VLOOKUP(A77,Race_2024!A:C,3,FALSE), VLOOKUP(A77,Race_2024!A:C,3,FALSE))</f>
        <v>R,D&amp;E alloc. in</v>
      </c>
      <c r="C77" s="549" t="s">
        <v>642</v>
      </c>
      <c r="D77" s="548">
        <f>IFERROR(VLOOKUP($A77,Race_2024!A:L, 7,FALSE),0)</f>
        <v>-9352567.5769999996</v>
      </c>
      <c r="E77" s="548">
        <f>IFERROR(VLOOKUP($A77,Race_2024!A:L, 9,FALSE),0)</f>
        <v>-10815820.948999999</v>
      </c>
      <c r="F77" s="548">
        <f>IFERROR(VLOOKUP($A77,Race_2024!A:L, 8,FALSE),0)</f>
        <v>-5652531.1560000004</v>
      </c>
      <c r="G77" s="548">
        <f>IFERROR(VLOOKUP($A77,Race_2024!A:L, 10,FALSE),0)</f>
        <v>-11008466.048</v>
      </c>
      <c r="H77" s="548">
        <f>IFERROR(VLOOKUP($A77,Race_2024!A:L, 11,FALSE),0)</f>
        <v>-11008466.048</v>
      </c>
      <c r="I77" s="547">
        <f>IFERROR(VLOOKUP($A77,Race_2024!A:L, 12,FALSE),0)</f>
        <v>-15957991.08</v>
      </c>
      <c r="J77" s="554"/>
      <c r="K77" s="991">
        <f>H77/1329</f>
        <v>-8283.2701640331088</v>
      </c>
      <c r="L77" s="451">
        <f>I77/1450</f>
        <v>-11005.511089655172</v>
      </c>
    </row>
    <row r="78" spans="1:12" ht="15" x14ac:dyDescent="0.25">
      <c r="A78" s="546" t="s">
        <v>1278</v>
      </c>
      <c r="B78" s="546" t="str">
        <f>IFERROR(VLOOKUP(A78,Race_2024!A:C,3,FALSE), VLOOKUP(A78,Race_2024!A:C,3,FALSE))</f>
        <v>R,D&amp;E alloc. out</v>
      </c>
      <c r="C78" s="549" t="s">
        <v>641</v>
      </c>
      <c r="D78" s="548">
        <f>IFERROR(VLOOKUP($A78,Race_2024!A:L, 7,FALSE),0)</f>
        <v>0</v>
      </c>
      <c r="E78" s="548">
        <f>IFERROR(VLOOKUP($A78,Race_2024!A:L, 9,FALSE),0)</f>
        <v>11376.24</v>
      </c>
      <c r="F78" s="548">
        <f>IFERROR(VLOOKUP($A78,Race_2024!A:L, 8,FALSE),0)</f>
        <v>2914.3009999999999</v>
      </c>
      <c r="G78" s="548">
        <f>IFERROR(VLOOKUP($A78,Race_2024!A:L, 10,FALSE),0)</f>
        <v>0</v>
      </c>
      <c r="H78" s="548">
        <f>IFERROR(VLOOKUP($A78,Race_2024!A:L, 11,FALSE),0)</f>
        <v>0</v>
      </c>
      <c r="I78" s="547">
        <f>IFERROR(VLOOKUP($A78,Race_2024!A:L, 12,FALSE),0)</f>
        <v>0</v>
      </c>
      <c r="J78" s="554"/>
      <c r="K78" s="544"/>
    </row>
    <row r="79" spans="1:12" ht="15" x14ac:dyDescent="0.25">
      <c r="A79" s="546" t="s">
        <v>1279</v>
      </c>
      <c r="B79" s="546" t="str">
        <f>IFERROR(VLOOKUP(A79,Race_2024!A:C,3,FALSE), VLOOKUP(A79,Race_2024!A:C,3,FALSE))</f>
        <v>R, D &amp; E prior year</v>
      </c>
      <c r="C79" s="549" t="s">
        <v>640</v>
      </c>
      <c r="D79" s="548">
        <f>IFERROR(VLOOKUP($A79,Race_2024!A:L, 7,FALSE),0)</f>
        <v>-6019807.6950000003</v>
      </c>
      <c r="E79" s="548">
        <f>IFERROR(VLOOKUP($A79,Race_2024!A:L, 9,FALSE),0)</f>
        <v>0</v>
      </c>
      <c r="F79" s="548">
        <f>IFERROR(VLOOKUP($A79,Race_2024!A:L, 8,FALSE),0)</f>
        <v>6532901.8310000002</v>
      </c>
      <c r="G79" s="548">
        <f>IFERROR(VLOOKUP($A79,Race_2024!A:L, 10,FALSE),0)</f>
        <v>6532901.8310000002</v>
      </c>
      <c r="H79" s="548">
        <f>IFERROR(VLOOKUP($A79,Race_2024!A:L, 11,FALSE),0)</f>
        <v>6532901.8310000002</v>
      </c>
      <c r="I79" s="547">
        <f>IFERROR(VLOOKUP($A79,Race_2024!A:L, 12,FALSE),0)</f>
        <v>0</v>
      </c>
      <c r="J79" s="554"/>
      <c r="K79" s="544"/>
      <c r="L79" s="992">
        <f>L77-K77</f>
        <v>-2722.2409256220635</v>
      </c>
    </row>
    <row r="80" spans="1:12" ht="15" x14ac:dyDescent="0.25">
      <c r="A80" s="546" t="s">
        <v>1280</v>
      </c>
      <c r="B80" s="546" t="str">
        <f>IFERROR(VLOOKUP(A80,Race_2024!A:C,3,FALSE), VLOOKUP(A80,Race_2024!A:C,3,FALSE))</f>
        <v>Sales&amp;distrib.exp.</v>
      </c>
      <c r="C80" s="552" t="s">
        <v>639</v>
      </c>
      <c r="D80" s="551">
        <f>IFERROR(VLOOKUP($A80,Race_2024!A:L, 7,FALSE),0)</f>
        <v>-940769.06700000004</v>
      </c>
      <c r="E80" s="551">
        <f>IFERROR(VLOOKUP($A80,Race_2024!A:L, 9,FALSE),0)</f>
        <v>-2079118.8529999999</v>
      </c>
      <c r="F80" s="551">
        <f>IFERROR(VLOOKUP($A80,Race_2024!A:L, 8,FALSE),0)</f>
        <v>-1129698.7720000001</v>
      </c>
      <c r="G80" s="551">
        <f>IFERROR(VLOOKUP($A80,Race_2024!A:L, 10,FALSE),0)</f>
        <v>-2071048.59</v>
      </c>
      <c r="H80" s="551">
        <f>IFERROR(VLOOKUP($A80,Race_2024!A:L, 11,FALSE),0)</f>
        <v>-2083815.129</v>
      </c>
      <c r="I80" s="550">
        <f>IFERROR(VLOOKUP($A80,Race_2024!A:L, 12,FALSE),0)</f>
        <v>-3042949.1409999998</v>
      </c>
      <c r="J80" s="554"/>
      <c r="K80" s="544"/>
    </row>
    <row r="81" spans="1:11" ht="15" x14ac:dyDescent="0.25">
      <c r="A81" s="546" t="s">
        <v>1281</v>
      </c>
      <c r="B81" s="546" t="str">
        <f>IFERROR(VLOOKUP(A81,Race_2024!A:C,3,FALSE), VLOOKUP(A81,Race_2024!A:C,3,FALSE))</f>
        <v>PE selling</v>
      </c>
      <c r="C81" s="556" t="s">
        <v>638</v>
      </c>
      <c r="D81" s="548">
        <f>IFERROR(VLOOKUP($A81,Race_2024!A:L, 7,FALSE),0)</f>
        <v>-621565.36499999999</v>
      </c>
      <c r="E81" s="548">
        <f>IFERROR(VLOOKUP($A81,Race_2024!A:L, 9,FALSE),0)</f>
        <v>-1294492.8570000001</v>
      </c>
      <c r="F81" s="548">
        <f>IFERROR(VLOOKUP($A81,Race_2024!A:L, 8,FALSE),0)</f>
        <v>-682232.62199999997</v>
      </c>
      <c r="G81" s="548">
        <f>IFERROR(VLOOKUP($A81,Race_2024!A:L, 10,FALSE),0)</f>
        <v>-1225488.828</v>
      </c>
      <c r="H81" s="548">
        <f>IFERROR(VLOOKUP($A81,Race_2024!A:L, 11,FALSE),0)</f>
        <v>-1225488.828</v>
      </c>
      <c r="I81" s="547">
        <f>IFERROR(VLOOKUP($A81,Race_2024!A:L, 12,FALSE),0)</f>
        <v>-2010311.94</v>
      </c>
      <c r="J81" s="554"/>
      <c r="K81" s="544"/>
    </row>
    <row r="82" spans="1:11" ht="15" x14ac:dyDescent="0.25">
      <c r="A82" s="546" t="s">
        <v>1282</v>
      </c>
      <c r="B82" s="546" t="str">
        <f>IFERROR(VLOOKUP(A82,Race_2024!A:C,3,FALSE), VLOOKUP(A82,Race_2024!A:C,3,FALSE))</f>
        <v>PE communication</v>
      </c>
      <c r="C82" s="556" t="s">
        <v>637</v>
      </c>
      <c r="D82" s="548">
        <f>IFERROR(VLOOKUP($A82,Race_2024!A:L, 7,FALSE),0)</f>
        <v>-32048.491999999998</v>
      </c>
      <c r="E82" s="548">
        <f>IFERROR(VLOOKUP($A82,Race_2024!A:L, 9,FALSE),0)</f>
        <v>-57627.533000000003</v>
      </c>
      <c r="F82" s="548">
        <f>IFERROR(VLOOKUP($A82,Race_2024!A:L, 8,FALSE),0)</f>
        <v>-30371.246999999999</v>
      </c>
      <c r="G82" s="548">
        <f>IFERROR(VLOOKUP($A82,Race_2024!A:L, 10,FALSE),0)</f>
        <v>-64305.351999999999</v>
      </c>
      <c r="H82" s="548">
        <f>IFERROR(VLOOKUP($A82,Race_2024!A:L, 11,FALSE),0)</f>
        <v>-64305.351000000002</v>
      </c>
      <c r="I82" s="547">
        <f>IFERROR(VLOOKUP($A82,Race_2024!A:L, 12,FALSE),0)</f>
        <v>-84652.008000000002</v>
      </c>
      <c r="J82" s="554"/>
      <c r="K82" s="544"/>
    </row>
    <row r="83" spans="1:11" ht="15" x14ac:dyDescent="0.25">
      <c r="A83" s="546" t="s">
        <v>1283</v>
      </c>
      <c r="B83" s="546" t="str">
        <f>IFERROR(VLOOKUP(A83,Race_2024!A:C,3,FALSE), VLOOKUP(A83,Race_2024!A:C,3,FALSE))</f>
        <v>PE distribution</v>
      </c>
      <c r="C83" s="556" t="s">
        <v>302</v>
      </c>
      <c r="D83" s="548">
        <f>IFERROR(VLOOKUP($A83,Race_2024!A:L, 7,FALSE),0)</f>
        <v>-287155.21000000002</v>
      </c>
      <c r="E83" s="548">
        <f>IFERROR(VLOOKUP($A83,Race_2024!A:L, 9,FALSE),0)</f>
        <v>-726998.46299999999</v>
      </c>
      <c r="F83" s="548">
        <f>IFERROR(VLOOKUP($A83,Race_2024!A:L, 8,FALSE),0)</f>
        <v>-417094.90299999999</v>
      </c>
      <c r="G83" s="548">
        <f>IFERROR(VLOOKUP($A83,Race_2024!A:L, 10,FALSE),0)</f>
        <v>-781254.41</v>
      </c>
      <c r="H83" s="548">
        <f>IFERROR(VLOOKUP($A83,Race_2024!A:L, 11,FALSE),0)</f>
        <v>-794020.95</v>
      </c>
      <c r="I83" s="547">
        <f>IFERROR(VLOOKUP($A83,Race_2024!A:L, 12,FALSE),0)</f>
        <v>-947985.19299999997</v>
      </c>
      <c r="J83" s="554"/>
      <c r="K83" s="544"/>
    </row>
    <row r="84" spans="1:11" ht="15" x14ac:dyDescent="0.25">
      <c r="A84" s="546" t="s">
        <v>1284</v>
      </c>
      <c r="B84" s="546" t="e">
        <f>IFERROR(VLOOKUP(A84,Race_2024!A:C,3,FALSE), VLOOKUP(A84,Race_2024!A:C,3,FALSE))</f>
        <v>#N/A</v>
      </c>
      <c r="C84" s="556" t="s">
        <v>636</v>
      </c>
      <c r="D84" s="548">
        <f>IFERROR(VLOOKUP($A84,Race_2024!A:L, 7,FALSE),0)</f>
        <v>0</v>
      </c>
      <c r="E84" s="548">
        <f>IFERROR(VLOOKUP($A84,Race_2024!A:L, 9,FALSE),0)</f>
        <v>0</v>
      </c>
      <c r="F84" s="548">
        <f>IFERROR(VLOOKUP($A84,Race_2024!A:L, 8,FALSE),0)</f>
        <v>0</v>
      </c>
      <c r="G84" s="548">
        <f>IFERROR(VLOOKUP($A84,Race_2024!A:L, 10,FALSE),0)</f>
        <v>0</v>
      </c>
      <c r="H84" s="548">
        <f>IFERROR(VLOOKUP($A84,Race_2024!A:L, 11,FALSE),0)</f>
        <v>0</v>
      </c>
      <c r="I84" s="547">
        <f>IFERROR(VLOOKUP($A84,Race_2024!A:L, 12,FALSE),0)</f>
        <v>0</v>
      </c>
      <c r="J84" s="545"/>
      <c r="K84" s="544"/>
    </row>
    <row r="85" spans="1:11" ht="15" x14ac:dyDescent="0.25">
      <c r="A85" s="546" t="s">
        <v>1285</v>
      </c>
      <c r="B85" s="546" t="str">
        <f>IFERROR(VLOOKUP(A85,Race_2024!A:C,3,FALSE), VLOOKUP(A85,Race_2024!A:C,3,FALSE))</f>
        <v>F,G and A expenses</v>
      </c>
      <c r="C85" s="552" t="s">
        <v>297</v>
      </c>
      <c r="D85" s="551">
        <f>IFERROR(VLOOKUP($A85,Race_2024!A:L, 7,FALSE),0)</f>
        <v>-765795.86100000003</v>
      </c>
      <c r="E85" s="551">
        <f>IFERROR(VLOOKUP($A85,Race_2024!A:L, 9,FALSE),0)</f>
        <v>-2929303.6740000001</v>
      </c>
      <c r="F85" s="551">
        <f>IFERROR(VLOOKUP($A85,Race_2024!A:L, 8,FALSE),0)</f>
        <v>-1526850.706</v>
      </c>
      <c r="G85" s="551">
        <f>IFERROR(VLOOKUP($A85,Race_2024!A:L, 10,FALSE),0)</f>
        <v>-2877404.2889999999</v>
      </c>
      <c r="H85" s="551">
        <f>IFERROR(VLOOKUP($A85,Race_2024!A:L, 11,FALSE),0)</f>
        <v>-2869279.0839999998</v>
      </c>
      <c r="I85" s="550">
        <f>IFERROR(VLOOKUP($A85,Race_2024!A:L, 12,FALSE),0)</f>
        <v>-3782092.52</v>
      </c>
      <c r="J85" s="545"/>
      <c r="K85" s="544"/>
    </row>
    <row r="86" spans="1:11" ht="15" x14ac:dyDescent="0.25">
      <c r="A86" s="546" t="s">
        <v>1286</v>
      </c>
      <c r="B86" s="546" t="str">
        <f>IFERROR(VLOOKUP(A86,Race_2024!A:C,3,FALSE), VLOOKUP(A86,Race_2024!A:C,3,FALSE))</f>
        <v>F,G&amp;A expenses</v>
      </c>
      <c r="C86" s="556" t="s">
        <v>297</v>
      </c>
      <c r="D86" s="548">
        <f>IFERROR(VLOOKUP($A86,Race_2024!A:L, 7,FALSE),0)</f>
        <v>-765795.86100000003</v>
      </c>
      <c r="E86" s="548">
        <f>IFERROR(VLOOKUP($A86,Race_2024!A:L, 9,FALSE),0)</f>
        <v>-2929303.6740000001</v>
      </c>
      <c r="F86" s="548">
        <f>IFERROR(VLOOKUP($A86,Race_2024!A:L, 8,FALSE),0)</f>
        <v>-1526850.706</v>
      </c>
      <c r="G86" s="548">
        <f>IFERROR(VLOOKUP($A86,Race_2024!A:L, 10,FALSE),0)</f>
        <v>-2877404.2889999999</v>
      </c>
      <c r="H86" s="548">
        <f>IFERROR(VLOOKUP($A86,Race_2024!A:L, 11,FALSE),0)</f>
        <v>-2869279.0839999998</v>
      </c>
      <c r="I86" s="547">
        <f>IFERROR(VLOOKUP($A86,Race_2024!A:L, 12,FALSE),0)</f>
        <v>-3782092.52</v>
      </c>
      <c r="J86" s="545"/>
      <c r="K86" s="544"/>
    </row>
    <row r="87" spans="1:11" ht="15" x14ac:dyDescent="0.25">
      <c r="A87" s="546" t="s">
        <v>1287</v>
      </c>
      <c r="B87" s="546" t="e">
        <f>IFERROR(VLOOKUP(A87,Race_2024!A:C,3,FALSE), VLOOKUP(A87,Race_2024!A:C,3,FALSE))</f>
        <v>#N/A</v>
      </c>
      <c r="C87" s="556" t="s">
        <v>635</v>
      </c>
      <c r="D87" s="548">
        <f>IFERROR(VLOOKUP($A87,Race_2024!A:L, 7,FALSE),0)</f>
        <v>0</v>
      </c>
      <c r="E87" s="548">
        <f>IFERROR(VLOOKUP($A87,Race_2024!A:L, 9,FALSE),0)</f>
        <v>0</v>
      </c>
      <c r="F87" s="548">
        <f>IFERROR(VLOOKUP($A87,Race_2024!A:L, 8,FALSE),0)</f>
        <v>0</v>
      </c>
      <c r="G87" s="548">
        <f>IFERROR(VLOOKUP($A87,Race_2024!A:L, 10,FALSE),0)</f>
        <v>0</v>
      </c>
      <c r="H87" s="548">
        <f>IFERROR(VLOOKUP($A87,Race_2024!A:L, 11,FALSE),0)</f>
        <v>0</v>
      </c>
      <c r="I87" s="547">
        <f>IFERROR(VLOOKUP($A87,Race_2024!A:L, 12,FALSE),0)</f>
        <v>0</v>
      </c>
      <c r="J87" s="545"/>
      <c r="K87" s="544"/>
    </row>
    <row r="88" spans="1:11" ht="15" x14ac:dyDescent="0.25">
      <c r="A88" s="546" t="s">
        <v>1288</v>
      </c>
      <c r="B88" s="546" t="str">
        <f>IFERROR(VLOOKUP(A88,Race_2024!A:C,3,FALSE), VLOOKUP(A88,Race_2024!A:C,3,FALSE))</f>
        <v>Oth.op. inc./exp.tot</v>
      </c>
      <c r="C88" s="552" t="s">
        <v>634</v>
      </c>
      <c r="D88" s="551">
        <f>IFERROR(VLOOKUP($A88,Race_2024!A:L, 7,FALSE),0)</f>
        <v>-44915</v>
      </c>
      <c r="E88" s="551">
        <f>IFERROR(VLOOKUP($A88,Race_2024!A:L, 9,FALSE),0)</f>
        <v>0</v>
      </c>
      <c r="F88" s="551">
        <f>IFERROR(VLOOKUP($A88,Race_2024!A:L, 8,FALSE),0)</f>
        <v>316724.16899999999</v>
      </c>
      <c r="G88" s="551">
        <f>IFERROR(VLOOKUP($A88,Race_2024!A:L, 10,FALSE),0)</f>
        <v>302865.11200000002</v>
      </c>
      <c r="H88" s="551">
        <f>IFERROR(VLOOKUP($A88,Race_2024!A:L, 11,FALSE),0)</f>
        <v>864049.12899999996</v>
      </c>
      <c r="I88" s="550">
        <f>IFERROR(VLOOKUP($A88,Race_2024!A:L, 12,FALSE),0)</f>
        <v>0</v>
      </c>
      <c r="J88" s="545"/>
      <c r="K88" s="544"/>
    </row>
    <row r="89" spans="1:11" ht="15" x14ac:dyDescent="0.25">
      <c r="A89" s="546" t="s">
        <v>1289</v>
      </c>
      <c r="B89" s="546" t="e">
        <f>IFERROR(VLOOKUP(A89,Race_2024!A:C,3,FALSE), VLOOKUP(A89,Race_2024!A:C,3,FALSE))</f>
        <v>#N/A</v>
      </c>
      <c r="C89" s="549" t="s">
        <v>633</v>
      </c>
      <c r="D89" s="548">
        <f>IFERROR(VLOOKUP($A89,Race_2024!A:L, 7,FALSE),0)</f>
        <v>0</v>
      </c>
      <c r="E89" s="548">
        <f>IFERROR(VLOOKUP($A89,Race_2024!A:L, 9,FALSE),0)</f>
        <v>0</v>
      </c>
      <c r="F89" s="548">
        <f>IFERROR(VLOOKUP($A89,Race_2024!A:L, 8,FALSE),0)</f>
        <v>0</v>
      </c>
      <c r="G89" s="548">
        <f>IFERROR(VLOOKUP($A89,Race_2024!A:L, 10,FALSE),0)</f>
        <v>0</v>
      </c>
      <c r="H89" s="548">
        <f>IFERROR(VLOOKUP($A89,Race_2024!A:L, 11,FALSE),0)</f>
        <v>0</v>
      </c>
      <c r="I89" s="547">
        <f>IFERROR(VLOOKUP($A89,Race_2024!A:L, 12,FALSE),0)</f>
        <v>0</v>
      </c>
      <c r="J89" s="545"/>
      <c r="K89" s="544"/>
    </row>
    <row r="90" spans="1:11" ht="15" x14ac:dyDescent="0.25">
      <c r="A90" s="546" t="s">
        <v>1290</v>
      </c>
      <c r="B90" s="546" t="str">
        <f>IFERROR(VLOOKUP(A90,Race_2024!A:C,3,FALSE), VLOOKUP(A90,Race_2024!A:C,3,FALSE))</f>
        <v>Prov.f.dbtful acc.</v>
      </c>
      <c r="C90" s="549" t="s">
        <v>632</v>
      </c>
      <c r="D90" s="548">
        <f>IFERROR(VLOOKUP($A90,Race_2024!A:L, 7,FALSE),0)</f>
        <v>47554.525999999998</v>
      </c>
      <c r="E90" s="548">
        <f>IFERROR(VLOOKUP($A90,Race_2024!A:L, 9,FALSE),0)</f>
        <v>0</v>
      </c>
      <c r="F90" s="548">
        <f>IFERROR(VLOOKUP($A90,Race_2024!A:L, 8,FALSE),0)</f>
        <v>-7207.0619999999999</v>
      </c>
      <c r="G90" s="548">
        <f>IFERROR(VLOOKUP($A90,Race_2024!A:L, 10,FALSE),0)</f>
        <v>-18234.373</v>
      </c>
      <c r="H90" s="548">
        <f>IFERROR(VLOOKUP($A90,Race_2024!A:L, 11,FALSE),0)</f>
        <v>-7207.0619999999999</v>
      </c>
      <c r="I90" s="547">
        <f>IFERROR(VLOOKUP($A90,Race_2024!A:L, 12,FALSE),0)</f>
        <v>0</v>
      </c>
      <c r="J90" s="545"/>
      <c r="K90" s="544"/>
    </row>
    <row r="91" spans="1:11" ht="15" x14ac:dyDescent="0.25">
      <c r="A91" s="546" t="s">
        <v>1291</v>
      </c>
      <c r="B91" s="546" t="e">
        <f>IFERROR(VLOOKUP(A91,Race_2024!A:C,3,FALSE), VLOOKUP(A91,Race_2024!A:C,3,FALSE))</f>
        <v>#N/A</v>
      </c>
      <c r="C91" s="549" t="s">
        <v>631</v>
      </c>
      <c r="D91" s="548">
        <f>IFERROR(VLOOKUP($A91,Race_2024!A:L, 7,FALSE),0)</f>
        <v>0</v>
      </c>
      <c r="E91" s="548">
        <f>IFERROR(VLOOKUP($A91,Race_2024!A:L, 9,FALSE),0)</f>
        <v>0</v>
      </c>
      <c r="F91" s="548">
        <f>IFERROR(VLOOKUP($A91,Race_2024!A:L, 8,FALSE),0)</f>
        <v>0</v>
      </c>
      <c r="G91" s="548">
        <f>IFERROR(VLOOKUP($A91,Race_2024!A:L, 10,FALSE),0)</f>
        <v>0</v>
      </c>
      <c r="H91" s="548">
        <f>IFERROR(VLOOKUP($A91,Race_2024!A:L, 11,FALSE),0)</f>
        <v>0</v>
      </c>
      <c r="I91" s="547">
        <f>IFERROR(VLOOKUP($A91,Race_2024!A:L, 12,FALSE),0)</f>
        <v>0</v>
      </c>
      <c r="J91" s="545"/>
      <c r="K91" s="544"/>
    </row>
    <row r="92" spans="1:11" ht="15" x14ac:dyDescent="0.25">
      <c r="A92" s="546" t="s">
        <v>1292</v>
      </c>
      <c r="B92" s="546" t="e">
        <f>IFERROR(VLOOKUP(A92,Race_2024!A:C,3,FALSE), VLOOKUP(A92,Race_2024!A:C,3,FALSE))</f>
        <v>#N/A</v>
      </c>
      <c r="C92" s="549" t="s">
        <v>630</v>
      </c>
      <c r="D92" s="548">
        <f>IFERROR(VLOOKUP($A92,Race_2024!A:L, 7,FALSE),0)</f>
        <v>0</v>
      </c>
      <c r="E92" s="548">
        <f>IFERROR(VLOOKUP($A92,Race_2024!A:L, 9,FALSE),0)</f>
        <v>0</v>
      </c>
      <c r="F92" s="548">
        <f>IFERROR(VLOOKUP($A92,Race_2024!A:L, 8,FALSE),0)</f>
        <v>0</v>
      </c>
      <c r="G92" s="548">
        <f>IFERROR(VLOOKUP($A92,Race_2024!A:L, 10,FALSE),0)</f>
        <v>0</v>
      </c>
      <c r="H92" s="548">
        <f>IFERROR(VLOOKUP($A92,Race_2024!A:L, 11,FALSE),0)</f>
        <v>0</v>
      </c>
      <c r="I92" s="547">
        <f>IFERROR(VLOOKUP($A92,Race_2024!A:L, 12,FALSE),0)</f>
        <v>0</v>
      </c>
      <c r="J92" s="545"/>
      <c r="K92" s="544"/>
    </row>
    <row r="93" spans="1:11" ht="15" x14ac:dyDescent="0.25">
      <c r="A93" s="546" t="s">
        <v>1293</v>
      </c>
      <c r="B93" s="546" t="e">
        <f>IFERROR(VLOOKUP(A93,Race_2024!A:C,3,FALSE), VLOOKUP(A93,Race_2024!A:C,3,FALSE))</f>
        <v>#N/A</v>
      </c>
      <c r="C93" s="549" t="s">
        <v>629</v>
      </c>
      <c r="D93" s="548">
        <f>IFERROR(VLOOKUP($A93,Race_2024!A:L, 7,FALSE),0)</f>
        <v>0</v>
      </c>
      <c r="E93" s="548">
        <f>IFERROR(VLOOKUP($A93,Race_2024!A:L, 9,FALSE),0)</f>
        <v>0</v>
      </c>
      <c r="F93" s="548">
        <f>IFERROR(VLOOKUP($A93,Race_2024!A:L, 8,FALSE),0)</f>
        <v>0</v>
      </c>
      <c r="G93" s="548">
        <f>IFERROR(VLOOKUP($A93,Race_2024!A:L, 10,FALSE),0)</f>
        <v>0</v>
      </c>
      <c r="H93" s="548">
        <f>IFERROR(VLOOKUP($A93,Race_2024!A:L, 11,FALSE),0)</f>
        <v>0</v>
      </c>
      <c r="I93" s="547">
        <f>IFERROR(VLOOKUP($A93,Race_2024!A:L, 12,FALSE),0)</f>
        <v>0</v>
      </c>
      <c r="J93" s="545"/>
      <c r="K93" s="544"/>
    </row>
    <row r="94" spans="1:11" ht="15" x14ac:dyDescent="0.25">
      <c r="A94" s="546" t="s">
        <v>1294</v>
      </c>
      <c r="B94" s="546" t="e">
        <f>IFERROR(VLOOKUP(A94,Race_2024!A:C,3,FALSE), VLOOKUP(A94,Race_2024!A:C,3,FALSE))</f>
        <v>#N/A</v>
      </c>
      <c r="C94" s="549" t="s">
        <v>628</v>
      </c>
      <c r="D94" s="548">
        <f>IFERROR(VLOOKUP($A94,Race_2024!A:L, 7,FALSE),0)</f>
        <v>0</v>
      </c>
      <c r="E94" s="548">
        <f>IFERROR(VLOOKUP($A94,Race_2024!A:L, 9,FALSE),0)</f>
        <v>0</v>
      </c>
      <c r="F94" s="548">
        <f>IFERROR(VLOOKUP($A94,Race_2024!A:L, 8,FALSE),0)</f>
        <v>0</v>
      </c>
      <c r="G94" s="548">
        <f>IFERROR(VLOOKUP($A94,Race_2024!A:L, 10,FALSE),0)</f>
        <v>0</v>
      </c>
      <c r="H94" s="548">
        <f>IFERROR(VLOOKUP($A94,Race_2024!A:L, 11,FALSE),0)</f>
        <v>0</v>
      </c>
      <c r="I94" s="547">
        <f>IFERROR(VLOOKUP($A94,Race_2024!A:L, 12,FALSE),0)</f>
        <v>0</v>
      </c>
      <c r="J94" s="545"/>
      <c r="K94" s="544"/>
    </row>
    <row r="95" spans="1:11" ht="15" x14ac:dyDescent="0.25">
      <c r="A95" s="546" t="s">
        <v>1295</v>
      </c>
      <c r="B95" s="546" t="e">
        <f>IFERROR(VLOOKUP(A95,Race_2024!A:C,3,FALSE), VLOOKUP(A95,Race_2024!A:C,3,FALSE))</f>
        <v>#N/A</v>
      </c>
      <c r="C95" s="553" t="s">
        <v>627</v>
      </c>
      <c r="D95" s="548">
        <f>IFERROR(VLOOKUP($A95,Race_2024!A:L, 7,FALSE),0)</f>
        <v>0</v>
      </c>
      <c r="E95" s="548">
        <f>IFERROR(VLOOKUP($A95,Race_2024!A:L, 9,FALSE),0)</f>
        <v>0</v>
      </c>
      <c r="F95" s="548">
        <f>IFERROR(VLOOKUP($A95,Race_2024!A:L, 8,FALSE),0)</f>
        <v>0</v>
      </c>
      <c r="G95" s="548">
        <f>IFERROR(VLOOKUP($A95,Race_2024!A:L, 10,FALSE),0)</f>
        <v>0</v>
      </c>
      <c r="H95" s="548">
        <f>IFERROR(VLOOKUP($A95,Race_2024!A:L, 11,FALSE),0)</f>
        <v>0</v>
      </c>
      <c r="I95" s="547">
        <f>IFERROR(VLOOKUP($A95,Race_2024!A:L, 12,FALSE),0)</f>
        <v>0</v>
      </c>
      <c r="J95" s="545"/>
      <c r="K95" s="544"/>
    </row>
    <row r="96" spans="1:11" ht="15" x14ac:dyDescent="0.25">
      <c r="A96" s="546" t="s">
        <v>1296</v>
      </c>
      <c r="B96" s="546" t="e">
        <f>IFERROR(VLOOKUP(A96,Race_2024!A:C,3,FALSE), VLOOKUP(A96,Race_2024!A:C,3,FALSE))</f>
        <v>#N/A</v>
      </c>
      <c r="C96" s="553" t="s">
        <v>626</v>
      </c>
      <c r="D96" s="548">
        <f>IFERROR(VLOOKUP($A96,Race_2024!A:L, 7,FALSE),0)</f>
        <v>0</v>
      </c>
      <c r="E96" s="548">
        <f>IFERROR(VLOOKUP($A96,Race_2024!A:L, 9,FALSE),0)</f>
        <v>0</v>
      </c>
      <c r="F96" s="548">
        <f>IFERROR(VLOOKUP($A96,Race_2024!A:L, 8,FALSE),0)</f>
        <v>0</v>
      </c>
      <c r="G96" s="548">
        <f>IFERROR(VLOOKUP($A96,Race_2024!A:L, 10,FALSE),0)</f>
        <v>0</v>
      </c>
      <c r="H96" s="548">
        <f>IFERROR(VLOOKUP($A96,Race_2024!A:L, 11,FALSE),0)</f>
        <v>0</v>
      </c>
      <c r="I96" s="547">
        <f>IFERROR(VLOOKUP($A96,Race_2024!A:L, 12,FALSE),0)</f>
        <v>0</v>
      </c>
      <c r="J96" s="545"/>
      <c r="K96" s="544"/>
    </row>
    <row r="97" spans="1:11" ht="15" x14ac:dyDescent="0.25">
      <c r="A97" s="546" t="s">
        <v>1297</v>
      </c>
      <c r="B97" s="546" t="e">
        <f>IFERROR(VLOOKUP(A97,Race_2024!A:C,3,FALSE), VLOOKUP(A97,Race_2024!A:C,3,FALSE))</f>
        <v>#N/A</v>
      </c>
      <c r="C97" s="553" t="s">
        <v>625</v>
      </c>
      <c r="D97" s="548">
        <f>IFERROR(VLOOKUP($A97,Race_2024!A:L, 7,FALSE),0)</f>
        <v>0</v>
      </c>
      <c r="E97" s="548">
        <f>IFERROR(VLOOKUP($A97,Race_2024!A:L, 9,FALSE),0)</f>
        <v>0</v>
      </c>
      <c r="F97" s="548">
        <f>IFERROR(VLOOKUP($A97,Race_2024!A:L, 8,FALSE),0)</f>
        <v>0</v>
      </c>
      <c r="G97" s="548">
        <f>IFERROR(VLOOKUP($A97,Race_2024!A:L, 10,FALSE),0)</f>
        <v>0</v>
      </c>
      <c r="H97" s="548">
        <f>IFERROR(VLOOKUP($A97,Race_2024!A:L, 11,FALSE),0)</f>
        <v>0</v>
      </c>
      <c r="I97" s="547">
        <f>IFERROR(VLOOKUP($A97,Race_2024!A:L, 12,FALSE),0)</f>
        <v>0</v>
      </c>
      <c r="J97" s="545"/>
      <c r="K97" s="544"/>
    </row>
    <row r="98" spans="1:11" ht="15" x14ac:dyDescent="0.25">
      <c r="A98" s="546" t="s">
        <v>1298</v>
      </c>
      <c r="B98" s="546" t="e">
        <f>IFERROR(VLOOKUP(A98,Race_2024!A:C,3,FALSE), VLOOKUP(A98,Race_2024!A:C,3,FALSE))</f>
        <v>#N/A</v>
      </c>
      <c r="C98" s="553" t="s">
        <v>624</v>
      </c>
      <c r="D98" s="548">
        <f>IFERROR(VLOOKUP($A98,Race_2024!A:L, 7,FALSE),0)</f>
        <v>0</v>
      </c>
      <c r="E98" s="548">
        <f>IFERROR(VLOOKUP($A98,Race_2024!A:L, 9,FALSE),0)</f>
        <v>0</v>
      </c>
      <c r="F98" s="548">
        <f>IFERROR(VLOOKUP($A98,Race_2024!A:L, 8,FALSE),0)</f>
        <v>0</v>
      </c>
      <c r="G98" s="548">
        <f>IFERROR(VLOOKUP($A98,Race_2024!A:L, 10,FALSE),0)</f>
        <v>0</v>
      </c>
      <c r="H98" s="548">
        <f>IFERROR(VLOOKUP($A98,Race_2024!A:L, 11,FALSE),0)</f>
        <v>0</v>
      </c>
      <c r="I98" s="547">
        <f>IFERROR(VLOOKUP($A98,Race_2024!A:L, 12,FALSE),0)</f>
        <v>0</v>
      </c>
      <c r="J98" s="545"/>
      <c r="K98" s="544"/>
    </row>
    <row r="99" spans="1:11" ht="15" x14ac:dyDescent="0.25">
      <c r="A99" s="546" t="s">
        <v>1299</v>
      </c>
      <c r="B99" s="546" t="e">
        <f>IFERROR(VLOOKUP(A99,Race_2024!A:C,3,FALSE), VLOOKUP(A99,Race_2024!A:C,3,FALSE))</f>
        <v>#N/A</v>
      </c>
      <c r="C99" s="553" t="s">
        <v>623</v>
      </c>
      <c r="D99" s="548">
        <f>IFERROR(VLOOKUP($A99,Race_2024!A:L, 7,FALSE),0)</f>
        <v>0</v>
      </c>
      <c r="E99" s="548">
        <f>IFERROR(VLOOKUP($A99,Race_2024!A:L, 9,FALSE),0)</f>
        <v>0</v>
      </c>
      <c r="F99" s="548">
        <f>IFERROR(VLOOKUP($A99,Race_2024!A:L, 8,FALSE),0)</f>
        <v>0</v>
      </c>
      <c r="G99" s="548">
        <f>IFERROR(VLOOKUP($A99,Race_2024!A:L, 10,FALSE),0)</f>
        <v>0</v>
      </c>
      <c r="H99" s="548">
        <f>IFERROR(VLOOKUP($A99,Race_2024!A:L, 11,FALSE),0)</f>
        <v>0</v>
      </c>
      <c r="I99" s="547">
        <f>IFERROR(VLOOKUP($A99,Race_2024!A:L, 12,FALSE),0)</f>
        <v>0</v>
      </c>
      <c r="J99" s="545"/>
      <c r="K99" s="544"/>
    </row>
    <row r="100" spans="1:11" ht="15" x14ac:dyDescent="0.25">
      <c r="A100" s="546" t="s">
        <v>1300</v>
      </c>
      <c r="B100" s="546" t="e">
        <f>IFERROR(VLOOKUP(A100,Race_2024!A:C,3,FALSE), VLOOKUP(A100,Race_2024!A:C,3,FALSE))</f>
        <v>#N/A</v>
      </c>
      <c r="C100" s="658" t="s">
        <v>929</v>
      </c>
      <c r="D100" s="548">
        <f>IFERROR(VLOOKUP($A100,Race_2024!A:L, 7,FALSE),0)</f>
        <v>0</v>
      </c>
      <c r="E100" s="548">
        <f>IFERROR(VLOOKUP($A100,Race_2024!A:L, 9,FALSE),0)</f>
        <v>0</v>
      </c>
      <c r="F100" s="548">
        <f>IFERROR(VLOOKUP($A100,Race_2024!A:L, 8,FALSE),0)</f>
        <v>0</v>
      </c>
      <c r="G100" s="548">
        <f>IFERROR(VLOOKUP($A100,Race_2024!A:L, 10,FALSE),0)</f>
        <v>0</v>
      </c>
      <c r="H100" s="548">
        <f>IFERROR(VLOOKUP($A100,Race_2024!A:L, 11,FALSE),0)</f>
        <v>0</v>
      </c>
      <c r="I100" s="547">
        <f>IFERROR(VLOOKUP($A100,Race_2024!A:L, 12,FALSE),0)</f>
        <v>0</v>
      </c>
      <c r="J100" s="545"/>
      <c r="K100" s="544"/>
    </row>
    <row r="101" spans="1:11" ht="15" x14ac:dyDescent="0.25">
      <c r="A101" s="546" t="s">
        <v>1301</v>
      </c>
      <c r="B101" s="546" t="str">
        <f>IFERROR(VLOOKUP(A101,Race_2024!A:C,3,FALSE), VLOOKUP(A101,Race_2024!A:C,3,FALSE))</f>
        <v>FX op. total</v>
      </c>
      <c r="C101" s="549" t="s">
        <v>622</v>
      </c>
      <c r="D101" s="548">
        <f>IFERROR(VLOOKUP($A101,Race_2024!A:L, 7,FALSE),0)</f>
        <v>-16168.541999999999</v>
      </c>
      <c r="E101" s="548">
        <f>IFERROR(VLOOKUP($A101,Race_2024!A:L, 9,FALSE),0)</f>
        <v>0</v>
      </c>
      <c r="F101" s="548">
        <f>IFERROR(VLOOKUP($A101,Race_2024!A:L, 8,FALSE),0)</f>
        <v>319969.56300000002</v>
      </c>
      <c r="G101" s="548">
        <f>IFERROR(VLOOKUP($A101,Race_2024!A:L, 10,FALSE),0)</f>
        <v>319969.56199999998</v>
      </c>
      <c r="H101" s="548">
        <f>IFERROR(VLOOKUP($A101,Race_2024!A:L, 11,FALSE),0)</f>
        <v>867294.52300000004</v>
      </c>
      <c r="I101" s="547">
        <f>IFERROR(VLOOKUP($A101,Race_2024!A:L, 12,FALSE),0)</f>
        <v>0</v>
      </c>
      <c r="J101" s="545"/>
      <c r="K101" s="544"/>
    </row>
    <row r="102" spans="1:11" ht="15" x14ac:dyDescent="0.25">
      <c r="A102" s="546" t="s">
        <v>1302</v>
      </c>
      <c r="B102" s="546" t="str">
        <f>IFERROR(VLOOKUP(A102,Race_2024!A:C,3,FALSE), VLOOKUP(A102,Race_2024!A:C,3,FALSE))</f>
        <v>FX - trading</v>
      </c>
      <c r="C102" s="553" t="s">
        <v>621</v>
      </c>
      <c r="D102" s="548">
        <f>IFERROR(VLOOKUP($A102,Race_2024!A:L, 7,FALSE),0)</f>
        <v>-16168.541999999999</v>
      </c>
      <c r="E102" s="548">
        <f>IFERROR(VLOOKUP($A102,Race_2024!A:L, 9,FALSE),0)</f>
        <v>0</v>
      </c>
      <c r="F102" s="548">
        <f>IFERROR(VLOOKUP($A102,Race_2024!A:L, 8,FALSE),0)</f>
        <v>319969.56300000002</v>
      </c>
      <c r="G102" s="548">
        <f>IFERROR(VLOOKUP($A102,Race_2024!A:L, 10,FALSE),0)</f>
        <v>319969.56199999998</v>
      </c>
      <c r="H102" s="548">
        <f>IFERROR(VLOOKUP($A102,Race_2024!A:L, 11,FALSE),0)</f>
        <v>867294.52300000004</v>
      </c>
      <c r="I102" s="547">
        <f>IFERROR(VLOOKUP($A102,Race_2024!A:L, 12,FALSE),0)</f>
        <v>0</v>
      </c>
      <c r="J102" s="545"/>
      <c r="K102" s="544"/>
    </row>
    <row r="103" spans="1:11" ht="15" x14ac:dyDescent="0.25">
      <c r="A103" s="546" t="s">
        <v>1303</v>
      </c>
      <c r="B103" s="546" t="e">
        <f>IFERROR(VLOOKUP(A103,Race_2024!A:C,3,FALSE), VLOOKUP(A103,Race_2024!A:C,3,FALSE))</f>
        <v>#N/A</v>
      </c>
      <c r="C103" s="553" t="s">
        <v>620</v>
      </c>
      <c r="D103" s="548">
        <f>IFERROR(VLOOKUP($A103,Race_2024!A:L, 7,FALSE),0)</f>
        <v>0</v>
      </c>
      <c r="E103" s="548">
        <f>IFERROR(VLOOKUP($A103,Race_2024!A:L, 9,FALSE),0)</f>
        <v>0</v>
      </c>
      <c r="F103" s="548">
        <f>IFERROR(VLOOKUP($A103,Race_2024!A:L, 8,FALSE),0)</f>
        <v>0</v>
      </c>
      <c r="G103" s="548">
        <f>IFERROR(VLOOKUP($A103,Race_2024!A:L, 10,FALSE),0)</f>
        <v>0</v>
      </c>
      <c r="H103" s="548">
        <f>IFERROR(VLOOKUP($A103,Race_2024!A:L, 11,FALSE),0)</f>
        <v>0</v>
      </c>
      <c r="I103" s="547">
        <f>IFERROR(VLOOKUP($A103,Race_2024!A:L, 12,FALSE),0)</f>
        <v>0</v>
      </c>
      <c r="J103" s="545"/>
      <c r="K103" s="544"/>
    </row>
    <row r="104" spans="1:11" ht="15" x14ac:dyDescent="0.25">
      <c r="A104" s="546" t="s">
        <v>1304</v>
      </c>
      <c r="B104" s="546" t="e">
        <f>IFERROR(VLOOKUP(A104,Race_2024!A:C,3,FALSE), VLOOKUP(A104,Race_2024!A:C,3,FALSE))</f>
        <v>#N/A</v>
      </c>
      <c r="C104" s="553" t="s">
        <v>619</v>
      </c>
      <c r="D104" s="548">
        <f>IFERROR(VLOOKUP($A104,Race_2024!A:L, 7,FALSE),0)</f>
        <v>0</v>
      </c>
      <c r="E104" s="548">
        <f>IFERROR(VLOOKUP($A104,Race_2024!A:L, 9,FALSE),0)</f>
        <v>0</v>
      </c>
      <c r="F104" s="548">
        <f>IFERROR(VLOOKUP($A104,Race_2024!A:L, 8,FALSE),0)</f>
        <v>0</v>
      </c>
      <c r="G104" s="548">
        <f>IFERROR(VLOOKUP($A104,Race_2024!A:L, 10,FALSE),0)</f>
        <v>0</v>
      </c>
      <c r="H104" s="548">
        <f>IFERROR(VLOOKUP($A104,Race_2024!A:L, 11,FALSE),0)</f>
        <v>0</v>
      </c>
      <c r="I104" s="547">
        <f>IFERROR(VLOOKUP($A104,Race_2024!A:L, 12,FALSE),0)</f>
        <v>0</v>
      </c>
      <c r="J104" s="545"/>
      <c r="K104" s="544"/>
    </row>
    <row r="105" spans="1:11" ht="15" x14ac:dyDescent="0.25">
      <c r="A105" s="546" t="s">
        <v>1305</v>
      </c>
      <c r="B105" s="546" t="str">
        <f>IFERROR(VLOOKUP(A105,Race_2024!A:C,3,FALSE), VLOOKUP(A105,Race_2024!A:C,3,FALSE))</f>
        <v>PPE disposal</v>
      </c>
      <c r="C105" s="549" t="s">
        <v>618</v>
      </c>
      <c r="D105" s="548">
        <f>IFERROR(VLOOKUP($A105,Race_2024!A:L, 7,FALSE),0)</f>
        <v>-8357.2019999999993</v>
      </c>
      <c r="E105" s="548">
        <f>IFERROR(VLOOKUP($A105,Race_2024!A:L, 9,FALSE),0)</f>
        <v>0</v>
      </c>
      <c r="F105" s="548">
        <f>IFERROR(VLOOKUP($A105,Race_2024!A:L, 8,FALSE),0)</f>
        <v>0</v>
      </c>
      <c r="G105" s="548">
        <f>IFERROR(VLOOKUP($A105,Race_2024!A:L, 10,FALSE),0)</f>
        <v>0</v>
      </c>
      <c r="H105" s="548">
        <f>IFERROR(VLOOKUP($A105,Race_2024!A:L, 11,FALSE),0)</f>
        <v>0</v>
      </c>
      <c r="I105" s="547">
        <f>IFERROR(VLOOKUP($A105,Race_2024!A:L, 12,FALSE),0)</f>
        <v>0</v>
      </c>
      <c r="J105" s="545"/>
      <c r="K105" s="544"/>
    </row>
    <row r="106" spans="1:11" ht="15" x14ac:dyDescent="0.25">
      <c r="A106" s="546" t="s">
        <v>1306</v>
      </c>
      <c r="B106" s="546" t="str">
        <f>IFERROR(VLOOKUP(A106,Race_2024!A:C,3,FALSE), VLOOKUP(A106,Race_2024!A:C,3,FALSE))</f>
        <v>PPE scrap expenses</v>
      </c>
      <c r="C106" s="553" t="s">
        <v>617</v>
      </c>
      <c r="D106" s="548">
        <f>IFERROR(VLOOKUP($A106,Race_2024!A:L, 7,FALSE),0)</f>
        <v>-8632.0689999999995</v>
      </c>
      <c r="E106" s="548">
        <f>IFERROR(VLOOKUP($A106,Race_2024!A:L, 9,FALSE),0)</f>
        <v>0</v>
      </c>
      <c r="F106" s="548">
        <f>IFERROR(VLOOKUP($A106,Race_2024!A:L, 8,FALSE),0)</f>
        <v>0</v>
      </c>
      <c r="G106" s="548">
        <f>IFERROR(VLOOKUP($A106,Race_2024!A:L, 10,FALSE),0)</f>
        <v>0</v>
      </c>
      <c r="H106" s="548">
        <f>IFERROR(VLOOKUP($A106,Race_2024!A:L, 11,FALSE),0)</f>
        <v>0</v>
      </c>
      <c r="I106" s="547">
        <f>IFERROR(VLOOKUP($A106,Race_2024!A:L, 12,FALSE),0)</f>
        <v>0</v>
      </c>
      <c r="J106" s="545"/>
      <c r="K106" s="544"/>
    </row>
    <row r="107" spans="1:11" ht="15" x14ac:dyDescent="0.25">
      <c r="A107" s="546" t="s">
        <v>1307</v>
      </c>
      <c r="B107" s="546" t="e">
        <f>IFERROR(VLOOKUP(A107,Race_2024!A:C,3,FALSE), VLOOKUP(A107,Race_2024!A:C,3,FALSE))</f>
        <v>#N/A</v>
      </c>
      <c r="C107" s="553" t="s">
        <v>616</v>
      </c>
      <c r="D107" s="548">
        <f>IFERROR(VLOOKUP($A107,Race_2024!A:L, 7,FALSE),0)</f>
        <v>0</v>
      </c>
      <c r="E107" s="548">
        <f>IFERROR(VLOOKUP($A107,Race_2024!A:L, 9,FALSE),0)</f>
        <v>0</v>
      </c>
      <c r="F107" s="548">
        <f>IFERROR(VLOOKUP($A107,Race_2024!A:L, 8,FALSE),0)</f>
        <v>0</v>
      </c>
      <c r="G107" s="548">
        <f>IFERROR(VLOOKUP($A107,Race_2024!A:L, 10,FALSE),0)</f>
        <v>0</v>
      </c>
      <c r="H107" s="548">
        <f>IFERROR(VLOOKUP($A107,Race_2024!A:L, 11,FALSE),0)</f>
        <v>0</v>
      </c>
      <c r="I107" s="547">
        <f>IFERROR(VLOOKUP($A107,Race_2024!A:L, 12,FALSE),0)</f>
        <v>0</v>
      </c>
      <c r="J107" s="545"/>
      <c r="K107" s="544"/>
    </row>
    <row r="108" spans="1:11" ht="15" x14ac:dyDescent="0.25">
      <c r="A108" s="546" t="s">
        <v>1308</v>
      </c>
      <c r="B108" s="546" t="e">
        <f>IFERROR(VLOOKUP(A108,Race_2024!A:C,3,FALSE), VLOOKUP(A108,Race_2024!A:C,3,FALSE))</f>
        <v>#N/A</v>
      </c>
      <c r="C108" s="555" t="s">
        <v>806</v>
      </c>
      <c r="D108" s="548">
        <f>IFERROR(VLOOKUP($A108,Race_2024!A:L, 7,FALSE),0)</f>
        <v>0</v>
      </c>
      <c r="E108" s="548">
        <f>IFERROR(VLOOKUP($A108,Race_2024!A:L, 9,FALSE),0)</f>
        <v>0</v>
      </c>
      <c r="F108" s="548">
        <f>IFERROR(VLOOKUP($A108,Race_2024!A:L, 8,FALSE),0)</f>
        <v>0</v>
      </c>
      <c r="G108" s="548">
        <f>IFERROR(VLOOKUP($A108,Race_2024!A:L, 10,FALSE),0)</f>
        <v>0</v>
      </c>
      <c r="H108" s="548">
        <f>IFERROR(VLOOKUP($A108,Race_2024!A:L, 11,FALSE),0)</f>
        <v>0</v>
      </c>
      <c r="I108" s="547">
        <f>IFERROR(VLOOKUP($A108,Race_2024!A:L, 12,FALSE),0)</f>
        <v>0</v>
      </c>
      <c r="J108" s="545"/>
      <c r="K108" s="544"/>
    </row>
    <row r="109" spans="1:11" ht="15" x14ac:dyDescent="0.25">
      <c r="A109" s="546" t="s">
        <v>1309</v>
      </c>
      <c r="B109" s="546" t="e">
        <f>IFERROR(VLOOKUP(A109,Race_2024!A:C,3,FALSE), VLOOKUP(A109,Race_2024!A:C,3,FALSE))</f>
        <v>#N/A</v>
      </c>
      <c r="C109" s="555" t="s">
        <v>805</v>
      </c>
      <c r="D109" s="548">
        <f>IFERROR(VLOOKUP($A109,Race_2024!A:L, 7,FALSE),0)</f>
        <v>0</v>
      </c>
      <c r="E109" s="548">
        <f>IFERROR(VLOOKUP($A109,Race_2024!A:L, 9,FALSE),0)</f>
        <v>0</v>
      </c>
      <c r="F109" s="548">
        <f>IFERROR(VLOOKUP($A109,Race_2024!A:L, 8,FALSE),0)</f>
        <v>0</v>
      </c>
      <c r="G109" s="548">
        <f>IFERROR(VLOOKUP($A109,Race_2024!A:L, 10,FALSE),0)</f>
        <v>0</v>
      </c>
      <c r="H109" s="548">
        <f>IFERROR(VLOOKUP($A109,Race_2024!A:L, 11,FALSE),0)</f>
        <v>0</v>
      </c>
      <c r="I109" s="547">
        <f>IFERROR(VLOOKUP($A109,Race_2024!A:L, 12,FALSE),0)</f>
        <v>0</v>
      </c>
      <c r="J109" s="545"/>
      <c r="K109" s="544"/>
    </row>
    <row r="110" spans="1:11" ht="15" x14ac:dyDescent="0.25">
      <c r="A110" s="546" t="s">
        <v>1310</v>
      </c>
      <c r="B110" s="546" t="e">
        <f>IFERROR(VLOOKUP(A110,Race_2024!A:C,3,FALSE), VLOOKUP(A110,Race_2024!A:C,3,FALSE))</f>
        <v>#N/A</v>
      </c>
      <c r="C110" s="555" t="s">
        <v>804</v>
      </c>
      <c r="D110" s="548">
        <f>IFERROR(VLOOKUP($A110,Race_2024!A:L, 7,FALSE),0)</f>
        <v>0</v>
      </c>
      <c r="E110" s="548">
        <f>IFERROR(VLOOKUP($A110,Race_2024!A:L, 9,FALSE),0)</f>
        <v>0</v>
      </c>
      <c r="F110" s="548">
        <f>IFERROR(VLOOKUP($A110,Race_2024!A:L, 8,FALSE),0)</f>
        <v>0</v>
      </c>
      <c r="G110" s="548">
        <f>IFERROR(VLOOKUP($A110,Race_2024!A:L, 10,FALSE),0)</f>
        <v>0</v>
      </c>
      <c r="H110" s="548">
        <f>IFERROR(VLOOKUP($A110,Race_2024!A:L, 11,FALSE),0)</f>
        <v>0</v>
      </c>
      <c r="I110" s="547">
        <f>IFERROR(VLOOKUP($A110,Race_2024!A:L, 12,FALSE),0)</f>
        <v>0</v>
      </c>
      <c r="J110" s="545"/>
      <c r="K110" s="544"/>
    </row>
    <row r="111" spans="1:11" ht="15" x14ac:dyDescent="0.25">
      <c r="A111" s="546" t="s">
        <v>1311</v>
      </c>
      <c r="B111" s="546" t="e">
        <f>IFERROR(VLOOKUP(A111,Race_2024!A:C,3,FALSE), VLOOKUP(A111,Race_2024!A:C,3,FALSE))</f>
        <v>#N/A</v>
      </c>
      <c r="C111" s="555" t="s">
        <v>803</v>
      </c>
      <c r="D111" s="548">
        <f>IFERROR(VLOOKUP($A111,Race_2024!A:L, 7,FALSE),0)</f>
        <v>0</v>
      </c>
      <c r="E111" s="548">
        <f>IFERROR(VLOOKUP($A111,Race_2024!A:L, 9,FALSE),0)</f>
        <v>0</v>
      </c>
      <c r="F111" s="548">
        <f>IFERROR(VLOOKUP($A111,Race_2024!A:L, 8,FALSE),0)</f>
        <v>0</v>
      </c>
      <c r="G111" s="548">
        <f>IFERROR(VLOOKUP($A111,Race_2024!A:L, 10,FALSE),0)</f>
        <v>0</v>
      </c>
      <c r="H111" s="548">
        <f>IFERROR(VLOOKUP($A111,Race_2024!A:L, 11,FALSE),0)</f>
        <v>0</v>
      </c>
      <c r="I111" s="547">
        <f>IFERROR(VLOOKUP($A111,Race_2024!A:L, 12,FALSE),0)</f>
        <v>0</v>
      </c>
      <c r="J111" s="545"/>
      <c r="K111" s="544"/>
    </row>
    <row r="112" spans="1:11" ht="15" x14ac:dyDescent="0.25">
      <c r="A112" s="546" t="s">
        <v>1312</v>
      </c>
      <c r="B112" s="546" t="e">
        <f>IFERROR(VLOOKUP(A112,Race_2024!A:C,3,FALSE), VLOOKUP(A112,Race_2024!A:C,3,FALSE))</f>
        <v>#N/A</v>
      </c>
      <c r="C112" s="555" t="s">
        <v>615</v>
      </c>
      <c r="D112" s="548">
        <f>IFERROR(VLOOKUP($A112,Race_2024!A:L, 7,FALSE),0)</f>
        <v>0</v>
      </c>
      <c r="E112" s="548">
        <f>IFERROR(VLOOKUP($A112,Race_2024!A:L, 9,FALSE),0)</f>
        <v>0</v>
      </c>
      <c r="F112" s="548">
        <f>IFERROR(VLOOKUP($A112,Race_2024!A:L, 8,FALSE),0)</f>
        <v>0</v>
      </c>
      <c r="G112" s="548">
        <f>IFERROR(VLOOKUP($A112,Race_2024!A:L, 10,FALSE),0)</f>
        <v>0</v>
      </c>
      <c r="H112" s="548">
        <f>IFERROR(VLOOKUP($A112,Race_2024!A:L, 11,FALSE),0)</f>
        <v>0</v>
      </c>
      <c r="I112" s="547">
        <f>IFERROR(VLOOKUP($A112,Race_2024!A:L, 12,FALSE),0)</f>
        <v>0</v>
      </c>
      <c r="J112" s="545"/>
      <c r="K112" s="544"/>
    </row>
    <row r="113" spans="1:11" ht="15" x14ac:dyDescent="0.25">
      <c r="A113" s="546" t="s">
        <v>1313</v>
      </c>
      <c r="B113" s="546" t="e">
        <f>IFERROR(VLOOKUP(A113,Race_2024!A:C,3,FALSE), VLOOKUP(A113,Race_2024!A:C,3,FALSE))</f>
        <v>#N/A</v>
      </c>
      <c r="C113" s="555" t="s">
        <v>802</v>
      </c>
      <c r="D113" s="548">
        <f>IFERROR(VLOOKUP($A113,Race_2024!A:L, 7,FALSE),0)</f>
        <v>0</v>
      </c>
      <c r="E113" s="548">
        <f>IFERROR(VLOOKUP($A113,Race_2024!A:L, 9,FALSE),0)</f>
        <v>0</v>
      </c>
      <c r="F113" s="548">
        <f>IFERROR(VLOOKUP($A113,Race_2024!A:L, 8,FALSE),0)</f>
        <v>0</v>
      </c>
      <c r="G113" s="548">
        <f>IFERROR(VLOOKUP($A113,Race_2024!A:L, 10,FALSE),0)</f>
        <v>0</v>
      </c>
      <c r="H113" s="548">
        <f>IFERROR(VLOOKUP($A113,Race_2024!A:L, 11,FALSE),0)</f>
        <v>0</v>
      </c>
      <c r="I113" s="547">
        <f>IFERROR(VLOOKUP($A113,Race_2024!A:L, 12,FALSE),0)</f>
        <v>0</v>
      </c>
      <c r="J113" s="545"/>
      <c r="K113" s="544"/>
    </row>
    <row r="114" spans="1:11" ht="15" x14ac:dyDescent="0.25">
      <c r="A114" s="546" t="s">
        <v>1314</v>
      </c>
      <c r="B114" s="546" t="str">
        <f>IFERROR(VLOOKUP(A114,Race_2024!A:C,3,FALSE), VLOOKUP(A114,Race_2024!A:C,3,FALSE))</f>
        <v>PPE disp. ext. gains</v>
      </c>
      <c r="C114" s="555" t="s">
        <v>614</v>
      </c>
      <c r="D114" s="548">
        <f>IFERROR(VLOOKUP($A114,Race_2024!A:L, 7,FALSE),0)</f>
        <v>250.53200000000001</v>
      </c>
      <c r="E114" s="548">
        <f>IFERROR(VLOOKUP($A114,Race_2024!A:L, 9,FALSE),0)</f>
        <v>0</v>
      </c>
      <c r="F114" s="548">
        <f>IFERROR(VLOOKUP($A114,Race_2024!A:L, 8,FALSE),0)</f>
        <v>0</v>
      </c>
      <c r="G114" s="548">
        <f>IFERROR(VLOOKUP($A114,Race_2024!A:L, 10,FALSE),0)</f>
        <v>0</v>
      </c>
      <c r="H114" s="548">
        <f>IFERROR(VLOOKUP($A114,Race_2024!A:L, 11,FALSE),0)</f>
        <v>0</v>
      </c>
      <c r="I114" s="547">
        <f>IFERROR(VLOOKUP($A114,Race_2024!A:L, 12,FALSE),0)</f>
        <v>0</v>
      </c>
      <c r="J114" s="545"/>
      <c r="K114" s="544"/>
    </row>
    <row r="115" spans="1:11" ht="15" x14ac:dyDescent="0.25">
      <c r="A115" s="546" t="s">
        <v>1315</v>
      </c>
      <c r="B115" s="546" t="str">
        <f>IFERROR(VLOOKUP(A115,Race_2024!A:C,3,FALSE), VLOOKUP(A115,Race_2024!A:C,3,FALSE))</f>
        <v>PPE RoU dis.ext.gain</v>
      </c>
      <c r="C115" s="555" t="s">
        <v>801</v>
      </c>
      <c r="D115" s="548">
        <f>IFERROR(VLOOKUP($A115,Race_2024!A:L, 7,FALSE),0)</f>
        <v>24.335000000000001</v>
      </c>
      <c r="E115" s="548">
        <f>IFERROR(VLOOKUP($A115,Race_2024!A:L, 9,FALSE),0)</f>
        <v>0</v>
      </c>
      <c r="F115" s="548">
        <f>IFERROR(VLOOKUP($A115,Race_2024!A:L, 8,FALSE),0)</f>
        <v>0</v>
      </c>
      <c r="G115" s="548">
        <f>IFERROR(VLOOKUP($A115,Race_2024!A:L, 10,FALSE),0)</f>
        <v>0</v>
      </c>
      <c r="H115" s="548">
        <f>IFERROR(VLOOKUP($A115,Race_2024!A:L, 11,FALSE),0)</f>
        <v>0</v>
      </c>
      <c r="I115" s="547">
        <f>IFERROR(VLOOKUP($A115,Race_2024!A:L, 12,FALSE),0)</f>
        <v>0</v>
      </c>
      <c r="J115" s="545"/>
      <c r="K115" s="544"/>
    </row>
    <row r="116" spans="1:11" ht="15" x14ac:dyDescent="0.25">
      <c r="A116" s="546" t="s">
        <v>1316</v>
      </c>
      <c r="B116" s="546" t="str">
        <f>IFERROR(VLOOKUP(A116,Race_2024!A:C,3,FALSE), VLOOKUP(A116,Race_2024!A:C,3,FALSE))</f>
        <v>Equal. PY total</v>
      </c>
      <c r="C116" s="556" t="s">
        <v>613</v>
      </c>
      <c r="D116" s="548">
        <f>IFERROR(VLOOKUP($A116,Race_2024!A:L, 7,FALSE),0)</f>
        <v>-11403.009</v>
      </c>
      <c r="E116" s="548">
        <f>IFERROR(VLOOKUP($A116,Race_2024!A:L, 9,FALSE),0)</f>
        <v>0</v>
      </c>
      <c r="F116" s="548">
        <f>IFERROR(VLOOKUP($A116,Race_2024!A:L, 8,FALSE),0)</f>
        <v>0</v>
      </c>
      <c r="G116" s="548">
        <f>IFERROR(VLOOKUP($A116,Race_2024!A:L, 10,FALSE),0)</f>
        <v>0</v>
      </c>
      <c r="H116" s="548">
        <f>IFERROR(VLOOKUP($A116,Race_2024!A:L, 11,FALSE),0)</f>
        <v>0</v>
      </c>
      <c r="I116" s="547">
        <f>IFERROR(VLOOKUP($A116,Race_2024!A:L, 12,FALSE),0)</f>
        <v>0</v>
      </c>
      <c r="J116" s="545"/>
      <c r="K116" s="544"/>
    </row>
    <row r="117" spans="1:11" ht="15" x14ac:dyDescent="0.25">
      <c r="A117" s="546" t="s">
        <v>1317</v>
      </c>
      <c r="B117" s="546" t="str">
        <f>IFERROR(VLOOKUP(A117,Race_2024!A:C,3,FALSE), VLOOKUP(A117,Race_2024!A:C,3,FALSE))</f>
        <v>Equalization PY ICO</v>
      </c>
      <c r="C117" s="555" t="s">
        <v>611</v>
      </c>
      <c r="D117" s="548">
        <f>IFERROR(VLOOKUP($A117,Race_2024!A:L, 7,FALSE),0)</f>
        <v>-11403.009</v>
      </c>
      <c r="E117" s="548">
        <f>IFERROR(VLOOKUP($A117,Race_2024!A:L, 9,FALSE),0)</f>
        <v>0</v>
      </c>
      <c r="F117" s="548">
        <f>IFERROR(VLOOKUP($A117,Race_2024!A:L, 8,FALSE),0)</f>
        <v>0</v>
      </c>
      <c r="G117" s="548">
        <f>IFERROR(VLOOKUP($A117,Race_2024!A:L, 10,FALSE),0)</f>
        <v>0</v>
      </c>
      <c r="H117" s="548">
        <f>IFERROR(VLOOKUP($A117,Race_2024!A:L, 11,FALSE),0)</f>
        <v>0</v>
      </c>
      <c r="I117" s="547">
        <f>IFERROR(VLOOKUP($A117,Race_2024!A:L, 12,FALSE),0)</f>
        <v>0</v>
      </c>
      <c r="J117" s="545"/>
      <c r="K117" s="544"/>
    </row>
    <row r="118" spans="1:11" ht="15" x14ac:dyDescent="0.25">
      <c r="A118" s="546" t="s">
        <v>1318</v>
      </c>
      <c r="B118" s="546" t="e">
        <f>IFERROR(VLOOKUP(A118,Race_2024!A:C,3,FALSE), VLOOKUP(A118,Race_2024!A:C,3,FALSE))</f>
        <v>#N/A</v>
      </c>
      <c r="C118" s="555" t="s">
        <v>610</v>
      </c>
      <c r="D118" s="548">
        <f>IFERROR(VLOOKUP($A118,Race_2024!A:L, 7,FALSE),0)</f>
        <v>0</v>
      </c>
      <c r="E118" s="548">
        <f>IFERROR(VLOOKUP($A118,Race_2024!A:L, 9,FALSE),0)</f>
        <v>0</v>
      </c>
      <c r="F118" s="548">
        <f>IFERROR(VLOOKUP($A118,Race_2024!A:L, 8,FALSE),0)</f>
        <v>0</v>
      </c>
      <c r="G118" s="548">
        <f>IFERROR(VLOOKUP($A118,Race_2024!A:L, 10,FALSE),0)</f>
        <v>0</v>
      </c>
      <c r="H118" s="548">
        <f>IFERROR(VLOOKUP($A118,Race_2024!A:L, 11,FALSE),0)</f>
        <v>0</v>
      </c>
      <c r="I118" s="547">
        <f>IFERROR(VLOOKUP($A118,Race_2024!A:L, 12,FALSE),0)</f>
        <v>0</v>
      </c>
      <c r="J118" s="545"/>
      <c r="K118" s="544"/>
    </row>
    <row r="119" spans="1:11" ht="15" x14ac:dyDescent="0.25">
      <c r="A119" s="546" t="s">
        <v>1319</v>
      </c>
      <c r="B119" s="546" t="e">
        <f>IFERROR(VLOOKUP(A119,Race_2024!A:C,3,FALSE), VLOOKUP(A119,Race_2024!A:C,3,FALSE))</f>
        <v>#N/A</v>
      </c>
      <c r="C119" s="553" t="s">
        <v>609</v>
      </c>
      <c r="D119" s="548">
        <f>IFERROR(VLOOKUP($A119,Race_2024!A:L, 7,FALSE),0)</f>
        <v>0</v>
      </c>
      <c r="E119" s="548">
        <f>IFERROR(VLOOKUP($A119,Race_2024!A:L, 9,FALSE),0)</f>
        <v>0</v>
      </c>
      <c r="F119" s="548">
        <f>IFERROR(VLOOKUP($A119,Race_2024!A:L, 8,FALSE),0)</f>
        <v>0</v>
      </c>
      <c r="G119" s="548">
        <f>IFERROR(VLOOKUP($A119,Race_2024!A:L, 10,FALSE),0)</f>
        <v>0</v>
      </c>
      <c r="H119" s="548">
        <f>IFERROR(VLOOKUP($A119,Race_2024!A:L, 11,FALSE),0)</f>
        <v>0</v>
      </c>
      <c r="I119" s="547">
        <f>IFERROR(VLOOKUP($A119,Race_2024!A:L, 12,FALSE),0)</f>
        <v>0</v>
      </c>
      <c r="J119" s="545"/>
      <c r="K119" s="544"/>
    </row>
    <row r="120" spans="1:11" ht="15" x14ac:dyDescent="0.25">
      <c r="A120" s="546" t="s">
        <v>1320</v>
      </c>
      <c r="B120" s="546" t="str">
        <f>IFERROR(VLOOKUP(A120,Race_2024!A:C,3,FALSE), VLOOKUP(A120,Race_2024!A:C,3,FALSE))</f>
        <v>Rec.&amp;other spec.war.</v>
      </c>
      <c r="C120" s="549" t="s">
        <v>608</v>
      </c>
      <c r="D120" s="548">
        <f>IFERROR(VLOOKUP($A120,Race_2024!A:L, 7,FALSE),0)</f>
        <v>0</v>
      </c>
      <c r="E120" s="548">
        <f>IFERROR(VLOOKUP($A120,Race_2024!A:L, 9,FALSE),0)</f>
        <v>0</v>
      </c>
      <c r="F120" s="548">
        <f>IFERROR(VLOOKUP($A120,Race_2024!A:L, 8,FALSE),0)</f>
        <v>0</v>
      </c>
      <c r="G120" s="548">
        <f>IFERROR(VLOOKUP($A120,Race_2024!A:L, 10,FALSE),0)</f>
        <v>0</v>
      </c>
      <c r="H120" s="548">
        <f>IFERROR(VLOOKUP($A120,Race_2024!A:L, 11,FALSE),0)</f>
        <v>0</v>
      </c>
      <c r="I120" s="547">
        <f>IFERROR(VLOOKUP($A120,Race_2024!A:L, 12,FALSE),0)</f>
        <v>0</v>
      </c>
      <c r="J120" s="545"/>
      <c r="K120" s="544"/>
    </row>
    <row r="121" spans="1:11" ht="15" x14ac:dyDescent="0.25">
      <c r="A121" s="546" t="s">
        <v>1321</v>
      </c>
      <c r="B121" s="546" t="e">
        <f>IFERROR(VLOOKUP(A121,Race_2024!A:C,3,FALSE), VLOOKUP(A121,Race_2024!A:C,3,FALSE))</f>
        <v>#N/A</v>
      </c>
      <c r="C121" s="549" t="s">
        <v>607</v>
      </c>
      <c r="D121" s="548">
        <f>IFERROR(VLOOKUP($A121,Race_2024!A:L, 7,FALSE),0)</f>
        <v>0</v>
      </c>
      <c r="E121" s="548">
        <f>IFERROR(VLOOKUP($A121,Race_2024!A:L, 9,FALSE),0)</f>
        <v>0</v>
      </c>
      <c r="F121" s="548">
        <f>IFERROR(VLOOKUP($A121,Race_2024!A:L, 8,FALSE),0)</f>
        <v>0</v>
      </c>
      <c r="G121" s="548">
        <f>IFERROR(VLOOKUP($A121,Race_2024!A:L, 10,FALSE),0)</f>
        <v>0</v>
      </c>
      <c r="H121" s="548">
        <f>IFERROR(VLOOKUP($A121,Race_2024!A:L, 11,FALSE),0)</f>
        <v>0</v>
      </c>
      <c r="I121" s="547">
        <f>IFERROR(VLOOKUP($A121,Race_2024!A:L, 12,FALSE),0)</f>
        <v>0</v>
      </c>
      <c r="J121" s="545"/>
      <c r="K121" s="544"/>
    </row>
    <row r="122" spans="1:11" ht="15" x14ac:dyDescent="0.25">
      <c r="A122" s="546" t="s">
        <v>1322</v>
      </c>
      <c r="B122" s="546" t="e">
        <f>IFERROR(VLOOKUP(A122,Race_2024!A:C,3,FALSE), VLOOKUP(A122,Race_2024!A:C,3,FALSE))</f>
        <v>#N/A</v>
      </c>
      <c r="C122" s="549" t="s">
        <v>606</v>
      </c>
      <c r="D122" s="548">
        <f>IFERROR(VLOOKUP($A122,Race_2024!A:L, 7,FALSE),0)</f>
        <v>0</v>
      </c>
      <c r="E122" s="548">
        <f>IFERROR(VLOOKUP($A122,Race_2024!A:L, 9,FALSE),0)</f>
        <v>0</v>
      </c>
      <c r="F122" s="548">
        <f>IFERROR(VLOOKUP($A122,Race_2024!A:L, 8,FALSE),0)</f>
        <v>0</v>
      </c>
      <c r="G122" s="548">
        <f>IFERROR(VLOOKUP($A122,Race_2024!A:L, 10,FALSE),0)</f>
        <v>0</v>
      </c>
      <c r="H122" s="548">
        <f>IFERROR(VLOOKUP($A122,Race_2024!A:L, 11,FALSE),0)</f>
        <v>0</v>
      </c>
      <c r="I122" s="547">
        <f>IFERROR(VLOOKUP($A122,Race_2024!A:L, 12,FALSE),0)</f>
        <v>0</v>
      </c>
      <c r="J122" s="545"/>
      <c r="K122" s="544"/>
    </row>
    <row r="123" spans="1:11" ht="15" x14ac:dyDescent="0.25">
      <c r="A123" s="546" t="s">
        <v>1323</v>
      </c>
      <c r="B123" s="546" t="e">
        <f>IFERROR(VLOOKUP(A123,Race_2024!A:C,3,FALSE), VLOOKUP(A123,Race_2024!A:C,3,FALSE))</f>
        <v>#N/A</v>
      </c>
      <c r="C123" s="549" t="s">
        <v>605</v>
      </c>
      <c r="D123" s="548">
        <f>IFERROR(VLOOKUP($A123,Race_2024!A:L, 7,FALSE),0)</f>
        <v>0</v>
      </c>
      <c r="E123" s="548">
        <f>IFERROR(VLOOKUP($A123,Race_2024!A:L, 9,FALSE),0)</f>
        <v>0</v>
      </c>
      <c r="F123" s="548">
        <f>IFERROR(VLOOKUP($A123,Race_2024!A:L, 8,FALSE),0)</f>
        <v>0</v>
      </c>
      <c r="G123" s="548">
        <f>IFERROR(VLOOKUP($A123,Race_2024!A:L, 10,FALSE),0)</f>
        <v>0</v>
      </c>
      <c r="H123" s="548">
        <f>IFERROR(VLOOKUP($A123,Race_2024!A:L, 11,FALSE),0)</f>
        <v>0</v>
      </c>
      <c r="I123" s="547">
        <f>IFERROR(VLOOKUP($A123,Race_2024!A:L, 12,FALSE),0)</f>
        <v>0</v>
      </c>
      <c r="J123" s="545"/>
      <c r="K123" s="544"/>
    </row>
    <row r="124" spans="1:11" ht="15" x14ac:dyDescent="0.25">
      <c r="A124" s="546" t="s">
        <v>1324</v>
      </c>
      <c r="B124" s="546" t="e">
        <f>IFERROR(VLOOKUP(A124,Race_2024!A:C,3,FALSE), VLOOKUP(A124,Race_2024!A:C,3,FALSE))</f>
        <v>#N/A</v>
      </c>
      <c r="C124" s="549" t="s">
        <v>604</v>
      </c>
      <c r="D124" s="548">
        <f>IFERROR(VLOOKUP($A124,Race_2024!A:L, 7,FALSE),0)</f>
        <v>0</v>
      </c>
      <c r="E124" s="548">
        <f>IFERROR(VLOOKUP($A124,Race_2024!A:L, 9,FALSE),0)</f>
        <v>0</v>
      </c>
      <c r="F124" s="548">
        <f>IFERROR(VLOOKUP($A124,Race_2024!A:L, 8,FALSE),0)</f>
        <v>0</v>
      </c>
      <c r="G124" s="548">
        <f>IFERROR(VLOOKUP($A124,Race_2024!A:L, 10,FALSE),0)</f>
        <v>0</v>
      </c>
      <c r="H124" s="548">
        <f>IFERROR(VLOOKUP($A124,Race_2024!A:L, 11,FALSE),0)</f>
        <v>0</v>
      </c>
      <c r="I124" s="547">
        <f>IFERROR(VLOOKUP($A124,Race_2024!A:L, 12,FALSE),0)</f>
        <v>0</v>
      </c>
      <c r="J124" s="545"/>
      <c r="K124" s="544"/>
    </row>
    <row r="125" spans="1:11" ht="15" x14ac:dyDescent="0.25">
      <c r="A125" s="546" t="s">
        <v>1325</v>
      </c>
      <c r="B125" s="546" t="str">
        <f>IFERROR(VLOOKUP(A125,Race_2024!A:C,3,FALSE), VLOOKUP(A125,Race_2024!A:C,3,FALSE))</f>
        <v>Other op. inc./ exp.</v>
      </c>
      <c r="C125" s="549" t="s">
        <v>603</v>
      </c>
      <c r="D125" s="548">
        <f>IFERROR(VLOOKUP($A125,Race_2024!A:L, 7,FALSE),0)</f>
        <v>-56540.773000000001</v>
      </c>
      <c r="E125" s="548">
        <f>IFERROR(VLOOKUP($A125,Race_2024!A:L, 9,FALSE),0)</f>
        <v>0</v>
      </c>
      <c r="F125" s="548">
        <f>IFERROR(VLOOKUP($A125,Race_2024!A:L, 8,FALSE),0)</f>
        <v>3961.6680000000001</v>
      </c>
      <c r="G125" s="548">
        <f>IFERROR(VLOOKUP($A125,Race_2024!A:L, 10,FALSE),0)</f>
        <v>1129.923</v>
      </c>
      <c r="H125" s="548">
        <f>IFERROR(VLOOKUP($A125,Race_2024!A:L, 11,FALSE),0)</f>
        <v>3961.6680000000001</v>
      </c>
      <c r="I125" s="547">
        <f>IFERROR(VLOOKUP($A125,Race_2024!A:L, 12,FALSE),0)</f>
        <v>0</v>
      </c>
      <c r="J125" s="554"/>
      <c r="K125" s="544"/>
    </row>
    <row r="126" spans="1:11" ht="15" x14ac:dyDescent="0.25">
      <c r="A126" s="546" t="s">
        <v>1326</v>
      </c>
      <c r="B126" s="546" t="str">
        <f>IFERROR(VLOOKUP(A126,Race_2024!A:C,3,FALSE), VLOOKUP(A126,Race_2024!A:C,3,FALSE))</f>
        <v>Other op. exp. ext.</v>
      </c>
      <c r="C126" s="553" t="s">
        <v>602</v>
      </c>
      <c r="D126" s="548">
        <f>IFERROR(VLOOKUP($A126,Race_2024!A:L, 7,FALSE),0)</f>
        <v>-2090.6889999999999</v>
      </c>
      <c r="E126" s="548">
        <f>IFERROR(VLOOKUP($A126,Race_2024!A:L, 9,FALSE),0)</f>
        <v>0</v>
      </c>
      <c r="F126" s="548">
        <f>IFERROR(VLOOKUP($A126,Race_2024!A:L, 8,FALSE),0)</f>
        <v>-51.433</v>
      </c>
      <c r="G126" s="548">
        <f>IFERROR(VLOOKUP($A126,Race_2024!A:L, 10,FALSE),0)</f>
        <v>-23.143999999999998</v>
      </c>
      <c r="H126" s="548">
        <f>IFERROR(VLOOKUP($A126,Race_2024!A:L, 11,FALSE),0)</f>
        <v>-51.433</v>
      </c>
      <c r="I126" s="547">
        <f>IFERROR(VLOOKUP($A126,Race_2024!A:L, 12,FALSE),0)</f>
        <v>0</v>
      </c>
      <c r="J126" s="554"/>
      <c r="K126" s="544"/>
    </row>
    <row r="127" spans="1:11" ht="15" x14ac:dyDescent="0.25">
      <c r="A127" s="546" t="s">
        <v>1327</v>
      </c>
      <c r="B127" s="546" t="e">
        <f>IFERROR(VLOOKUP(A127,Race_2024!A:C,3,FALSE), VLOOKUP(A127,Race_2024!A:C,3,FALSE))</f>
        <v>#N/A</v>
      </c>
      <c r="C127" s="553" t="s">
        <v>601</v>
      </c>
      <c r="D127" s="548">
        <f>IFERROR(VLOOKUP($A127,Race_2024!A:L, 7,FALSE),0)</f>
        <v>0</v>
      </c>
      <c r="E127" s="548">
        <f>IFERROR(VLOOKUP($A127,Race_2024!A:L, 9,FALSE),0)</f>
        <v>0</v>
      </c>
      <c r="F127" s="548">
        <f>IFERROR(VLOOKUP($A127,Race_2024!A:L, 8,FALSE),0)</f>
        <v>0</v>
      </c>
      <c r="G127" s="548">
        <f>IFERROR(VLOOKUP($A127,Race_2024!A:L, 10,FALSE),0)</f>
        <v>0</v>
      </c>
      <c r="H127" s="548">
        <f>IFERROR(VLOOKUP($A127,Race_2024!A:L, 11,FALSE),0)</f>
        <v>0</v>
      </c>
      <c r="I127" s="547">
        <f>IFERROR(VLOOKUP($A127,Race_2024!A:L, 12,FALSE),0)</f>
        <v>0</v>
      </c>
      <c r="J127" s="554"/>
      <c r="K127" s="544"/>
    </row>
    <row r="128" spans="1:11" ht="15" x14ac:dyDescent="0.25">
      <c r="A128" s="546" t="s">
        <v>1328</v>
      </c>
      <c r="B128" s="546" t="e">
        <f>IFERROR(VLOOKUP(A128,Race_2024!A:C,3,FALSE), VLOOKUP(A128,Race_2024!A:C,3,FALSE))</f>
        <v>#N/A</v>
      </c>
      <c r="C128" s="553" t="s">
        <v>600</v>
      </c>
      <c r="D128" s="548">
        <f>IFERROR(VLOOKUP($A128,Race_2024!A:L, 7,FALSE),0)</f>
        <v>0</v>
      </c>
      <c r="E128" s="548">
        <f>IFERROR(VLOOKUP($A128,Race_2024!A:L, 9,FALSE),0)</f>
        <v>0</v>
      </c>
      <c r="F128" s="548">
        <f>IFERROR(VLOOKUP($A128,Race_2024!A:L, 8,FALSE),0)</f>
        <v>0</v>
      </c>
      <c r="G128" s="548">
        <f>IFERROR(VLOOKUP($A128,Race_2024!A:L, 10,FALSE),0)</f>
        <v>0</v>
      </c>
      <c r="H128" s="548">
        <f>IFERROR(VLOOKUP($A128,Race_2024!A:L, 11,FALSE),0)</f>
        <v>0</v>
      </c>
      <c r="I128" s="547">
        <f>IFERROR(VLOOKUP($A128,Race_2024!A:L, 12,FALSE),0)</f>
        <v>0</v>
      </c>
      <c r="J128" s="545"/>
      <c r="K128" s="544"/>
    </row>
    <row r="129" spans="1:11" ht="15" x14ac:dyDescent="0.25">
      <c r="A129" s="546" t="s">
        <v>1329</v>
      </c>
      <c r="B129" s="546" t="str">
        <f>IFERROR(VLOOKUP(A129,Race_2024!A:C,3,FALSE), VLOOKUP(A129,Race_2024!A:C,3,FALSE))</f>
        <v>Other op. inc. ext.</v>
      </c>
      <c r="C129" s="553" t="s">
        <v>599</v>
      </c>
      <c r="D129" s="548">
        <f>IFERROR(VLOOKUP($A129,Race_2024!A:L, 7,FALSE),0)</f>
        <v>-117915.63499999999</v>
      </c>
      <c r="E129" s="548">
        <f>IFERROR(VLOOKUP($A129,Race_2024!A:L, 9,FALSE),0)</f>
        <v>0</v>
      </c>
      <c r="F129" s="548">
        <f>IFERROR(VLOOKUP($A129,Race_2024!A:L, 8,FALSE),0)</f>
        <v>2568.5300000000002</v>
      </c>
      <c r="G129" s="548">
        <f>IFERROR(VLOOKUP($A129,Race_2024!A:L, 10,FALSE),0)</f>
        <v>190.02</v>
      </c>
      <c r="H129" s="548">
        <f>IFERROR(VLOOKUP($A129,Race_2024!A:L, 11,FALSE),0)</f>
        <v>2568.5300000000002</v>
      </c>
      <c r="I129" s="547">
        <f>IFERROR(VLOOKUP($A129,Race_2024!A:L, 12,FALSE),0)</f>
        <v>0</v>
      </c>
      <c r="J129" s="545"/>
      <c r="K129" s="544"/>
    </row>
    <row r="130" spans="1:11" ht="15" x14ac:dyDescent="0.25">
      <c r="A130" s="546" t="s">
        <v>1330</v>
      </c>
      <c r="B130" s="546" t="e">
        <f>IFERROR(VLOOKUP(A130,Race_2024!A:C,3,FALSE), VLOOKUP(A130,Race_2024!A:C,3,FALSE))</f>
        <v>#N/A</v>
      </c>
      <c r="C130" s="553" t="s">
        <v>598</v>
      </c>
      <c r="D130" s="548">
        <f>IFERROR(VLOOKUP($A130,Race_2024!A:L, 7,FALSE),0)</f>
        <v>0</v>
      </c>
      <c r="E130" s="548">
        <f>IFERROR(VLOOKUP($A130,Race_2024!A:L, 9,FALSE),0)</f>
        <v>0</v>
      </c>
      <c r="F130" s="548">
        <f>IFERROR(VLOOKUP($A130,Race_2024!A:L, 8,FALSE),0)</f>
        <v>0</v>
      </c>
      <c r="G130" s="548">
        <f>IFERROR(VLOOKUP($A130,Race_2024!A:L, 10,FALSE),0)</f>
        <v>0</v>
      </c>
      <c r="H130" s="548">
        <f>IFERROR(VLOOKUP($A130,Race_2024!A:L, 11,FALSE),0)</f>
        <v>0</v>
      </c>
      <c r="I130" s="547">
        <f>IFERROR(VLOOKUP($A130,Race_2024!A:L, 12,FALSE),0)</f>
        <v>0</v>
      </c>
      <c r="J130" s="545"/>
      <c r="K130" s="544"/>
    </row>
    <row r="131" spans="1:11" ht="15" x14ac:dyDescent="0.25">
      <c r="A131" s="546" t="s">
        <v>1331</v>
      </c>
      <c r="B131" s="546" t="str">
        <f>IFERROR(VLOOKUP(A131,Race_2024!A:C,3,FALSE), VLOOKUP(A131,Race_2024!A:C,3,FALSE))</f>
        <v>Oth. op. inc. re.pa.</v>
      </c>
      <c r="C131" s="553" t="s">
        <v>597</v>
      </c>
      <c r="D131" s="548">
        <f>IFERROR(VLOOKUP($A131,Race_2024!A:L, 7,FALSE),0)</f>
        <v>63465.550999999999</v>
      </c>
      <c r="E131" s="548">
        <f>IFERROR(VLOOKUP($A131,Race_2024!A:L, 9,FALSE),0)</f>
        <v>0</v>
      </c>
      <c r="F131" s="548">
        <f>IFERROR(VLOOKUP($A131,Race_2024!A:L, 8,FALSE),0)</f>
        <v>1444.5709999999999</v>
      </c>
      <c r="G131" s="548">
        <f>IFERROR(VLOOKUP($A131,Race_2024!A:L, 10,FALSE),0)</f>
        <v>963.04700000000003</v>
      </c>
      <c r="H131" s="548">
        <f>IFERROR(VLOOKUP($A131,Race_2024!A:L, 11,FALSE),0)</f>
        <v>1444.5709999999999</v>
      </c>
      <c r="I131" s="547">
        <f>IFERROR(VLOOKUP($A131,Race_2024!A:L, 12,FALSE),0)</f>
        <v>0</v>
      </c>
      <c r="J131" s="545"/>
      <c r="K131" s="544"/>
    </row>
    <row r="132" spans="1:11" ht="15" x14ac:dyDescent="0.25">
      <c r="A132" s="546" t="s">
        <v>1332</v>
      </c>
      <c r="B132" s="546" t="e">
        <f>IFERROR(VLOOKUP(A132,Race_2024!A:C,3,FALSE), VLOOKUP(A132,Race_2024!A:C,3,FALSE))</f>
        <v>#N/A</v>
      </c>
      <c r="C132" s="552" t="s">
        <v>596</v>
      </c>
      <c r="D132" s="551">
        <f>IFERROR(VLOOKUP($A132,Race_2024!A:L, 7,FALSE),0)</f>
        <v>0</v>
      </c>
      <c r="E132" s="551">
        <f>IFERROR(VLOOKUP($A132,Race_2024!A:L, 9,FALSE),0)</f>
        <v>0</v>
      </c>
      <c r="F132" s="551">
        <f>IFERROR(VLOOKUP($A132,Race_2024!A:L, 8,FALSE),0)</f>
        <v>0</v>
      </c>
      <c r="G132" s="551">
        <f>IFERROR(VLOOKUP($A132,Race_2024!A:L, 10,FALSE),0)</f>
        <v>0</v>
      </c>
      <c r="H132" s="551">
        <f>IFERROR(VLOOKUP($A132,Race_2024!A:L, 11,FALSE),0)</f>
        <v>0</v>
      </c>
      <c r="I132" s="550">
        <f>IFERROR(VLOOKUP($A132,Race_2024!A:L, 12,FALSE),0)</f>
        <v>0</v>
      </c>
      <c r="J132" s="545"/>
      <c r="K132" s="544"/>
    </row>
    <row r="133" spans="1:11" ht="15" x14ac:dyDescent="0.25">
      <c r="A133" s="546" t="s">
        <v>1333</v>
      </c>
      <c r="B133" s="546" t="e">
        <f>IFERROR(VLOOKUP(A133,Race_2024!A:C,3,FALSE), VLOOKUP(A133,Race_2024!A:C,3,FALSE))</f>
        <v>#N/A</v>
      </c>
      <c r="C133" s="549" t="s">
        <v>595</v>
      </c>
      <c r="D133" s="548">
        <f>IFERROR(VLOOKUP($A133,Race_2024!A:L, 7,FALSE),0)</f>
        <v>0</v>
      </c>
      <c r="E133" s="548">
        <f>IFERROR(VLOOKUP($A133,Race_2024!A:L, 9,FALSE),0)</f>
        <v>0</v>
      </c>
      <c r="F133" s="548">
        <f>IFERROR(VLOOKUP($A133,Race_2024!A:L, 8,FALSE),0)</f>
        <v>0</v>
      </c>
      <c r="G133" s="548">
        <f>IFERROR(VLOOKUP($A133,Race_2024!A:L, 10,FALSE),0)</f>
        <v>0</v>
      </c>
      <c r="H133" s="548">
        <f>IFERROR(VLOOKUP($A133,Race_2024!A:L, 11,FALSE),0)</f>
        <v>0</v>
      </c>
      <c r="I133" s="547">
        <f>IFERROR(VLOOKUP($A133,Race_2024!A:L, 12,FALSE),0)</f>
        <v>0</v>
      </c>
      <c r="J133" s="545"/>
      <c r="K133" s="544"/>
    </row>
    <row r="134" spans="1:11" ht="15" x14ac:dyDescent="0.25">
      <c r="A134" s="614" t="s">
        <v>1334</v>
      </c>
      <c r="B134" s="546" t="str">
        <f>IFERROR(VLOOKUP(A134,Race_2024!A:C,3,FALSE), VLOOKUP(A134,Race_2024!A:C,3,FALSE))</f>
        <v>NOP</v>
      </c>
      <c r="C134" s="615" t="s">
        <v>594</v>
      </c>
      <c r="D134" s="568">
        <f>IFERROR(VLOOKUP($A134,Race_2024!A:L, 7,FALSE),0)</f>
        <v>-4064903.9330000002</v>
      </c>
      <c r="E134" s="568">
        <f>IFERROR(VLOOKUP($A134,Race_2024!A:L, 9,FALSE),0)</f>
        <v>-19468744.715999998</v>
      </c>
      <c r="F134" s="568">
        <f>IFERROR(VLOOKUP($A134,Race_2024!A:L, 8,FALSE),0)</f>
        <v>-5005663.5029999996</v>
      </c>
      <c r="G134" s="568">
        <f>IFERROR(VLOOKUP($A134,Race_2024!A:L, 10,FALSE),0)</f>
        <v>-3609308.5789999999</v>
      </c>
      <c r="H134" s="568">
        <f>IFERROR(VLOOKUP($A134,Race_2024!A:L, 11,FALSE),0)</f>
        <v>-4982578.0020000003</v>
      </c>
      <c r="I134" s="567">
        <f>IFERROR(VLOOKUP($A134,Race_2024!A:L, 12,FALSE),0)</f>
        <v>-13312669.025</v>
      </c>
      <c r="J134" s="545"/>
      <c r="K134" s="544"/>
    </row>
    <row r="135" spans="1:11" ht="14.45" customHeight="1" x14ac:dyDescent="0.25">
      <c r="A135" s="546" t="s">
        <v>1335</v>
      </c>
      <c r="B135" s="546" t="e">
        <f>IFERROR(VLOOKUP(A135,Race_2024!A:C,3,FALSE), VLOOKUP(A135,Race_2024!A:C,3,FALSE))</f>
        <v>#N/A</v>
      </c>
      <c r="C135" s="552" t="s">
        <v>593</v>
      </c>
      <c r="D135" s="551">
        <f>IFERROR(VLOOKUP($A135,Race_2024!A:L, 7,FALSE),0)</f>
        <v>0</v>
      </c>
      <c r="E135" s="551">
        <f>IFERROR(VLOOKUP($A135,Race_2024!A:L, 9,FALSE),0)</f>
        <v>0</v>
      </c>
      <c r="F135" s="551">
        <f>IFERROR(VLOOKUP($A135,Race_2024!A:L, 8,FALSE),0)</f>
        <v>0</v>
      </c>
      <c r="G135" s="551">
        <f>IFERROR(VLOOKUP($A135,Race_2024!A:L, 10,FALSE),0)</f>
        <v>0</v>
      </c>
      <c r="H135" s="551">
        <f>IFERROR(VLOOKUP($A135,Race_2024!A:L, 11,FALSE),0)</f>
        <v>0</v>
      </c>
      <c r="I135" s="550">
        <f>IFERROR(VLOOKUP($A135,Race_2024!A:L, 12,FALSE),0)</f>
        <v>0</v>
      </c>
      <c r="J135" s="545"/>
      <c r="K135" s="544"/>
    </row>
    <row r="136" spans="1:11" ht="14.45" customHeight="1" x14ac:dyDescent="0.25">
      <c r="A136" s="546" t="s">
        <v>1509</v>
      </c>
      <c r="B136" s="546" t="e">
        <f>IFERROR(VLOOKUP(A136,Race_2024!A:C,3,FALSE), VLOOKUP(A136,Race_2024!A:C,3,FALSE))</f>
        <v>#N/A</v>
      </c>
      <c r="C136" s="549" t="s">
        <v>1506</v>
      </c>
      <c r="D136" s="548">
        <f>IFERROR(VLOOKUP($A136,Race_2024!A:L, 7,FALSE),0)</f>
        <v>0</v>
      </c>
      <c r="E136" s="548">
        <f>IFERROR(VLOOKUP($A136,Race_2024!A:L, 9,FALSE),0)</f>
        <v>0</v>
      </c>
      <c r="F136" s="548">
        <f>IFERROR(VLOOKUP($A136,Race_2024!A:L, 8,FALSE),0)</f>
        <v>0</v>
      </c>
      <c r="G136" s="548">
        <f>IFERROR(VLOOKUP($A136,Race_2024!A:L, 10,FALSE),0)</f>
        <v>0</v>
      </c>
      <c r="H136" s="548">
        <f>IFERROR(VLOOKUP($A136,Race_2024!A:L, 11,FALSE),0)</f>
        <v>0</v>
      </c>
      <c r="I136" s="547">
        <f>IFERROR(VLOOKUP($A136,Race_2024!A:L, 12,FALSE),0)</f>
        <v>0</v>
      </c>
      <c r="J136" s="545"/>
      <c r="K136" s="544"/>
    </row>
    <row r="137" spans="1:11" ht="15" x14ac:dyDescent="0.25">
      <c r="A137" s="546" t="s">
        <v>1336</v>
      </c>
      <c r="B137" s="546" t="e">
        <f>IFERROR(VLOOKUP(A137,Race_2024!A:C,3,FALSE), VLOOKUP(A137,Race_2024!A:C,3,FALSE))</f>
        <v>#N/A</v>
      </c>
      <c r="C137" s="549" t="s">
        <v>158</v>
      </c>
      <c r="D137" s="548">
        <f>IFERROR(VLOOKUP($A137,Race_2024!A:L, 7,FALSE),0)</f>
        <v>0</v>
      </c>
      <c r="E137" s="548">
        <f>IFERROR(VLOOKUP($A137,Race_2024!A:L, 9,FALSE),0)</f>
        <v>0</v>
      </c>
      <c r="F137" s="548">
        <f>IFERROR(VLOOKUP($A137,Race_2024!A:L, 8,FALSE),0)</f>
        <v>0</v>
      </c>
      <c r="G137" s="548">
        <f>IFERROR(VLOOKUP($A137,Race_2024!A:L, 10,FALSE),0)</f>
        <v>0</v>
      </c>
      <c r="H137" s="548">
        <f>IFERROR(VLOOKUP($A137,Race_2024!A:L, 11,FALSE),0)</f>
        <v>0</v>
      </c>
      <c r="I137" s="547">
        <f>IFERROR(VLOOKUP($A137,Race_2024!A:L, 12,FALSE),0)</f>
        <v>0</v>
      </c>
      <c r="J137" s="544"/>
      <c r="K137" s="544"/>
    </row>
    <row r="138" spans="1:11" ht="15" x14ac:dyDescent="0.25">
      <c r="A138" s="546" t="s">
        <v>1337</v>
      </c>
      <c r="B138" s="546" t="e">
        <f>IFERROR(VLOOKUP(A138,Race_2024!A:C,3,FALSE), VLOOKUP(A138,Race_2024!A:C,3,FALSE))</f>
        <v>#N/A</v>
      </c>
      <c r="C138" s="549" t="s">
        <v>930</v>
      </c>
      <c r="D138" s="548">
        <f>IFERROR(VLOOKUP($A138,Race_2024!A:L, 7,FALSE),0)</f>
        <v>0</v>
      </c>
      <c r="E138" s="548">
        <f>IFERROR(VLOOKUP($A138,Race_2024!A:L, 9,FALSE),0)</f>
        <v>0</v>
      </c>
      <c r="F138" s="548">
        <f>IFERROR(VLOOKUP($A138,Race_2024!A:L, 8,FALSE),0)</f>
        <v>0</v>
      </c>
      <c r="G138" s="548">
        <f>IFERROR(VLOOKUP($A138,Race_2024!A:L, 10,FALSE),0)</f>
        <v>0</v>
      </c>
      <c r="H138" s="548">
        <f>IFERROR(VLOOKUP($A138,Race_2024!A:L, 11,FALSE),0)</f>
        <v>0</v>
      </c>
      <c r="I138" s="547">
        <f>IFERROR(VLOOKUP($A138,Race_2024!A:L, 12,FALSE),0)</f>
        <v>0</v>
      </c>
      <c r="J138" s="544"/>
      <c r="K138" s="544"/>
    </row>
    <row r="139" spans="1:11" ht="15" x14ac:dyDescent="0.25">
      <c r="A139" s="546" t="s">
        <v>1338</v>
      </c>
      <c r="B139" s="546" t="e">
        <f>IFERROR(VLOOKUP(A139,Race_2024!A:C,3,FALSE), VLOOKUP(A139,Race_2024!A:C,3,FALSE))</f>
        <v>#N/A</v>
      </c>
      <c r="C139" s="549" t="s">
        <v>931</v>
      </c>
      <c r="D139" s="548">
        <f>IFERROR(VLOOKUP($A139,Race_2024!A:L, 7,FALSE),0)</f>
        <v>0</v>
      </c>
      <c r="E139" s="548">
        <f>IFERROR(VLOOKUP($A139,Race_2024!A:L, 9,FALSE),0)</f>
        <v>0</v>
      </c>
      <c r="F139" s="548">
        <f>IFERROR(VLOOKUP($A139,Race_2024!A:L, 8,FALSE),0)</f>
        <v>0</v>
      </c>
      <c r="G139" s="548">
        <f>IFERROR(VLOOKUP($A139,Race_2024!A:L, 10,FALSE),0)</f>
        <v>0</v>
      </c>
      <c r="H139" s="548">
        <f>IFERROR(VLOOKUP($A139,Race_2024!A:L, 11,FALSE),0)</f>
        <v>0</v>
      </c>
      <c r="I139" s="547">
        <f>IFERROR(VLOOKUP($A139,Race_2024!A:L, 12,FALSE),0)</f>
        <v>0</v>
      </c>
      <c r="J139" s="544"/>
      <c r="K139" s="544"/>
    </row>
    <row r="140" spans="1:11" ht="15" x14ac:dyDescent="0.25">
      <c r="A140" s="546" t="s">
        <v>1339</v>
      </c>
      <c r="B140" s="546" t="e">
        <f>IFERROR(VLOOKUP(A140,Race_2024!A:C,3,FALSE), VLOOKUP(A140,Race_2024!A:C,3,FALSE))</f>
        <v>#N/A</v>
      </c>
      <c r="C140" s="549" t="s">
        <v>592</v>
      </c>
      <c r="D140" s="548">
        <f>IFERROR(VLOOKUP($A140,Race_2024!A:L, 7,FALSE),0)</f>
        <v>0</v>
      </c>
      <c r="E140" s="548">
        <f>IFERROR(VLOOKUP($A140,Race_2024!A:L, 9,FALSE),0)</f>
        <v>0</v>
      </c>
      <c r="F140" s="548">
        <f>IFERROR(VLOOKUP($A140,Race_2024!A:L, 8,FALSE),0)</f>
        <v>0</v>
      </c>
      <c r="G140" s="548">
        <f>IFERROR(VLOOKUP($A140,Race_2024!A:L, 10,FALSE),0)</f>
        <v>0</v>
      </c>
      <c r="H140" s="548">
        <f>IFERROR(VLOOKUP($A140,Race_2024!A:L, 11,FALSE),0)</f>
        <v>0</v>
      </c>
      <c r="I140" s="547">
        <f>IFERROR(VLOOKUP($A140,Race_2024!A:L, 12,FALSE),0)</f>
        <v>0</v>
      </c>
      <c r="J140" s="544"/>
      <c r="K140" s="544"/>
    </row>
    <row r="141" spans="1:11" ht="15" x14ac:dyDescent="0.25">
      <c r="A141" s="546" t="s">
        <v>1510</v>
      </c>
      <c r="B141" s="546" t="e">
        <f>IFERROR(VLOOKUP(A141,Race_2024!A:C,3,FALSE), VLOOKUP(A141,Race_2024!A:C,3,FALSE))</f>
        <v>#N/A</v>
      </c>
      <c r="C141" s="549" t="s">
        <v>1507</v>
      </c>
      <c r="D141" s="548">
        <f>IFERROR(VLOOKUP($A141,Race_2024!A:L, 7,FALSE),0)</f>
        <v>0</v>
      </c>
      <c r="E141" s="548">
        <f>IFERROR(VLOOKUP($A141,Race_2024!A:L, 9,FALSE),0)</f>
        <v>0</v>
      </c>
      <c r="F141" s="548">
        <f>IFERROR(VLOOKUP($A141,Race_2024!A:L, 8,FALSE),0)</f>
        <v>0</v>
      </c>
      <c r="G141" s="548">
        <f>IFERROR(VLOOKUP($A141,Race_2024!A:L, 10,FALSE),0)</f>
        <v>0</v>
      </c>
      <c r="H141" s="548">
        <f>IFERROR(VLOOKUP($A141,Race_2024!A:L, 11,FALSE),0)</f>
        <v>0</v>
      </c>
      <c r="I141" s="547">
        <f>IFERROR(VLOOKUP($A141,Race_2024!A:L, 12,FALSE),0)</f>
        <v>0</v>
      </c>
      <c r="J141" s="544"/>
      <c r="K141" s="544"/>
    </row>
    <row r="142" spans="1:11" ht="15" x14ac:dyDescent="0.25">
      <c r="A142" s="546" t="s">
        <v>1511</v>
      </c>
      <c r="B142" s="546" t="e">
        <f>IFERROR(VLOOKUP(A142,Race_2024!A:C,3,FALSE), VLOOKUP(A142,Race_2024!A:C,3,FALSE))</f>
        <v>#N/A</v>
      </c>
      <c r="C142" s="549" t="s">
        <v>1508</v>
      </c>
      <c r="D142" s="548">
        <f>IFERROR(VLOOKUP($A142,Race_2024!A:L, 7,FALSE),0)</f>
        <v>0</v>
      </c>
      <c r="E142" s="548">
        <f>IFERROR(VLOOKUP($A142,Race_2024!A:L, 9,FALSE),0)</f>
        <v>0</v>
      </c>
      <c r="F142" s="548">
        <f>IFERROR(VLOOKUP($A142,Race_2024!A:L, 8,FALSE),0)</f>
        <v>0</v>
      </c>
      <c r="G142" s="548">
        <f>IFERROR(VLOOKUP($A142,Race_2024!A:L, 10,FALSE),0)</f>
        <v>0</v>
      </c>
      <c r="H142" s="548">
        <f>IFERROR(VLOOKUP($A142,Race_2024!A:L, 11,FALSE),0)</f>
        <v>0</v>
      </c>
      <c r="I142" s="547">
        <f>IFERROR(VLOOKUP($A142,Race_2024!A:L, 12,FALSE),0)</f>
        <v>0</v>
      </c>
      <c r="J142" s="544"/>
      <c r="K142" s="544"/>
    </row>
    <row r="143" spans="1:11" ht="15" x14ac:dyDescent="0.25">
      <c r="A143" s="546" t="s">
        <v>1340</v>
      </c>
      <c r="B143" s="546" t="e">
        <f>IFERROR(VLOOKUP(A143,Race_2024!A:C,3,FALSE), VLOOKUP(A143,Race_2024!A:C,3,FALSE))</f>
        <v>#N/A</v>
      </c>
      <c r="C143" s="549" t="s">
        <v>932</v>
      </c>
      <c r="D143" s="548">
        <f>IFERROR(VLOOKUP($A143,Race_2024!A:L, 7,FALSE),0)</f>
        <v>0</v>
      </c>
      <c r="E143" s="548">
        <f>IFERROR(VLOOKUP($A143,Race_2024!A:L, 9,FALSE),0)</f>
        <v>0</v>
      </c>
      <c r="F143" s="548">
        <f>IFERROR(VLOOKUP($A143,Race_2024!A:L, 8,FALSE),0)</f>
        <v>0</v>
      </c>
      <c r="G143" s="548">
        <f>IFERROR(VLOOKUP($A143,Race_2024!A:L, 10,FALSE),0)</f>
        <v>0</v>
      </c>
      <c r="H143" s="548">
        <f>IFERROR(VLOOKUP($A143,Race_2024!A:L, 11,FALSE),0)</f>
        <v>0</v>
      </c>
      <c r="I143" s="547">
        <f>IFERROR(VLOOKUP($A143,Race_2024!A:L, 12,FALSE),0)</f>
        <v>0</v>
      </c>
      <c r="J143" s="544"/>
      <c r="K143" s="544"/>
    </row>
    <row r="144" spans="1:11" ht="15" x14ac:dyDescent="0.25">
      <c r="A144" s="546" t="s">
        <v>1341</v>
      </c>
      <c r="B144" s="546" t="e">
        <f>IFERROR(VLOOKUP(A144,Race_2024!A:C,3,FALSE), VLOOKUP(A144,Race_2024!A:C,3,FALSE))</f>
        <v>#N/A</v>
      </c>
      <c r="C144" s="549" t="s">
        <v>591</v>
      </c>
      <c r="D144" s="548">
        <f>IFERROR(VLOOKUP($A144,Race_2024!A:L, 7,FALSE),0)</f>
        <v>0</v>
      </c>
      <c r="E144" s="548">
        <f>IFERROR(VLOOKUP($A144,Race_2024!A:L, 9,FALSE),0)</f>
        <v>0</v>
      </c>
      <c r="F144" s="548">
        <f>IFERROR(VLOOKUP($A144,Race_2024!A:L, 8,FALSE),0)</f>
        <v>0</v>
      </c>
      <c r="G144" s="548">
        <f>IFERROR(VLOOKUP($A144,Race_2024!A:L, 10,FALSE),0)</f>
        <v>0</v>
      </c>
      <c r="H144" s="548">
        <f>IFERROR(VLOOKUP($A144,Race_2024!A:L, 11,FALSE),0)</f>
        <v>0</v>
      </c>
      <c r="I144" s="547">
        <f>IFERROR(VLOOKUP($A144,Race_2024!A:L, 12,FALSE),0)</f>
        <v>0</v>
      </c>
      <c r="J144" s="544"/>
      <c r="K144" s="544"/>
    </row>
    <row r="145" spans="1:11" ht="15" x14ac:dyDescent="0.25">
      <c r="A145" s="546" t="s">
        <v>1342</v>
      </c>
      <c r="B145" s="546" t="e">
        <f>IFERROR(VLOOKUP(A145,Race_2024!A:C,3,FALSE), VLOOKUP(A145,Race_2024!A:C,3,FALSE))</f>
        <v>#N/A</v>
      </c>
      <c r="C145" s="549" t="s">
        <v>590</v>
      </c>
      <c r="D145" s="548">
        <f>IFERROR(VLOOKUP($A145,Race_2024!A:L, 7,FALSE),0)</f>
        <v>0</v>
      </c>
      <c r="E145" s="548">
        <f>IFERROR(VLOOKUP($A145,Race_2024!A:L, 9,FALSE),0)</f>
        <v>0</v>
      </c>
      <c r="F145" s="548">
        <f>IFERROR(VLOOKUP($A145,Race_2024!A:L, 8,FALSE),0)</f>
        <v>0</v>
      </c>
      <c r="G145" s="548">
        <f>IFERROR(VLOOKUP($A145,Race_2024!A:L, 10,FALSE),0)</f>
        <v>0</v>
      </c>
      <c r="H145" s="548">
        <f>IFERROR(VLOOKUP($A145,Race_2024!A:L, 11,FALSE),0)</f>
        <v>0</v>
      </c>
      <c r="I145" s="547">
        <f>IFERROR(VLOOKUP($A145,Race_2024!A:L, 12,FALSE),0)</f>
        <v>0</v>
      </c>
      <c r="J145" s="544"/>
      <c r="K145" s="544"/>
    </row>
    <row r="146" spans="1:11" ht="15" x14ac:dyDescent="0.25">
      <c r="A146" s="546" t="s">
        <v>1343</v>
      </c>
      <c r="B146" s="546" t="e">
        <f>IFERROR(VLOOKUP(A146,Race_2024!A:C,3,FALSE), VLOOKUP(A146,Race_2024!A:C,3,FALSE))</f>
        <v>#N/A</v>
      </c>
      <c r="C146" s="549" t="s">
        <v>589</v>
      </c>
      <c r="D146" s="548">
        <f>IFERROR(VLOOKUP($A146,Race_2024!A:L, 7,FALSE),0)</f>
        <v>0</v>
      </c>
      <c r="E146" s="548">
        <f>IFERROR(VLOOKUP($A146,Race_2024!A:L, 9,FALSE),0)</f>
        <v>0</v>
      </c>
      <c r="F146" s="548">
        <f>IFERROR(VLOOKUP($A146,Race_2024!A:L, 8,FALSE),0)</f>
        <v>0</v>
      </c>
      <c r="G146" s="548">
        <f>IFERROR(VLOOKUP($A146,Race_2024!A:L, 10,FALSE),0)</f>
        <v>0</v>
      </c>
      <c r="H146" s="548">
        <f>IFERROR(VLOOKUP($A146,Race_2024!A:L, 11,FALSE),0)</f>
        <v>0</v>
      </c>
      <c r="I146" s="547">
        <f>IFERROR(VLOOKUP($A146,Race_2024!A:L, 12,FALSE),0)</f>
        <v>0</v>
      </c>
      <c r="J146" s="544"/>
      <c r="K146" s="544"/>
    </row>
    <row r="147" spans="1:11" ht="15" x14ac:dyDescent="0.25">
      <c r="A147" s="614" t="s">
        <v>1344</v>
      </c>
      <c r="B147" s="546" t="str">
        <f>IFERROR(VLOOKUP(A147,Race_2024!A:C,3,FALSE), VLOOKUP(A147,Race_2024!A:C,3,FALSE))</f>
        <v>EBIT</v>
      </c>
      <c r="C147" s="616" t="s">
        <v>588</v>
      </c>
      <c r="D147" s="617">
        <f>IFERROR(VLOOKUP($A147,Race_2024!A:L, 7,FALSE),0)</f>
        <v>-4064903.9330000002</v>
      </c>
      <c r="E147" s="617">
        <f>IFERROR(VLOOKUP($A147,Race_2024!A:L, 9,FALSE),0)</f>
        <v>-19468744.715999998</v>
      </c>
      <c r="F147" s="617">
        <f>IFERROR(VLOOKUP($A147,Race_2024!A:L, 8,FALSE),0)</f>
        <v>-5005663.5029999996</v>
      </c>
      <c r="G147" s="617">
        <f>IFERROR(VLOOKUP($A147,Race_2024!A:L, 10,FALSE),0)</f>
        <v>-3609308.5789999999</v>
      </c>
      <c r="H147" s="617">
        <f>IFERROR(VLOOKUP($A147,Race_2024!A:L, 11,FALSE),0)</f>
        <v>-4982578.0020000003</v>
      </c>
      <c r="I147" s="618">
        <f>IFERROR(VLOOKUP($A147,Race_2024!A:L, 12,FALSE),0)</f>
        <v>-13312669.025</v>
      </c>
      <c r="J147" s="544"/>
      <c r="K147" s="544"/>
    </row>
  </sheetData>
  <autoFilter ref="C7:I7" xr:uid="{67A75636-6977-42F1-9840-22E76F5961A4}"/>
  <mergeCells count="2">
    <mergeCell ref="K1:K2"/>
    <mergeCell ref="L1:L2"/>
  </mergeCells>
  <dataValidations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8515625" defaultRowHeight="12.75" customHeight="1" x14ac:dyDescent="0.2"/>
  <cols>
    <col min="1" max="1" width="8.28515625" style="6" bestFit="1" customWidth="1"/>
    <col min="2" max="2" width="25.28515625" style="5" bestFit="1" customWidth="1"/>
    <col min="3" max="3" width="9.42578125" style="5" bestFit="1" customWidth="1"/>
    <col min="4" max="4" width="14.5703125" style="5" bestFit="1" customWidth="1"/>
    <col min="5" max="5" width="13.42578125" style="5" bestFit="1" customWidth="1"/>
    <col min="6" max="6" width="35.28515625" style="5" bestFit="1" customWidth="1"/>
    <col min="7" max="7" width="12.28515625" style="5" bestFit="1" customWidth="1"/>
    <col min="8" max="8" width="40.28515625" style="5" bestFit="1" customWidth="1"/>
    <col min="9" max="9" width="22.140625" style="5" customWidth="1"/>
    <col min="10" max="10" width="8" style="5" bestFit="1" customWidth="1"/>
    <col min="11" max="11" width="25.7109375" style="5" bestFit="1" customWidth="1"/>
    <col min="12" max="12" width="4.42578125" style="5" bestFit="1" customWidth="1"/>
    <col min="13" max="13" width="35.28515625" style="5" bestFit="1" customWidth="1"/>
    <col min="14" max="14" width="26.7109375" style="5" bestFit="1" customWidth="1"/>
    <col min="15" max="15" width="3.28515625" style="5" customWidth="1"/>
    <col min="16" max="23" width="15.5703125" style="5" customWidth="1"/>
    <col min="24" max="24" width="1.42578125" style="5" customWidth="1"/>
    <col min="25" max="32" width="14.28515625" style="5" customWidth="1"/>
    <col min="33" max="33" width="13.5703125" style="5" bestFit="1" customWidth="1"/>
    <col min="34" max="34" width="8.28515625" style="5" bestFit="1" customWidth="1"/>
    <col min="35" max="35" width="25.28515625" style="5" bestFit="1" customWidth="1"/>
    <col min="36" max="39" width="9.28515625" style="5"/>
    <col min="40" max="40" width="13.5703125" style="5" bestFit="1" customWidth="1"/>
    <col min="41" max="16384" width="9.28515625" style="5"/>
  </cols>
  <sheetData>
    <row r="1" spans="1:37" ht="12.75" customHeight="1" x14ac:dyDescent="0.2">
      <c r="A1" s="6" t="s">
        <v>1512</v>
      </c>
    </row>
    <row r="2" spans="1:37" x14ac:dyDescent="0.2">
      <c r="A2" s="1025" t="s">
        <v>127</v>
      </c>
      <c r="B2" s="1025"/>
      <c r="C2" s="1025"/>
      <c r="E2" s="1025" t="s">
        <v>126</v>
      </c>
      <c r="F2" s="1025"/>
      <c r="G2" s="1025"/>
      <c r="H2" s="1025"/>
      <c r="I2" s="1025"/>
      <c r="J2" s="1025"/>
      <c r="K2" s="1025"/>
      <c r="L2" s="1025"/>
      <c r="M2" s="1025"/>
      <c r="N2" s="1025"/>
      <c r="P2" s="1025" t="s">
        <v>1036</v>
      </c>
      <c r="Q2" s="1025"/>
      <c r="R2" s="1025"/>
      <c r="S2" s="1025"/>
      <c r="T2" s="1025"/>
      <c r="U2" s="1025"/>
      <c r="V2" s="1025"/>
      <c r="W2" s="1025"/>
      <c r="X2" s="19"/>
      <c r="Y2" s="1025" t="s">
        <v>1037</v>
      </c>
      <c r="Z2" s="1025"/>
      <c r="AA2" s="1025"/>
      <c r="AB2" s="1025"/>
      <c r="AC2" s="1025"/>
      <c r="AD2" s="1025"/>
      <c r="AE2" s="1025"/>
      <c r="AF2" s="1025"/>
      <c r="AH2" s="1024" t="s">
        <v>1136</v>
      </c>
      <c r="AI2" s="1024"/>
      <c r="AJ2" s="1024"/>
      <c r="AK2" s="1024"/>
    </row>
    <row r="4" spans="1:37" ht="15.75" customHeight="1" x14ac:dyDescent="0.2">
      <c r="A4" s="18" t="s">
        <v>125</v>
      </c>
      <c r="B4" s="18" t="s">
        <v>124</v>
      </c>
      <c r="C4" s="18" t="s">
        <v>123</v>
      </c>
      <c r="D4" s="10"/>
      <c r="E4" s="18"/>
      <c r="F4" s="18"/>
      <c r="G4" s="18" t="s">
        <v>122</v>
      </c>
      <c r="H4" s="18" t="s">
        <v>121</v>
      </c>
      <c r="I4" s="18"/>
      <c r="J4" s="18" t="s">
        <v>120</v>
      </c>
      <c r="K4" s="18" t="s">
        <v>119</v>
      </c>
      <c r="L4" s="18"/>
      <c r="M4" s="18"/>
      <c r="N4" s="18"/>
      <c r="P4" s="1023" t="s">
        <v>1039</v>
      </c>
      <c r="Q4" s="18" t="s">
        <v>114</v>
      </c>
      <c r="R4" s="18" t="s">
        <v>118</v>
      </c>
      <c r="S4" s="18" t="s">
        <v>117</v>
      </c>
      <c r="T4" s="18"/>
      <c r="U4" s="18" t="s">
        <v>116</v>
      </c>
      <c r="V4" s="18" t="s">
        <v>115</v>
      </c>
      <c r="W4" s="18" t="s">
        <v>114</v>
      </c>
      <c r="X4" s="14"/>
      <c r="Y4" s="1023" t="s">
        <v>1038</v>
      </c>
      <c r="Z4" s="18" t="s">
        <v>114</v>
      </c>
      <c r="AA4" s="18" t="s">
        <v>118</v>
      </c>
      <c r="AB4" s="18" t="s">
        <v>117</v>
      </c>
      <c r="AC4" s="18"/>
      <c r="AD4" s="18" t="s">
        <v>116</v>
      </c>
      <c r="AE4" s="18" t="s">
        <v>115</v>
      </c>
      <c r="AF4" s="18" t="s">
        <v>114</v>
      </c>
      <c r="AH4" s="18" t="s">
        <v>125</v>
      </c>
      <c r="AI4" s="18" t="s">
        <v>124</v>
      </c>
      <c r="AJ4" s="18" t="s">
        <v>1137</v>
      </c>
      <c r="AK4" s="18" t="s">
        <v>1138</v>
      </c>
    </row>
    <row r="5" spans="1:37" ht="15" customHeight="1" x14ac:dyDescent="0.2">
      <c r="A5" s="5">
        <v>64</v>
      </c>
      <c r="B5" s="5" t="s">
        <v>113</v>
      </c>
      <c r="C5" s="5" t="s">
        <v>11</v>
      </c>
      <c r="D5" s="10"/>
      <c r="G5" s="5" t="s">
        <v>1456</v>
      </c>
      <c r="H5" s="5" t="s">
        <v>1451</v>
      </c>
      <c r="I5" s="8"/>
      <c r="J5" s="7">
        <v>721</v>
      </c>
      <c r="K5" s="7" t="s">
        <v>110</v>
      </c>
      <c r="L5" s="765" t="s">
        <v>112</v>
      </c>
      <c r="M5" s="765" t="s">
        <v>111</v>
      </c>
      <c r="N5" s="6"/>
      <c r="P5" s="1023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1023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113</v>
      </c>
      <c r="AJ5" s="974">
        <v>5.5E-2</v>
      </c>
      <c r="AK5" s="974">
        <v>5.5E-2</v>
      </c>
    </row>
    <row r="6" spans="1:37" ht="15" customHeight="1" x14ac:dyDescent="0.2">
      <c r="A6" s="5">
        <v>70</v>
      </c>
      <c r="B6" s="5" t="s">
        <v>109</v>
      </c>
      <c r="C6" s="5" t="s">
        <v>8</v>
      </c>
      <c r="D6" s="10"/>
      <c r="G6" s="5" t="s">
        <v>1457</v>
      </c>
      <c r="H6" s="5" t="s">
        <v>1450</v>
      </c>
      <c r="I6" s="8"/>
      <c r="J6" s="7">
        <v>721</v>
      </c>
      <c r="K6" s="7" t="s">
        <v>110</v>
      </c>
      <c r="L6" s="765" t="s">
        <v>112</v>
      </c>
      <c r="M6" s="765" t="s">
        <v>111</v>
      </c>
      <c r="P6" s="5" t="s">
        <v>20</v>
      </c>
      <c r="Q6" s="15">
        <v>6.72</v>
      </c>
      <c r="R6" s="804">
        <v>5.6403999999999996</v>
      </c>
      <c r="S6" s="15">
        <v>5.9</v>
      </c>
      <c r="T6" s="15"/>
      <c r="U6" s="15">
        <v>5.2702999999999998</v>
      </c>
      <c r="V6" s="986">
        <v>5.2763999999999998</v>
      </c>
      <c r="W6" s="15">
        <v>5.9</v>
      </c>
      <c r="X6" s="17"/>
      <c r="Y6" s="5" t="s">
        <v>20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86">
        <v>5.4612100000000003</v>
      </c>
      <c r="AF6" s="15">
        <v>5.9</v>
      </c>
      <c r="AH6" s="5">
        <v>70</v>
      </c>
      <c r="AI6" s="5" t="s">
        <v>109</v>
      </c>
      <c r="AJ6" s="974">
        <v>0.16830000000000001</v>
      </c>
      <c r="AK6" s="974">
        <v>0.06</v>
      </c>
    </row>
    <row r="7" spans="1:37" ht="15" customHeight="1" x14ac:dyDescent="0.2">
      <c r="A7" s="5">
        <v>145</v>
      </c>
      <c r="B7" s="5" t="s">
        <v>88</v>
      </c>
      <c r="C7" s="5" t="s">
        <v>16</v>
      </c>
      <c r="D7" s="10"/>
      <c r="G7" s="5" t="s">
        <v>104</v>
      </c>
      <c r="H7" s="5" t="s">
        <v>103</v>
      </c>
      <c r="I7" s="8"/>
      <c r="J7" s="7">
        <v>721</v>
      </c>
      <c r="K7" s="8" t="s">
        <v>110</v>
      </c>
      <c r="L7" s="765" t="s">
        <v>112</v>
      </c>
      <c r="M7" s="765" t="s">
        <v>111</v>
      </c>
      <c r="N7" s="6"/>
      <c r="P7" s="5" t="s">
        <v>102</v>
      </c>
      <c r="Q7" s="15">
        <v>1.49</v>
      </c>
      <c r="R7" s="804">
        <v>1.4443999999999999</v>
      </c>
      <c r="S7" s="15">
        <v>1.38</v>
      </c>
      <c r="T7" s="15"/>
      <c r="U7" s="15">
        <v>1.44</v>
      </c>
      <c r="V7" s="986">
        <v>1.4678</v>
      </c>
      <c r="W7" s="15">
        <v>1.49</v>
      </c>
      <c r="X7" s="17"/>
      <c r="Y7" s="5" t="s">
        <v>102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86">
        <v>1.4579</v>
      </c>
      <c r="AF7" s="15">
        <v>1.49</v>
      </c>
      <c r="AH7" s="5">
        <v>145</v>
      </c>
      <c r="AI7" s="5" t="s">
        <v>88</v>
      </c>
      <c r="AJ7" s="974">
        <v>4.1300000000000003E-2</v>
      </c>
      <c r="AK7" s="974">
        <v>4.1300000000000003E-2</v>
      </c>
    </row>
    <row r="8" spans="1:37" ht="15" customHeight="1" x14ac:dyDescent="0.2">
      <c r="A8" s="5">
        <v>156</v>
      </c>
      <c r="B8" s="5" t="s">
        <v>84</v>
      </c>
      <c r="C8" s="5" t="s">
        <v>2</v>
      </c>
      <c r="D8" s="10"/>
      <c r="G8" s="5" t="s">
        <v>99</v>
      </c>
      <c r="H8" s="5" t="s">
        <v>98</v>
      </c>
      <c r="I8" s="8"/>
      <c r="J8" s="7">
        <v>721</v>
      </c>
      <c r="K8" s="8" t="s">
        <v>110</v>
      </c>
      <c r="L8" s="765" t="s">
        <v>112</v>
      </c>
      <c r="M8" s="765" t="s">
        <v>111</v>
      </c>
      <c r="N8" s="6"/>
      <c r="P8" s="5" t="s">
        <v>97</v>
      </c>
      <c r="Q8" s="15">
        <v>1.0900000000000001</v>
      </c>
      <c r="R8" s="804">
        <v>0.98370000000000002</v>
      </c>
      <c r="S8" s="15">
        <v>1.03</v>
      </c>
      <c r="T8" s="15"/>
      <c r="U8" s="15">
        <v>0.9778</v>
      </c>
      <c r="V8" s="986">
        <v>0.95409999999999995</v>
      </c>
      <c r="W8" s="15">
        <v>0.96</v>
      </c>
      <c r="X8" s="17"/>
      <c r="Y8" s="5" t="s">
        <v>97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86">
        <v>0.98287999999999998</v>
      </c>
      <c r="AF8" s="15">
        <v>0.96</v>
      </c>
      <c r="AH8" s="5">
        <v>156</v>
      </c>
      <c r="AI8" s="5" t="s">
        <v>84</v>
      </c>
      <c r="AJ8" s="974">
        <v>4.4999999999999998E-2</v>
      </c>
      <c r="AK8" s="974">
        <v>5.2499999999999998E-2</v>
      </c>
    </row>
    <row r="9" spans="1:37" ht="15" customHeight="1" x14ac:dyDescent="0.2">
      <c r="A9" s="5">
        <v>208</v>
      </c>
      <c r="B9" s="5" t="s">
        <v>80</v>
      </c>
      <c r="C9" s="5" t="s">
        <v>11</v>
      </c>
      <c r="D9" s="10"/>
      <c r="G9" s="5" t="s">
        <v>94</v>
      </c>
      <c r="H9" s="5" t="s">
        <v>93</v>
      </c>
      <c r="I9" s="8"/>
      <c r="J9" s="7">
        <v>721</v>
      </c>
      <c r="K9" s="8" t="s">
        <v>110</v>
      </c>
      <c r="L9" s="765">
        <v>740</v>
      </c>
      <c r="M9" s="765" t="s">
        <v>108</v>
      </c>
      <c r="N9" s="6"/>
      <c r="P9" s="5" t="s">
        <v>2</v>
      </c>
      <c r="Q9" s="15">
        <v>7.9</v>
      </c>
      <c r="R9" s="804">
        <v>7.3689</v>
      </c>
      <c r="S9" s="15">
        <v>7</v>
      </c>
      <c r="T9" s="15"/>
      <c r="U9" s="15">
        <v>7.8890000000000002</v>
      </c>
      <c r="V9" s="986">
        <v>7.9570999999999996</v>
      </c>
      <c r="W9" s="15">
        <v>7.6</v>
      </c>
      <c r="X9" s="17"/>
      <c r="Y9" s="5" t="s">
        <v>2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86">
        <v>7.5573600000000001</v>
      </c>
      <c r="AF9" s="15">
        <v>7.6</v>
      </c>
      <c r="AH9" s="5">
        <v>208</v>
      </c>
      <c r="AI9" s="5" t="s">
        <v>80</v>
      </c>
      <c r="AJ9" s="974">
        <v>5.5E-2</v>
      </c>
      <c r="AK9" s="974">
        <v>5.5E-2</v>
      </c>
    </row>
    <row r="10" spans="1:37" ht="15" customHeight="1" x14ac:dyDescent="0.2">
      <c r="A10" s="5">
        <v>214</v>
      </c>
      <c r="B10" s="5" t="s">
        <v>70</v>
      </c>
      <c r="C10" s="5" t="s">
        <v>11</v>
      </c>
      <c r="D10" s="10"/>
      <c r="G10" s="5" t="s">
        <v>90</v>
      </c>
      <c r="H10" s="5" t="s">
        <v>89</v>
      </c>
      <c r="I10" s="8"/>
      <c r="J10" s="7">
        <v>721</v>
      </c>
      <c r="K10" s="8" t="s">
        <v>110</v>
      </c>
      <c r="L10" s="765">
        <v>740</v>
      </c>
      <c r="M10" s="765" t="s">
        <v>108</v>
      </c>
      <c r="N10" s="6"/>
      <c r="P10" s="5" t="s">
        <v>24</v>
      </c>
      <c r="Q10" s="15">
        <v>25.5</v>
      </c>
      <c r="R10" s="804">
        <v>24.149000000000001</v>
      </c>
      <c r="S10" s="15">
        <v>24.5</v>
      </c>
      <c r="T10" s="15"/>
      <c r="U10" s="15">
        <v>23.774000000000001</v>
      </c>
      <c r="V10" s="986">
        <v>24.052</v>
      </c>
      <c r="W10" s="15">
        <v>23.5</v>
      </c>
      <c r="X10" s="17"/>
      <c r="Y10" s="5" t="s">
        <v>24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86">
        <v>23.71725</v>
      </c>
      <c r="AF10" s="15">
        <v>23.5</v>
      </c>
      <c r="AH10" s="5">
        <v>214</v>
      </c>
      <c r="AI10" s="5" t="s">
        <v>70</v>
      </c>
      <c r="AJ10" s="974">
        <v>5.3499999999999999E-2</v>
      </c>
      <c r="AK10" s="974">
        <v>5.6599999999999998E-2</v>
      </c>
    </row>
    <row r="11" spans="1:37" ht="15" customHeight="1" x14ac:dyDescent="0.2">
      <c r="A11" s="5">
        <v>218</v>
      </c>
      <c r="B11" s="5" t="s">
        <v>67</v>
      </c>
      <c r="C11" s="5" t="s">
        <v>2</v>
      </c>
      <c r="D11" s="10"/>
      <c r="E11" s="9"/>
      <c r="F11" s="11"/>
      <c r="G11" s="5" t="s">
        <v>87</v>
      </c>
      <c r="H11" s="5" t="s">
        <v>86</v>
      </c>
      <c r="I11" s="8"/>
      <c r="J11" s="7">
        <v>721</v>
      </c>
      <c r="K11" s="8" t="s">
        <v>110</v>
      </c>
      <c r="L11" s="765">
        <v>740</v>
      </c>
      <c r="M11" s="765" t="s">
        <v>108</v>
      </c>
      <c r="N11" s="6"/>
      <c r="P11" s="5" t="s">
        <v>85</v>
      </c>
      <c r="Q11" s="15">
        <v>7.44</v>
      </c>
      <c r="R11" s="804">
        <v>7.4363000000000001</v>
      </c>
      <c r="S11" s="15">
        <v>7.44</v>
      </c>
      <c r="T11" s="15"/>
      <c r="U11" s="15">
        <v>7.4473000000000003</v>
      </c>
      <c r="V11" s="986">
        <v>7.4516999999999998</v>
      </c>
      <c r="W11" s="15"/>
      <c r="X11" s="17"/>
      <c r="Y11" s="5" t="s">
        <v>85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86">
        <v>7.44712</v>
      </c>
      <c r="AF11" s="15"/>
      <c r="AH11" s="5">
        <v>218</v>
      </c>
      <c r="AI11" s="5" t="s">
        <v>67</v>
      </c>
      <c r="AJ11" s="974">
        <v>4.4999999999999998E-2</v>
      </c>
      <c r="AK11" s="974">
        <v>5.3999999999999999E-2</v>
      </c>
    </row>
    <row r="12" spans="1:37" ht="15" customHeight="1" x14ac:dyDescent="0.2">
      <c r="A12" s="5">
        <v>220</v>
      </c>
      <c r="B12" s="5" t="s">
        <v>63</v>
      </c>
      <c r="C12" s="5" t="s">
        <v>8</v>
      </c>
      <c r="D12" s="10"/>
      <c r="E12" s="9"/>
      <c r="F12" s="8"/>
      <c r="G12" s="5" t="s">
        <v>83</v>
      </c>
      <c r="H12" s="5" t="s">
        <v>82</v>
      </c>
      <c r="I12" s="8"/>
      <c r="J12" s="7">
        <v>721</v>
      </c>
      <c r="K12" s="8" t="s">
        <v>110</v>
      </c>
      <c r="L12" s="765">
        <v>740</v>
      </c>
      <c r="M12" s="765" t="s">
        <v>108</v>
      </c>
      <c r="N12" s="9"/>
      <c r="P12" s="5" t="s">
        <v>81</v>
      </c>
      <c r="Q12" s="15">
        <v>0.88</v>
      </c>
      <c r="R12" s="804">
        <v>0.88570000000000004</v>
      </c>
      <c r="S12" s="15">
        <v>0.86</v>
      </c>
      <c r="T12" s="15"/>
      <c r="U12" s="15">
        <v>0.85819999999999996</v>
      </c>
      <c r="V12" s="986">
        <v>0.85950000000000004</v>
      </c>
      <c r="W12" s="15">
        <v>0.89</v>
      </c>
      <c r="X12" s="17"/>
      <c r="Y12" s="5" t="s">
        <v>81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86">
        <v>0.87426999999999999</v>
      </c>
      <c r="AF12" s="15">
        <v>0.89</v>
      </c>
      <c r="AH12" s="5">
        <v>220</v>
      </c>
      <c r="AI12" s="5" t="s">
        <v>63</v>
      </c>
      <c r="AJ12" s="974">
        <v>0.12</v>
      </c>
      <c r="AK12" s="974">
        <v>0.06</v>
      </c>
    </row>
    <row r="13" spans="1:37" ht="15" customHeight="1" x14ac:dyDescent="0.2">
      <c r="A13" s="5">
        <v>225</v>
      </c>
      <c r="B13" s="5" t="s">
        <v>62</v>
      </c>
      <c r="C13" s="5" t="s">
        <v>11</v>
      </c>
      <c r="D13" s="10"/>
      <c r="E13" s="9"/>
      <c r="F13" s="8"/>
      <c r="G13" s="5" t="s">
        <v>79</v>
      </c>
      <c r="H13" s="5" t="s">
        <v>78</v>
      </c>
      <c r="I13" s="8"/>
      <c r="J13" s="7">
        <v>721</v>
      </c>
      <c r="K13" s="8" t="s">
        <v>110</v>
      </c>
      <c r="L13" s="765">
        <v>740</v>
      </c>
      <c r="M13" s="765" t="s">
        <v>108</v>
      </c>
      <c r="N13" s="9"/>
      <c r="P13" s="5" t="s">
        <v>6</v>
      </c>
      <c r="Q13" s="15">
        <v>360</v>
      </c>
      <c r="R13" s="804">
        <v>400.86</v>
      </c>
      <c r="S13" s="15">
        <v>380</v>
      </c>
      <c r="T13" s="15"/>
      <c r="U13" s="15">
        <v>371.76</v>
      </c>
      <c r="V13" s="986">
        <v>379.6</v>
      </c>
      <c r="W13" s="15">
        <v>370</v>
      </c>
      <c r="X13" s="17"/>
      <c r="Y13" s="5" t="s">
        <v>6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86">
        <v>380.37441000000001</v>
      </c>
      <c r="AF13" s="15">
        <v>370</v>
      </c>
      <c r="AH13" s="5">
        <v>225</v>
      </c>
      <c r="AI13" s="5" t="s">
        <v>62</v>
      </c>
      <c r="AJ13" s="974">
        <v>5.5E-2</v>
      </c>
      <c r="AK13" s="974">
        <v>5.5E-2</v>
      </c>
    </row>
    <row r="14" spans="1:37" ht="15" customHeight="1" x14ac:dyDescent="0.2">
      <c r="A14" s="5">
        <v>228</v>
      </c>
      <c r="B14" s="5" t="s">
        <v>60</v>
      </c>
      <c r="C14" s="5" t="s">
        <v>16</v>
      </c>
      <c r="D14" s="10"/>
      <c r="E14" s="9"/>
      <c r="F14" s="8"/>
      <c r="G14" s="5" t="s">
        <v>76</v>
      </c>
      <c r="H14" s="5" t="s">
        <v>75</v>
      </c>
      <c r="I14" s="8"/>
      <c r="J14" s="7">
        <v>721</v>
      </c>
      <c r="K14" s="8" t="s">
        <v>110</v>
      </c>
      <c r="L14" s="765">
        <v>740</v>
      </c>
      <c r="M14" s="765" t="s">
        <v>108</v>
      </c>
      <c r="N14" s="9"/>
      <c r="P14" s="5" t="s">
        <v>4</v>
      </c>
      <c r="Q14" s="15">
        <v>90</v>
      </c>
      <c r="R14" s="804">
        <v>88.257599999999996</v>
      </c>
      <c r="S14" s="15">
        <v>85</v>
      </c>
      <c r="T14" s="15"/>
      <c r="U14" s="15">
        <v>89.046199999999999</v>
      </c>
      <c r="V14" s="986">
        <v>91.252499999999998</v>
      </c>
      <c r="W14" s="15">
        <v>90</v>
      </c>
      <c r="X14" s="17"/>
      <c r="Y14" s="5" t="s">
        <v>4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86">
        <v>89.179760000000002</v>
      </c>
      <c r="AF14" s="15">
        <v>90</v>
      </c>
      <c r="AH14" s="5">
        <v>228</v>
      </c>
      <c r="AI14" s="5" t="s">
        <v>60</v>
      </c>
      <c r="AJ14" s="974"/>
      <c r="AK14" s="974">
        <v>3.3799999999999997E-2</v>
      </c>
    </row>
    <row r="15" spans="1:37" ht="15" customHeight="1" x14ac:dyDescent="0.2">
      <c r="A15" s="5">
        <v>230</v>
      </c>
      <c r="B15" s="5" t="s">
        <v>57</v>
      </c>
      <c r="C15" s="5" t="s">
        <v>11</v>
      </c>
      <c r="D15" s="10"/>
      <c r="E15" s="9"/>
      <c r="F15" s="8"/>
      <c r="G15" s="5" t="s">
        <v>73</v>
      </c>
      <c r="H15" s="5" t="s">
        <v>72</v>
      </c>
      <c r="I15" s="8"/>
      <c r="J15" s="7">
        <v>721</v>
      </c>
      <c r="K15" s="8" t="s">
        <v>110</v>
      </c>
      <c r="L15" s="765">
        <v>740</v>
      </c>
      <c r="M15" s="765" t="s">
        <v>108</v>
      </c>
      <c r="N15" s="9"/>
      <c r="P15" s="5" t="s">
        <v>71</v>
      </c>
      <c r="Q15" s="15">
        <v>125</v>
      </c>
      <c r="R15" s="804">
        <v>140.74</v>
      </c>
      <c r="S15" s="15">
        <v>125</v>
      </c>
      <c r="T15" s="15"/>
      <c r="U15" s="15">
        <v>156.96</v>
      </c>
      <c r="V15" s="986">
        <v>156.19999999999999</v>
      </c>
      <c r="W15" s="15">
        <v>135</v>
      </c>
      <c r="X15" s="17"/>
      <c r="Y15" s="5" t="s">
        <v>71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86">
        <v>147.23639</v>
      </c>
      <c r="AF15" s="15">
        <v>135</v>
      </c>
      <c r="AH15" s="5">
        <v>230</v>
      </c>
      <c r="AI15" s="5" t="s">
        <v>57</v>
      </c>
      <c r="AJ15" s="974">
        <v>5.3499999999999999E-2</v>
      </c>
      <c r="AK15" s="974">
        <v>5.6599999999999998E-2</v>
      </c>
    </row>
    <row r="16" spans="1:37" ht="15" customHeight="1" x14ac:dyDescent="0.2">
      <c r="A16" s="5">
        <v>231</v>
      </c>
      <c r="B16" s="5" t="s">
        <v>54</v>
      </c>
      <c r="C16" s="5" t="s">
        <v>24</v>
      </c>
      <c r="D16" s="10"/>
      <c r="E16" s="9"/>
      <c r="F16" s="8"/>
      <c r="G16" s="5" t="s">
        <v>69</v>
      </c>
      <c r="H16" s="5" t="s">
        <v>68</v>
      </c>
      <c r="I16" s="8"/>
      <c r="J16" s="7">
        <v>721</v>
      </c>
      <c r="K16" s="8" t="s">
        <v>110</v>
      </c>
      <c r="L16" s="765">
        <v>740</v>
      </c>
      <c r="M16" s="765" t="s">
        <v>108</v>
      </c>
      <c r="N16" s="9"/>
      <c r="P16" s="5" t="s">
        <v>49</v>
      </c>
      <c r="Q16" s="15">
        <v>1362</v>
      </c>
      <c r="R16" s="804">
        <v>1344.72</v>
      </c>
      <c r="S16" s="15">
        <v>1329</v>
      </c>
      <c r="T16" s="15"/>
      <c r="U16" s="15">
        <v>1430.47</v>
      </c>
      <c r="V16" s="986">
        <v>1422.8</v>
      </c>
      <c r="W16" s="15">
        <v>1450</v>
      </c>
      <c r="X16" s="17"/>
      <c r="Y16" s="5" t="s">
        <v>49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86">
        <v>1403.6801399999999</v>
      </c>
      <c r="AF16" s="15">
        <v>1450</v>
      </c>
      <c r="AH16" s="5">
        <v>231</v>
      </c>
      <c r="AI16" s="5" t="s">
        <v>54</v>
      </c>
      <c r="AJ16" s="974">
        <v>6.3799999999999996E-2</v>
      </c>
      <c r="AK16" s="974">
        <v>6.3799999999999996E-2</v>
      </c>
    </row>
    <row r="17" spans="1:37" ht="15" customHeight="1" x14ac:dyDescent="0.2">
      <c r="A17" s="5">
        <v>242</v>
      </c>
      <c r="B17" s="5" t="s">
        <v>50</v>
      </c>
      <c r="C17" s="5" t="s">
        <v>49</v>
      </c>
      <c r="D17" s="10"/>
      <c r="E17" s="9"/>
      <c r="F17" s="8"/>
      <c r="G17" s="5" t="s">
        <v>66</v>
      </c>
      <c r="H17" s="5" t="s">
        <v>65</v>
      </c>
      <c r="I17" s="8"/>
      <c r="J17" s="7">
        <v>721</v>
      </c>
      <c r="K17" s="8" t="s">
        <v>110</v>
      </c>
      <c r="L17" s="765">
        <v>750</v>
      </c>
      <c r="M17" s="765" t="s">
        <v>105</v>
      </c>
      <c r="N17" s="8"/>
      <c r="P17" s="5" t="s">
        <v>8</v>
      </c>
      <c r="Q17" s="15">
        <v>24</v>
      </c>
      <c r="R17" s="804">
        <v>20.823599999999999</v>
      </c>
      <c r="S17" s="15">
        <v>23.5</v>
      </c>
      <c r="T17" s="15"/>
      <c r="U17" s="15">
        <v>18.5501</v>
      </c>
      <c r="V17" s="986">
        <v>18.670000000000002</v>
      </c>
      <c r="W17" s="15">
        <v>20.3</v>
      </c>
      <c r="X17" s="17"/>
      <c r="Y17" s="5" t="s">
        <v>8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86">
        <v>19.52956</v>
      </c>
      <c r="AF17" s="15">
        <v>20.3</v>
      </c>
      <c r="AH17" s="5">
        <v>242</v>
      </c>
      <c r="AI17" s="5" t="s">
        <v>50</v>
      </c>
      <c r="AJ17" s="974">
        <v>3.7499999999999999E-2</v>
      </c>
      <c r="AK17" s="974">
        <v>4.1300000000000003E-2</v>
      </c>
    </row>
    <row r="18" spans="1:37" ht="15" customHeight="1" x14ac:dyDescent="0.2">
      <c r="A18" s="5">
        <v>246</v>
      </c>
      <c r="B18" s="5" t="s">
        <v>42</v>
      </c>
      <c r="C18" s="5" t="s">
        <v>11</v>
      </c>
      <c r="D18" s="10"/>
      <c r="E18" s="9"/>
      <c r="F18" s="8"/>
      <c r="G18" s="5" t="s">
        <v>1458</v>
      </c>
      <c r="H18" s="5" t="s">
        <v>1449</v>
      </c>
      <c r="I18" s="8"/>
      <c r="J18" s="7">
        <v>721</v>
      </c>
      <c r="K18" s="8" t="s">
        <v>110</v>
      </c>
      <c r="L18" s="765">
        <v>750</v>
      </c>
      <c r="M18" s="765" t="s">
        <v>105</v>
      </c>
      <c r="N18" s="8"/>
      <c r="P18" s="5" t="s">
        <v>14</v>
      </c>
      <c r="Q18" s="15">
        <v>5</v>
      </c>
      <c r="R18" s="804">
        <v>4.9474999999999998</v>
      </c>
      <c r="S18" s="15">
        <v>5</v>
      </c>
      <c r="T18" s="15"/>
      <c r="U18" s="15">
        <v>4.9641999999999999</v>
      </c>
      <c r="V18" s="986">
        <v>4.9276999999999997</v>
      </c>
      <c r="W18" s="15">
        <v>4.95</v>
      </c>
      <c r="X18" s="17"/>
      <c r="Y18" s="5" t="s">
        <v>14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86">
        <v>4.9346199999999998</v>
      </c>
      <c r="AF18" s="15">
        <v>4.95</v>
      </c>
      <c r="AH18" s="5">
        <v>246</v>
      </c>
      <c r="AI18" s="5" t="s">
        <v>42</v>
      </c>
      <c r="AJ18" s="974">
        <v>5.5E-2</v>
      </c>
      <c r="AK18" s="974">
        <v>5.5E-2</v>
      </c>
    </row>
    <row r="19" spans="1:37" ht="15" customHeight="1" x14ac:dyDescent="0.2">
      <c r="A19" s="5">
        <v>265</v>
      </c>
      <c r="B19" s="5" t="s">
        <v>32</v>
      </c>
      <c r="C19" s="5" t="s">
        <v>11</v>
      </c>
      <c r="D19" s="10"/>
      <c r="E19" s="9"/>
      <c r="F19" s="8"/>
      <c r="G19" s="5" t="s">
        <v>1459</v>
      </c>
      <c r="H19" s="5" t="s">
        <v>1452</v>
      </c>
      <c r="I19" s="8"/>
      <c r="J19" s="7">
        <v>721</v>
      </c>
      <c r="K19" s="8" t="s">
        <v>110</v>
      </c>
      <c r="L19" s="765">
        <v>750</v>
      </c>
      <c r="M19" s="6" t="s">
        <v>105</v>
      </c>
      <c r="N19" s="8"/>
      <c r="P19" s="5" t="s">
        <v>45</v>
      </c>
      <c r="Q19" s="15">
        <v>95</v>
      </c>
      <c r="R19" s="804">
        <v>77.270499999999998</v>
      </c>
      <c r="S19" s="15">
        <v>100</v>
      </c>
      <c r="T19" s="15"/>
      <c r="U19" s="15">
        <v>95.996399999999994</v>
      </c>
      <c r="V19" s="986">
        <v>100.1771</v>
      </c>
      <c r="W19" s="15">
        <v>98.18</v>
      </c>
      <c r="X19" s="17"/>
      <c r="Y19" s="5" t="s">
        <v>45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86">
        <v>85.894120000000001</v>
      </c>
      <c r="AF19" s="15">
        <v>98.18</v>
      </c>
      <c r="AH19" s="5">
        <v>265</v>
      </c>
      <c r="AI19" s="5" t="s">
        <v>32</v>
      </c>
      <c r="AJ19" s="974">
        <v>5.5E-2</v>
      </c>
      <c r="AK19" s="974">
        <v>5.5E-2</v>
      </c>
    </row>
    <row r="20" spans="1:37" ht="15" customHeight="1" x14ac:dyDescent="0.2">
      <c r="A20" s="5">
        <v>278</v>
      </c>
      <c r="B20" s="5" t="s">
        <v>29</v>
      </c>
      <c r="C20" s="5" t="s">
        <v>28</v>
      </c>
      <c r="D20" s="10"/>
      <c r="E20" s="9"/>
      <c r="F20" s="8"/>
      <c r="G20" s="5" t="s">
        <v>1460</v>
      </c>
      <c r="H20" s="5" t="s">
        <v>1453</v>
      </c>
      <c r="I20" s="8"/>
      <c r="J20" s="7">
        <v>721</v>
      </c>
      <c r="K20" s="8" t="s">
        <v>110</v>
      </c>
      <c r="L20" s="765">
        <v>750</v>
      </c>
      <c r="M20" s="6" t="s">
        <v>105</v>
      </c>
      <c r="N20" s="6"/>
      <c r="P20" s="5" t="s">
        <v>61</v>
      </c>
      <c r="Q20" s="15">
        <v>1.62</v>
      </c>
      <c r="R20" s="804">
        <v>1.4305000000000001</v>
      </c>
      <c r="S20" s="15">
        <v>1.48</v>
      </c>
      <c r="T20" s="15"/>
      <c r="U20" s="15">
        <v>1.4722999999999999</v>
      </c>
      <c r="V20" s="986">
        <v>1.474</v>
      </c>
      <c r="W20" s="15"/>
      <c r="X20" s="17"/>
      <c r="Y20" s="5" t="s">
        <v>61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86">
        <v>1.4489799999999999</v>
      </c>
      <c r="AF20" s="15"/>
      <c r="AH20" s="5">
        <v>278</v>
      </c>
      <c r="AI20" s="5" t="s">
        <v>29</v>
      </c>
      <c r="AJ20" s="974">
        <v>7.0000000000000007E-2</v>
      </c>
      <c r="AK20" s="974">
        <v>3.7499999999999999E-2</v>
      </c>
    </row>
    <row r="21" spans="1:37" ht="15" customHeight="1" x14ac:dyDescent="0.2">
      <c r="A21" s="5">
        <v>282</v>
      </c>
      <c r="B21" s="5" t="s">
        <v>25</v>
      </c>
      <c r="C21" s="5" t="s">
        <v>24</v>
      </c>
      <c r="D21" s="10"/>
      <c r="E21" s="9"/>
      <c r="F21" s="8"/>
      <c r="G21" s="5" t="s">
        <v>59</v>
      </c>
      <c r="H21" s="5" t="s">
        <v>58</v>
      </c>
      <c r="I21" s="8"/>
      <c r="J21" s="7">
        <v>721</v>
      </c>
      <c r="K21" s="8" t="s">
        <v>110</v>
      </c>
      <c r="L21" s="765">
        <v>760</v>
      </c>
      <c r="M21" s="6" t="s">
        <v>100</v>
      </c>
      <c r="N21" s="6"/>
      <c r="P21" s="5" t="s">
        <v>28</v>
      </c>
      <c r="Q21" s="15">
        <v>37.6</v>
      </c>
      <c r="R21" s="804">
        <v>36.887799999999999</v>
      </c>
      <c r="S21" s="15">
        <v>36.15</v>
      </c>
      <c r="T21" s="15"/>
      <c r="U21" s="15">
        <v>38.445999999999998</v>
      </c>
      <c r="V21" s="986">
        <v>37.956600000000002</v>
      </c>
      <c r="W21" s="15">
        <v>37.4</v>
      </c>
      <c r="X21" s="17"/>
      <c r="Y21" s="5" t="s">
        <v>28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86">
        <v>37.165120000000002</v>
      </c>
      <c r="AF21" s="15">
        <v>37.4</v>
      </c>
      <c r="AH21" s="5">
        <v>282</v>
      </c>
      <c r="AI21" s="5" t="s">
        <v>25</v>
      </c>
      <c r="AJ21" s="974">
        <v>6.3799999999999996E-2</v>
      </c>
      <c r="AK21" s="974">
        <v>6.3799999999999996E-2</v>
      </c>
    </row>
    <row r="22" spans="1:37" ht="15" customHeight="1" x14ac:dyDescent="0.2">
      <c r="A22" s="5">
        <v>290</v>
      </c>
      <c r="B22" s="5" t="s">
        <v>23</v>
      </c>
      <c r="C22" s="5" t="s">
        <v>2</v>
      </c>
      <c r="D22" s="10"/>
      <c r="E22" s="9"/>
      <c r="F22" s="8"/>
      <c r="G22" s="5" t="s">
        <v>56</v>
      </c>
      <c r="H22" s="5" t="s">
        <v>55</v>
      </c>
      <c r="I22" s="8"/>
      <c r="J22" s="7">
        <v>721</v>
      </c>
      <c r="K22" s="8" t="s">
        <v>110</v>
      </c>
      <c r="L22" s="765">
        <v>760</v>
      </c>
      <c r="M22" s="6" t="s">
        <v>100</v>
      </c>
      <c r="N22" s="6"/>
      <c r="P22" s="5" t="s">
        <v>16</v>
      </c>
      <c r="Q22" s="15">
        <v>1.2</v>
      </c>
      <c r="R22" s="804">
        <v>1.0669999999999999</v>
      </c>
      <c r="S22" s="15">
        <v>1.08</v>
      </c>
      <c r="T22" s="15"/>
      <c r="U22" s="15">
        <v>1.0852999999999999</v>
      </c>
      <c r="V22" s="986">
        <v>1.1136999999999999</v>
      </c>
      <c r="W22" s="15">
        <v>1.1000000000000001</v>
      </c>
      <c r="X22" s="17"/>
      <c r="Y22" s="5" t="s">
        <v>16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86">
        <v>1.08494</v>
      </c>
      <c r="AF22" s="15">
        <v>1.1000000000000001</v>
      </c>
      <c r="AH22" s="5">
        <v>290</v>
      </c>
      <c r="AI22" s="5" t="s">
        <v>23</v>
      </c>
      <c r="AJ22" s="974">
        <v>4.4999999999999998E-2</v>
      </c>
      <c r="AK22" s="974">
        <v>5.2499999999999998E-2</v>
      </c>
    </row>
    <row r="23" spans="1:37" ht="15" customHeight="1" x14ac:dyDescent="0.2">
      <c r="A23" s="5">
        <v>296</v>
      </c>
      <c r="B23" s="5" t="s">
        <v>22</v>
      </c>
      <c r="C23" s="5" t="s">
        <v>11</v>
      </c>
      <c r="D23" s="10"/>
      <c r="E23" s="9"/>
      <c r="F23" s="8"/>
      <c r="G23" s="5" t="s">
        <v>53</v>
      </c>
      <c r="H23" s="5" t="s">
        <v>52</v>
      </c>
      <c r="I23" s="8"/>
      <c r="J23" s="7">
        <v>721</v>
      </c>
      <c r="K23" s="8" t="s">
        <v>110</v>
      </c>
      <c r="L23" s="765">
        <v>760</v>
      </c>
      <c r="M23" s="6" t="s">
        <v>100</v>
      </c>
      <c r="N23" s="6"/>
      <c r="P23" s="5" t="s">
        <v>11</v>
      </c>
      <c r="Q23" s="15">
        <v>1</v>
      </c>
      <c r="R23" s="804">
        <v>1</v>
      </c>
      <c r="S23" s="15">
        <v>1</v>
      </c>
      <c r="T23" s="15"/>
      <c r="U23" s="15">
        <v>1</v>
      </c>
      <c r="V23" s="986">
        <v>1</v>
      </c>
      <c r="W23" s="15">
        <v>1</v>
      </c>
      <c r="X23" s="17"/>
      <c r="Y23" s="5" t="s">
        <v>11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86">
        <v>1</v>
      </c>
      <c r="AF23" s="15">
        <v>1</v>
      </c>
      <c r="AH23" s="5">
        <v>296</v>
      </c>
      <c r="AI23" s="5" t="s">
        <v>22</v>
      </c>
      <c r="AJ23" s="974">
        <v>5.5E-2</v>
      </c>
      <c r="AK23" s="974">
        <v>5.5E-2</v>
      </c>
    </row>
    <row r="24" spans="1:37" ht="15" customHeight="1" x14ac:dyDescent="0.2">
      <c r="A24" s="5">
        <v>517</v>
      </c>
      <c r="B24" s="5" t="s">
        <v>19</v>
      </c>
      <c r="C24" s="5" t="s">
        <v>8</v>
      </c>
      <c r="D24" s="10"/>
      <c r="E24" s="9"/>
      <c r="F24" s="8"/>
      <c r="G24" s="5" t="s">
        <v>1455</v>
      </c>
      <c r="H24" s="5" t="s">
        <v>1454</v>
      </c>
      <c r="I24" s="8"/>
      <c r="J24" s="7">
        <v>721</v>
      </c>
      <c r="K24" s="8" t="s">
        <v>110</v>
      </c>
      <c r="L24" s="765">
        <v>760</v>
      </c>
      <c r="M24" s="6" t="s">
        <v>100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19</v>
      </c>
      <c r="AJ24" s="974">
        <v>0.12</v>
      </c>
      <c r="AK24" s="974">
        <v>0.06</v>
      </c>
    </row>
    <row r="25" spans="1:37" ht="15" customHeight="1" x14ac:dyDescent="0.2">
      <c r="A25" s="5">
        <v>519</v>
      </c>
      <c r="B25" s="5" t="s">
        <v>18</v>
      </c>
      <c r="C25" s="5" t="s">
        <v>4</v>
      </c>
      <c r="D25" s="10"/>
      <c r="E25" s="9"/>
      <c r="F25" s="8"/>
      <c r="G25" s="5" t="s">
        <v>48</v>
      </c>
      <c r="H25" s="5" t="s">
        <v>47</v>
      </c>
      <c r="I25" s="8"/>
      <c r="J25" s="7">
        <v>722</v>
      </c>
      <c r="K25" s="8" t="s">
        <v>107</v>
      </c>
      <c r="L25" s="765">
        <v>770</v>
      </c>
      <c r="M25" s="6" t="s">
        <v>95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18</v>
      </c>
      <c r="AJ25" s="974">
        <v>9.7500000000000003E-2</v>
      </c>
      <c r="AK25" s="974">
        <v>0.09</v>
      </c>
    </row>
    <row r="26" spans="1:37" ht="15" customHeight="1" x14ac:dyDescent="0.2">
      <c r="A26" s="5">
        <v>526</v>
      </c>
      <c r="B26" s="5" t="s">
        <v>17</v>
      </c>
      <c r="C26" s="5" t="s">
        <v>16</v>
      </c>
      <c r="D26" s="10"/>
      <c r="E26" s="9"/>
      <c r="F26" s="8"/>
      <c r="G26" s="5" t="s">
        <v>44</v>
      </c>
      <c r="H26" s="5" t="s">
        <v>43</v>
      </c>
      <c r="I26" s="8"/>
      <c r="J26" s="7">
        <v>722</v>
      </c>
      <c r="K26" s="8" t="s">
        <v>107</v>
      </c>
      <c r="L26" s="765">
        <v>770</v>
      </c>
      <c r="M26" s="6" t="s">
        <v>95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17</v>
      </c>
      <c r="AJ26" s="974"/>
      <c r="AK26" s="974">
        <v>3.3799999999999997E-2</v>
      </c>
    </row>
    <row r="27" spans="1:37" ht="15" customHeight="1" x14ac:dyDescent="0.2">
      <c r="A27" s="5">
        <v>549</v>
      </c>
      <c r="B27" s="5" t="s">
        <v>15</v>
      </c>
      <c r="C27" s="5" t="s">
        <v>14</v>
      </c>
      <c r="D27" s="10"/>
      <c r="E27" s="9"/>
      <c r="F27" s="8"/>
      <c r="G27" s="5" t="s">
        <v>41</v>
      </c>
      <c r="H27" s="5" t="s">
        <v>40</v>
      </c>
      <c r="I27" s="8"/>
      <c r="J27" s="7">
        <v>722</v>
      </c>
      <c r="K27" s="8" t="s">
        <v>107</v>
      </c>
      <c r="L27" s="765">
        <v>770</v>
      </c>
      <c r="M27" s="6" t="s">
        <v>95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15</v>
      </c>
      <c r="AJ27" s="974">
        <v>9.2299999999999993E-2</v>
      </c>
      <c r="AK27" s="974">
        <v>9.2299999999999993E-2</v>
      </c>
    </row>
    <row r="28" spans="1:37" ht="15" customHeight="1" x14ac:dyDescent="0.2">
      <c r="A28" s="5">
        <v>599</v>
      </c>
      <c r="B28" s="5" t="s">
        <v>10</v>
      </c>
      <c r="C28" s="5" t="s">
        <v>4</v>
      </c>
      <c r="D28" s="10"/>
      <c r="E28" s="9"/>
      <c r="F28" s="8"/>
      <c r="G28" s="5" t="s">
        <v>38</v>
      </c>
      <c r="H28" s="5" t="s">
        <v>37</v>
      </c>
      <c r="I28" s="8"/>
      <c r="J28" s="7">
        <v>722</v>
      </c>
      <c r="K28" s="8" t="s">
        <v>107</v>
      </c>
      <c r="L28" s="765">
        <v>780</v>
      </c>
      <c r="M28" s="6" t="s">
        <v>91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10</v>
      </c>
      <c r="AJ28" s="974">
        <v>9.7500000000000003E-2</v>
      </c>
      <c r="AK28" s="974">
        <v>0.09</v>
      </c>
    </row>
    <row r="29" spans="1:37" ht="15" customHeight="1" x14ac:dyDescent="0.2">
      <c r="A29" s="5">
        <v>705</v>
      </c>
      <c r="B29" s="5" t="s">
        <v>7</v>
      </c>
      <c r="C29" s="5" t="s">
        <v>6</v>
      </c>
      <c r="D29" s="10"/>
      <c r="E29" s="9"/>
      <c r="F29" s="8"/>
      <c r="G29" s="5" t="s">
        <v>1479</v>
      </c>
      <c r="H29" s="5" t="s">
        <v>1480</v>
      </c>
      <c r="I29" s="8"/>
      <c r="J29" s="7">
        <v>722</v>
      </c>
      <c r="K29" s="8" t="s">
        <v>107</v>
      </c>
      <c r="L29" s="765">
        <v>780</v>
      </c>
      <c r="M29" s="6" t="s">
        <v>91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7</v>
      </c>
      <c r="AJ29" s="974">
        <v>0.15</v>
      </c>
      <c r="AK29" s="974">
        <v>0.15</v>
      </c>
    </row>
    <row r="30" spans="1:37" ht="15" customHeight="1" x14ac:dyDescent="0.2">
      <c r="A30" s="5">
        <v>729</v>
      </c>
      <c r="B30" s="5" t="s">
        <v>5</v>
      </c>
      <c r="C30" s="5" t="s">
        <v>4</v>
      </c>
      <c r="D30" s="10"/>
      <c r="E30" s="9"/>
      <c r="F30" s="8"/>
      <c r="G30" s="5" t="s">
        <v>34</v>
      </c>
      <c r="H30" s="5" t="s">
        <v>33</v>
      </c>
      <c r="I30" s="8"/>
      <c r="J30" s="7">
        <v>722</v>
      </c>
      <c r="K30" s="8" t="s">
        <v>107</v>
      </c>
      <c r="L30" s="765">
        <v>780</v>
      </c>
      <c r="M30" s="6" t="s">
        <v>91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5</v>
      </c>
      <c r="AJ30" s="974">
        <v>9.7500000000000003E-2</v>
      </c>
      <c r="AK30" s="974">
        <v>0.09</v>
      </c>
    </row>
    <row r="31" spans="1:37" ht="15" customHeight="1" x14ac:dyDescent="0.2">
      <c r="A31" s="5">
        <v>761</v>
      </c>
      <c r="B31" s="5" t="s">
        <v>3</v>
      </c>
      <c r="C31" s="5" t="s">
        <v>2</v>
      </c>
      <c r="D31" s="10"/>
      <c r="E31" s="9"/>
      <c r="F31" s="8"/>
      <c r="G31" s="5" t="s">
        <v>31</v>
      </c>
      <c r="H31" s="5" t="s">
        <v>30</v>
      </c>
      <c r="I31" s="8"/>
      <c r="J31" s="7">
        <v>722</v>
      </c>
      <c r="K31" s="8" t="s">
        <v>107</v>
      </c>
      <c r="L31" s="765">
        <v>780</v>
      </c>
      <c r="M31" s="6" t="s">
        <v>91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3</v>
      </c>
      <c r="AJ31" s="974">
        <v>4.4999999999999998E-2</v>
      </c>
      <c r="AK31" s="974">
        <v>5.2499999999999998E-2</v>
      </c>
    </row>
    <row r="32" spans="1:37" ht="15" customHeight="1" x14ac:dyDescent="0.2">
      <c r="A32" s="5"/>
      <c r="D32" s="10"/>
      <c r="E32" s="9"/>
      <c r="F32" s="8"/>
      <c r="G32" s="5" t="s">
        <v>27</v>
      </c>
      <c r="H32" s="5" t="s">
        <v>26</v>
      </c>
      <c r="I32" s="8"/>
      <c r="J32" s="7">
        <v>722</v>
      </c>
      <c r="K32" s="8" t="s">
        <v>107</v>
      </c>
      <c r="L32" s="765">
        <v>780</v>
      </c>
      <c r="M32" s="6" t="s">
        <v>91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75"/>
      <c r="AK32" s="975"/>
    </row>
    <row r="33" spans="1:37" ht="15" customHeight="1" x14ac:dyDescent="0.2">
      <c r="A33" s="5">
        <v>255</v>
      </c>
      <c r="B33" s="5" t="s">
        <v>39</v>
      </c>
      <c r="C33" s="5" t="s">
        <v>16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39</v>
      </c>
      <c r="AJ33" s="975"/>
      <c r="AK33" s="975"/>
    </row>
    <row r="34" spans="1:37" ht="15" customHeight="1" x14ac:dyDescent="0.2">
      <c r="A34" s="5">
        <v>261</v>
      </c>
      <c r="B34" s="5" t="s">
        <v>36</v>
      </c>
      <c r="C34" s="5" t="s">
        <v>11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36</v>
      </c>
      <c r="AJ34" s="975"/>
      <c r="AK34" s="975"/>
    </row>
    <row r="35" spans="1:37" ht="15" customHeight="1" x14ac:dyDescent="0.2">
      <c r="A35" s="5">
        <v>516</v>
      </c>
      <c r="B35" s="5" t="s">
        <v>21</v>
      </c>
      <c r="C35" s="5" t="s">
        <v>20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21</v>
      </c>
      <c r="AJ35" s="975"/>
      <c r="AK35" s="975"/>
    </row>
    <row r="36" spans="1:37" ht="15" customHeight="1" x14ac:dyDescent="0.2">
      <c r="A36" s="5">
        <v>593</v>
      </c>
      <c r="B36" s="5" t="s">
        <v>13</v>
      </c>
      <c r="C36" s="5" t="s">
        <v>11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</v>
      </c>
      <c r="AJ36" s="974">
        <v>5.5E-2</v>
      </c>
      <c r="AK36" s="974">
        <v>5.5E-2</v>
      </c>
    </row>
    <row r="37" spans="1:37" ht="15" customHeight="1" x14ac:dyDescent="0.2">
      <c r="A37" s="5">
        <v>597</v>
      </c>
      <c r="B37" s="5" t="s">
        <v>12</v>
      </c>
      <c r="C37" s="5" t="s">
        <v>11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12</v>
      </c>
      <c r="AJ37" s="974">
        <v>5.5E-2</v>
      </c>
      <c r="AK37" s="974">
        <v>5.5E-2</v>
      </c>
    </row>
    <row r="38" spans="1:37" ht="15" customHeight="1" x14ac:dyDescent="0.2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75"/>
      <c r="AK38" s="975"/>
    </row>
    <row r="39" spans="1:37" ht="15" customHeight="1" x14ac:dyDescent="0.2">
      <c r="A39" s="5">
        <v>71</v>
      </c>
      <c r="B39" s="5" t="s">
        <v>106</v>
      </c>
      <c r="C39" s="5" t="s">
        <v>6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106</v>
      </c>
      <c r="AJ39" s="975"/>
      <c r="AK39" s="975"/>
    </row>
    <row r="40" spans="1:37" ht="15" customHeight="1" x14ac:dyDescent="0.2">
      <c r="A40" s="5">
        <v>72</v>
      </c>
      <c r="B40" s="5" t="s">
        <v>101</v>
      </c>
      <c r="C40" s="5" t="s">
        <v>2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101</v>
      </c>
      <c r="AJ40" s="975"/>
      <c r="AK40" s="975"/>
    </row>
    <row r="41" spans="1:37" ht="15" customHeight="1" x14ac:dyDescent="0.2">
      <c r="A41" s="5">
        <v>114</v>
      </c>
      <c r="B41" s="5" t="s">
        <v>96</v>
      </c>
      <c r="C41" s="5" t="s">
        <v>14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96</v>
      </c>
      <c r="AJ41" s="975"/>
      <c r="AK41" s="975"/>
    </row>
    <row r="42" spans="1:37" ht="15" customHeight="1" x14ac:dyDescent="0.2">
      <c r="A42" s="5">
        <v>143</v>
      </c>
      <c r="B42" s="5" t="s">
        <v>92</v>
      </c>
      <c r="C42" s="5" t="s">
        <v>16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92</v>
      </c>
      <c r="AJ42" s="975"/>
      <c r="AK42" s="975"/>
    </row>
    <row r="43" spans="1:37" ht="15" customHeight="1" x14ac:dyDescent="0.2">
      <c r="A43" s="5">
        <v>210</v>
      </c>
      <c r="B43" s="5" t="s">
        <v>77</v>
      </c>
      <c r="C43" s="5" t="s">
        <v>24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77</v>
      </c>
      <c r="AJ43" s="975"/>
      <c r="AK43" s="975"/>
    </row>
    <row r="44" spans="1:37" ht="15" customHeight="1" x14ac:dyDescent="0.2">
      <c r="A44" s="5">
        <v>212</v>
      </c>
      <c r="B44" s="5" t="s">
        <v>74</v>
      </c>
      <c r="C44" s="5" t="s">
        <v>4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74</v>
      </c>
      <c r="AJ44" s="975"/>
      <c r="AK44" s="975">
        <v>0.10879999999999999</v>
      </c>
    </row>
    <row r="45" spans="1:37" ht="15" customHeight="1" x14ac:dyDescent="0.2">
      <c r="A45" s="5">
        <v>219</v>
      </c>
      <c r="B45" s="5" t="s">
        <v>64</v>
      </c>
      <c r="C45" s="5" t="s">
        <v>49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64</v>
      </c>
      <c r="AJ45" s="975"/>
      <c r="AK45" s="975"/>
    </row>
    <row r="46" spans="1:37" ht="15" customHeight="1" x14ac:dyDescent="0.2">
      <c r="A46" s="5">
        <v>233</v>
      </c>
      <c r="B46" s="5" t="s">
        <v>51</v>
      </c>
      <c r="C46" s="5" t="s">
        <v>8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51</v>
      </c>
      <c r="AJ46" s="975"/>
      <c r="AK46" s="975"/>
    </row>
    <row r="47" spans="1:37" ht="15" customHeight="1" x14ac:dyDescent="0.2">
      <c r="A47" s="5">
        <v>244</v>
      </c>
      <c r="B47" s="5" t="s">
        <v>46</v>
      </c>
      <c r="C47" s="5" t="s">
        <v>45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46</v>
      </c>
      <c r="AJ47" s="975"/>
      <c r="AK47" s="975"/>
    </row>
    <row r="48" spans="1:37" ht="15" customHeight="1" x14ac:dyDescent="0.2">
      <c r="A48" s="5">
        <v>262</v>
      </c>
      <c r="B48" s="5" t="s">
        <v>35</v>
      </c>
      <c r="C48" s="5" t="s">
        <v>11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35</v>
      </c>
      <c r="AJ48" s="974">
        <v>5.5E-2</v>
      </c>
      <c r="AK48" s="974">
        <v>5.5E-2</v>
      </c>
    </row>
    <row r="49" spans="1:37" ht="15" customHeight="1" x14ac:dyDescent="0.2">
      <c r="A49" s="5">
        <v>285</v>
      </c>
      <c r="B49" s="5" t="s">
        <v>1034</v>
      </c>
      <c r="C49" s="5" t="s">
        <v>71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1034</v>
      </c>
      <c r="AJ49" s="975"/>
      <c r="AK49" s="975">
        <v>0.03</v>
      </c>
    </row>
    <row r="50" spans="1:37" ht="15" customHeight="1" x14ac:dyDescent="0.2">
      <c r="A50" s="5">
        <v>538</v>
      </c>
      <c r="B50" s="5" t="s">
        <v>1035</v>
      </c>
      <c r="C50" s="5" t="s">
        <v>11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1035</v>
      </c>
      <c r="AJ50" s="974">
        <v>5.3499999999999999E-2</v>
      </c>
      <c r="AK50" s="974">
        <v>5.6599999999999998E-2</v>
      </c>
    </row>
    <row r="51" spans="1:37" ht="15" customHeight="1" x14ac:dyDescent="0.2">
      <c r="A51" s="5">
        <v>668</v>
      </c>
      <c r="B51" s="5" t="s">
        <v>9</v>
      </c>
      <c r="C51" s="5" t="s">
        <v>8</v>
      </c>
      <c r="AH51" s="5">
        <v>668</v>
      </c>
      <c r="AI51" s="5" t="s">
        <v>9</v>
      </c>
      <c r="AJ51" s="975"/>
      <c r="AK51" s="975"/>
    </row>
    <row r="52" spans="1:37" ht="15" customHeight="1" x14ac:dyDescent="0.2">
      <c r="A52" s="5">
        <v>706</v>
      </c>
      <c r="B52" s="5" t="s">
        <v>1033</v>
      </c>
      <c r="C52" s="5" t="s">
        <v>16</v>
      </c>
      <c r="AH52" s="5">
        <v>706</v>
      </c>
      <c r="AI52" s="5" t="s">
        <v>1033</v>
      </c>
      <c r="AJ52" s="975"/>
      <c r="AK52" s="975"/>
    </row>
    <row r="53" spans="1:37" ht="15" customHeight="1" x14ac:dyDescent="0.2">
      <c r="AH53" s="6"/>
      <c r="AJ53" s="975"/>
      <c r="AK53" s="975"/>
    </row>
    <row r="54" spans="1:37" ht="15" customHeight="1" x14ac:dyDescent="0.2">
      <c r="A54" s="5">
        <v>9</v>
      </c>
      <c r="B54" s="5" t="s">
        <v>1118</v>
      </c>
      <c r="C54" s="5" t="s">
        <v>11</v>
      </c>
      <c r="AH54" s="5">
        <v>9</v>
      </c>
      <c r="AI54" s="5" t="s">
        <v>1118</v>
      </c>
      <c r="AJ54" s="975"/>
      <c r="AK54" s="975"/>
    </row>
    <row r="55" spans="1:37" ht="15" customHeight="1" x14ac:dyDescent="0.2">
      <c r="AJ55" s="975"/>
      <c r="AK55" s="975"/>
    </row>
    <row r="56" spans="1:37" ht="15" customHeight="1" x14ac:dyDescent="0.2">
      <c r="AJ56" s="975"/>
      <c r="AK56" s="975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1"/>
  <sheetViews>
    <sheetView showGridLines="0" zoomScale="70" zoomScaleNormal="70" workbookViewId="0">
      <pane xSplit="3" ySplit="7" topLeftCell="D36" activePane="bottomRight" state="frozen"/>
      <selection activeCell="D14" sqref="D14"/>
      <selection pane="topRight" activeCell="D14" sqref="D14"/>
      <selection pane="bottomLeft" activeCell="D14" sqref="D14"/>
      <selection pane="bottomRight" activeCell="F69" sqref="F69"/>
    </sheetView>
  </sheetViews>
  <sheetFormatPr defaultColWidth="9.28515625" defaultRowHeight="12.75" customHeight="1" outlineLevelCol="1" x14ac:dyDescent="0.2"/>
  <cols>
    <col min="1" max="1" width="14.42578125" style="451" customWidth="1" outlineLevel="1"/>
    <col min="2" max="2" width="9.28515625" style="451" customWidth="1" outlineLevel="1"/>
    <col min="3" max="3" width="48.7109375" style="451" bestFit="1" customWidth="1"/>
    <col min="4" max="8" width="20.7109375" style="451" customWidth="1"/>
    <col min="9" max="9" width="7.7109375" style="451" customWidth="1"/>
    <col min="10" max="16384" width="9.28515625" style="451"/>
  </cols>
  <sheetData>
    <row r="1" spans="1:9" ht="19.899999999999999" customHeight="1" x14ac:dyDescent="0.25">
      <c r="C1" s="60" t="str">
        <f>+'0. Instructions'!$A$1</f>
        <v>Budget 2024</v>
      </c>
      <c r="D1" s="60"/>
      <c r="E1" s="60"/>
      <c r="F1" s="471"/>
      <c r="G1" s="610"/>
      <c r="H1" s="610"/>
      <c r="I1" s="577"/>
    </row>
    <row r="2" spans="1:9" ht="19.899999999999999" customHeight="1" thickBot="1" x14ac:dyDescent="0.3">
      <c r="C2" s="55" t="s">
        <v>702</v>
      </c>
      <c r="D2" s="55"/>
      <c r="E2" s="55"/>
      <c r="F2" s="55"/>
      <c r="G2" s="55"/>
      <c r="H2" s="55"/>
      <c r="I2" s="55"/>
    </row>
    <row r="3" spans="1:9" ht="37.9" customHeight="1" x14ac:dyDescent="0.25">
      <c r="A3" s="546"/>
      <c r="B3" s="546"/>
      <c r="C3" s="545"/>
      <c r="D3" s="575"/>
      <c r="E3" s="575"/>
      <c r="F3" s="575"/>
      <c r="G3" s="575"/>
      <c r="H3" s="575"/>
      <c r="I3" s="545"/>
    </row>
    <row r="4" spans="1:9" ht="15" x14ac:dyDescent="0.25">
      <c r="A4" s="546"/>
      <c r="B4" s="546"/>
      <c r="C4" s="545"/>
      <c r="D4" s="575"/>
      <c r="E4" s="575"/>
      <c r="F4" s="575"/>
      <c r="G4" s="575"/>
      <c r="H4" s="575"/>
      <c r="I4" s="545"/>
    </row>
    <row r="5" spans="1:9" ht="15" x14ac:dyDescent="0.25">
      <c r="A5" s="546"/>
      <c r="B5" s="546"/>
      <c r="C5" s="546"/>
      <c r="D5" s="619"/>
      <c r="E5" s="619"/>
      <c r="F5" s="619"/>
      <c r="G5" s="619"/>
      <c r="H5" s="619"/>
      <c r="I5" s="544"/>
    </row>
    <row r="6" spans="1:9" ht="30" customHeight="1" x14ac:dyDescent="0.25">
      <c r="A6" s="546"/>
      <c r="B6" s="546"/>
      <c r="C6" s="545"/>
      <c r="D6" s="620" t="s">
        <v>1146</v>
      </c>
      <c r="E6" s="620" t="s">
        <v>894</v>
      </c>
      <c r="F6" s="620" t="s">
        <v>1147</v>
      </c>
      <c r="G6" s="620" t="s">
        <v>1149</v>
      </c>
      <c r="H6" s="620" t="s">
        <v>1150</v>
      </c>
      <c r="I6" s="574"/>
    </row>
    <row r="7" spans="1:9" ht="30" customHeight="1" x14ac:dyDescent="0.25">
      <c r="A7" s="546"/>
      <c r="B7" s="546"/>
      <c r="C7" s="571"/>
      <c r="D7" s="571" t="s">
        <v>733</v>
      </c>
      <c r="E7" s="571" t="s">
        <v>732</v>
      </c>
      <c r="F7" s="571" t="s">
        <v>169</v>
      </c>
      <c r="G7" s="571" t="s">
        <v>698</v>
      </c>
      <c r="H7" s="571" t="s">
        <v>725</v>
      </c>
      <c r="I7" s="593"/>
    </row>
    <row r="8" spans="1:9" ht="15" x14ac:dyDescent="0.25">
      <c r="A8" s="546" t="s">
        <v>1345</v>
      </c>
      <c r="B8" s="546"/>
      <c r="C8" s="581" t="s">
        <v>431</v>
      </c>
      <c r="D8" s="595">
        <f>IFERROR(VLOOKUP($A8,Race_2024!A:L,7,FALSE),0)</f>
        <v>3585301.8709999998</v>
      </c>
      <c r="E8" s="595">
        <f>IFERROR(VLOOKUP($A8,Race_2024!A:L,9,FALSE),0)</f>
        <v>4821906.6090000002</v>
      </c>
      <c r="F8" s="595">
        <f>IFERROR(VLOOKUP($A8,Race_2024!A:L,8,FALSE),0)</f>
        <v>5043026.2570000002</v>
      </c>
      <c r="G8" s="595">
        <f>IFERROR(VLOOKUP($A8,Race_2024!A:L,11,FALSE),0)</f>
        <v>5665073.3849999998</v>
      </c>
      <c r="H8" s="580">
        <f>IFERROR(VLOOKUP($A8,Race_2024!A:L,12,FALSE),0)</f>
        <v>8729162.5140000004</v>
      </c>
      <c r="I8" s="593"/>
    </row>
    <row r="9" spans="1:9" ht="15" x14ac:dyDescent="0.25">
      <c r="A9" s="546" t="s">
        <v>1346</v>
      </c>
      <c r="B9" s="546"/>
      <c r="C9" s="579" t="s">
        <v>731</v>
      </c>
      <c r="D9" s="578">
        <f>IFERROR(VLOOKUP($A9,Race_2024!A:L,7,FALSE),0)</f>
        <v>2856807.49</v>
      </c>
      <c r="E9" s="578">
        <f>IFERROR(VLOOKUP($A9,Race_2024!A:L,9,FALSE),0)</f>
        <v>2570526.54</v>
      </c>
      <c r="F9" s="578">
        <f>IFERROR(VLOOKUP($A9,Race_2024!A:L,8,FALSE),0)</f>
        <v>3751693.37</v>
      </c>
      <c r="G9" s="578">
        <f>IFERROR(VLOOKUP($A9,Race_2024!A:L,11,FALSE),0)</f>
        <v>3144226.3849999998</v>
      </c>
      <c r="H9" s="589">
        <f>IFERROR(VLOOKUP($A9,Race_2024!A:L,12,FALSE),0)</f>
        <v>3066825.8629999999</v>
      </c>
      <c r="I9" s="593"/>
    </row>
    <row r="10" spans="1:9" ht="15" x14ac:dyDescent="0.25">
      <c r="A10" s="546" t="s">
        <v>1347</v>
      </c>
      <c r="B10" s="546"/>
      <c r="C10" s="579" t="s">
        <v>730</v>
      </c>
      <c r="D10" s="578">
        <f>IFERROR(VLOOKUP($A10,Race_2024!A:L,7,FALSE),0)</f>
        <v>410363.60100000002</v>
      </c>
      <c r="E10" s="578">
        <f>IFERROR(VLOOKUP($A10,Race_2024!A:L,9,FALSE),0)</f>
        <v>1048077.344</v>
      </c>
      <c r="F10" s="578">
        <f>IFERROR(VLOOKUP($A10,Race_2024!A:L,8,FALSE),0)</f>
        <v>979827.995</v>
      </c>
      <c r="G10" s="578">
        <f>IFERROR(VLOOKUP($A10,Race_2024!A:L,11,FALSE),0)</f>
        <v>1229971</v>
      </c>
      <c r="H10" s="589">
        <f>IFERROR(VLOOKUP($A10,Race_2024!A:L,12,FALSE),0)</f>
        <v>4391117.0360000003</v>
      </c>
      <c r="I10" s="593"/>
    </row>
    <row r="11" spans="1:9" ht="15" x14ac:dyDescent="0.25">
      <c r="A11" s="546" t="s">
        <v>1348</v>
      </c>
      <c r="B11" s="546"/>
      <c r="C11" s="579" t="s">
        <v>729</v>
      </c>
      <c r="D11" s="578">
        <f>IFERROR(VLOOKUP($A11,Race_2024!A:L,7,FALSE),0)</f>
        <v>0</v>
      </c>
      <c r="E11" s="578">
        <f>IFERROR(VLOOKUP($A11,Race_2024!A:L,9,FALSE),0)</f>
        <v>0</v>
      </c>
      <c r="F11" s="578">
        <f>IFERROR(VLOOKUP($A11,Race_2024!A:L,8,FALSE),0)</f>
        <v>0</v>
      </c>
      <c r="G11" s="578">
        <f>IFERROR(VLOOKUP($A11,Race_2024!A:L,11,FALSE),0)</f>
        <v>0</v>
      </c>
      <c r="H11" s="589">
        <f>IFERROR(VLOOKUP($A11,Race_2024!A:L,12,FALSE),0)</f>
        <v>0</v>
      </c>
      <c r="I11" s="593"/>
    </row>
    <row r="12" spans="1:9" ht="15" x14ac:dyDescent="0.25">
      <c r="A12" s="546" t="s">
        <v>1349</v>
      </c>
      <c r="B12" s="546"/>
      <c r="C12" s="608" t="s">
        <v>728</v>
      </c>
      <c r="D12" s="585">
        <f>IFERROR(VLOOKUP($A12,Race_2024!A:L,7,FALSE),0)</f>
        <v>318130.78000000003</v>
      </c>
      <c r="E12" s="585">
        <f>IFERROR(VLOOKUP($A12,Race_2024!A:L,9,FALSE),0)</f>
        <v>1203302.7250000001</v>
      </c>
      <c r="F12" s="585">
        <f>IFERROR(VLOOKUP($A12,Race_2024!A:L,8,FALSE),0)</f>
        <v>311504.89199999999</v>
      </c>
      <c r="G12" s="585">
        <f>IFERROR(VLOOKUP($A12,Race_2024!A:L,11,FALSE),0)</f>
        <v>1290876</v>
      </c>
      <c r="H12" s="584">
        <f>IFERROR(VLOOKUP($A12,Race_2024!A:L,12,FALSE),0)</f>
        <v>1271219.615</v>
      </c>
      <c r="I12" s="593"/>
    </row>
    <row r="13" spans="1:9" ht="15" x14ac:dyDescent="0.25">
      <c r="A13" s="546"/>
      <c r="B13" s="546"/>
      <c r="C13" s="554"/>
      <c r="D13" s="554"/>
      <c r="E13" s="554"/>
      <c r="F13" s="554"/>
      <c r="G13" s="554"/>
      <c r="H13" s="554"/>
      <c r="I13" s="554"/>
    </row>
    <row r="14" spans="1:9" ht="15" x14ac:dyDescent="0.25">
      <c r="A14" s="546" t="s">
        <v>1350</v>
      </c>
      <c r="B14" s="546"/>
      <c r="C14" s="581" t="s">
        <v>727</v>
      </c>
      <c r="D14" s="606">
        <f>IFERROR(VLOOKUP($A14,Race_2024!A:L,7,FALSE),0)</f>
        <v>12895525.856000001</v>
      </c>
      <c r="E14" s="606">
        <f>IFERROR(VLOOKUP($A14,Race_2024!A:L,9,FALSE),0)</f>
        <v>25178295.27</v>
      </c>
      <c r="F14" s="606">
        <f>IFERROR(VLOOKUP($A14,Race_2024!A:L,8,FALSE),0)</f>
        <v>18011260.543000001</v>
      </c>
      <c r="G14" s="606">
        <f>IFERROR(VLOOKUP($A14,Race_2024!A:L,11,FALSE),0)</f>
        <v>19570563.401000001</v>
      </c>
      <c r="H14" s="605">
        <f>IFERROR(VLOOKUP($A14,Race_2024!A:L,12,FALSE),0)</f>
        <v>25830103.728</v>
      </c>
      <c r="I14" s="554"/>
    </row>
    <row r="15" spans="1:9" ht="15" x14ac:dyDescent="0.25">
      <c r="A15" s="546"/>
      <c r="B15" s="546"/>
      <c r="C15" s="631"/>
      <c r="D15" s="632"/>
      <c r="E15" s="632"/>
      <c r="F15" s="632"/>
      <c r="G15" s="632"/>
      <c r="H15" s="633"/>
      <c r="I15" s="554"/>
    </row>
    <row r="16" spans="1:9" ht="15" x14ac:dyDescent="0.25">
      <c r="A16" s="546"/>
      <c r="B16" s="546"/>
      <c r="C16" s="554"/>
      <c r="D16" s="554"/>
      <c r="E16" s="554"/>
      <c r="F16" s="554"/>
      <c r="G16" s="554"/>
      <c r="H16" s="554"/>
      <c r="I16" s="554"/>
    </row>
    <row r="17" spans="1:9" ht="15" x14ac:dyDescent="0.25">
      <c r="A17" s="546" t="s">
        <v>1351</v>
      </c>
      <c r="B17" s="546"/>
      <c r="C17" s="581" t="s">
        <v>726</v>
      </c>
      <c r="D17" s="606">
        <f>IFERROR(VLOOKUP($A17,Race_2024!A:L,7,FALSE),0)</f>
        <v>18418282.191</v>
      </c>
      <c r="E17" s="606">
        <f>IFERROR(VLOOKUP($A17,Race_2024!A:L,9,FALSE),0)</f>
        <v>27691680.829999998</v>
      </c>
      <c r="F17" s="606">
        <f>IFERROR(VLOOKUP($A17,Race_2024!A:L,8,FALSE),0)</f>
        <v>23666821.657000002</v>
      </c>
      <c r="G17" s="606">
        <f>IFERROR(VLOOKUP($A17,Race_2024!A:L,11,FALSE),0)</f>
        <v>26697199.857999999</v>
      </c>
      <c r="H17" s="605">
        <f>IFERROR(VLOOKUP($A17,Race_2024!A:L,12,FALSE),0)</f>
        <v>34732766.990999997</v>
      </c>
      <c r="I17" s="593"/>
    </row>
    <row r="18" spans="1:9" ht="15" x14ac:dyDescent="0.25">
      <c r="A18" s="546"/>
      <c r="B18" s="546"/>
      <c r="C18" s="634"/>
      <c r="D18" s="635"/>
      <c r="E18" s="635"/>
      <c r="F18" s="635"/>
      <c r="G18" s="635"/>
      <c r="H18" s="636"/>
      <c r="I18" s="593"/>
    </row>
    <row r="19" spans="1:9" ht="15" x14ac:dyDescent="0.25">
      <c r="A19" s="546"/>
      <c r="B19" s="546"/>
      <c r="C19" s="603" t="s">
        <v>422</v>
      </c>
      <c r="D19" s="823">
        <f>D8+D14-D17</f>
        <v>-1937454.4639999997</v>
      </c>
      <c r="E19" s="823">
        <f t="shared" ref="E19:G19" si="0">E8+E14-E17</f>
        <v>2308521.0490000024</v>
      </c>
      <c r="F19" s="823">
        <f t="shared" si="0"/>
        <v>-612534.85700000077</v>
      </c>
      <c r="G19" s="823">
        <f t="shared" si="0"/>
        <v>-1461563.0720000006</v>
      </c>
      <c r="H19" s="823">
        <f>H8+H14-H17</f>
        <v>-173500.74899999797</v>
      </c>
      <c r="I19" s="600"/>
    </row>
    <row r="20" spans="1:9" ht="15" x14ac:dyDescent="0.25">
      <c r="A20" s="546"/>
      <c r="B20" s="546"/>
      <c r="C20" s="592"/>
      <c r="D20" s="592"/>
      <c r="E20" s="592"/>
      <c r="F20" s="592"/>
      <c r="G20" s="592"/>
      <c r="H20" s="592"/>
      <c r="I20" s="593"/>
    </row>
    <row r="21" spans="1:9" ht="15" x14ac:dyDescent="0.25">
      <c r="A21" s="546"/>
      <c r="B21" s="546"/>
      <c r="C21" s="581" t="s">
        <v>724</v>
      </c>
      <c r="D21" s="824">
        <f>SUM(D22:D23)</f>
        <v>66</v>
      </c>
      <c r="E21" s="824">
        <f>SUM(E22:E23)</f>
        <v>90</v>
      </c>
      <c r="F21" s="824">
        <f>SUM(F22:F23)</f>
        <v>63</v>
      </c>
      <c r="G21" s="824">
        <f>SUM(G22:G23)</f>
        <v>97</v>
      </c>
      <c r="H21" s="825">
        <f>SUM(H22:H23)</f>
        <v>144</v>
      </c>
      <c r="I21" s="593"/>
    </row>
    <row r="22" spans="1:9" ht="15" x14ac:dyDescent="0.25">
      <c r="A22" s="544" t="s">
        <v>1352</v>
      </c>
      <c r="B22" s="544"/>
      <c r="C22" s="591" t="s">
        <v>723</v>
      </c>
      <c r="D22" s="578">
        <f>IFERROR(VLOOKUP($A22,Race_2024!A:L,7,FALSE),0)</f>
        <v>34</v>
      </c>
      <c r="E22" s="578">
        <f>IFERROR(VLOOKUP($A22,Race_2024!A:L,9,FALSE),0)</f>
        <v>61</v>
      </c>
      <c r="F22" s="578">
        <f>IFERROR(VLOOKUP($A22,Race_2024!A:L,8,FALSE),0)</f>
        <v>35</v>
      </c>
      <c r="G22" s="578">
        <f>IFERROR(VLOOKUP($A22,Race_2024!A:L,11,FALSE),0)</f>
        <v>70</v>
      </c>
      <c r="H22" s="589">
        <f>IFERROR(VLOOKUP($A22,Race_2024!A:L,12,FALSE),0)</f>
        <v>107</v>
      </c>
      <c r="I22" s="593"/>
    </row>
    <row r="23" spans="1:9" ht="15" x14ac:dyDescent="0.25">
      <c r="A23" s="546" t="s">
        <v>1353</v>
      </c>
      <c r="B23" s="546"/>
      <c r="C23" s="591" t="s">
        <v>722</v>
      </c>
      <c r="D23" s="578">
        <f>IFERROR(VLOOKUP($A23,Race_2024!A:L,7,FALSE),0)</f>
        <v>32</v>
      </c>
      <c r="E23" s="578">
        <f>IFERROR(VLOOKUP($A23,Race_2024!A:L,9,FALSE),0)</f>
        <v>29</v>
      </c>
      <c r="F23" s="578">
        <f>IFERROR(VLOOKUP($A23,Race_2024!A:L,8,FALSE),0)</f>
        <v>28</v>
      </c>
      <c r="G23" s="578">
        <f>IFERROR(VLOOKUP($A23,Race_2024!A:L,11,FALSE),0)</f>
        <v>27</v>
      </c>
      <c r="H23" s="589">
        <f>IFERROR(VLOOKUP($A23,Race_2024!A:L,12,FALSE),0)</f>
        <v>37</v>
      </c>
      <c r="I23" s="593"/>
    </row>
    <row r="24" spans="1:9" ht="15" x14ac:dyDescent="0.25">
      <c r="A24" s="546" t="s">
        <v>1354</v>
      </c>
      <c r="B24" s="546"/>
      <c r="C24" s="591" t="s">
        <v>721</v>
      </c>
      <c r="D24" s="578">
        <f>IFERROR(VLOOKUP($A24,Race_2024!A:L,7,FALSE),0)</f>
        <v>0</v>
      </c>
      <c r="E24" s="578">
        <f>IFERROR(VLOOKUP($A24,Race_2024!A:L,9,FALSE),0)</f>
        <v>0</v>
      </c>
      <c r="F24" s="578">
        <f>IFERROR(VLOOKUP($A24,Race_2024!A:L,8,FALSE),0)</f>
        <v>0</v>
      </c>
      <c r="G24" s="578">
        <f>IFERROR(VLOOKUP($A24,Race_2024!A:L,11,FALSE),0)</f>
        <v>0</v>
      </c>
      <c r="H24" s="589">
        <f>IFERROR(VLOOKUP($A24,Race_2024!A:L,12,FALSE),0)</f>
        <v>0</v>
      </c>
      <c r="I24" s="544"/>
    </row>
    <row r="25" spans="1:9" ht="15" x14ac:dyDescent="0.25">
      <c r="A25" s="546" t="s">
        <v>1355</v>
      </c>
      <c r="B25" s="546"/>
      <c r="C25" s="591" t="s">
        <v>720</v>
      </c>
      <c r="D25" s="578">
        <f>IFERROR(VLOOKUP($A25,Race_2024!A:L,7,FALSE),0)</f>
        <v>0</v>
      </c>
      <c r="E25" s="578">
        <f>IFERROR(VLOOKUP($A25,Race_2024!A:L,9,FALSE),0)</f>
        <v>1</v>
      </c>
      <c r="F25" s="578">
        <f>IFERROR(VLOOKUP($A25,Race_2024!A:L,8,FALSE),0)</f>
        <v>1</v>
      </c>
      <c r="G25" s="578">
        <f>IFERROR(VLOOKUP($A25,Race_2024!A:L,11,FALSE),0)</f>
        <v>1</v>
      </c>
      <c r="H25" s="589">
        <f>IFERROR(VLOOKUP($A25,Race_2024!A:L,12,FALSE),0)</f>
        <v>1</v>
      </c>
      <c r="I25" s="592"/>
    </row>
    <row r="26" spans="1:9" ht="15" x14ac:dyDescent="0.25">
      <c r="A26" s="546" t="s">
        <v>1356</v>
      </c>
      <c r="B26" s="546"/>
      <c r="C26" s="591" t="s">
        <v>719</v>
      </c>
      <c r="D26" s="578">
        <f>IFERROR(VLOOKUP($A26,Race_2024!A:L,7,FALSE),0)</f>
        <v>34</v>
      </c>
      <c r="E26" s="578">
        <f>IFERROR(VLOOKUP($A26,Race_2024!A:L,9,FALSE),0)</f>
        <v>61</v>
      </c>
      <c r="F26" s="578">
        <f>IFERROR(VLOOKUP($A26,Race_2024!A:L,8,FALSE),0)</f>
        <v>35</v>
      </c>
      <c r="G26" s="578">
        <f>IFERROR(VLOOKUP($A26,Race_2024!A:L,11,FALSE),0)</f>
        <v>70</v>
      </c>
      <c r="H26" s="589">
        <f>IFERROR(VLOOKUP($A26,Race_2024!A:L,12,FALSE),0)</f>
        <v>107</v>
      </c>
      <c r="I26" s="588"/>
    </row>
    <row r="27" spans="1:9" ht="15" x14ac:dyDescent="0.25">
      <c r="A27" s="546" t="s">
        <v>1357</v>
      </c>
      <c r="B27" s="546"/>
      <c r="C27" s="591" t="s">
        <v>718</v>
      </c>
      <c r="D27" s="578">
        <f>IFERROR(VLOOKUP($A27,Race_2024!A:L,7,FALSE),0)</f>
        <v>32</v>
      </c>
      <c r="E27" s="578">
        <f>IFERROR(VLOOKUP($A27,Race_2024!A:L,9,FALSE),0)</f>
        <v>28</v>
      </c>
      <c r="F27" s="578">
        <f>IFERROR(VLOOKUP($A27,Race_2024!A:L,8,FALSE),0)</f>
        <v>27</v>
      </c>
      <c r="G27" s="578">
        <f>IFERROR(VLOOKUP($A27,Race_2024!A:L,11,FALSE),0)</f>
        <v>26</v>
      </c>
      <c r="H27" s="589">
        <f>IFERROR(VLOOKUP($A27,Race_2024!A:L,12,FALSE),0)</f>
        <v>36</v>
      </c>
      <c r="I27" s="588"/>
    </row>
    <row r="28" spans="1:9" ht="15" x14ac:dyDescent="0.25">
      <c r="A28" s="546" t="s">
        <v>1358</v>
      </c>
      <c r="B28" s="546"/>
      <c r="C28" s="590" t="s">
        <v>717</v>
      </c>
      <c r="D28" s="578">
        <f>IFERROR(VLOOKUP($A28,Race_2024!A:L,7,FALSE),0)</f>
        <v>0</v>
      </c>
      <c r="E28" s="578">
        <f>IFERROR(VLOOKUP($A28,Race_2024!A:L,9,FALSE),0)</f>
        <v>0</v>
      </c>
      <c r="F28" s="578">
        <f>IFERROR(VLOOKUP($A28,Race_2024!A:L,8,FALSE),0)</f>
        <v>0</v>
      </c>
      <c r="G28" s="578">
        <f>IFERROR(VLOOKUP($A28,Race_2024!A:L,11,FALSE),0)</f>
        <v>0</v>
      </c>
      <c r="H28" s="589">
        <f>IFERROR(VLOOKUP($A28,Race_2024!A:L,12,FALSE),0)</f>
        <v>0</v>
      </c>
      <c r="I28" s="588"/>
    </row>
    <row r="29" spans="1:9" ht="15" x14ac:dyDescent="0.25">
      <c r="A29" s="546" t="s">
        <v>1359</v>
      </c>
      <c r="B29" s="546"/>
      <c r="C29" s="590" t="s">
        <v>716</v>
      </c>
      <c r="D29" s="578">
        <f>IFERROR(VLOOKUP($A29,Race_2024!A:L,7,FALSE),0)</f>
        <v>0</v>
      </c>
      <c r="E29" s="578">
        <f>IFERROR(VLOOKUP($A29,Race_2024!A:L,9,FALSE),0)</f>
        <v>0</v>
      </c>
      <c r="F29" s="578">
        <f>IFERROR(VLOOKUP($A29,Race_2024!A:L,8,FALSE),0)</f>
        <v>0</v>
      </c>
      <c r="G29" s="578">
        <f>IFERROR(VLOOKUP($A29,Race_2024!A:L,11,FALSE),0)</f>
        <v>0</v>
      </c>
      <c r="H29" s="589">
        <f>IFERROR(VLOOKUP($A29,Race_2024!A:L,12,FALSE),0)</f>
        <v>0</v>
      </c>
      <c r="I29" s="588"/>
    </row>
    <row r="30" spans="1:9" ht="15" x14ac:dyDescent="0.25">
      <c r="A30" s="546" t="s">
        <v>1360</v>
      </c>
      <c r="B30" s="546"/>
      <c r="C30" s="586" t="s">
        <v>715</v>
      </c>
      <c r="D30" s="625">
        <f>IFERROR((VLOOKUP($A30,Race_2024!A:L,7,FALSE)-D21),0)</f>
        <v>0</v>
      </c>
      <c r="E30" s="625">
        <f>IFERROR((VLOOKUP($A30,Race_2024!A:L,9,FALSE)-E21),0)</f>
        <v>0</v>
      </c>
      <c r="F30" s="625">
        <f>IFERROR((VLOOKUP($A30,Race_2024!A:L,8,FALSE)-F21),0)</f>
        <v>0</v>
      </c>
      <c r="G30" s="625">
        <f>IFERROR((VLOOKUP($A30,Race_2024!A:L,11,FALSE)-G21),0)</f>
        <v>0</v>
      </c>
      <c r="H30" s="626">
        <f>IFERROR((VLOOKUP($A30,Race_2024!A:L,12,FALSE)-H21),0)</f>
        <v>0</v>
      </c>
      <c r="I30" s="582"/>
    </row>
    <row r="31" spans="1:9" ht="12.75" customHeight="1" x14ac:dyDescent="0.25">
      <c r="A31" s="544"/>
      <c r="B31" s="544"/>
      <c r="C31" s="544"/>
      <c r="D31" s="544"/>
      <c r="E31" s="544"/>
      <c r="F31" s="544"/>
      <c r="G31" s="544"/>
      <c r="H31" s="544"/>
      <c r="I31" s="544"/>
    </row>
    <row r="32" spans="1:9" ht="12.75" customHeight="1" x14ac:dyDescent="0.25">
      <c r="A32" s="544"/>
      <c r="B32" s="544"/>
      <c r="C32" s="627" t="s">
        <v>292</v>
      </c>
      <c r="D32" s="829">
        <f>SUM(D40+D46)</f>
        <v>-7434751.5610000007</v>
      </c>
      <c r="E32" s="829">
        <f>SUM(E40+E46)</f>
        <v>-16436717.347000001</v>
      </c>
      <c r="F32" s="829">
        <f>SUM(F40+F46)</f>
        <v>-8101769.7100000009</v>
      </c>
      <c r="G32" s="829">
        <f>SUM(G40+G46)</f>
        <v>-16559731.471000001</v>
      </c>
      <c r="H32" s="830">
        <f>SUM(H40+H46)</f>
        <v>-13442276.674999999</v>
      </c>
    </row>
    <row r="33" spans="1:12" ht="12.75" customHeight="1" x14ac:dyDescent="0.25">
      <c r="A33" s="544" t="s">
        <v>1361</v>
      </c>
      <c r="B33" s="544"/>
      <c r="C33" s="630" t="s">
        <v>329</v>
      </c>
      <c r="D33" s="578">
        <f>IFERROR(VLOOKUP($A33,Race_2024!A:L,7,FALSE),0)</f>
        <v>-1781892.9750000001</v>
      </c>
      <c r="E33" s="578">
        <f>IFERROR(VLOOKUP($A33,Race_2024!A:L,9,FALSE),0)</f>
        <v>-3912863.5989999999</v>
      </c>
      <c r="F33" s="578">
        <f>IFERROR(VLOOKUP($A33,Race_2024!A:L,8,FALSE),0)</f>
        <v>-1936448.267</v>
      </c>
      <c r="G33" s="578">
        <f>IFERROR(VLOOKUP($A33,Race_2024!A:L,11,FALSE),0)</f>
        <v>-3829884.7459999998</v>
      </c>
      <c r="H33" s="589">
        <f>IFERROR(VLOOKUP($A33,Race_2024!A:L,12,FALSE),0)</f>
        <v>-4848024.4979999997</v>
      </c>
    </row>
    <row r="34" spans="1:12" ht="12.75" customHeight="1" x14ac:dyDescent="0.25">
      <c r="A34" s="544" t="s">
        <v>1362</v>
      </c>
      <c r="B34" s="544"/>
      <c r="C34" s="630" t="s">
        <v>327</v>
      </c>
      <c r="D34" s="578">
        <f>IFERROR(VLOOKUP($A34,Race_2024!A:L,7,FALSE),0)</f>
        <v>0</v>
      </c>
      <c r="E34" s="578">
        <f>IFERROR(VLOOKUP($A34,Race_2024!A:L,9,FALSE),0)</f>
        <v>0</v>
      </c>
      <c r="F34" s="578">
        <f>IFERROR(VLOOKUP($A34,Race_2024!A:L,8,FALSE),0)</f>
        <v>-71054.043999999994</v>
      </c>
      <c r="G34" s="578">
        <f>IFERROR(VLOOKUP($A34,Race_2024!A:L,11,FALSE),0)</f>
        <v>-197800.21</v>
      </c>
      <c r="H34" s="589">
        <f>IFERROR(VLOOKUP($A34,Race_2024!A:L,12,FALSE),0)</f>
        <v>-258743.64199999999</v>
      </c>
    </row>
    <row r="35" spans="1:12" ht="12.75" customHeight="1" x14ac:dyDescent="0.25">
      <c r="A35" s="544" t="s">
        <v>1363</v>
      </c>
      <c r="B35" s="544"/>
      <c r="C35" s="630" t="s">
        <v>326</v>
      </c>
      <c r="D35" s="578">
        <f>IFERROR(VLOOKUP($A35,Race_2024!A:L,7,FALSE),0)</f>
        <v>-1526408.216</v>
      </c>
      <c r="E35" s="578">
        <f>IFERROR(VLOOKUP($A35,Race_2024!A:L,9,FALSE),0)</f>
        <v>-929345.902</v>
      </c>
      <c r="F35" s="578">
        <f>IFERROR(VLOOKUP($A35,Race_2024!A:L,8,FALSE),0)</f>
        <v>-496516.79399999999</v>
      </c>
      <c r="G35" s="578">
        <f>IFERROR(VLOOKUP($A35,Race_2024!A:L,11,FALSE),0)</f>
        <v>-1035484.872</v>
      </c>
      <c r="H35" s="589">
        <f>IFERROR(VLOOKUP($A35,Race_2024!A:L,12,FALSE),0)</f>
        <v>-1575157.466</v>
      </c>
    </row>
    <row r="36" spans="1:12" ht="12.75" customHeight="1" x14ac:dyDescent="0.25">
      <c r="A36" s="544" t="s">
        <v>1364</v>
      </c>
      <c r="B36" s="544"/>
      <c r="C36" s="630" t="s">
        <v>325</v>
      </c>
      <c r="D36" s="578">
        <f>IFERROR(VLOOKUP($A36,Race_2024!A:L,7,FALSE),0)</f>
        <v>-2591.971</v>
      </c>
      <c r="E36" s="578">
        <f>IFERROR(VLOOKUP($A36,Race_2024!A:L,9,FALSE),0)</f>
        <v>-17500</v>
      </c>
      <c r="F36" s="578">
        <f>IFERROR(VLOOKUP($A36,Race_2024!A:L,8,FALSE),0)</f>
        <v>-8234.0149999999994</v>
      </c>
      <c r="G36" s="578">
        <f>IFERROR(VLOOKUP($A36,Race_2024!A:L,11,FALSE),0)</f>
        <v>-17500.001</v>
      </c>
      <c r="H36" s="589">
        <f>IFERROR(VLOOKUP($A36,Race_2024!A:L,12,FALSE),0)</f>
        <v>-84485.793000000005</v>
      </c>
    </row>
    <row r="37" spans="1:12" ht="12.75" customHeight="1" x14ac:dyDescent="0.25">
      <c r="A37" s="544" t="s">
        <v>1365</v>
      </c>
      <c r="B37" s="544"/>
      <c r="C37" s="630" t="s">
        <v>324</v>
      </c>
      <c r="D37" s="578">
        <f>IFERROR(VLOOKUP($A37,Race_2024!A:L,7,FALSE),0)</f>
        <v>-805972.48699999996</v>
      </c>
      <c r="E37" s="578">
        <f>IFERROR(VLOOKUP($A37,Race_2024!A:L,9,FALSE),0)</f>
        <v>-698762.83200000005</v>
      </c>
      <c r="F37" s="578">
        <f>IFERROR(VLOOKUP($A37,Race_2024!A:L,8,FALSE),0)</f>
        <v>-1152494.851</v>
      </c>
      <c r="G37" s="578">
        <f>IFERROR(VLOOKUP($A37,Race_2024!A:L,11,FALSE),0)</f>
        <v>-1082078.1270000001</v>
      </c>
      <c r="H37" s="589">
        <f>IFERROR(VLOOKUP($A37,Race_2024!A:L,12,FALSE),0)</f>
        <v>-136985.856</v>
      </c>
    </row>
    <row r="38" spans="1:12" ht="12.75" customHeight="1" x14ac:dyDescent="0.25">
      <c r="A38" s="544" t="s">
        <v>1366</v>
      </c>
      <c r="B38" s="544"/>
      <c r="C38" s="630" t="s">
        <v>322</v>
      </c>
      <c r="D38" s="578">
        <f>IFERROR(VLOOKUP($A38,Race_2024!A:L,7,FALSE),0)</f>
        <v>-338799.68900000001</v>
      </c>
      <c r="E38" s="578">
        <f>IFERROR(VLOOKUP($A38,Race_2024!A:L,9,FALSE),0)</f>
        <v>-252510</v>
      </c>
      <c r="F38" s="578">
        <f>IFERROR(VLOOKUP($A38,Race_2024!A:L,8,FALSE),0)</f>
        <v>-172827.50399999999</v>
      </c>
      <c r="G38" s="578">
        <f>IFERROR(VLOOKUP($A38,Race_2024!A:L,11,FALSE),0)</f>
        <v>-289947.94799999997</v>
      </c>
      <c r="H38" s="589">
        <f>IFERROR(VLOOKUP($A38,Race_2024!A:L,12,FALSE),0)</f>
        <v>-188499.99600000001</v>
      </c>
    </row>
    <row r="39" spans="1:12" ht="12.75" customHeight="1" x14ac:dyDescent="0.25">
      <c r="A39" s="544" t="s">
        <v>1367</v>
      </c>
      <c r="B39" s="544"/>
      <c r="C39" s="630" t="s">
        <v>304</v>
      </c>
      <c r="D39" s="578">
        <f>IFERROR(VLOOKUP($A39,Race_2024!A:L,7,FALSE),0)</f>
        <v>-557708.33799999999</v>
      </c>
      <c r="E39" s="578">
        <f>IFERROR(VLOOKUP($A39,Race_2024!A:L,9,FALSE),0)</f>
        <v>-296596.239</v>
      </c>
      <c r="F39" s="578">
        <f>IFERROR(VLOOKUP($A39,Race_2024!A:L,8,FALSE),0)</f>
        <v>-105623.374</v>
      </c>
      <c r="G39" s="578">
        <f>IFERROR(VLOOKUP($A39,Race_2024!A:L,11,FALSE),0)</f>
        <v>-247726.40700000001</v>
      </c>
      <c r="H39" s="589">
        <f>IFERROR(VLOOKUP($A39,Race_2024!A:L,12,FALSE),0)</f>
        <v>-428676.93900000001</v>
      </c>
    </row>
    <row r="40" spans="1:12" ht="12.75" customHeight="1" x14ac:dyDescent="0.25">
      <c r="A40" s="544"/>
      <c r="B40" s="544"/>
      <c r="C40" s="826" t="s">
        <v>321</v>
      </c>
      <c r="D40" s="827">
        <f>SUM(D33:D39)</f>
        <v>-5013373.6760000009</v>
      </c>
      <c r="E40" s="827">
        <f>SUM(E33:E39)</f>
        <v>-6107578.5720000006</v>
      </c>
      <c r="F40" s="827">
        <f>SUM(F33:F39)</f>
        <v>-3943198.8489999999</v>
      </c>
      <c r="G40" s="827">
        <f>SUM(G33:G39)</f>
        <v>-6700422.3109999998</v>
      </c>
      <c r="H40" s="828">
        <f>SUM(H33:H39)</f>
        <v>-7520574.1899999995</v>
      </c>
    </row>
    <row r="41" spans="1:12" ht="12.75" customHeight="1" x14ac:dyDescent="0.25">
      <c r="A41" s="544" t="s">
        <v>1368</v>
      </c>
      <c r="B41" s="544"/>
      <c r="C41" s="630" t="s">
        <v>305</v>
      </c>
      <c r="D41" s="578">
        <f>IFERROR(VLOOKUP($A41,Race_2024!A:L,7,FALSE),0)</f>
        <v>-1085978.2350000001</v>
      </c>
      <c r="E41" s="578">
        <f>IFERROR(VLOOKUP($A41,Race_2024!A:L,9,FALSE),0)</f>
        <v>-3764100.6</v>
      </c>
      <c r="F41" s="578">
        <f>IFERROR(VLOOKUP($A41,Race_2024!A:L,8,FALSE),0)</f>
        <v>-1983782.412</v>
      </c>
      <c r="G41" s="578">
        <f>IFERROR(VLOOKUP($A41,Race_2024!A:L,11,FALSE),0)</f>
        <v>-3969724.452</v>
      </c>
      <c r="H41" s="589">
        <f>IFERROR(VLOOKUP($A41,Race_2024!A:L,12,FALSE),0)</f>
        <v>-5024410.08</v>
      </c>
    </row>
    <row r="42" spans="1:12" ht="12.75" customHeight="1" x14ac:dyDescent="0.25">
      <c r="A42" s="544" t="s">
        <v>1369</v>
      </c>
      <c r="B42" s="544"/>
      <c r="C42" s="630" t="s">
        <v>307</v>
      </c>
      <c r="D42" s="578">
        <f>IFERROR(VLOOKUP($A42,Race_2024!A:L,7,FALSE),0)</f>
        <v>397081.03399999999</v>
      </c>
      <c r="E42" s="578">
        <f>IFERROR(VLOOKUP($A42,Race_2024!A:L,9,FALSE),0)</f>
        <v>-1640028.936</v>
      </c>
      <c r="F42" s="578">
        <f>IFERROR(VLOOKUP($A42,Race_2024!A:L,8,FALSE),0)</f>
        <v>-864339.69400000002</v>
      </c>
      <c r="G42" s="578">
        <f>IFERROR(VLOOKUP($A42,Race_2024!A:L,11,FALSE),0)</f>
        <v>-1709481.412</v>
      </c>
      <c r="H42" s="589">
        <f>IFERROR(VLOOKUP($A42,Race_2024!A:L,12,FALSE),0)</f>
        <v>-2253603.156</v>
      </c>
    </row>
    <row r="43" spans="1:12" ht="12.75" customHeight="1" x14ac:dyDescent="0.25">
      <c r="A43" s="544" t="s">
        <v>1370</v>
      </c>
      <c r="B43" s="544"/>
      <c r="C43" s="630" t="s">
        <v>320</v>
      </c>
      <c r="D43" s="578">
        <f>IFERROR(VLOOKUP($A43,Race_2024!A:L,7,FALSE),0)</f>
        <v>145891.136</v>
      </c>
      <c r="E43" s="578">
        <f>IFERROR(VLOOKUP($A43,Race_2024!A:L,9,FALSE),0)</f>
        <v>-99022.407999999996</v>
      </c>
      <c r="F43" s="578">
        <f>IFERROR(VLOOKUP($A43,Race_2024!A:L,8,FALSE),0)</f>
        <v>-49511.201999999997</v>
      </c>
      <c r="G43" s="578">
        <f>IFERROR(VLOOKUP($A43,Race_2024!A:L,11,FALSE),0)</f>
        <v>-99022.403999999995</v>
      </c>
      <c r="H43" s="589">
        <f>IFERROR(VLOOKUP($A43,Race_2024!A:L,12,FALSE),0)</f>
        <v>7932974.2549999999</v>
      </c>
    </row>
    <row r="44" spans="1:12" ht="12.75" customHeight="1" x14ac:dyDescent="0.25">
      <c r="A44" s="544" t="s">
        <v>1371</v>
      </c>
      <c r="B44" s="544"/>
      <c r="C44" s="630" t="s">
        <v>319</v>
      </c>
      <c r="D44" s="578">
        <f>IFERROR(VLOOKUP($A44,Race_2024!A:L,7,FALSE),0)</f>
        <v>-795285.06099999999</v>
      </c>
      <c r="E44" s="578">
        <f>IFERROR(VLOOKUP($A44,Race_2024!A:L,9,FALSE),0)</f>
        <v>0</v>
      </c>
      <c r="F44" s="578">
        <f>IFERROR(VLOOKUP($A44,Race_2024!A:L,8,FALSE),0)</f>
        <v>0</v>
      </c>
      <c r="G44" s="578">
        <f>IFERROR(VLOOKUP($A44,Race_2024!A:L,11,FALSE),0)</f>
        <v>0</v>
      </c>
      <c r="H44" s="589">
        <f>IFERROR(VLOOKUP($A44,Race_2024!A:L,12,FALSE),0)</f>
        <v>0</v>
      </c>
    </row>
    <row r="45" spans="1:12" ht="12.75" customHeight="1" x14ac:dyDescent="0.25">
      <c r="A45" s="544" t="s">
        <v>1372</v>
      </c>
      <c r="B45" s="544"/>
      <c r="C45" s="630" t="s">
        <v>317</v>
      </c>
      <c r="D45" s="578">
        <f>IFERROR(VLOOKUP($A45,Race_2024!A:L,7,FALSE),0)</f>
        <v>-1083086.7590000001</v>
      </c>
      <c r="E45" s="578">
        <f>IFERROR(VLOOKUP($A45,Race_2024!A:L,9,FALSE),0)</f>
        <v>-4825986.8310000002</v>
      </c>
      <c r="F45" s="578">
        <f>IFERROR(VLOOKUP($A45,Race_2024!A:L,8,FALSE),0)</f>
        <v>-1260937.5530000001</v>
      </c>
      <c r="G45" s="578">
        <f>IFERROR(VLOOKUP($A45,Race_2024!A:L,11,FALSE),0)</f>
        <v>-4081080.892</v>
      </c>
      <c r="H45" s="589">
        <f>IFERROR(VLOOKUP($A45,Race_2024!A:L,12,FALSE),0)</f>
        <v>-6576663.5039999997</v>
      </c>
    </row>
    <row r="46" spans="1:12" ht="12.75" customHeight="1" x14ac:dyDescent="0.25">
      <c r="A46" s="544"/>
      <c r="B46" s="544"/>
      <c r="C46" s="831" t="s">
        <v>316</v>
      </c>
      <c r="D46" s="823">
        <f>SUM(D41:D45)</f>
        <v>-2421377.8850000002</v>
      </c>
      <c r="E46" s="823">
        <f>SUM(E41:E45)</f>
        <v>-10329138.775</v>
      </c>
      <c r="F46" s="823">
        <f>SUM(F41:F45)</f>
        <v>-4158570.8610000005</v>
      </c>
      <c r="G46" s="823">
        <f>SUM(G41:G45)</f>
        <v>-9859309.1600000001</v>
      </c>
      <c r="H46" s="832">
        <f>SUM(H41:H45)</f>
        <v>-5921702.4849999994</v>
      </c>
    </row>
    <row r="48" spans="1:12" ht="12.75" customHeight="1" x14ac:dyDescent="0.25">
      <c r="A48" s="836"/>
      <c r="B48" s="836"/>
      <c r="C48" s="627" t="s">
        <v>1373</v>
      </c>
      <c r="D48" s="829"/>
      <c r="E48" s="829"/>
      <c r="F48" s="829"/>
      <c r="G48" s="845"/>
      <c r="H48" s="846"/>
      <c r="I48" s="837"/>
      <c r="J48" s="671"/>
      <c r="K48" s="843"/>
      <c r="L48" s="836"/>
    </row>
    <row r="49" spans="1:12" ht="12.75" customHeight="1" x14ac:dyDescent="0.25">
      <c r="A49" s="836"/>
      <c r="B49" s="836"/>
      <c r="C49" s="838" t="s">
        <v>1374</v>
      </c>
      <c r="D49" s="598">
        <f>SUM(D50:D61)</f>
        <v>17238040.214000002</v>
      </c>
      <c r="E49" s="598">
        <f>SUM(E50:E61)</f>
        <v>29193481.193</v>
      </c>
      <c r="F49" s="598">
        <f>SUM(F50:F61)</f>
        <v>8844150.5810000002</v>
      </c>
      <c r="G49" s="598">
        <f>SUM(G50:G61)</f>
        <v>26074041.916999996</v>
      </c>
      <c r="H49" s="597">
        <f>SUM(H50:H61)</f>
        <v>10982025.916000001</v>
      </c>
      <c r="I49" s="837"/>
      <c r="J49" s="671"/>
      <c r="K49" s="843"/>
      <c r="L49" s="837"/>
    </row>
    <row r="50" spans="1:12" ht="12.75" customHeight="1" x14ac:dyDescent="0.25">
      <c r="A50" s="836" t="s">
        <v>1375</v>
      </c>
      <c r="B50" s="836"/>
      <c r="C50" s="839" t="s">
        <v>1399</v>
      </c>
      <c r="D50" s="578">
        <f>IFERROR(VLOOKUP($A50,Race_2024!A:L,7,FALSE),0)</f>
        <v>0</v>
      </c>
      <c r="E50" s="578">
        <f>IFERROR(VLOOKUP($A50,Race_2024!A:L,9,FALSE),0)</f>
        <v>0</v>
      </c>
      <c r="F50" s="578">
        <f>IFERROR(VLOOKUP($A50,Race_2024!A:L,8,FALSE),0)</f>
        <v>0</v>
      </c>
      <c r="G50" s="578">
        <f>IFERROR(VLOOKUP($A50,Race_2024!A:L,11,FALSE),0)</f>
        <v>0</v>
      </c>
      <c r="H50" s="589">
        <f>IFERROR(VLOOKUP($A50,Race_2024!A:L,12,FALSE),0)</f>
        <v>0</v>
      </c>
      <c r="I50" s="840"/>
      <c r="J50" s="671"/>
      <c r="K50" s="843"/>
    </row>
    <row r="51" spans="1:12" ht="12.75" customHeight="1" x14ac:dyDescent="0.25">
      <c r="A51" s="836" t="s">
        <v>1569</v>
      </c>
      <c r="B51" s="836"/>
      <c r="C51" s="839" t="s">
        <v>1570</v>
      </c>
      <c r="D51" s="578">
        <f>IFERROR(VLOOKUP($A51,Race_2024!A:L,7,FALSE),0)</f>
        <v>64678.067999999999</v>
      </c>
      <c r="E51" s="578">
        <f>IFERROR(VLOOKUP($A51,Race_2024!A:L,9,FALSE),0)</f>
        <v>0</v>
      </c>
      <c r="F51" s="578">
        <f>IFERROR(VLOOKUP($A51,Race_2024!A:L,8,FALSE),0)</f>
        <v>1972.5</v>
      </c>
      <c r="G51" s="578">
        <f>IFERROR(VLOOKUP($A51,Race_2024!A:L,11,FALSE),0)</f>
        <v>0</v>
      </c>
      <c r="H51" s="589">
        <f>IFERROR(VLOOKUP($A51,Race_2024!A:L,12,FALSE),0)</f>
        <v>0</v>
      </c>
      <c r="I51" s="840"/>
      <c r="J51" s="671"/>
      <c r="K51" s="843"/>
    </row>
    <row r="52" spans="1:12" ht="12.75" customHeight="1" x14ac:dyDescent="0.25">
      <c r="A52" s="836" t="s">
        <v>1376</v>
      </c>
      <c r="B52" s="836"/>
      <c r="C52" s="839" t="s">
        <v>1400</v>
      </c>
      <c r="D52" s="578">
        <f>IFERROR(VLOOKUP($A52,Race_2024!A:L,7,FALSE),0)</f>
        <v>9754.7669999999998</v>
      </c>
      <c r="E52" s="578">
        <f>IFERROR(VLOOKUP($A52,Race_2024!A:L,9,FALSE),0)</f>
        <v>0</v>
      </c>
      <c r="F52" s="578">
        <f>IFERROR(VLOOKUP($A52,Race_2024!A:L,8,FALSE),0)</f>
        <v>2630</v>
      </c>
      <c r="G52" s="578">
        <f>IFERROR(VLOOKUP($A52,Race_2024!A:L,11,FALSE),0)</f>
        <v>0</v>
      </c>
      <c r="H52" s="589">
        <f>IFERROR(VLOOKUP($A52,Race_2024!A:L,12,FALSE),0)</f>
        <v>11931.322</v>
      </c>
      <c r="I52" s="841"/>
      <c r="J52" s="671"/>
      <c r="K52" s="843"/>
    </row>
    <row r="53" spans="1:12" ht="12.75" customHeight="1" x14ac:dyDescent="0.25">
      <c r="A53" s="836" t="s">
        <v>1390</v>
      </c>
      <c r="B53" s="836"/>
      <c r="C53" s="839" t="s">
        <v>1401</v>
      </c>
      <c r="D53" s="578">
        <f>IFERROR(VLOOKUP($A53,Race_2024!A:L,7,FALSE),0)</f>
        <v>0</v>
      </c>
      <c r="E53" s="578">
        <f>IFERROR(VLOOKUP($A53,Race_2024!A:L,9,FALSE),0)</f>
        <v>0</v>
      </c>
      <c r="F53" s="578">
        <f>IFERROR(VLOOKUP($A53,Race_2024!A:L,8,FALSE),0)</f>
        <v>0</v>
      </c>
      <c r="G53" s="578">
        <f>IFERROR(VLOOKUP($A53,Race_2024!A:L,11,FALSE),0)</f>
        <v>0</v>
      </c>
      <c r="H53" s="589">
        <f>IFERROR(VLOOKUP($A53,Race_2024!A:L,12,FALSE),0)</f>
        <v>0</v>
      </c>
      <c r="I53" s="841"/>
      <c r="J53" s="671"/>
      <c r="K53" s="843"/>
    </row>
    <row r="54" spans="1:12" ht="12.75" customHeight="1" x14ac:dyDescent="0.25">
      <c r="A54" s="836" t="s">
        <v>1391</v>
      </c>
      <c r="B54" s="836"/>
      <c r="C54" s="839" t="s">
        <v>1402</v>
      </c>
      <c r="D54" s="578">
        <f>IFERROR(VLOOKUP($A54,Race_2024!A:L,7,FALSE),0)</f>
        <v>33717.252</v>
      </c>
      <c r="E54" s="578">
        <f>IFERROR(VLOOKUP($A54,Race_2024!A:L,9,FALSE),0)</f>
        <v>1375191.4950000001</v>
      </c>
      <c r="F54" s="578">
        <f>IFERROR(VLOOKUP($A54,Race_2024!A:L,8,FALSE),0)</f>
        <v>104844.914</v>
      </c>
      <c r="G54" s="578">
        <f>IFERROR(VLOOKUP($A54,Race_2024!A:L,11,FALSE),0)</f>
        <v>1897218.656</v>
      </c>
      <c r="H54" s="589">
        <f>IFERROR(VLOOKUP($A54,Race_2024!A:L,12,FALSE),0)</f>
        <v>2006552.7120000001</v>
      </c>
      <c r="I54" s="841"/>
      <c r="J54" s="671"/>
      <c r="K54" s="843"/>
    </row>
    <row r="55" spans="1:12" ht="12.75" customHeight="1" x14ac:dyDescent="0.25">
      <c r="A55" s="836" t="s">
        <v>1392</v>
      </c>
      <c r="B55" s="836"/>
      <c r="C55" s="839" t="s">
        <v>1403</v>
      </c>
      <c r="D55" s="578">
        <f>IFERROR(VLOOKUP($A55,Race_2024!A:L,7,FALSE),0)</f>
        <v>1053466.862</v>
      </c>
      <c r="E55" s="578">
        <f>IFERROR(VLOOKUP($A55,Race_2024!A:L,9,FALSE),0)</f>
        <v>18502737.756999999</v>
      </c>
      <c r="F55" s="578">
        <f>IFERROR(VLOOKUP($A55,Race_2024!A:L,8,FALSE),0)</f>
        <v>713513</v>
      </c>
      <c r="G55" s="578">
        <f>IFERROR(VLOOKUP($A55,Race_2024!A:L,11,FALSE),0)</f>
        <v>19749595.660999998</v>
      </c>
      <c r="H55" s="589">
        <f>IFERROR(VLOOKUP($A55,Race_2024!A:L,12,FALSE),0)</f>
        <v>7424676.3320000004</v>
      </c>
      <c r="I55" s="842"/>
      <c r="J55" s="671"/>
      <c r="K55" s="843"/>
    </row>
    <row r="56" spans="1:12" ht="12.75" customHeight="1" x14ac:dyDescent="0.25">
      <c r="A56" s="836" t="s">
        <v>1393</v>
      </c>
      <c r="B56" s="836"/>
      <c r="C56" s="839" t="s">
        <v>1404</v>
      </c>
      <c r="D56" s="578">
        <f>IFERROR(VLOOKUP($A56,Race_2024!A:L,7,FALSE),0)</f>
        <v>0</v>
      </c>
      <c r="E56" s="578">
        <f>IFERROR(VLOOKUP($A56,Race_2024!A:L,9,FALSE),0)</f>
        <v>0</v>
      </c>
      <c r="F56" s="578">
        <f>IFERROR(VLOOKUP($A56,Race_2024!A:L,8,FALSE),0)</f>
        <v>0</v>
      </c>
      <c r="G56" s="578">
        <f>IFERROR(VLOOKUP($A56,Race_2024!A:L,11,FALSE),0)</f>
        <v>0</v>
      </c>
      <c r="H56" s="589">
        <f>IFERROR(VLOOKUP($A56,Race_2024!A:L,12,FALSE),0)</f>
        <v>0</v>
      </c>
      <c r="I56" s="842"/>
      <c r="J56" s="671"/>
      <c r="K56" s="843"/>
    </row>
    <row r="57" spans="1:12" ht="12.75" customHeight="1" x14ac:dyDescent="0.2">
      <c r="A57" s="451" t="s">
        <v>1394</v>
      </c>
      <c r="C57" s="839" t="s">
        <v>1405</v>
      </c>
      <c r="D57" s="578">
        <f>IFERROR(VLOOKUP($A57,Race_2024!A:L,7,FALSE),0)</f>
        <v>0</v>
      </c>
      <c r="E57" s="578">
        <f>IFERROR(VLOOKUP($A57,Race_2024!A:L,9,FALSE),0)</f>
        <v>0</v>
      </c>
      <c r="F57" s="578">
        <f>IFERROR(VLOOKUP($A57,Race_2024!A:L,8,FALSE),0)</f>
        <v>0</v>
      </c>
      <c r="G57" s="578">
        <f>IFERROR(VLOOKUP($A57,Race_2024!A:L,11,FALSE),0)</f>
        <v>0</v>
      </c>
      <c r="H57" s="589">
        <f>IFERROR(VLOOKUP($A57,Race_2024!A:L,12,FALSE),0)</f>
        <v>0</v>
      </c>
    </row>
    <row r="58" spans="1:12" ht="12.75" customHeight="1" x14ac:dyDescent="0.2">
      <c r="A58" s="451" t="s">
        <v>1395</v>
      </c>
      <c r="C58" s="839" t="s">
        <v>1406</v>
      </c>
      <c r="D58" s="578">
        <f>IFERROR(VLOOKUP($A58,Race_2024!A:L,7,FALSE),0)</f>
        <v>200484.89600000001</v>
      </c>
      <c r="E58" s="578">
        <f>IFERROR(VLOOKUP($A58,Race_2024!A:L,9,FALSE),0)</f>
        <v>267719.141</v>
      </c>
      <c r="F58" s="578">
        <f>IFERROR(VLOOKUP($A58,Race_2024!A:L,8,FALSE),0)</f>
        <v>101263.935</v>
      </c>
      <c r="G58" s="578">
        <f>IFERROR(VLOOKUP($A58,Race_2024!A:L,11,FALSE),0)</f>
        <v>29456</v>
      </c>
      <c r="H58" s="589">
        <f>IFERROR(VLOOKUP($A58,Race_2024!A:L,12,FALSE),0)</f>
        <v>72915.55</v>
      </c>
    </row>
    <row r="59" spans="1:12" ht="12.75" customHeight="1" x14ac:dyDescent="0.2">
      <c r="A59" s="451" t="s">
        <v>1396</v>
      </c>
      <c r="C59" s="839" t="s">
        <v>1407</v>
      </c>
      <c r="D59" s="578">
        <f>IFERROR(VLOOKUP($A59,Race_2024!A:L,7,FALSE),0)</f>
        <v>0</v>
      </c>
      <c r="E59" s="578">
        <f>IFERROR(VLOOKUP($A59,Race_2024!A:L,9,FALSE),0)</f>
        <v>0</v>
      </c>
      <c r="F59" s="578">
        <f>IFERROR(VLOOKUP($A59,Race_2024!A:L,8,FALSE),0)</f>
        <v>0</v>
      </c>
      <c r="G59" s="578">
        <f>IFERROR(VLOOKUP($A59,Race_2024!A:L,11,FALSE),0)</f>
        <v>0</v>
      </c>
      <c r="H59" s="589">
        <f>IFERROR(VLOOKUP($A59,Race_2024!A:L,12,FALSE),0)</f>
        <v>0</v>
      </c>
    </row>
    <row r="60" spans="1:12" ht="12.75" customHeight="1" x14ac:dyDescent="0.2">
      <c r="A60" s="451" t="s">
        <v>1397</v>
      </c>
      <c r="C60" s="839" t="s">
        <v>1408</v>
      </c>
      <c r="D60" s="578">
        <f>IFERROR(VLOOKUP($A60,Race_2024!A:L,7,FALSE),0)</f>
        <v>15875938.369000001</v>
      </c>
      <c r="E60" s="578">
        <f>IFERROR(VLOOKUP($A60,Race_2024!A:L,9,FALSE),0)</f>
        <v>0</v>
      </c>
      <c r="F60" s="578">
        <f>IFERROR(VLOOKUP($A60,Race_2024!A:L,8,FALSE),0)</f>
        <v>5825429.6310000001</v>
      </c>
      <c r="G60" s="578">
        <f>IFERROR(VLOOKUP($A60,Race_2024!A:L,11,FALSE),0)</f>
        <v>0</v>
      </c>
      <c r="H60" s="589">
        <f>IFERROR(VLOOKUP($A60,Race_2024!A:L,12,FALSE),0)</f>
        <v>0</v>
      </c>
    </row>
    <row r="61" spans="1:12" ht="12.75" customHeight="1" x14ac:dyDescent="0.2">
      <c r="A61" s="451" t="s">
        <v>1398</v>
      </c>
      <c r="C61" s="847" t="s">
        <v>1409</v>
      </c>
      <c r="D61" s="585">
        <f>IFERROR(VLOOKUP($A61,Race_2024!A:L,7,FALSE),0)</f>
        <v>0</v>
      </c>
      <c r="E61" s="585">
        <f>IFERROR(VLOOKUP($A61,Race_2024!A:L,9,FALSE),0)</f>
        <v>9047832.8000000007</v>
      </c>
      <c r="F61" s="585">
        <f>IFERROR(VLOOKUP($A61,Race_2024!A:L,8,FALSE),0)</f>
        <v>2094496.601</v>
      </c>
      <c r="G61" s="585">
        <f>IFERROR(VLOOKUP($A61,Race_2024!A:L,11,FALSE),0)</f>
        <v>4397771.5999999996</v>
      </c>
      <c r="H61" s="584">
        <f>IFERROR(VLOOKUP($A61,Race_2024!A:L,12,FALSE),0)</f>
        <v>1465950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126" activePane="bottomRight" state="frozen"/>
      <selection activeCell="D14" sqref="D14"/>
      <selection pane="topRight" activeCell="D14" sqref="D14"/>
      <selection pane="bottomLeft" activeCell="D14" sqref="D14"/>
      <selection pane="bottomRight" activeCell="F153" sqref="F153"/>
    </sheetView>
  </sheetViews>
  <sheetFormatPr defaultColWidth="9.28515625" defaultRowHeight="12.75" customHeight="1" outlineLevelCol="1" x14ac:dyDescent="0.2"/>
  <cols>
    <col min="1" max="1" width="18.28515625" style="451" customWidth="1" outlineLevel="1"/>
    <col min="2" max="2" width="24.5703125" style="451" customWidth="1" outlineLevel="1"/>
    <col min="3" max="3" width="60.5703125" style="451" bestFit="1" customWidth="1"/>
    <col min="4" max="15" width="20" style="451" customWidth="1"/>
    <col min="16" max="16" width="10.28515625" style="451" customWidth="1"/>
    <col min="17" max="17" width="21.7109375" style="451" customWidth="1"/>
    <col min="18" max="18" width="9.28515625" style="451" customWidth="1"/>
    <col min="19" max="19" width="12.7109375" style="451" bestFit="1" customWidth="1"/>
    <col min="20" max="16384" width="9.28515625" style="451"/>
  </cols>
  <sheetData>
    <row r="1" spans="1:19" ht="19.899999999999999" customHeight="1" x14ac:dyDescent="0.25">
      <c r="C1" s="60" t="str">
        <f>+'0. Instructions'!$A$1</f>
        <v>Budget 2024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</row>
    <row r="2" spans="1:19" ht="19.899999999999999" customHeight="1" thickBot="1" x14ac:dyDescent="0.3">
      <c r="C2" s="55" t="s">
        <v>702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 x14ac:dyDescent="0.25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</row>
    <row r="4" spans="1:19" ht="15" x14ac:dyDescent="0.2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4"/>
      <c r="R4" s="544"/>
    </row>
    <row r="5" spans="1:19" ht="15" x14ac:dyDescent="0.25">
      <c r="A5" s="546"/>
      <c r="B5" s="546"/>
      <c r="C5" s="544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45"/>
      <c r="Q5" s="575"/>
      <c r="R5" s="545"/>
    </row>
    <row r="6" spans="1:19" ht="30" x14ac:dyDescent="0.25">
      <c r="A6" s="546"/>
      <c r="B6" s="546"/>
      <c r="C6" s="574"/>
      <c r="D6" s="544"/>
      <c r="E6" s="544"/>
      <c r="F6" s="544"/>
      <c r="G6" s="544"/>
      <c r="H6" s="544"/>
      <c r="I6" s="544"/>
      <c r="J6" s="544"/>
      <c r="K6" s="544"/>
      <c r="L6" s="544"/>
      <c r="M6" s="544"/>
      <c r="N6" s="544"/>
      <c r="O6" s="544"/>
      <c r="P6" s="574"/>
      <c r="Q6" s="573" t="s">
        <v>701</v>
      </c>
      <c r="R6" s="554"/>
    </row>
    <row r="7" spans="1:19" ht="28.9" customHeight="1" x14ac:dyDescent="0.25">
      <c r="A7" s="546"/>
      <c r="B7" s="546"/>
      <c r="C7" s="571" t="s">
        <v>700</v>
      </c>
      <c r="D7" s="571" t="s">
        <v>714</v>
      </c>
      <c r="E7" s="571" t="s">
        <v>713</v>
      </c>
      <c r="F7" s="571" t="s">
        <v>712</v>
      </c>
      <c r="G7" s="571" t="s">
        <v>711</v>
      </c>
      <c r="H7" s="571" t="s">
        <v>710</v>
      </c>
      <c r="I7" s="571" t="s">
        <v>709</v>
      </c>
      <c r="J7" s="571" t="s">
        <v>708</v>
      </c>
      <c r="K7" s="571" t="s">
        <v>707</v>
      </c>
      <c r="L7" s="571" t="s">
        <v>706</v>
      </c>
      <c r="M7" s="571" t="s">
        <v>705</v>
      </c>
      <c r="N7" s="571" t="s">
        <v>704</v>
      </c>
      <c r="O7" s="571" t="s">
        <v>703</v>
      </c>
      <c r="P7" s="572"/>
      <c r="Q7" s="571" t="s">
        <v>489</v>
      </c>
      <c r="R7" s="554"/>
      <c r="S7" s="451" t="s">
        <v>226</v>
      </c>
    </row>
    <row r="8" spans="1:19" ht="15" x14ac:dyDescent="0.25">
      <c r="A8" s="546" t="s">
        <v>1208</v>
      </c>
      <c r="B8" s="546" t="str">
        <f>IFERROR(VLOOKUP(A8,Race_2024_Seasonal!A:C,3,FALSE), VLOOKUP(A8,Race_2024_Seasonal!A:C,3,FALSE))</f>
        <v>Sales</v>
      </c>
      <c r="C8" s="570" t="s">
        <v>167</v>
      </c>
      <c r="D8" s="663">
        <f>IFERROR(VLOOKUP($A8,Race_2024_Seasonal!A:X,7,FALSE),0)</f>
        <v>15924993.796</v>
      </c>
      <c r="E8" s="663">
        <f>IFERROR(VLOOKUP($A8,Race_2024_Seasonal!A:X,8,FALSE),0)</f>
        <v>14138873.407</v>
      </c>
      <c r="F8" s="663">
        <f>IFERROR(VLOOKUP($A8,Race_2024_Seasonal!A:X,9,FALSE),0)</f>
        <v>15464984.203</v>
      </c>
      <c r="G8" s="663">
        <f>IFERROR(VLOOKUP($A8,Race_2024_Seasonal!A:X,10,FALSE),0)</f>
        <v>16060070.305</v>
      </c>
      <c r="H8" s="663">
        <f>IFERROR(VLOOKUP($A8,Race_2024_Seasonal!A:X,11,FALSE),0)</f>
        <v>16393335.776000001</v>
      </c>
      <c r="I8" s="663">
        <f>IFERROR(VLOOKUP($A8,Race_2024_Seasonal!A:X,12,FALSE),0)</f>
        <v>15267090.880000001</v>
      </c>
      <c r="J8" s="663">
        <f>IFERROR(VLOOKUP($A8,Race_2024_Seasonal!A:X,13,FALSE),0)</f>
        <v>17520240.607000001</v>
      </c>
      <c r="K8" s="663">
        <f>IFERROR(VLOOKUP($A8,Race_2024_Seasonal!A:X,14,FALSE),0)</f>
        <v>13577475.045</v>
      </c>
      <c r="L8" s="663">
        <f>IFERROR(VLOOKUP($A8,Race_2024_Seasonal!A:X,15,FALSE),0)</f>
        <v>14709743.471000001</v>
      </c>
      <c r="M8" s="663">
        <f>IFERROR(VLOOKUP($A8,Race_2024_Seasonal!A:X,16,FALSE),0)</f>
        <v>16405514.567</v>
      </c>
      <c r="N8" s="663">
        <f>IFERROR(VLOOKUP($A8,Race_2024_Seasonal!A:X,17,FALSE),0)</f>
        <v>16405514.567</v>
      </c>
      <c r="O8" s="663">
        <f>IFERROR(VLOOKUP($A8,Race_2024_Seasonal!A:X,18,FALSE),0)</f>
        <v>16405514.564999999</v>
      </c>
      <c r="P8" s="554"/>
      <c r="Q8" s="663">
        <f>SUM(D8:O8)</f>
        <v>188273351.18900001</v>
      </c>
      <c r="R8" s="554"/>
      <c r="S8" s="670">
        <f>Q8-'P&amp;L'!I8</f>
        <v>0</v>
      </c>
    </row>
    <row r="9" spans="1:19" ht="15" x14ac:dyDescent="0.25">
      <c r="A9" s="546" t="s">
        <v>1209</v>
      </c>
      <c r="B9" s="546" t="str">
        <f>IFERROR(VLOOKUP(A9,Race_2024_Seasonal!A:C,3,FALSE), VLOOKUP(A9,Race_2024_Seasonal!A:C,3,FALSE))</f>
        <v>Net sales</v>
      </c>
      <c r="C9" s="566" t="s">
        <v>697</v>
      </c>
      <c r="D9" s="664">
        <f>IFERROR(VLOOKUP($A9,Race_2024_Seasonal!A:X,7,FALSE),0)</f>
        <v>15924993.796</v>
      </c>
      <c r="E9" s="664">
        <f>IFERROR(VLOOKUP($A9,Race_2024_Seasonal!A:X,8,FALSE),0)</f>
        <v>14138873.407</v>
      </c>
      <c r="F9" s="664">
        <f>IFERROR(VLOOKUP($A9,Race_2024_Seasonal!A:X,9,FALSE),0)</f>
        <v>15464984.203</v>
      </c>
      <c r="G9" s="664">
        <f>IFERROR(VLOOKUP($A9,Race_2024_Seasonal!A:X,10,FALSE),0)</f>
        <v>16060070.305</v>
      </c>
      <c r="H9" s="664">
        <f>IFERROR(VLOOKUP($A9,Race_2024_Seasonal!A:X,11,FALSE),0)</f>
        <v>16393335.776000001</v>
      </c>
      <c r="I9" s="664">
        <f>IFERROR(VLOOKUP($A9,Race_2024_Seasonal!A:X,12,FALSE),0)</f>
        <v>15267090.880000001</v>
      </c>
      <c r="J9" s="664">
        <f>IFERROR(VLOOKUP($A9,Race_2024_Seasonal!A:X,13,FALSE),0)</f>
        <v>17520240.607000001</v>
      </c>
      <c r="K9" s="664">
        <f>IFERROR(VLOOKUP($A9,Race_2024_Seasonal!A:X,14,FALSE),0)</f>
        <v>13577475.045</v>
      </c>
      <c r="L9" s="664">
        <f>IFERROR(VLOOKUP($A9,Race_2024_Seasonal!A:X,15,FALSE),0)</f>
        <v>14709743.471000001</v>
      </c>
      <c r="M9" s="664">
        <f>IFERROR(VLOOKUP($A9,Race_2024_Seasonal!A:X,16,FALSE),0)</f>
        <v>16405514.567</v>
      </c>
      <c r="N9" s="664">
        <f>IFERROR(VLOOKUP($A9,Race_2024_Seasonal!A:X,17,FALSE),0)</f>
        <v>16405514.567</v>
      </c>
      <c r="O9" s="664">
        <f>IFERROR(VLOOKUP($A9,Race_2024_Seasonal!A:X,18,FALSE),0)</f>
        <v>16405514.564999999</v>
      </c>
      <c r="P9" s="554"/>
      <c r="Q9" s="664">
        <f t="shared" ref="Q9:Q71" si="0">SUM(D9:O9)</f>
        <v>188273351.18900001</v>
      </c>
      <c r="R9" s="554"/>
      <c r="S9" s="670">
        <f>Q9-'P&amp;L'!I9</f>
        <v>0</v>
      </c>
    </row>
    <row r="10" spans="1:19" ht="15" x14ac:dyDescent="0.25">
      <c r="A10" s="546" t="s">
        <v>1210</v>
      </c>
      <c r="B10" s="546" t="e">
        <f>IFERROR(VLOOKUP(A10,Race_2024_Seasonal!A:C,3,FALSE), VLOOKUP(A10,Race_2024_Seasonal!A:C,3,FALSE))</f>
        <v>#N/A</v>
      </c>
      <c r="C10" s="553" t="s">
        <v>696</v>
      </c>
      <c r="D10" s="621">
        <f>IFERROR(VLOOKUP($A10,Race_2024_Seasonal!A:X,7,FALSE),0)</f>
        <v>0</v>
      </c>
      <c r="E10" s="621">
        <f>IFERROR(VLOOKUP($A10,Race_2024_Seasonal!A:X,8,FALSE),0)</f>
        <v>0</v>
      </c>
      <c r="F10" s="621">
        <f>IFERROR(VLOOKUP($A10,Race_2024_Seasonal!A:X,9,FALSE),0)</f>
        <v>0</v>
      </c>
      <c r="G10" s="621">
        <f>IFERROR(VLOOKUP($A10,Race_2024_Seasonal!A:X,10,FALSE),0)</f>
        <v>0</v>
      </c>
      <c r="H10" s="621">
        <f>IFERROR(VLOOKUP($A10,Race_2024_Seasonal!A:X,11,FALSE),0)</f>
        <v>0</v>
      </c>
      <c r="I10" s="621">
        <f>IFERROR(VLOOKUP($A10,Race_2024_Seasonal!A:X,12,FALSE),0)</f>
        <v>0</v>
      </c>
      <c r="J10" s="621">
        <f>IFERROR(VLOOKUP($A10,Race_2024_Seasonal!A:X,13,FALSE),0)</f>
        <v>0</v>
      </c>
      <c r="K10" s="621">
        <f>IFERROR(VLOOKUP($A10,Race_2024_Seasonal!A:X,14,FALSE),0)</f>
        <v>0</v>
      </c>
      <c r="L10" s="621">
        <f>IFERROR(VLOOKUP($A10,Race_2024_Seasonal!A:X,15,FALSE),0)</f>
        <v>0</v>
      </c>
      <c r="M10" s="621">
        <f>IFERROR(VLOOKUP($A10,Race_2024_Seasonal!A:X,16,FALSE),0)</f>
        <v>0</v>
      </c>
      <c r="N10" s="621">
        <f>IFERROR(VLOOKUP($A10,Race_2024_Seasonal!A:X,17,FALSE),0)</f>
        <v>0</v>
      </c>
      <c r="O10" s="621">
        <f>IFERROR(VLOOKUP($A10,Race_2024_Seasonal!A:X,18,FALSE),0)</f>
        <v>0</v>
      </c>
      <c r="P10" s="554"/>
      <c r="Q10" s="621">
        <f t="shared" si="0"/>
        <v>0</v>
      </c>
      <c r="R10" s="554"/>
      <c r="S10" s="670">
        <f>Q10-'P&amp;L'!I10</f>
        <v>0</v>
      </c>
    </row>
    <row r="11" spans="1:19" ht="15" x14ac:dyDescent="0.25">
      <c r="A11" s="546" t="s">
        <v>1211</v>
      </c>
      <c r="B11" s="546" t="e">
        <f>IFERROR(VLOOKUP(A11,Race_2024_Seasonal!A:C,3,FALSE), VLOOKUP(A11,Race_2024_Seasonal!A:C,3,FALSE))</f>
        <v>#N/A</v>
      </c>
      <c r="C11" s="553" t="s">
        <v>695</v>
      </c>
      <c r="D11" s="621">
        <f>IFERROR(VLOOKUP($A11,Race_2024_Seasonal!A:X,7,FALSE),0)</f>
        <v>0</v>
      </c>
      <c r="E11" s="621">
        <f>IFERROR(VLOOKUP($A11,Race_2024_Seasonal!A:X,8,FALSE),0)</f>
        <v>0</v>
      </c>
      <c r="F11" s="621">
        <f>IFERROR(VLOOKUP($A11,Race_2024_Seasonal!A:X,9,FALSE),0)</f>
        <v>0</v>
      </c>
      <c r="G11" s="621">
        <f>IFERROR(VLOOKUP($A11,Race_2024_Seasonal!A:X,10,FALSE),0)</f>
        <v>0</v>
      </c>
      <c r="H11" s="621">
        <f>IFERROR(VLOOKUP($A11,Race_2024_Seasonal!A:X,11,FALSE),0)</f>
        <v>0</v>
      </c>
      <c r="I11" s="621">
        <f>IFERROR(VLOOKUP($A11,Race_2024_Seasonal!A:X,12,FALSE),0)</f>
        <v>0</v>
      </c>
      <c r="J11" s="621">
        <f>IFERROR(VLOOKUP($A11,Race_2024_Seasonal!A:X,13,FALSE),0)</f>
        <v>0</v>
      </c>
      <c r="K11" s="621">
        <f>IFERROR(VLOOKUP($A11,Race_2024_Seasonal!A:X,14,FALSE),0)</f>
        <v>0</v>
      </c>
      <c r="L11" s="621">
        <f>IFERROR(VLOOKUP($A11,Race_2024_Seasonal!A:X,15,FALSE),0)</f>
        <v>0</v>
      </c>
      <c r="M11" s="621">
        <f>IFERROR(VLOOKUP($A11,Race_2024_Seasonal!A:X,16,FALSE),0)</f>
        <v>0</v>
      </c>
      <c r="N11" s="621">
        <f>IFERROR(VLOOKUP($A11,Race_2024_Seasonal!A:X,17,FALSE),0)</f>
        <v>0</v>
      </c>
      <c r="O11" s="621">
        <f>IFERROR(VLOOKUP($A11,Race_2024_Seasonal!A:X,18,FALSE),0)</f>
        <v>0</v>
      </c>
      <c r="P11" s="554"/>
      <c r="Q11" s="621">
        <f t="shared" si="0"/>
        <v>0</v>
      </c>
      <c r="R11" s="554"/>
      <c r="S11" s="670">
        <f>Q11-'P&amp;L'!I11</f>
        <v>0</v>
      </c>
    </row>
    <row r="12" spans="1:19" ht="15" x14ac:dyDescent="0.25">
      <c r="A12" s="546" t="s">
        <v>1212</v>
      </c>
      <c r="B12" s="546" t="e">
        <f>IFERROR(VLOOKUP(A12,Race_2024_Seasonal!A:C,3,FALSE), VLOOKUP(A12,Race_2024_Seasonal!A:C,3,FALSE))</f>
        <v>#N/A</v>
      </c>
      <c r="C12" s="553" t="s">
        <v>694</v>
      </c>
      <c r="D12" s="621">
        <f>IFERROR(VLOOKUP($A12,Race_2024_Seasonal!A:X,7,FALSE),0)</f>
        <v>0</v>
      </c>
      <c r="E12" s="621">
        <f>IFERROR(VLOOKUP($A12,Race_2024_Seasonal!A:X,8,FALSE),0)</f>
        <v>0</v>
      </c>
      <c r="F12" s="621">
        <f>IFERROR(VLOOKUP($A12,Race_2024_Seasonal!A:X,9,FALSE),0)</f>
        <v>0</v>
      </c>
      <c r="G12" s="621">
        <f>IFERROR(VLOOKUP($A12,Race_2024_Seasonal!A:X,10,FALSE),0)</f>
        <v>0</v>
      </c>
      <c r="H12" s="621">
        <f>IFERROR(VLOOKUP($A12,Race_2024_Seasonal!A:X,11,FALSE),0)</f>
        <v>0</v>
      </c>
      <c r="I12" s="621">
        <f>IFERROR(VLOOKUP($A12,Race_2024_Seasonal!A:X,12,FALSE),0)</f>
        <v>0</v>
      </c>
      <c r="J12" s="621">
        <f>IFERROR(VLOOKUP($A12,Race_2024_Seasonal!A:X,13,FALSE),0)</f>
        <v>0</v>
      </c>
      <c r="K12" s="621">
        <f>IFERROR(VLOOKUP($A12,Race_2024_Seasonal!A:X,14,FALSE),0)</f>
        <v>0</v>
      </c>
      <c r="L12" s="621">
        <f>IFERROR(VLOOKUP($A12,Race_2024_Seasonal!A:X,15,FALSE),0)</f>
        <v>0</v>
      </c>
      <c r="M12" s="621">
        <f>IFERROR(VLOOKUP($A12,Race_2024_Seasonal!A:X,16,FALSE),0)</f>
        <v>0</v>
      </c>
      <c r="N12" s="621">
        <f>IFERROR(VLOOKUP($A12,Race_2024_Seasonal!A:X,17,FALSE),0)</f>
        <v>0</v>
      </c>
      <c r="O12" s="621">
        <f>IFERROR(VLOOKUP($A12,Race_2024_Seasonal!A:X,18,FALSE),0)</f>
        <v>0</v>
      </c>
      <c r="P12" s="554"/>
      <c r="Q12" s="621">
        <f t="shared" si="0"/>
        <v>0</v>
      </c>
      <c r="R12" s="554"/>
      <c r="S12" s="670">
        <f>Q12-'P&amp;L'!I12</f>
        <v>0</v>
      </c>
    </row>
    <row r="13" spans="1:19" ht="15" x14ac:dyDescent="0.25">
      <c r="A13" s="546" t="s">
        <v>1213</v>
      </c>
      <c r="B13" s="546" t="str">
        <f>IFERROR(VLOOKUP(A13,Race_2024_Seasonal!A:C,3,FALSE), VLOOKUP(A13,Race_2024_Seasonal!A:C,3,FALSE))</f>
        <v>Net sales external</v>
      </c>
      <c r="C13" s="553" t="s">
        <v>693</v>
      </c>
      <c r="D13" s="621">
        <f>IFERROR(VLOOKUP($A13,Race_2024_Seasonal!A:X,7,FALSE),0)</f>
        <v>15924993.796</v>
      </c>
      <c r="E13" s="621">
        <f>IFERROR(VLOOKUP($A13,Race_2024_Seasonal!A:X,8,FALSE),0)</f>
        <v>14138873.407</v>
      </c>
      <c r="F13" s="621">
        <f>IFERROR(VLOOKUP($A13,Race_2024_Seasonal!A:X,9,FALSE),0)</f>
        <v>15464984.203</v>
      </c>
      <c r="G13" s="621">
        <f>IFERROR(VLOOKUP($A13,Race_2024_Seasonal!A:X,10,FALSE),0)</f>
        <v>16060070.305</v>
      </c>
      <c r="H13" s="621">
        <f>IFERROR(VLOOKUP($A13,Race_2024_Seasonal!A:X,11,FALSE),0)</f>
        <v>16393335.776000001</v>
      </c>
      <c r="I13" s="621">
        <f>IFERROR(VLOOKUP($A13,Race_2024_Seasonal!A:X,12,FALSE),0)</f>
        <v>15267090.880000001</v>
      </c>
      <c r="J13" s="621">
        <f>IFERROR(VLOOKUP($A13,Race_2024_Seasonal!A:X,13,FALSE),0)</f>
        <v>17520240.607000001</v>
      </c>
      <c r="K13" s="621">
        <f>IFERROR(VLOOKUP($A13,Race_2024_Seasonal!A:X,14,FALSE),0)</f>
        <v>13577475.045</v>
      </c>
      <c r="L13" s="621">
        <f>IFERROR(VLOOKUP($A13,Race_2024_Seasonal!A:X,15,FALSE),0)</f>
        <v>14709743.471000001</v>
      </c>
      <c r="M13" s="621">
        <f>IFERROR(VLOOKUP($A13,Race_2024_Seasonal!A:X,16,FALSE),0)</f>
        <v>16405514.567</v>
      </c>
      <c r="N13" s="621">
        <f>IFERROR(VLOOKUP($A13,Race_2024_Seasonal!A:X,17,FALSE),0)</f>
        <v>16405514.567</v>
      </c>
      <c r="O13" s="621">
        <f>IFERROR(VLOOKUP($A13,Race_2024_Seasonal!A:X,18,FALSE),0)</f>
        <v>16405514.564999999</v>
      </c>
      <c r="P13" s="554"/>
      <c r="Q13" s="621">
        <f t="shared" si="0"/>
        <v>188273351.18900001</v>
      </c>
      <c r="R13" s="554"/>
      <c r="S13" s="670">
        <f>Q13-'P&amp;L'!I13</f>
        <v>0</v>
      </c>
    </row>
    <row r="14" spans="1:19" ht="15" x14ac:dyDescent="0.25">
      <c r="A14" s="546" t="s">
        <v>1214</v>
      </c>
      <c r="B14" s="546" t="e">
        <f>IFERROR(VLOOKUP(A14,Race_2024_Seasonal!A:C,3,FALSE), VLOOKUP(A14,Race_2024_Seasonal!A:C,3,FALSE))</f>
        <v>#N/A</v>
      </c>
      <c r="C14" s="566" t="s">
        <v>692</v>
      </c>
      <c r="D14" s="664">
        <f>IFERROR(VLOOKUP($A14,Race_2024_Seasonal!A:X,7,FALSE),0)</f>
        <v>0</v>
      </c>
      <c r="E14" s="664">
        <f>IFERROR(VLOOKUP($A14,Race_2024_Seasonal!A:X,8,FALSE),0)</f>
        <v>0</v>
      </c>
      <c r="F14" s="664">
        <f>IFERROR(VLOOKUP($A14,Race_2024_Seasonal!A:X,9,FALSE),0)</f>
        <v>0</v>
      </c>
      <c r="G14" s="664">
        <f>IFERROR(VLOOKUP($A14,Race_2024_Seasonal!A:X,10,FALSE),0)</f>
        <v>0</v>
      </c>
      <c r="H14" s="664">
        <f>IFERROR(VLOOKUP($A14,Race_2024_Seasonal!A:X,11,FALSE),0)</f>
        <v>0</v>
      </c>
      <c r="I14" s="664">
        <f>IFERROR(VLOOKUP($A14,Race_2024_Seasonal!A:X,12,FALSE),0)</f>
        <v>0</v>
      </c>
      <c r="J14" s="664">
        <f>IFERROR(VLOOKUP($A14,Race_2024_Seasonal!A:X,13,FALSE),0)</f>
        <v>0</v>
      </c>
      <c r="K14" s="664">
        <f>IFERROR(VLOOKUP($A14,Race_2024_Seasonal!A:X,14,FALSE),0)</f>
        <v>0</v>
      </c>
      <c r="L14" s="664">
        <f>IFERROR(VLOOKUP($A14,Race_2024_Seasonal!A:X,15,FALSE),0)</f>
        <v>0</v>
      </c>
      <c r="M14" s="664">
        <f>IFERROR(VLOOKUP($A14,Race_2024_Seasonal!A:X,16,FALSE),0)</f>
        <v>0</v>
      </c>
      <c r="N14" s="664">
        <f>IFERROR(VLOOKUP($A14,Race_2024_Seasonal!A:X,17,FALSE),0)</f>
        <v>0</v>
      </c>
      <c r="O14" s="664">
        <f>IFERROR(VLOOKUP($A14,Race_2024_Seasonal!A:X,18,FALSE),0)</f>
        <v>0</v>
      </c>
      <c r="P14" s="554"/>
      <c r="Q14" s="664">
        <f t="shared" si="0"/>
        <v>0</v>
      </c>
      <c r="R14" s="554"/>
      <c r="S14" s="670">
        <f>Q14-'P&amp;L'!I14</f>
        <v>0</v>
      </c>
    </row>
    <row r="15" spans="1:19" ht="15" x14ac:dyDescent="0.25">
      <c r="A15" s="546" t="s">
        <v>1215</v>
      </c>
      <c r="B15" s="546" t="e">
        <f>IFERROR(VLOOKUP(A15,Race_2024_Seasonal!A:C,3,FALSE), VLOOKUP(A15,Race_2024_Seasonal!A:C,3,FALSE))</f>
        <v>#N/A</v>
      </c>
      <c r="C15" s="553" t="s">
        <v>691</v>
      </c>
      <c r="D15" s="621">
        <f>IFERROR(VLOOKUP($A15,Race_2024_Seasonal!A:X,7,FALSE),0)</f>
        <v>0</v>
      </c>
      <c r="E15" s="621">
        <f>IFERROR(VLOOKUP($A15,Race_2024_Seasonal!A:X,8,FALSE),0)</f>
        <v>0</v>
      </c>
      <c r="F15" s="621">
        <f>IFERROR(VLOOKUP($A15,Race_2024_Seasonal!A:X,9,FALSE),0)</f>
        <v>0</v>
      </c>
      <c r="G15" s="621">
        <f>IFERROR(VLOOKUP($A15,Race_2024_Seasonal!A:X,10,FALSE),0)</f>
        <v>0</v>
      </c>
      <c r="H15" s="621">
        <f>IFERROR(VLOOKUP($A15,Race_2024_Seasonal!A:X,11,FALSE),0)</f>
        <v>0</v>
      </c>
      <c r="I15" s="621">
        <f>IFERROR(VLOOKUP($A15,Race_2024_Seasonal!A:X,12,FALSE),0)</f>
        <v>0</v>
      </c>
      <c r="J15" s="621">
        <f>IFERROR(VLOOKUP($A15,Race_2024_Seasonal!A:X,13,FALSE),0)</f>
        <v>0</v>
      </c>
      <c r="K15" s="621">
        <f>IFERROR(VLOOKUP($A15,Race_2024_Seasonal!A:X,14,FALSE),0)</f>
        <v>0</v>
      </c>
      <c r="L15" s="621">
        <f>IFERROR(VLOOKUP($A15,Race_2024_Seasonal!A:X,15,FALSE),0)</f>
        <v>0</v>
      </c>
      <c r="M15" s="621">
        <f>IFERROR(VLOOKUP($A15,Race_2024_Seasonal!A:X,16,FALSE),0)</f>
        <v>0</v>
      </c>
      <c r="N15" s="621">
        <f>IFERROR(VLOOKUP($A15,Race_2024_Seasonal!A:X,17,FALSE),0)</f>
        <v>0</v>
      </c>
      <c r="O15" s="621">
        <f>IFERROR(VLOOKUP($A15,Race_2024_Seasonal!A:X,18,FALSE),0)</f>
        <v>0</v>
      </c>
      <c r="P15" s="554"/>
      <c r="Q15" s="621">
        <f t="shared" si="0"/>
        <v>0</v>
      </c>
      <c r="R15" s="554"/>
      <c r="S15" s="670">
        <f>Q15-'P&amp;L'!I15</f>
        <v>0</v>
      </c>
    </row>
    <row r="16" spans="1:19" ht="15" x14ac:dyDescent="0.25">
      <c r="A16" s="546" t="s">
        <v>1216</v>
      </c>
      <c r="B16" s="546" t="e">
        <f>IFERROR(VLOOKUP(A16,Race_2024_Seasonal!A:C,3,FALSE), VLOOKUP(A16,Race_2024_Seasonal!A:C,3,FALSE))</f>
        <v>#N/A</v>
      </c>
      <c r="C16" s="555" t="s">
        <v>690</v>
      </c>
      <c r="D16" s="621">
        <f>IFERROR(VLOOKUP($A16,Race_2024_Seasonal!A:X,7,FALSE),0)</f>
        <v>0</v>
      </c>
      <c r="E16" s="621">
        <f>IFERROR(VLOOKUP($A16,Race_2024_Seasonal!A:X,8,FALSE),0)</f>
        <v>0</v>
      </c>
      <c r="F16" s="621">
        <f>IFERROR(VLOOKUP($A16,Race_2024_Seasonal!A:X,9,FALSE),0)</f>
        <v>0</v>
      </c>
      <c r="G16" s="621">
        <f>IFERROR(VLOOKUP($A16,Race_2024_Seasonal!A:X,10,FALSE),0)</f>
        <v>0</v>
      </c>
      <c r="H16" s="621">
        <f>IFERROR(VLOOKUP($A16,Race_2024_Seasonal!A:X,11,FALSE),0)</f>
        <v>0</v>
      </c>
      <c r="I16" s="621">
        <f>IFERROR(VLOOKUP($A16,Race_2024_Seasonal!A:X,12,FALSE),0)</f>
        <v>0</v>
      </c>
      <c r="J16" s="621">
        <f>IFERROR(VLOOKUP($A16,Race_2024_Seasonal!A:X,13,FALSE),0)</f>
        <v>0</v>
      </c>
      <c r="K16" s="621">
        <f>IFERROR(VLOOKUP($A16,Race_2024_Seasonal!A:X,14,FALSE),0)</f>
        <v>0</v>
      </c>
      <c r="L16" s="621">
        <f>IFERROR(VLOOKUP($A16,Race_2024_Seasonal!A:X,15,FALSE),0)</f>
        <v>0</v>
      </c>
      <c r="M16" s="621">
        <f>IFERROR(VLOOKUP($A16,Race_2024_Seasonal!A:X,16,FALSE),0)</f>
        <v>0</v>
      </c>
      <c r="N16" s="621">
        <f>IFERROR(VLOOKUP($A16,Race_2024_Seasonal!A:X,17,FALSE),0)</f>
        <v>0</v>
      </c>
      <c r="O16" s="621">
        <f>IFERROR(VLOOKUP($A16,Race_2024_Seasonal!A:X,18,FALSE),0)</f>
        <v>0</v>
      </c>
      <c r="P16" s="554"/>
      <c r="Q16" s="621">
        <f t="shared" si="0"/>
        <v>0</v>
      </c>
      <c r="R16" s="554"/>
      <c r="S16" s="670">
        <f>Q16-'P&amp;L'!I16</f>
        <v>0</v>
      </c>
    </row>
    <row r="17" spans="1:19" ht="15" x14ac:dyDescent="0.25">
      <c r="A17" s="546" t="s">
        <v>1217</v>
      </c>
      <c r="B17" s="546" t="str">
        <f>IFERROR(VLOOKUP(A17,Race_2024_Seasonal!A:C,3,FALSE), VLOOKUP(A17,Race_2024_Seasonal!A:C,3,FALSE))</f>
        <v>Variable costs</v>
      </c>
      <c r="C17" s="552" t="s">
        <v>689</v>
      </c>
      <c r="D17" s="665">
        <f>IFERROR(VLOOKUP($A17,Race_2024_Seasonal!A:X,7,FALSE),0)</f>
        <v>-16087097.251</v>
      </c>
      <c r="E17" s="665">
        <f>IFERROR(VLOOKUP($A17,Race_2024_Seasonal!A:X,8,FALSE),0)</f>
        <v>-14161557.15</v>
      </c>
      <c r="F17" s="665">
        <f>IFERROR(VLOOKUP($A17,Race_2024_Seasonal!A:X,9,FALSE),0)</f>
        <v>-15555488.555</v>
      </c>
      <c r="G17" s="665">
        <f>IFERROR(VLOOKUP($A17,Race_2024_Seasonal!A:X,10,FALSE),0)</f>
        <v>-16173347.98</v>
      </c>
      <c r="H17" s="665">
        <f>IFERROR(VLOOKUP($A17,Race_2024_Seasonal!A:X,11,FALSE),0)</f>
        <v>-16598422.107999999</v>
      </c>
      <c r="I17" s="665">
        <f>IFERROR(VLOOKUP($A17,Race_2024_Seasonal!A:X,12,FALSE),0)</f>
        <v>-10712493.208000001</v>
      </c>
      <c r="J17" s="665">
        <f>IFERROR(VLOOKUP($A17,Race_2024_Seasonal!A:X,13,FALSE),0)</f>
        <v>-13204760.907</v>
      </c>
      <c r="K17" s="665">
        <f>IFERROR(VLOOKUP($A17,Race_2024_Seasonal!A:X,14,FALSE),0)</f>
        <v>-9460779.4690000005</v>
      </c>
      <c r="L17" s="665">
        <f>IFERROR(VLOOKUP($A17,Race_2024_Seasonal!A:X,15,FALSE),0)</f>
        <v>-11223888.401000001</v>
      </c>
      <c r="M17" s="665">
        <f>IFERROR(VLOOKUP($A17,Race_2024_Seasonal!A:X,16,FALSE),0)</f>
        <v>-12334545.734999999</v>
      </c>
      <c r="N17" s="665">
        <f>IFERROR(VLOOKUP($A17,Race_2024_Seasonal!A:X,17,FALSE),0)</f>
        <v>-12356295.734999999</v>
      </c>
      <c r="O17" s="665">
        <f>IFERROR(VLOOKUP($A17,Race_2024_Seasonal!A:X,18,FALSE),0)</f>
        <v>-10826848.299000001</v>
      </c>
      <c r="P17" s="554"/>
      <c r="Q17" s="665">
        <f t="shared" si="0"/>
        <v>-158695524.79800001</v>
      </c>
      <c r="R17" s="554"/>
      <c r="S17" s="670">
        <f>Q17-'P&amp;L'!I17</f>
        <v>0</v>
      </c>
    </row>
    <row r="18" spans="1:19" ht="15" x14ac:dyDescent="0.25">
      <c r="A18" s="546" t="s">
        <v>1218</v>
      </c>
      <c r="B18" s="546" t="str">
        <f>IFERROR(VLOOKUP(A18,Race_2024_Seasonal!A:C,3,FALSE), VLOOKUP(A18,Race_2024_Seasonal!A:C,3,FALSE))</f>
        <v>Var costs over stand</v>
      </c>
      <c r="C18" s="566" t="s">
        <v>688</v>
      </c>
      <c r="D18" s="664">
        <f>IFERROR(VLOOKUP($A18,Race_2024_Seasonal!A:X,7,FALSE),0)</f>
        <v>-15524536.229</v>
      </c>
      <c r="E18" s="664">
        <f>IFERROR(VLOOKUP($A18,Race_2024_Seasonal!A:X,8,FALSE),0)</f>
        <v>-13704343.478</v>
      </c>
      <c r="F18" s="664">
        <f>IFERROR(VLOOKUP($A18,Race_2024_Seasonal!A:X,9,FALSE),0)</f>
        <v>-15086607.59</v>
      </c>
      <c r="G18" s="664">
        <f>IFERROR(VLOOKUP($A18,Race_2024_Seasonal!A:X,10,FALSE),0)</f>
        <v>-15693523.884</v>
      </c>
      <c r="H18" s="664">
        <f>IFERROR(VLOOKUP($A18,Race_2024_Seasonal!A:X,11,FALSE),0)</f>
        <v>-16047857.499</v>
      </c>
      <c r="I18" s="664">
        <f>IFERROR(VLOOKUP($A18,Race_2024_Seasonal!A:X,12,FALSE),0)</f>
        <v>-10204233.527000001</v>
      </c>
      <c r="J18" s="664">
        <f>IFERROR(VLOOKUP($A18,Race_2024_Seasonal!A:X,13,FALSE),0)</f>
        <v>-12648127.624</v>
      </c>
      <c r="K18" s="664">
        <f>IFERROR(VLOOKUP($A18,Race_2024_Seasonal!A:X,14,FALSE),0)</f>
        <v>-9029757.3560000006</v>
      </c>
      <c r="L18" s="664">
        <f>IFERROR(VLOOKUP($A18,Race_2024_Seasonal!A:X,15,FALSE),0)</f>
        <v>-10762035.914000001</v>
      </c>
      <c r="M18" s="664">
        <f>IFERROR(VLOOKUP($A18,Race_2024_Seasonal!A:X,16,FALSE),0)</f>
        <v>-11896827.493000001</v>
      </c>
      <c r="N18" s="664">
        <f>IFERROR(VLOOKUP($A18,Race_2024_Seasonal!A:X,17,FALSE),0)</f>
        <v>-11896827.493000001</v>
      </c>
      <c r="O18" s="664">
        <f>IFERROR(VLOOKUP($A18,Race_2024_Seasonal!A:X,18,FALSE),0)</f>
        <v>-10496430.055</v>
      </c>
      <c r="P18" s="554"/>
      <c r="Q18" s="664">
        <f t="shared" si="0"/>
        <v>-152991108.14200002</v>
      </c>
      <c r="R18" s="554"/>
      <c r="S18" s="670">
        <f>Q18-'P&amp;L'!I18</f>
        <v>0</v>
      </c>
    </row>
    <row r="19" spans="1:19" ht="15" x14ac:dyDescent="0.25">
      <c r="A19" s="546" t="s">
        <v>1219</v>
      </c>
      <c r="B19" s="546" t="e">
        <f>IFERROR(VLOOKUP(A19,Race_2024_Seasonal!A:C,3,FALSE), VLOOKUP(A19,Race_2024_Seasonal!A:C,3,FALSE))</f>
        <v>#N/A</v>
      </c>
      <c r="C19" s="553" t="s">
        <v>687</v>
      </c>
      <c r="D19" s="621">
        <f>IFERROR(VLOOKUP($A19,Race_2024_Seasonal!A:X,7,FALSE),0)</f>
        <v>0</v>
      </c>
      <c r="E19" s="621">
        <f>IFERROR(VLOOKUP($A19,Race_2024_Seasonal!A:X,8,FALSE),0)</f>
        <v>0</v>
      </c>
      <c r="F19" s="621">
        <f>IFERROR(VLOOKUP($A19,Race_2024_Seasonal!A:X,9,FALSE),0)</f>
        <v>0</v>
      </c>
      <c r="G19" s="621">
        <f>IFERROR(VLOOKUP($A19,Race_2024_Seasonal!A:X,10,FALSE),0)</f>
        <v>0</v>
      </c>
      <c r="H19" s="621">
        <f>IFERROR(VLOOKUP($A19,Race_2024_Seasonal!A:X,11,FALSE),0)</f>
        <v>0</v>
      </c>
      <c r="I19" s="621">
        <f>IFERROR(VLOOKUP($A19,Race_2024_Seasonal!A:X,12,FALSE),0)</f>
        <v>0</v>
      </c>
      <c r="J19" s="621">
        <f>IFERROR(VLOOKUP($A19,Race_2024_Seasonal!A:X,13,FALSE),0)</f>
        <v>0</v>
      </c>
      <c r="K19" s="621">
        <f>IFERROR(VLOOKUP($A19,Race_2024_Seasonal!A:X,14,FALSE),0)</f>
        <v>0</v>
      </c>
      <c r="L19" s="621">
        <f>IFERROR(VLOOKUP($A19,Race_2024_Seasonal!A:X,15,FALSE),0)</f>
        <v>0</v>
      </c>
      <c r="M19" s="621">
        <f>IFERROR(VLOOKUP($A19,Race_2024_Seasonal!A:X,16,FALSE),0)</f>
        <v>0</v>
      </c>
      <c r="N19" s="621">
        <f>IFERROR(VLOOKUP($A19,Race_2024_Seasonal!A:X,17,FALSE),0)</f>
        <v>0</v>
      </c>
      <c r="O19" s="621">
        <f>IFERROR(VLOOKUP($A19,Race_2024_Seasonal!A:X,18,FALSE),0)</f>
        <v>0</v>
      </c>
      <c r="P19" s="554"/>
      <c r="Q19" s="621">
        <f t="shared" si="0"/>
        <v>0</v>
      </c>
      <c r="R19" s="554"/>
      <c r="S19" s="670">
        <f>Q19-'P&amp;L'!I19</f>
        <v>0</v>
      </c>
    </row>
    <row r="20" spans="1:19" ht="15" x14ac:dyDescent="0.25">
      <c r="A20" s="546" t="s">
        <v>1220</v>
      </c>
      <c r="B20" s="546" t="str">
        <f>IFERROR(VLOOKUP(A20,Race_2024_Seasonal!A:C,3,FALSE), VLOOKUP(A20,Race_2024_Seasonal!A:C,3,FALSE))</f>
        <v>Var. manuf. costs</v>
      </c>
      <c r="C20" s="553" t="s">
        <v>686</v>
      </c>
      <c r="D20" s="621">
        <f>IFERROR(VLOOKUP($A20,Race_2024_Seasonal!A:X,7,FALSE),0)</f>
        <v>-15342358.956</v>
      </c>
      <c r="E20" s="621">
        <f>IFERROR(VLOOKUP($A20,Race_2024_Seasonal!A:X,8,FALSE),0)</f>
        <v>-13543719.783</v>
      </c>
      <c r="F20" s="621">
        <f>IFERROR(VLOOKUP($A20,Race_2024_Seasonal!A:X,9,FALSE),0)</f>
        <v>-14912298.009</v>
      </c>
      <c r="G20" s="621">
        <f>IFERROR(VLOOKUP($A20,Race_2024_Seasonal!A:X,10,FALSE),0)</f>
        <v>-15512031.254000001</v>
      </c>
      <c r="H20" s="621">
        <f>IFERROR(VLOOKUP($A20,Race_2024_Seasonal!A:X,11,FALSE),0)</f>
        <v>-15863189.937000001</v>
      </c>
      <c r="I20" s="621">
        <f>IFERROR(VLOOKUP($A20,Race_2024_Seasonal!A:X,12,FALSE),0)</f>
        <v>-10032858.168</v>
      </c>
      <c r="J20" s="621">
        <f>IFERROR(VLOOKUP($A20,Race_2024_Seasonal!A:X,13,FALSE),0)</f>
        <v>-12450161.941</v>
      </c>
      <c r="K20" s="621">
        <f>IFERROR(VLOOKUP($A20,Race_2024_Seasonal!A:X,14,FALSE),0)</f>
        <v>-8878322.0099999998</v>
      </c>
      <c r="L20" s="621">
        <f>IFERROR(VLOOKUP($A20,Race_2024_Seasonal!A:X,15,FALSE),0)</f>
        <v>-10597207.592</v>
      </c>
      <c r="M20" s="621">
        <f>IFERROR(VLOOKUP($A20,Race_2024_Seasonal!A:X,16,FALSE),0)</f>
        <v>-11711955.495999999</v>
      </c>
      <c r="N20" s="621">
        <f>IFERROR(VLOOKUP($A20,Race_2024_Seasonal!A:X,17,FALSE),0)</f>
        <v>-11711955.495999999</v>
      </c>
      <c r="O20" s="621">
        <f>IFERROR(VLOOKUP($A20,Race_2024_Seasonal!A:X,18,FALSE),0)</f>
        <v>-10311558.058</v>
      </c>
      <c r="P20" s="554"/>
      <c r="Q20" s="621">
        <f t="shared" si="0"/>
        <v>-150867616.69999999</v>
      </c>
      <c r="R20" s="554"/>
      <c r="S20" s="670">
        <f>Q20-'P&amp;L'!I20</f>
        <v>0</v>
      </c>
    </row>
    <row r="21" spans="1:19" ht="15" x14ac:dyDescent="0.25">
      <c r="A21" s="546" t="s">
        <v>1221</v>
      </c>
      <c r="B21" s="546" t="str">
        <f>IFERROR(VLOOKUP(A21,Race_2024_Seasonal!A:C,3,FALSE), VLOOKUP(A21,Race_2024_Seasonal!A:C,3,FALSE))</f>
        <v>Other var. costs</v>
      </c>
      <c r="C21" s="564" t="s">
        <v>685</v>
      </c>
      <c r="D21" s="666">
        <f>IFERROR(VLOOKUP($A21,Race_2024_Seasonal!A:X,7,FALSE),0)</f>
        <v>-182177.27299999999</v>
      </c>
      <c r="E21" s="666">
        <f>IFERROR(VLOOKUP($A21,Race_2024_Seasonal!A:X,8,FALSE),0)</f>
        <v>-160623.69500000001</v>
      </c>
      <c r="F21" s="666">
        <f>IFERROR(VLOOKUP($A21,Race_2024_Seasonal!A:X,9,FALSE),0)</f>
        <v>-174309.58100000001</v>
      </c>
      <c r="G21" s="666">
        <f>IFERROR(VLOOKUP($A21,Race_2024_Seasonal!A:X,10,FALSE),0)</f>
        <v>-181492.63</v>
      </c>
      <c r="H21" s="666">
        <f>IFERROR(VLOOKUP($A21,Race_2024_Seasonal!A:X,11,FALSE),0)</f>
        <v>-184667.56200000001</v>
      </c>
      <c r="I21" s="666">
        <f>IFERROR(VLOOKUP($A21,Race_2024_Seasonal!A:X,12,FALSE),0)</f>
        <v>-171375.359</v>
      </c>
      <c r="J21" s="666">
        <f>IFERROR(VLOOKUP($A21,Race_2024_Seasonal!A:X,13,FALSE),0)</f>
        <v>-197965.68299999999</v>
      </c>
      <c r="K21" s="666">
        <f>IFERROR(VLOOKUP($A21,Race_2024_Seasonal!A:X,14,FALSE),0)</f>
        <v>-151435.34599999999</v>
      </c>
      <c r="L21" s="666">
        <f>IFERROR(VLOOKUP($A21,Race_2024_Seasonal!A:X,15,FALSE),0)</f>
        <v>-164828.32199999999</v>
      </c>
      <c r="M21" s="666">
        <f>IFERROR(VLOOKUP($A21,Race_2024_Seasonal!A:X,16,FALSE),0)</f>
        <v>-184871.997</v>
      </c>
      <c r="N21" s="666">
        <f>IFERROR(VLOOKUP($A21,Race_2024_Seasonal!A:X,17,FALSE),0)</f>
        <v>-184871.997</v>
      </c>
      <c r="O21" s="666">
        <f>IFERROR(VLOOKUP($A21,Race_2024_Seasonal!A:X,18,FALSE),0)</f>
        <v>-184871.997</v>
      </c>
      <c r="P21" s="554"/>
      <c r="Q21" s="666">
        <f t="shared" si="0"/>
        <v>-2123491.4419999998</v>
      </c>
      <c r="R21" s="554"/>
      <c r="S21" s="670">
        <f>Q21-'P&amp;L'!I21</f>
        <v>0</v>
      </c>
    </row>
    <row r="22" spans="1:19" ht="15" x14ac:dyDescent="0.25">
      <c r="A22" s="546" t="s">
        <v>1222</v>
      </c>
      <c r="B22" s="546" t="str">
        <f>IFERROR(VLOOKUP(A22,Race_2024_Seasonal!A:C,3,FALSE), VLOOKUP(A22,Race_2024_Seasonal!A:C,3,FALSE))</f>
        <v>OVC handling</v>
      </c>
      <c r="C22" s="563" t="s">
        <v>684</v>
      </c>
      <c r="D22" s="660">
        <f>IFERROR(VLOOKUP($A22,Race_2024_Seasonal!A:X,7,FALSE),0)</f>
        <v>-114175.917</v>
      </c>
      <c r="E22" s="660">
        <f>IFERROR(VLOOKUP($A22,Race_2024_Seasonal!A:X,8,FALSE),0)</f>
        <v>-100686.323</v>
      </c>
      <c r="F22" s="660">
        <f>IFERROR(VLOOKUP($A22,Race_2024_Seasonal!A:X,9,FALSE),0)</f>
        <v>-109930.33</v>
      </c>
      <c r="G22" s="660">
        <f>IFERROR(VLOOKUP($A22,Race_2024_Seasonal!A:X,10,FALSE),0)</f>
        <v>-114425.25900000001</v>
      </c>
      <c r="H22" s="660">
        <f>IFERROR(VLOOKUP($A22,Race_2024_Seasonal!A:X,11,FALSE),0)</f>
        <v>-116655.686</v>
      </c>
      <c r="I22" s="660">
        <f>IFERROR(VLOOKUP($A22,Race_2024_Seasonal!A:X,12,FALSE),0)</f>
        <v>-108238.166</v>
      </c>
      <c r="J22" s="660">
        <f>IFERROR(VLOOKUP($A22,Race_2024_Seasonal!A:X,13,FALSE),0)</f>
        <v>-125077.622</v>
      </c>
      <c r="K22" s="660">
        <f>IFERROR(VLOOKUP($A22,Race_2024_Seasonal!A:X,14,FALSE),0)</f>
        <v>-95610.365000000005</v>
      </c>
      <c r="L22" s="660">
        <f>IFERROR(VLOOKUP($A22,Race_2024_Seasonal!A:X,15,FALSE),0)</f>
        <v>-104081.696</v>
      </c>
      <c r="M22" s="660">
        <f>IFERROR(VLOOKUP($A22,Race_2024_Seasonal!A:X,16,FALSE),0)</f>
        <v>-116764.694</v>
      </c>
      <c r="N22" s="660">
        <f>IFERROR(VLOOKUP($A22,Race_2024_Seasonal!A:X,17,FALSE),0)</f>
        <v>-116764.694</v>
      </c>
      <c r="O22" s="660">
        <f>IFERROR(VLOOKUP($A22,Race_2024_Seasonal!A:X,18,FALSE),0)</f>
        <v>-116764.694</v>
      </c>
      <c r="P22" s="554"/>
      <c r="Q22" s="660">
        <f t="shared" si="0"/>
        <v>-1339175.4459999998</v>
      </c>
      <c r="R22" s="554"/>
      <c r="S22" s="670">
        <f>Q22-'P&amp;L'!I22</f>
        <v>0</v>
      </c>
    </row>
    <row r="23" spans="1:19" ht="15" x14ac:dyDescent="0.25">
      <c r="A23" s="546" t="s">
        <v>1223</v>
      </c>
      <c r="B23" s="546" t="str">
        <f>IFERROR(VLOOKUP(A23,Race_2024_Seasonal!A:C,3,FALSE), VLOOKUP(A23,Race_2024_Seasonal!A:C,3,FALSE))</f>
        <v>OVC freight</v>
      </c>
      <c r="C23" s="563" t="s">
        <v>683</v>
      </c>
      <c r="D23" s="660">
        <f>IFERROR(VLOOKUP($A23,Race_2024_Seasonal!A:X,7,FALSE),0)</f>
        <v>-68001.356</v>
      </c>
      <c r="E23" s="660">
        <f>IFERROR(VLOOKUP($A23,Race_2024_Seasonal!A:X,8,FALSE),0)</f>
        <v>-59937.372000000003</v>
      </c>
      <c r="F23" s="660">
        <f>IFERROR(VLOOKUP($A23,Race_2024_Seasonal!A:X,9,FALSE),0)</f>
        <v>-64379.250999999997</v>
      </c>
      <c r="G23" s="660">
        <f>IFERROR(VLOOKUP($A23,Race_2024_Seasonal!A:X,10,FALSE),0)</f>
        <v>-67067.370999999999</v>
      </c>
      <c r="H23" s="660">
        <f>IFERROR(VLOOKUP($A23,Race_2024_Seasonal!A:X,11,FALSE),0)</f>
        <v>-68011.876000000004</v>
      </c>
      <c r="I23" s="660">
        <f>IFERROR(VLOOKUP($A23,Race_2024_Seasonal!A:X,12,FALSE),0)</f>
        <v>-63137.192999999999</v>
      </c>
      <c r="J23" s="660">
        <f>IFERROR(VLOOKUP($A23,Race_2024_Seasonal!A:X,13,FALSE),0)</f>
        <v>-72888.061000000002</v>
      </c>
      <c r="K23" s="660">
        <f>IFERROR(VLOOKUP($A23,Race_2024_Seasonal!A:X,14,FALSE),0)</f>
        <v>-55824.981</v>
      </c>
      <c r="L23" s="660">
        <f>IFERROR(VLOOKUP($A23,Race_2024_Seasonal!A:X,15,FALSE),0)</f>
        <v>-60746.625999999997</v>
      </c>
      <c r="M23" s="660">
        <f>IFERROR(VLOOKUP($A23,Race_2024_Seasonal!A:X,16,FALSE),0)</f>
        <v>-68107.303</v>
      </c>
      <c r="N23" s="660">
        <f>IFERROR(VLOOKUP($A23,Race_2024_Seasonal!A:X,17,FALSE),0)</f>
        <v>-68107.303</v>
      </c>
      <c r="O23" s="660">
        <f>IFERROR(VLOOKUP($A23,Race_2024_Seasonal!A:X,18,FALSE),0)</f>
        <v>-68107.303</v>
      </c>
      <c r="P23" s="554"/>
      <c r="Q23" s="660">
        <f t="shared" si="0"/>
        <v>-784315.99599999993</v>
      </c>
      <c r="R23" s="554"/>
      <c r="S23" s="670">
        <f>Q23-'P&amp;L'!I23</f>
        <v>0</v>
      </c>
    </row>
    <row r="24" spans="1:19" ht="15" x14ac:dyDescent="0.25">
      <c r="A24" s="546" t="s">
        <v>1224</v>
      </c>
      <c r="B24" s="546" t="e">
        <f>IFERROR(VLOOKUP(A24,Race_2024_Seasonal!A:C,3,FALSE), VLOOKUP(A24,Race_2024_Seasonal!A:C,3,FALSE))</f>
        <v>#N/A</v>
      </c>
      <c r="C24" s="563" t="s">
        <v>682</v>
      </c>
      <c r="D24" s="660">
        <f>IFERROR(VLOOKUP($A24,Race_2024_Seasonal!A:X,7,FALSE),0)</f>
        <v>0</v>
      </c>
      <c r="E24" s="660">
        <f>IFERROR(VLOOKUP($A24,Race_2024_Seasonal!A:X,8,FALSE),0)</f>
        <v>0</v>
      </c>
      <c r="F24" s="660">
        <f>IFERROR(VLOOKUP($A24,Race_2024_Seasonal!A:X,9,FALSE),0)</f>
        <v>0</v>
      </c>
      <c r="G24" s="660">
        <f>IFERROR(VLOOKUP($A24,Race_2024_Seasonal!A:X,10,FALSE),0)</f>
        <v>0</v>
      </c>
      <c r="H24" s="660">
        <f>IFERROR(VLOOKUP($A24,Race_2024_Seasonal!A:X,11,FALSE),0)</f>
        <v>0</v>
      </c>
      <c r="I24" s="660">
        <f>IFERROR(VLOOKUP($A24,Race_2024_Seasonal!A:X,12,FALSE),0)</f>
        <v>0</v>
      </c>
      <c r="J24" s="660">
        <f>IFERROR(VLOOKUP($A24,Race_2024_Seasonal!A:X,13,FALSE),0)</f>
        <v>0</v>
      </c>
      <c r="K24" s="660">
        <f>IFERROR(VLOOKUP($A24,Race_2024_Seasonal!A:X,14,FALSE),0)</f>
        <v>0</v>
      </c>
      <c r="L24" s="660">
        <f>IFERROR(VLOOKUP($A24,Race_2024_Seasonal!A:X,15,FALSE),0)</f>
        <v>0</v>
      </c>
      <c r="M24" s="660">
        <f>IFERROR(VLOOKUP($A24,Race_2024_Seasonal!A:X,16,FALSE),0)</f>
        <v>0</v>
      </c>
      <c r="N24" s="660">
        <f>IFERROR(VLOOKUP($A24,Race_2024_Seasonal!A:X,17,FALSE),0)</f>
        <v>0</v>
      </c>
      <c r="O24" s="660">
        <f>IFERROR(VLOOKUP($A24,Race_2024_Seasonal!A:X,18,FALSE),0)</f>
        <v>0</v>
      </c>
      <c r="P24" s="554"/>
      <c r="Q24" s="660">
        <f t="shared" si="0"/>
        <v>0</v>
      </c>
      <c r="R24" s="554"/>
      <c r="S24" s="670">
        <f>Q24-'P&amp;L'!I24</f>
        <v>0</v>
      </c>
    </row>
    <row r="25" spans="1:19" ht="15" x14ac:dyDescent="0.25">
      <c r="A25" s="546" t="s">
        <v>1225</v>
      </c>
      <c r="B25" s="546" t="str">
        <f>IFERROR(VLOOKUP(A25,Race_2024_Seasonal!A:C,3,FALSE), VLOOKUP(A25,Race_2024_Seasonal!A:C,3,FALSE))</f>
        <v>Cost variations</v>
      </c>
      <c r="C25" s="566" t="s">
        <v>681</v>
      </c>
      <c r="D25" s="667">
        <f>IFERROR(VLOOKUP($A25,Race_2024_Seasonal!A:X,7,FALSE),0)</f>
        <v>-562561.022</v>
      </c>
      <c r="E25" s="667">
        <f>IFERROR(VLOOKUP($A25,Race_2024_Seasonal!A:X,8,FALSE),0)</f>
        <v>-457213.67200000002</v>
      </c>
      <c r="F25" s="667">
        <f>IFERROR(VLOOKUP($A25,Race_2024_Seasonal!A:X,9,FALSE),0)</f>
        <v>-468880.96500000003</v>
      </c>
      <c r="G25" s="667">
        <f>IFERROR(VLOOKUP($A25,Race_2024_Seasonal!A:X,10,FALSE),0)</f>
        <v>-479824.09600000002</v>
      </c>
      <c r="H25" s="667">
        <f>IFERROR(VLOOKUP($A25,Race_2024_Seasonal!A:X,11,FALSE),0)</f>
        <v>-550564.60900000005</v>
      </c>
      <c r="I25" s="667">
        <f>IFERROR(VLOOKUP($A25,Race_2024_Seasonal!A:X,12,FALSE),0)</f>
        <v>-508259.68099999998</v>
      </c>
      <c r="J25" s="667">
        <f>IFERROR(VLOOKUP($A25,Race_2024_Seasonal!A:X,13,FALSE),0)</f>
        <v>-556633.28300000005</v>
      </c>
      <c r="K25" s="667">
        <f>IFERROR(VLOOKUP($A25,Race_2024_Seasonal!A:X,14,FALSE),0)</f>
        <v>-431022.11300000001</v>
      </c>
      <c r="L25" s="667">
        <f>IFERROR(VLOOKUP($A25,Race_2024_Seasonal!A:X,15,FALSE),0)</f>
        <v>-461852.48700000002</v>
      </c>
      <c r="M25" s="667">
        <f>IFERROR(VLOOKUP($A25,Race_2024_Seasonal!A:X,16,FALSE),0)</f>
        <v>-437718.24200000003</v>
      </c>
      <c r="N25" s="667">
        <f>IFERROR(VLOOKUP($A25,Race_2024_Seasonal!A:X,17,FALSE),0)</f>
        <v>-459468.24200000003</v>
      </c>
      <c r="O25" s="667">
        <f>IFERROR(VLOOKUP($A25,Race_2024_Seasonal!A:X,18,FALSE),0)</f>
        <v>-330418.24400000001</v>
      </c>
      <c r="P25" s="554"/>
      <c r="Q25" s="667">
        <f t="shared" si="0"/>
        <v>-5704416.6559999986</v>
      </c>
      <c r="R25" s="554"/>
      <c r="S25" s="670">
        <f>Q25-'P&amp;L'!I25</f>
        <v>0</v>
      </c>
    </row>
    <row r="26" spans="1:19" ht="15" x14ac:dyDescent="0.25">
      <c r="A26" s="546" t="s">
        <v>1226</v>
      </c>
      <c r="B26" s="546" t="e">
        <f>IFERROR(VLOOKUP(A26,Race_2024_Seasonal!A:C,3,FALSE), VLOOKUP(A26,Race_2024_Seasonal!A:C,3,FALSE))</f>
        <v>#N/A</v>
      </c>
      <c r="C26" s="564" t="s">
        <v>680</v>
      </c>
      <c r="D26" s="664">
        <f>IFERROR(VLOOKUP($A26,Race_2024_Seasonal!A:X,7,FALSE),0)</f>
        <v>0</v>
      </c>
      <c r="E26" s="664">
        <f>IFERROR(VLOOKUP($A26,Race_2024_Seasonal!A:X,8,FALSE),0)</f>
        <v>0</v>
      </c>
      <c r="F26" s="664">
        <f>IFERROR(VLOOKUP($A26,Race_2024_Seasonal!A:X,9,FALSE),0)</f>
        <v>0</v>
      </c>
      <c r="G26" s="664">
        <f>IFERROR(VLOOKUP($A26,Race_2024_Seasonal!A:X,10,FALSE),0)</f>
        <v>0</v>
      </c>
      <c r="H26" s="664">
        <f>IFERROR(VLOOKUP($A26,Race_2024_Seasonal!A:X,11,FALSE),0)</f>
        <v>0</v>
      </c>
      <c r="I26" s="664">
        <f>IFERROR(VLOOKUP($A26,Race_2024_Seasonal!A:X,12,FALSE),0)</f>
        <v>0</v>
      </c>
      <c r="J26" s="664">
        <f>IFERROR(VLOOKUP($A26,Race_2024_Seasonal!A:X,13,FALSE),0)</f>
        <v>0</v>
      </c>
      <c r="K26" s="664">
        <f>IFERROR(VLOOKUP($A26,Race_2024_Seasonal!A:X,14,FALSE),0)</f>
        <v>0</v>
      </c>
      <c r="L26" s="664">
        <f>IFERROR(VLOOKUP($A26,Race_2024_Seasonal!A:X,15,FALSE),0)</f>
        <v>0</v>
      </c>
      <c r="M26" s="664">
        <f>IFERROR(VLOOKUP($A26,Race_2024_Seasonal!A:X,16,FALSE),0)</f>
        <v>0</v>
      </c>
      <c r="N26" s="664">
        <f>IFERROR(VLOOKUP($A26,Race_2024_Seasonal!A:X,17,FALSE),0)</f>
        <v>0</v>
      </c>
      <c r="O26" s="664">
        <f>IFERROR(VLOOKUP($A26,Race_2024_Seasonal!A:X,18,FALSE),0)</f>
        <v>0</v>
      </c>
      <c r="P26" s="554"/>
      <c r="Q26" s="664">
        <f t="shared" si="0"/>
        <v>0</v>
      </c>
      <c r="R26" s="554"/>
      <c r="S26" s="670">
        <f>Q26-'P&amp;L'!I26</f>
        <v>0</v>
      </c>
    </row>
    <row r="27" spans="1:19" ht="15" x14ac:dyDescent="0.25">
      <c r="A27" s="546" t="s">
        <v>1227</v>
      </c>
      <c r="B27" s="546" t="e">
        <f>IFERROR(VLOOKUP(A27,Race_2024_Seasonal!A:C,3,FALSE), VLOOKUP(A27,Race_2024_Seasonal!A:C,3,FALSE))</f>
        <v>#N/A</v>
      </c>
      <c r="C27" s="563" t="s">
        <v>679</v>
      </c>
      <c r="D27" s="621">
        <f>IFERROR(VLOOKUP($A27,Race_2024_Seasonal!A:X,7,FALSE),0)</f>
        <v>0</v>
      </c>
      <c r="E27" s="621">
        <f>IFERROR(VLOOKUP($A27,Race_2024_Seasonal!A:X,8,FALSE),0)</f>
        <v>0</v>
      </c>
      <c r="F27" s="621">
        <f>IFERROR(VLOOKUP($A27,Race_2024_Seasonal!A:X,9,FALSE),0)</f>
        <v>0</v>
      </c>
      <c r="G27" s="621">
        <f>IFERROR(VLOOKUP($A27,Race_2024_Seasonal!A:X,10,FALSE),0)</f>
        <v>0</v>
      </c>
      <c r="H27" s="621">
        <f>IFERROR(VLOOKUP($A27,Race_2024_Seasonal!A:X,11,FALSE),0)</f>
        <v>0</v>
      </c>
      <c r="I27" s="621">
        <f>IFERROR(VLOOKUP($A27,Race_2024_Seasonal!A:X,12,FALSE),0)</f>
        <v>0</v>
      </c>
      <c r="J27" s="621">
        <f>IFERROR(VLOOKUP($A27,Race_2024_Seasonal!A:X,13,FALSE),0)</f>
        <v>0</v>
      </c>
      <c r="K27" s="621">
        <f>IFERROR(VLOOKUP($A27,Race_2024_Seasonal!A:X,14,FALSE),0)</f>
        <v>0</v>
      </c>
      <c r="L27" s="621">
        <f>IFERROR(VLOOKUP($A27,Race_2024_Seasonal!A:X,15,FALSE),0)</f>
        <v>0</v>
      </c>
      <c r="M27" s="621">
        <f>IFERROR(VLOOKUP($A27,Race_2024_Seasonal!A:X,16,FALSE),0)</f>
        <v>0</v>
      </c>
      <c r="N27" s="621">
        <f>IFERROR(VLOOKUP($A27,Race_2024_Seasonal!A:X,17,FALSE),0)</f>
        <v>0</v>
      </c>
      <c r="O27" s="621">
        <f>IFERROR(VLOOKUP($A27,Race_2024_Seasonal!A:X,18,FALSE),0)</f>
        <v>0</v>
      </c>
      <c r="P27" s="554"/>
      <c r="Q27" s="621">
        <f t="shared" si="0"/>
        <v>0</v>
      </c>
      <c r="R27" s="554"/>
      <c r="S27" s="670">
        <f>Q27-'P&amp;L'!I27</f>
        <v>0</v>
      </c>
    </row>
    <row r="28" spans="1:19" ht="15" x14ac:dyDescent="0.25">
      <c r="A28" s="546" t="s">
        <v>1228</v>
      </c>
      <c r="B28" s="546" t="e">
        <f>IFERROR(VLOOKUP(A28,Race_2024_Seasonal!A:C,3,FALSE), VLOOKUP(A28,Race_2024_Seasonal!A:C,3,FALSE))</f>
        <v>#N/A</v>
      </c>
      <c r="C28" s="563" t="s">
        <v>933</v>
      </c>
      <c r="D28" s="660">
        <f>IFERROR(VLOOKUP($A28,Race_2024_Seasonal!A:X,7,FALSE),0)</f>
        <v>0</v>
      </c>
      <c r="E28" s="660">
        <f>IFERROR(VLOOKUP($A28,Race_2024_Seasonal!A:X,8,FALSE),0)</f>
        <v>0</v>
      </c>
      <c r="F28" s="660">
        <f>IFERROR(VLOOKUP($A28,Race_2024_Seasonal!A:X,9,FALSE),0)</f>
        <v>0</v>
      </c>
      <c r="G28" s="660">
        <f>IFERROR(VLOOKUP($A28,Race_2024_Seasonal!A:X,10,FALSE),0)</f>
        <v>0</v>
      </c>
      <c r="H28" s="660">
        <f>IFERROR(VLOOKUP($A28,Race_2024_Seasonal!A:X,11,FALSE),0)</f>
        <v>0</v>
      </c>
      <c r="I28" s="660">
        <f>IFERROR(VLOOKUP($A28,Race_2024_Seasonal!A:X,12,FALSE),0)</f>
        <v>0</v>
      </c>
      <c r="J28" s="660">
        <f>IFERROR(VLOOKUP($A28,Race_2024_Seasonal!A:X,13,FALSE),0)</f>
        <v>0</v>
      </c>
      <c r="K28" s="660">
        <f>IFERROR(VLOOKUP($A28,Race_2024_Seasonal!A:X,14,FALSE),0)</f>
        <v>0</v>
      </c>
      <c r="L28" s="660">
        <f>IFERROR(VLOOKUP($A28,Race_2024_Seasonal!A:X,15,FALSE),0)</f>
        <v>0</v>
      </c>
      <c r="M28" s="660">
        <f>IFERROR(VLOOKUP($A28,Race_2024_Seasonal!A:X,16,FALSE),0)</f>
        <v>0</v>
      </c>
      <c r="N28" s="660">
        <f>IFERROR(VLOOKUP($A28,Race_2024_Seasonal!A:X,17,FALSE),0)</f>
        <v>0</v>
      </c>
      <c r="O28" s="660">
        <f>IFERROR(VLOOKUP($A28,Race_2024_Seasonal!A:X,18,FALSE),0)</f>
        <v>0</v>
      </c>
      <c r="P28" s="554"/>
      <c r="Q28" s="660">
        <f t="shared" si="0"/>
        <v>0</v>
      </c>
      <c r="R28" s="554"/>
      <c r="S28" s="670">
        <f>Q28-'P&amp;L'!I28</f>
        <v>0</v>
      </c>
    </row>
    <row r="29" spans="1:19" ht="15" x14ac:dyDescent="0.25">
      <c r="A29" s="546" t="s">
        <v>1229</v>
      </c>
      <c r="B29" s="546" t="e">
        <f>IFERROR(VLOOKUP(A29,Race_2024_Seasonal!A:C,3,FALSE), VLOOKUP(A29,Race_2024_Seasonal!A:C,3,FALSE))</f>
        <v>#N/A</v>
      </c>
      <c r="C29" s="563" t="s">
        <v>678</v>
      </c>
      <c r="D29" s="660">
        <f>IFERROR(VLOOKUP($A29,Race_2024_Seasonal!A:X,7,FALSE),0)</f>
        <v>0</v>
      </c>
      <c r="E29" s="660">
        <f>IFERROR(VLOOKUP($A29,Race_2024_Seasonal!A:X,8,FALSE),0)</f>
        <v>0</v>
      </c>
      <c r="F29" s="660">
        <f>IFERROR(VLOOKUP($A29,Race_2024_Seasonal!A:X,9,FALSE),0)</f>
        <v>0</v>
      </c>
      <c r="G29" s="660">
        <f>IFERROR(VLOOKUP($A29,Race_2024_Seasonal!A:X,10,FALSE),0)</f>
        <v>0</v>
      </c>
      <c r="H29" s="660">
        <f>IFERROR(VLOOKUP($A29,Race_2024_Seasonal!A:X,11,FALSE),0)</f>
        <v>0</v>
      </c>
      <c r="I29" s="660">
        <f>IFERROR(VLOOKUP($A29,Race_2024_Seasonal!A:X,12,FALSE),0)</f>
        <v>0</v>
      </c>
      <c r="J29" s="660">
        <f>IFERROR(VLOOKUP($A29,Race_2024_Seasonal!A:X,13,FALSE),0)</f>
        <v>0</v>
      </c>
      <c r="K29" s="660">
        <f>IFERROR(VLOOKUP($A29,Race_2024_Seasonal!A:X,14,FALSE),0)</f>
        <v>0</v>
      </c>
      <c r="L29" s="660">
        <f>IFERROR(VLOOKUP($A29,Race_2024_Seasonal!A:X,15,FALSE),0)</f>
        <v>0</v>
      </c>
      <c r="M29" s="660">
        <f>IFERROR(VLOOKUP($A29,Race_2024_Seasonal!A:X,16,FALSE),0)</f>
        <v>0</v>
      </c>
      <c r="N29" s="660">
        <f>IFERROR(VLOOKUP($A29,Race_2024_Seasonal!A:X,17,FALSE),0)</f>
        <v>0</v>
      </c>
      <c r="O29" s="660">
        <f>IFERROR(VLOOKUP($A29,Race_2024_Seasonal!A:X,18,FALSE),0)</f>
        <v>0</v>
      </c>
      <c r="P29" s="554"/>
      <c r="Q29" s="660">
        <f t="shared" si="0"/>
        <v>0</v>
      </c>
      <c r="R29" s="554"/>
      <c r="S29" s="670">
        <f>Q29-'P&amp;L'!I29</f>
        <v>0</v>
      </c>
    </row>
    <row r="30" spans="1:19" ht="15" x14ac:dyDescent="0.25">
      <c r="A30" s="546" t="s">
        <v>1230</v>
      </c>
      <c r="B30" s="546" t="e">
        <f>IFERROR(VLOOKUP(A30,Race_2024_Seasonal!A:C,3,FALSE), VLOOKUP(A30,Race_2024_Seasonal!A:C,3,FALSE))</f>
        <v>#N/A</v>
      </c>
      <c r="C30" s="563" t="s">
        <v>677</v>
      </c>
      <c r="D30" s="660">
        <f>IFERROR(VLOOKUP($A30,Race_2024_Seasonal!A:X,7,FALSE),0)</f>
        <v>0</v>
      </c>
      <c r="E30" s="660">
        <f>IFERROR(VLOOKUP($A30,Race_2024_Seasonal!A:X,8,FALSE),0)</f>
        <v>0</v>
      </c>
      <c r="F30" s="660">
        <f>IFERROR(VLOOKUP($A30,Race_2024_Seasonal!A:X,9,FALSE),0)</f>
        <v>0</v>
      </c>
      <c r="G30" s="660">
        <f>IFERROR(VLOOKUP($A30,Race_2024_Seasonal!A:X,10,FALSE),0)</f>
        <v>0</v>
      </c>
      <c r="H30" s="660">
        <f>IFERROR(VLOOKUP($A30,Race_2024_Seasonal!A:X,11,FALSE),0)</f>
        <v>0</v>
      </c>
      <c r="I30" s="660">
        <f>IFERROR(VLOOKUP($A30,Race_2024_Seasonal!A:X,12,FALSE),0)</f>
        <v>0</v>
      </c>
      <c r="J30" s="660">
        <f>IFERROR(VLOOKUP($A30,Race_2024_Seasonal!A:X,13,FALSE),0)</f>
        <v>0</v>
      </c>
      <c r="K30" s="660">
        <f>IFERROR(VLOOKUP($A30,Race_2024_Seasonal!A:X,14,FALSE),0)</f>
        <v>0</v>
      </c>
      <c r="L30" s="660">
        <f>IFERROR(VLOOKUP($A30,Race_2024_Seasonal!A:X,15,FALSE),0)</f>
        <v>0</v>
      </c>
      <c r="M30" s="660">
        <f>IFERROR(VLOOKUP($A30,Race_2024_Seasonal!A:X,16,FALSE),0)</f>
        <v>0</v>
      </c>
      <c r="N30" s="660">
        <f>IFERROR(VLOOKUP($A30,Race_2024_Seasonal!A:X,17,FALSE),0)</f>
        <v>0</v>
      </c>
      <c r="O30" s="660">
        <f>IFERROR(VLOOKUP($A30,Race_2024_Seasonal!A:X,18,FALSE),0)</f>
        <v>0</v>
      </c>
      <c r="P30" s="554"/>
      <c r="Q30" s="660">
        <f t="shared" si="0"/>
        <v>0</v>
      </c>
      <c r="R30" s="554"/>
      <c r="S30" s="670">
        <f>Q30-'P&amp;L'!I30</f>
        <v>0</v>
      </c>
    </row>
    <row r="31" spans="1:19" ht="15" x14ac:dyDescent="0.25">
      <c r="A31" s="546" t="s">
        <v>1231</v>
      </c>
      <c r="B31" s="546" t="e">
        <f>IFERROR(VLOOKUP(A31,Race_2024_Seasonal!A:C,3,FALSE), VLOOKUP(A31,Race_2024_Seasonal!A:C,3,FALSE))</f>
        <v>#N/A</v>
      </c>
      <c r="C31" s="563" t="s">
        <v>676</v>
      </c>
      <c r="D31" s="660">
        <f>IFERROR(VLOOKUP($A31,Race_2024_Seasonal!A:X,7,FALSE),0)</f>
        <v>0</v>
      </c>
      <c r="E31" s="660">
        <f>IFERROR(VLOOKUP($A31,Race_2024_Seasonal!A:X,8,FALSE),0)</f>
        <v>0</v>
      </c>
      <c r="F31" s="660">
        <f>IFERROR(VLOOKUP($A31,Race_2024_Seasonal!A:X,9,FALSE),0)</f>
        <v>0</v>
      </c>
      <c r="G31" s="660">
        <f>IFERROR(VLOOKUP($A31,Race_2024_Seasonal!A:X,10,FALSE),0)</f>
        <v>0</v>
      </c>
      <c r="H31" s="660">
        <f>IFERROR(VLOOKUP($A31,Race_2024_Seasonal!A:X,11,FALSE),0)</f>
        <v>0</v>
      </c>
      <c r="I31" s="660">
        <f>IFERROR(VLOOKUP($A31,Race_2024_Seasonal!A:X,12,FALSE),0)</f>
        <v>0</v>
      </c>
      <c r="J31" s="660">
        <f>IFERROR(VLOOKUP($A31,Race_2024_Seasonal!A:X,13,FALSE),0)</f>
        <v>0</v>
      </c>
      <c r="K31" s="660">
        <f>IFERROR(VLOOKUP($A31,Race_2024_Seasonal!A:X,14,FALSE),0)</f>
        <v>0</v>
      </c>
      <c r="L31" s="660">
        <f>IFERROR(VLOOKUP($A31,Race_2024_Seasonal!A:X,15,FALSE),0)</f>
        <v>0</v>
      </c>
      <c r="M31" s="660">
        <f>IFERROR(VLOOKUP($A31,Race_2024_Seasonal!A:X,16,FALSE),0)</f>
        <v>0</v>
      </c>
      <c r="N31" s="660">
        <f>IFERROR(VLOOKUP($A31,Race_2024_Seasonal!A:X,17,FALSE),0)</f>
        <v>0</v>
      </c>
      <c r="O31" s="660">
        <f>IFERROR(VLOOKUP($A31,Race_2024_Seasonal!A:X,18,FALSE),0)</f>
        <v>0</v>
      </c>
      <c r="P31" s="554"/>
      <c r="Q31" s="660">
        <f t="shared" si="0"/>
        <v>0</v>
      </c>
      <c r="R31" s="554"/>
      <c r="S31" s="670">
        <f>Q31-'P&amp;L'!I31</f>
        <v>0</v>
      </c>
    </row>
    <row r="32" spans="1:19" ht="15" x14ac:dyDescent="0.25">
      <c r="A32" s="546" t="s">
        <v>1232</v>
      </c>
      <c r="B32" s="546" t="e">
        <f>IFERROR(VLOOKUP(A32,Race_2024_Seasonal!A:C,3,FALSE), VLOOKUP(A32,Race_2024_Seasonal!A:C,3,FALSE))</f>
        <v>#N/A</v>
      </c>
      <c r="C32" s="563" t="s">
        <v>675</v>
      </c>
      <c r="D32" s="660">
        <f>IFERROR(VLOOKUP($A32,Race_2024_Seasonal!A:X,7,FALSE),0)</f>
        <v>0</v>
      </c>
      <c r="E32" s="660">
        <f>IFERROR(VLOOKUP($A32,Race_2024_Seasonal!A:X,8,FALSE),0)</f>
        <v>0</v>
      </c>
      <c r="F32" s="660">
        <f>IFERROR(VLOOKUP($A32,Race_2024_Seasonal!A:X,9,FALSE),0)</f>
        <v>0</v>
      </c>
      <c r="G32" s="660">
        <f>IFERROR(VLOOKUP($A32,Race_2024_Seasonal!A:X,10,FALSE),0)</f>
        <v>0</v>
      </c>
      <c r="H32" s="660">
        <f>IFERROR(VLOOKUP($A32,Race_2024_Seasonal!A:X,11,FALSE),0)</f>
        <v>0</v>
      </c>
      <c r="I32" s="660">
        <f>IFERROR(VLOOKUP($A32,Race_2024_Seasonal!A:X,12,FALSE),0)</f>
        <v>0</v>
      </c>
      <c r="J32" s="660">
        <f>IFERROR(VLOOKUP($A32,Race_2024_Seasonal!A:X,13,FALSE),0)</f>
        <v>0</v>
      </c>
      <c r="K32" s="660">
        <f>IFERROR(VLOOKUP($A32,Race_2024_Seasonal!A:X,14,FALSE),0)</f>
        <v>0</v>
      </c>
      <c r="L32" s="660">
        <f>IFERROR(VLOOKUP($A32,Race_2024_Seasonal!A:X,15,FALSE),0)</f>
        <v>0</v>
      </c>
      <c r="M32" s="660">
        <f>IFERROR(VLOOKUP($A32,Race_2024_Seasonal!A:X,16,FALSE),0)</f>
        <v>0</v>
      </c>
      <c r="N32" s="660">
        <f>IFERROR(VLOOKUP($A32,Race_2024_Seasonal!A:X,17,FALSE),0)</f>
        <v>0</v>
      </c>
      <c r="O32" s="660">
        <f>IFERROR(VLOOKUP($A32,Race_2024_Seasonal!A:X,18,FALSE),0)</f>
        <v>0</v>
      </c>
      <c r="P32" s="554"/>
      <c r="Q32" s="660">
        <f t="shared" si="0"/>
        <v>0</v>
      </c>
      <c r="R32" s="554"/>
      <c r="S32" s="670">
        <f>Q32-'P&amp;L'!I32</f>
        <v>0</v>
      </c>
    </row>
    <row r="33" spans="1:19" ht="15" x14ac:dyDescent="0.25">
      <c r="A33" s="546" t="s">
        <v>1233</v>
      </c>
      <c r="B33" s="546" t="str">
        <f>IFERROR(VLOOKUP(A33,Race_2024_Seasonal!A:C,3,FALSE), VLOOKUP(A33,Race_2024_Seasonal!A:C,3,FALSE))</f>
        <v>Var. in manuf. tot</v>
      </c>
      <c r="C33" s="564" t="s">
        <v>674</v>
      </c>
      <c r="D33" s="666">
        <f>IFERROR(VLOOKUP($A33,Race_2024_Seasonal!A:X,7,FALSE),0)</f>
        <v>-486678.86599999998</v>
      </c>
      <c r="E33" s="666">
        <f>IFERROR(VLOOKUP($A33,Race_2024_Seasonal!A:X,8,FALSE),0)</f>
        <v>-390262.11700000003</v>
      </c>
      <c r="F33" s="666">
        <f>IFERROR(VLOOKUP($A33,Race_2024_Seasonal!A:X,9,FALSE),0)</f>
        <v>-395298.85600000003</v>
      </c>
      <c r="G33" s="666">
        <f>IFERROR(VLOOKUP($A33,Race_2024_Seasonal!A:X,10,FALSE),0)</f>
        <v>-403266.55699999997</v>
      </c>
      <c r="H33" s="666">
        <f>IFERROR(VLOOKUP($A33,Race_2024_Seasonal!A:X,11,FALSE),0)</f>
        <v>-472340.74300000002</v>
      </c>
      <c r="I33" s="666">
        <f>IFERROR(VLOOKUP($A33,Race_2024_Seasonal!A:X,12,FALSE),0)</f>
        <v>-435667.03899999999</v>
      </c>
      <c r="J33" s="666">
        <f>IFERROR(VLOOKUP($A33,Race_2024_Seasonal!A:X,13,FALSE),0)</f>
        <v>-472774.89199999999</v>
      </c>
      <c r="K33" s="666">
        <f>IFERROR(VLOOKUP($A33,Race_2024_Seasonal!A:X,14,FALSE),0)</f>
        <v>-366877.55</v>
      </c>
      <c r="L33" s="666">
        <f>IFERROR(VLOOKUP($A33,Race_2024_Seasonal!A:X,15,FALSE),0)</f>
        <v>-392046.58199999999</v>
      </c>
      <c r="M33" s="666">
        <f>IFERROR(VLOOKUP($A33,Race_2024_Seasonal!A:X,16,FALSE),0)</f>
        <v>-359433.48200000002</v>
      </c>
      <c r="N33" s="666">
        <f>IFERROR(VLOOKUP($A33,Race_2024_Seasonal!A:X,17,FALSE),0)</f>
        <v>-381183.48200000002</v>
      </c>
      <c r="O33" s="666">
        <f>IFERROR(VLOOKUP($A33,Race_2024_Seasonal!A:X,18,FALSE),0)</f>
        <v>-252133.484</v>
      </c>
      <c r="P33" s="554"/>
      <c r="Q33" s="666">
        <f t="shared" si="0"/>
        <v>-4807963.6500000004</v>
      </c>
      <c r="R33" s="554"/>
      <c r="S33" s="670">
        <f>Q33-'P&amp;L'!I33</f>
        <v>0</v>
      </c>
    </row>
    <row r="34" spans="1:19" ht="15" x14ac:dyDescent="0.25">
      <c r="A34" s="546" t="s">
        <v>1234</v>
      </c>
      <c r="B34" s="546" t="e">
        <f>IFERROR(VLOOKUP(A34,Race_2024_Seasonal!A:C,3,FALSE), VLOOKUP(A34,Race_2024_Seasonal!A:C,3,FALSE))</f>
        <v>#N/A</v>
      </c>
      <c r="C34" s="565" t="s">
        <v>673</v>
      </c>
      <c r="D34" s="660">
        <f>IFERROR(VLOOKUP($A34,Race_2024_Seasonal!A:X,7,FALSE),0)</f>
        <v>0</v>
      </c>
      <c r="E34" s="660">
        <f>IFERROR(VLOOKUP($A34,Race_2024_Seasonal!A:X,8,FALSE),0)</f>
        <v>0</v>
      </c>
      <c r="F34" s="660">
        <f>IFERROR(VLOOKUP($A34,Race_2024_Seasonal!A:X,9,FALSE),0)</f>
        <v>0</v>
      </c>
      <c r="G34" s="660">
        <f>IFERROR(VLOOKUP($A34,Race_2024_Seasonal!A:X,10,FALSE),0)</f>
        <v>0</v>
      </c>
      <c r="H34" s="660">
        <f>IFERROR(VLOOKUP($A34,Race_2024_Seasonal!A:X,11,FALSE),0)</f>
        <v>0</v>
      </c>
      <c r="I34" s="660">
        <f>IFERROR(VLOOKUP($A34,Race_2024_Seasonal!A:X,12,FALSE),0)</f>
        <v>0</v>
      </c>
      <c r="J34" s="660">
        <f>IFERROR(VLOOKUP($A34,Race_2024_Seasonal!A:X,13,FALSE),0)</f>
        <v>0</v>
      </c>
      <c r="K34" s="660">
        <f>IFERROR(VLOOKUP($A34,Race_2024_Seasonal!A:X,14,FALSE),0)</f>
        <v>0</v>
      </c>
      <c r="L34" s="660">
        <f>IFERROR(VLOOKUP($A34,Race_2024_Seasonal!A:X,15,FALSE),0)</f>
        <v>0</v>
      </c>
      <c r="M34" s="660">
        <f>IFERROR(VLOOKUP($A34,Race_2024_Seasonal!A:X,16,FALSE),0)</f>
        <v>0</v>
      </c>
      <c r="N34" s="660">
        <f>IFERROR(VLOOKUP($A34,Race_2024_Seasonal!A:X,17,FALSE),0)</f>
        <v>0</v>
      </c>
      <c r="O34" s="660">
        <f>IFERROR(VLOOKUP($A34,Race_2024_Seasonal!A:X,18,FALSE),0)</f>
        <v>0</v>
      </c>
      <c r="P34" s="554"/>
      <c r="Q34" s="660">
        <f t="shared" si="0"/>
        <v>0</v>
      </c>
      <c r="R34" s="554"/>
      <c r="S34" s="670">
        <f>Q34-'P&amp;L'!I34</f>
        <v>0</v>
      </c>
    </row>
    <row r="35" spans="1:19" ht="15" x14ac:dyDescent="0.25">
      <c r="A35" s="546" t="s">
        <v>1235</v>
      </c>
      <c r="B35" s="546" t="e">
        <f>IFERROR(VLOOKUP(A35,Race_2024_Seasonal!A:C,3,FALSE), VLOOKUP(A35,Race_2024_Seasonal!A:C,3,FALSE))</f>
        <v>#N/A</v>
      </c>
      <c r="C35" s="565" t="s">
        <v>922</v>
      </c>
      <c r="D35" s="660">
        <f>IFERROR(VLOOKUP($A35,Race_2024_Seasonal!A:X,7,FALSE),0)</f>
        <v>0</v>
      </c>
      <c r="E35" s="660">
        <f>IFERROR(VLOOKUP($A35,Race_2024_Seasonal!A:X,8,FALSE),0)</f>
        <v>0</v>
      </c>
      <c r="F35" s="660">
        <f>IFERROR(VLOOKUP($A35,Race_2024_Seasonal!A:X,9,FALSE),0)</f>
        <v>0</v>
      </c>
      <c r="G35" s="660">
        <f>IFERROR(VLOOKUP($A35,Race_2024_Seasonal!A:X,10,FALSE),0)</f>
        <v>0</v>
      </c>
      <c r="H35" s="660">
        <f>IFERROR(VLOOKUP($A35,Race_2024_Seasonal!A:X,11,FALSE),0)</f>
        <v>0</v>
      </c>
      <c r="I35" s="660">
        <f>IFERROR(VLOOKUP($A35,Race_2024_Seasonal!A:X,12,FALSE),0)</f>
        <v>0</v>
      </c>
      <c r="J35" s="660">
        <f>IFERROR(VLOOKUP($A35,Race_2024_Seasonal!A:X,13,FALSE),0)</f>
        <v>0</v>
      </c>
      <c r="K35" s="660">
        <f>IFERROR(VLOOKUP($A35,Race_2024_Seasonal!A:X,14,FALSE),0)</f>
        <v>0</v>
      </c>
      <c r="L35" s="660">
        <f>IFERROR(VLOOKUP($A35,Race_2024_Seasonal!A:X,15,FALSE),0)</f>
        <v>0</v>
      </c>
      <c r="M35" s="660">
        <f>IFERROR(VLOOKUP($A35,Race_2024_Seasonal!A:X,16,FALSE),0)</f>
        <v>0</v>
      </c>
      <c r="N35" s="660">
        <f>IFERROR(VLOOKUP($A35,Race_2024_Seasonal!A:X,17,FALSE),0)</f>
        <v>0</v>
      </c>
      <c r="O35" s="660">
        <f>IFERROR(VLOOKUP($A35,Race_2024_Seasonal!A:X,18,FALSE),0)</f>
        <v>0</v>
      </c>
      <c r="P35" s="554"/>
      <c r="Q35" s="660">
        <f t="shared" si="0"/>
        <v>0</v>
      </c>
      <c r="R35" s="554"/>
      <c r="S35" s="670">
        <f>Q35-'P&amp;L'!I35</f>
        <v>0</v>
      </c>
    </row>
    <row r="36" spans="1:19" ht="15" x14ac:dyDescent="0.25">
      <c r="A36" s="546" t="s">
        <v>1236</v>
      </c>
      <c r="B36" s="546" t="e">
        <f>IFERROR(VLOOKUP(A36,Race_2024_Seasonal!A:C,3,FALSE), VLOOKUP(A36,Race_2024_Seasonal!A:C,3,FALSE))</f>
        <v>#N/A</v>
      </c>
      <c r="C36" s="565" t="s">
        <v>923</v>
      </c>
      <c r="D36" s="660">
        <f>IFERROR(VLOOKUP($A36,Race_2024_Seasonal!A:X,7,FALSE),0)</f>
        <v>0</v>
      </c>
      <c r="E36" s="660">
        <f>IFERROR(VLOOKUP($A36,Race_2024_Seasonal!A:X,8,FALSE),0)</f>
        <v>0</v>
      </c>
      <c r="F36" s="660">
        <f>IFERROR(VLOOKUP($A36,Race_2024_Seasonal!A:X,9,FALSE),0)</f>
        <v>0</v>
      </c>
      <c r="G36" s="660">
        <f>IFERROR(VLOOKUP($A36,Race_2024_Seasonal!A:X,10,FALSE),0)</f>
        <v>0</v>
      </c>
      <c r="H36" s="660">
        <f>IFERROR(VLOOKUP($A36,Race_2024_Seasonal!A:X,11,FALSE),0)</f>
        <v>0</v>
      </c>
      <c r="I36" s="660">
        <f>IFERROR(VLOOKUP($A36,Race_2024_Seasonal!A:X,12,FALSE),0)</f>
        <v>0</v>
      </c>
      <c r="J36" s="660">
        <f>IFERROR(VLOOKUP($A36,Race_2024_Seasonal!A:X,13,FALSE),0)</f>
        <v>0</v>
      </c>
      <c r="K36" s="660">
        <f>IFERROR(VLOOKUP($A36,Race_2024_Seasonal!A:X,14,FALSE),0)</f>
        <v>0</v>
      </c>
      <c r="L36" s="660">
        <f>IFERROR(VLOOKUP($A36,Race_2024_Seasonal!A:X,15,FALSE),0)</f>
        <v>0</v>
      </c>
      <c r="M36" s="660">
        <f>IFERROR(VLOOKUP($A36,Race_2024_Seasonal!A:X,16,FALSE),0)</f>
        <v>0</v>
      </c>
      <c r="N36" s="660">
        <f>IFERROR(VLOOKUP($A36,Race_2024_Seasonal!A:X,17,FALSE),0)</f>
        <v>0</v>
      </c>
      <c r="O36" s="660">
        <f>IFERROR(VLOOKUP($A36,Race_2024_Seasonal!A:X,18,FALSE),0)</f>
        <v>0</v>
      </c>
      <c r="P36" s="554"/>
      <c r="Q36" s="660">
        <f t="shared" si="0"/>
        <v>0</v>
      </c>
      <c r="R36" s="554"/>
      <c r="S36" s="670">
        <f>Q36-'P&amp;L'!I36</f>
        <v>0</v>
      </c>
    </row>
    <row r="37" spans="1:19" ht="15" x14ac:dyDescent="0.25">
      <c r="A37" s="546" t="s">
        <v>1237</v>
      </c>
      <c r="B37" s="546" t="e">
        <f>IFERROR(VLOOKUP(A37,Race_2024_Seasonal!A:C,3,FALSE), VLOOKUP(A37,Race_2024_Seasonal!A:C,3,FALSE))</f>
        <v>#N/A</v>
      </c>
      <c r="C37" s="565" t="s">
        <v>672</v>
      </c>
      <c r="D37" s="660">
        <f>IFERROR(VLOOKUP($A37,Race_2024_Seasonal!A:X,7,FALSE),0)</f>
        <v>0</v>
      </c>
      <c r="E37" s="660">
        <f>IFERROR(VLOOKUP($A37,Race_2024_Seasonal!A:X,8,FALSE),0)</f>
        <v>0</v>
      </c>
      <c r="F37" s="660">
        <f>IFERROR(VLOOKUP($A37,Race_2024_Seasonal!A:X,9,FALSE),0)</f>
        <v>0</v>
      </c>
      <c r="G37" s="660">
        <f>IFERROR(VLOOKUP($A37,Race_2024_Seasonal!A:X,10,FALSE),0)</f>
        <v>0</v>
      </c>
      <c r="H37" s="660">
        <f>IFERROR(VLOOKUP($A37,Race_2024_Seasonal!A:X,11,FALSE),0)</f>
        <v>0</v>
      </c>
      <c r="I37" s="660">
        <f>IFERROR(VLOOKUP($A37,Race_2024_Seasonal!A:X,12,FALSE),0)</f>
        <v>0</v>
      </c>
      <c r="J37" s="660">
        <f>IFERROR(VLOOKUP($A37,Race_2024_Seasonal!A:X,13,FALSE),0)</f>
        <v>0</v>
      </c>
      <c r="K37" s="660">
        <f>IFERROR(VLOOKUP($A37,Race_2024_Seasonal!A:X,14,FALSE),0)</f>
        <v>0</v>
      </c>
      <c r="L37" s="660">
        <f>IFERROR(VLOOKUP($A37,Race_2024_Seasonal!A:X,15,FALSE),0)</f>
        <v>0</v>
      </c>
      <c r="M37" s="660">
        <f>IFERROR(VLOOKUP($A37,Race_2024_Seasonal!A:X,16,FALSE),0)</f>
        <v>0</v>
      </c>
      <c r="N37" s="660">
        <f>IFERROR(VLOOKUP($A37,Race_2024_Seasonal!A:X,17,FALSE),0)</f>
        <v>0</v>
      </c>
      <c r="O37" s="660">
        <f>IFERROR(VLOOKUP($A37,Race_2024_Seasonal!A:X,18,FALSE),0)</f>
        <v>0</v>
      </c>
      <c r="P37" s="554"/>
      <c r="Q37" s="660">
        <f t="shared" si="0"/>
        <v>0</v>
      </c>
      <c r="R37" s="554"/>
      <c r="S37" s="670">
        <f>Q37-'P&amp;L'!I37</f>
        <v>0</v>
      </c>
    </row>
    <row r="38" spans="1:19" ht="15" x14ac:dyDescent="0.25">
      <c r="A38" s="546" t="s">
        <v>1238</v>
      </c>
      <c r="B38" s="546" t="e">
        <f>IFERROR(VLOOKUP(A38,Race_2024_Seasonal!A:C,3,FALSE), VLOOKUP(A38,Race_2024_Seasonal!A:C,3,FALSE))</f>
        <v>#N/A</v>
      </c>
      <c r="C38" s="565" t="s">
        <v>924</v>
      </c>
      <c r="D38" s="660">
        <f>IFERROR(VLOOKUP($A38,Race_2024_Seasonal!A:X,7,FALSE),0)</f>
        <v>0</v>
      </c>
      <c r="E38" s="660">
        <f>IFERROR(VLOOKUP($A38,Race_2024_Seasonal!A:X,8,FALSE),0)</f>
        <v>0</v>
      </c>
      <c r="F38" s="660">
        <f>IFERROR(VLOOKUP($A38,Race_2024_Seasonal!A:X,9,FALSE),0)</f>
        <v>0</v>
      </c>
      <c r="G38" s="660">
        <f>IFERROR(VLOOKUP($A38,Race_2024_Seasonal!A:X,10,FALSE),0)</f>
        <v>0</v>
      </c>
      <c r="H38" s="660">
        <f>IFERROR(VLOOKUP($A38,Race_2024_Seasonal!A:X,11,FALSE),0)</f>
        <v>0</v>
      </c>
      <c r="I38" s="660">
        <f>IFERROR(VLOOKUP($A38,Race_2024_Seasonal!A:X,12,FALSE),0)</f>
        <v>0</v>
      </c>
      <c r="J38" s="660">
        <f>IFERROR(VLOOKUP($A38,Race_2024_Seasonal!A:X,13,FALSE),0)</f>
        <v>0</v>
      </c>
      <c r="K38" s="660">
        <f>IFERROR(VLOOKUP($A38,Race_2024_Seasonal!A:X,14,FALSE),0)</f>
        <v>0</v>
      </c>
      <c r="L38" s="660">
        <f>IFERROR(VLOOKUP($A38,Race_2024_Seasonal!A:X,15,FALSE),0)</f>
        <v>0</v>
      </c>
      <c r="M38" s="660">
        <f>IFERROR(VLOOKUP($A38,Race_2024_Seasonal!A:X,16,FALSE),0)</f>
        <v>0</v>
      </c>
      <c r="N38" s="660">
        <f>IFERROR(VLOOKUP($A38,Race_2024_Seasonal!A:X,17,FALSE),0)</f>
        <v>0</v>
      </c>
      <c r="O38" s="660">
        <f>IFERROR(VLOOKUP($A38,Race_2024_Seasonal!A:X,18,FALSE),0)</f>
        <v>0</v>
      </c>
      <c r="P38" s="554"/>
      <c r="Q38" s="660">
        <f t="shared" si="0"/>
        <v>0</v>
      </c>
      <c r="R38" s="554"/>
      <c r="S38" s="670">
        <f>Q38-'P&amp;L'!I38</f>
        <v>0</v>
      </c>
    </row>
    <row r="39" spans="1:19" ht="15" x14ac:dyDescent="0.25">
      <c r="A39" s="546" t="s">
        <v>1239</v>
      </c>
      <c r="B39" s="546" t="e">
        <f>IFERROR(VLOOKUP(A39,Race_2024_Seasonal!A:C,3,FALSE), VLOOKUP(A39,Race_2024_Seasonal!A:C,3,FALSE))</f>
        <v>#N/A</v>
      </c>
      <c r="C39" s="565" t="s">
        <v>925</v>
      </c>
      <c r="D39" s="660">
        <f>IFERROR(VLOOKUP($A39,Race_2024_Seasonal!A:X,7,FALSE),0)</f>
        <v>0</v>
      </c>
      <c r="E39" s="660">
        <f>IFERROR(VLOOKUP($A39,Race_2024_Seasonal!A:X,8,FALSE),0)</f>
        <v>0</v>
      </c>
      <c r="F39" s="660">
        <f>IFERROR(VLOOKUP($A39,Race_2024_Seasonal!A:X,9,FALSE),0)</f>
        <v>0</v>
      </c>
      <c r="G39" s="660">
        <f>IFERROR(VLOOKUP($A39,Race_2024_Seasonal!A:X,10,FALSE),0)</f>
        <v>0</v>
      </c>
      <c r="H39" s="660">
        <f>IFERROR(VLOOKUP($A39,Race_2024_Seasonal!A:X,11,FALSE),0)</f>
        <v>0</v>
      </c>
      <c r="I39" s="660">
        <f>IFERROR(VLOOKUP($A39,Race_2024_Seasonal!A:X,12,FALSE),0)</f>
        <v>0</v>
      </c>
      <c r="J39" s="660">
        <f>IFERROR(VLOOKUP($A39,Race_2024_Seasonal!A:X,13,FALSE),0)</f>
        <v>0</v>
      </c>
      <c r="K39" s="660">
        <f>IFERROR(VLOOKUP($A39,Race_2024_Seasonal!A:X,14,FALSE),0)</f>
        <v>0</v>
      </c>
      <c r="L39" s="660">
        <f>IFERROR(VLOOKUP($A39,Race_2024_Seasonal!A:X,15,FALSE),0)</f>
        <v>0</v>
      </c>
      <c r="M39" s="660">
        <f>IFERROR(VLOOKUP($A39,Race_2024_Seasonal!A:X,16,FALSE),0)</f>
        <v>0</v>
      </c>
      <c r="N39" s="660">
        <f>IFERROR(VLOOKUP($A39,Race_2024_Seasonal!A:X,17,FALSE),0)</f>
        <v>0</v>
      </c>
      <c r="O39" s="660">
        <f>IFERROR(VLOOKUP($A39,Race_2024_Seasonal!A:X,18,FALSE),0)</f>
        <v>0</v>
      </c>
      <c r="P39" s="554"/>
      <c r="Q39" s="660">
        <f t="shared" si="0"/>
        <v>0</v>
      </c>
      <c r="R39" s="554"/>
      <c r="S39" s="670">
        <f>Q39-'P&amp;L'!I39</f>
        <v>0</v>
      </c>
    </row>
    <row r="40" spans="1:19" ht="15" x14ac:dyDescent="0.25">
      <c r="A40" s="546" t="s">
        <v>1240</v>
      </c>
      <c r="B40" s="546" t="e">
        <f>IFERROR(VLOOKUP(A40,Race_2024_Seasonal!A:C,3,FALSE), VLOOKUP(A40,Race_2024_Seasonal!A:C,3,FALSE))</f>
        <v>#N/A</v>
      </c>
      <c r="C40" s="565" t="s">
        <v>926</v>
      </c>
      <c r="D40" s="660">
        <f>IFERROR(VLOOKUP($A40,Race_2024_Seasonal!A:X,7,FALSE),0)</f>
        <v>0</v>
      </c>
      <c r="E40" s="660">
        <f>IFERROR(VLOOKUP($A40,Race_2024_Seasonal!A:X,8,FALSE),0)</f>
        <v>0</v>
      </c>
      <c r="F40" s="660">
        <f>IFERROR(VLOOKUP($A40,Race_2024_Seasonal!A:X,9,FALSE),0)</f>
        <v>0</v>
      </c>
      <c r="G40" s="660">
        <f>IFERROR(VLOOKUP($A40,Race_2024_Seasonal!A:X,10,FALSE),0)</f>
        <v>0</v>
      </c>
      <c r="H40" s="660">
        <f>IFERROR(VLOOKUP($A40,Race_2024_Seasonal!A:X,11,FALSE),0)</f>
        <v>0</v>
      </c>
      <c r="I40" s="660">
        <f>IFERROR(VLOOKUP($A40,Race_2024_Seasonal!A:X,12,FALSE),0)</f>
        <v>0</v>
      </c>
      <c r="J40" s="660">
        <f>IFERROR(VLOOKUP($A40,Race_2024_Seasonal!A:X,13,FALSE),0)</f>
        <v>0</v>
      </c>
      <c r="K40" s="660">
        <f>IFERROR(VLOOKUP($A40,Race_2024_Seasonal!A:X,14,FALSE),0)</f>
        <v>0</v>
      </c>
      <c r="L40" s="660">
        <f>IFERROR(VLOOKUP($A40,Race_2024_Seasonal!A:X,15,FALSE),0)</f>
        <v>0</v>
      </c>
      <c r="M40" s="660">
        <f>IFERROR(VLOOKUP($A40,Race_2024_Seasonal!A:X,16,FALSE),0)</f>
        <v>0</v>
      </c>
      <c r="N40" s="660">
        <f>IFERROR(VLOOKUP($A40,Race_2024_Seasonal!A:X,17,FALSE),0)</f>
        <v>0</v>
      </c>
      <c r="O40" s="660">
        <f>IFERROR(VLOOKUP($A40,Race_2024_Seasonal!A:X,18,FALSE),0)</f>
        <v>0</v>
      </c>
      <c r="P40" s="554"/>
      <c r="Q40" s="660">
        <f t="shared" si="0"/>
        <v>0</v>
      </c>
      <c r="R40" s="554"/>
      <c r="S40" s="670">
        <f>Q40-'P&amp;L'!I40</f>
        <v>0</v>
      </c>
    </row>
    <row r="41" spans="1:19" ht="15" x14ac:dyDescent="0.25">
      <c r="A41" s="546" t="s">
        <v>1241</v>
      </c>
      <c r="B41" s="546" t="e">
        <f>IFERROR(VLOOKUP(A41,Race_2024_Seasonal!A:C,3,FALSE), VLOOKUP(A41,Race_2024_Seasonal!A:C,3,FALSE))</f>
        <v>#N/A</v>
      </c>
      <c r="C41" s="565" t="s">
        <v>927</v>
      </c>
      <c r="D41" s="621">
        <f>IFERROR(VLOOKUP($A41,Race_2024_Seasonal!A:X,7,FALSE),0)</f>
        <v>0</v>
      </c>
      <c r="E41" s="621">
        <f>IFERROR(VLOOKUP($A41,Race_2024_Seasonal!A:X,8,FALSE),0)</f>
        <v>0</v>
      </c>
      <c r="F41" s="621">
        <f>IFERROR(VLOOKUP($A41,Race_2024_Seasonal!A:X,9,FALSE),0)</f>
        <v>0</v>
      </c>
      <c r="G41" s="621">
        <f>IFERROR(VLOOKUP($A41,Race_2024_Seasonal!A:X,10,FALSE),0)</f>
        <v>0</v>
      </c>
      <c r="H41" s="621">
        <f>IFERROR(VLOOKUP($A41,Race_2024_Seasonal!A:X,11,FALSE),0)</f>
        <v>0</v>
      </c>
      <c r="I41" s="621">
        <f>IFERROR(VLOOKUP($A41,Race_2024_Seasonal!A:X,12,FALSE),0)</f>
        <v>0</v>
      </c>
      <c r="J41" s="621">
        <f>IFERROR(VLOOKUP($A41,Race_2024_Seasonal!A:X,13,FALSE),0)</f>
        <v>0</v>
      </c>
      <c r="K41" s="621">
        <f>IFERROR(VLOOKUP($A41,Race_2024_Seasonal!A:X,14,FALSE),0)</f>
        <v>0</v>
      </c>
      <c r="L41" s="621">
        <f>IFERROR(VLOOKUP($A41,Race_2024_Seasonal!A:X,15,FALSE),0)</f>
        <v>0</v>
      </c>
      <c r="M41" s="621">
        <f>IFERROR(VLOOKUP($A41,Race_2024_Seasonal!A:X,16,FALSE),0)</f>
        <v>0</v>
      </c>
      <c r="N41" s="621">
        <f>IFERROR(VLOOKUP($A41,Race_2024_Seasonal!A:X,17,FALSE),0)</f>
        <v>0</v>
      </c>
      <c r="O41" s="621">
        <f>IFERROR(VLOOKUP($A41,Race_2024_Seasonal!A:X,18,FALSE),0)</f>
        <v>0</v>
      </c>
      <c r="P41" s="554"/>
      <c r="Q41" s="621">
        <f t="shared" si="0"/>
        <v>0</v>
      </c>
      <c r="R41" s="554"/>
      <c r="S41" s="670">
        <f>Q41-'P&amp;L'!I41</f>
        <v>0</v>
      </c>
    </row>
    <row r="42" spans="1:19" ht="15" x14ac:dyDescent="0.25">
      <c r="A42" s="546" t="s">
        <v>1242</v>
      </c>
      <c r="B42" s="546" t="e">
        <f>IFERROR(VLOOKUP(A42,Race_2024_Seasonal!A:C,3,FALSE), VLOOKUP(A42,Race_2024_Seasonal!A:C,3,FALSE))</f>
        <v>#N/A</v>
      </c>
      <c r="C42" s="565" t="s">
        <v>928</v>
      </c>
      <c r="D42" s="660">
        <f>IFERROR(VLOOKUP($A42,Race_2024_Seasonal!A:X,7,FALSE),0)</f>
        <v>0</v>
      </c>
      <c r="E42" s="660">
        <f>IFERROR(VLOOKUP($A42,Race_2024_Seasonal!A:X,8,FALSE),0)</f>
        <v>0</v>
      </c>
      <c r="F42" s="660">
        <f>IFERROR(VLOOKUP($A42,Race_2024_Seasonal!A:X,9,FALSE),0)</f>
        <v>0</v>
      </c>
      <c r="G42" s="660">
        <f>IFERROR(VLOOKUP($A42,Race_2024_Seasonal!A:X,10,FALSE),0)</f>
        <v>0</v>
      </c>
      <c r="H42" s="660">
        <f>IFERROR(VLOOKUP($A42,Race_2024_Seasonal!A:X,11,FALSE),0)</f>
        <v>0</v>
      </c>
      <c r="I42" s="660">
        <f>IFERROR(VLOOKUP($A42,Race_2024_Seasonal!A:X,12,FALSE),0)</f>
        <v>0</v>
      </c>
      <c r="J42" s="660">
        <f>IFERROR(VLOOKUP($A42,Race_2024_Seasonal!A:X,13,FALSE),0)</f>
        <v>0</v>
      </c>
      <c r="K42" s="660">
        <f>IFERROR(VLOOKUP($A42,Race_2024_Seasonal!A:X,14,FALSE),0)</f>
        <v>0</v>
      </c>
      <c r="L42" s="660">
        <f>IFERROR(VLOOKUP($A42,Race_2024_Seasonal!A:X,15,FALSE),0)</f>
        <v>0</v>
      </c>
      <c r="M42" s="660">
        <f>IFERROR(VLOOKUP($A42,Race_2024_Seasonal!A:X,16,FALSE),0)</f>
        <v>0</v>
      </c>
      <c r="N42" s="660">
        <f>IFERROR(VLOOKUP($A42,Race_2024_Seasonal!A:X,17,FALSE),0)</f>
        <v>0</v>
      </c>
      <c r="O42" s="660">
        <f>IFERROR(VLOOKUP($A42,Race_2024_Seasonal!A:X,18,FALSE),0)</f>
        <v>0</v>
      </c>
      <c r="P42" s="554"/>
      <c r="Q42" s="660">
        <f t="shared" si="0"/>
        <v>0</v>
      </c>
      <c r="R42" s="554"/>
      <c r="S42" s="670">
        <f>Q42-'P&amp;L'!I42</f>
        <v>0</v>
      </c>
    </row>
    <row r="43" spans="1:19" ht="15" x14ac:dyDescent="0.25">
      <c r="A43" s="546" t="s">
        <v>1243</v>
      </c>
      <c r="B43" s="546" t="e">
        <f>IFERROR(VLOOKUP(A43,Race_2024_Seasonal!A:C,3,FALSE), VLOOKUP(A43,Race_2024_Seasonal!A:C,3,FALSE))</f>
        <v>#N/A</v>
      </c>
      <c r="C43" s="565" t="s">
        <v>671</v>
      </c>
      <c r="D43" s="660">
        <f>IFERROR(VLOOKUP($A43,Race_2024_Seasonal!A:X,7,FALSE),0)</f>
        <v>0</v>
      </c>
      <c r="E43" s="660">
        <f>IFERROR(VLOOKUP($A43,Race_2024_Seasonal!A:X,8,FALSE),0)</f>
        <v>0</v>
      </c>
      <c r="F43" s="660">
        <f>IFERROR(VLOOKUP($A43,Race_2024_Seasonal!A:X,9,FALSE),0)</f>
        <v>0</v>
      </c>
      <c r="G43" s="660">
        <f>IFERROR(VLOOKUP($A43,Race_2024_Seasonal!A:X,10,FALSE),0)</f>
        <v>0</v>
      </c>
      <c r="H43" s="660">
        <f>IFERROR(VLOOKUP($A43,Race_2024_Seasonal!A:X,11,FALSE),0)</f>
        <v>0</v>
      </c>
      <c r="I43" s="660">
        <f>IFERROR(VLOOKUP($A43,Race_2024_Seasonal!A:X,12,FALSE),0)</f>
        <v>0</v>
      </c>
      <c r="J43" s="660">
        <f>IFERROR(VLOOKUP($A43,Race_2024_Seasonal!A:X,13,FALSE),0)</f>
        <v>0</v>
      </c>
      <c r="K43" s="660">
        <f>IFERROR(VLOOKUP($A43,Race_2024_Seasonal!A:X,14,FALSE),0)</f>
        <v>0</v>
      </c>
      <c r="L43" s="660">
        <f>IFERROR(VLOOKUP($A43,Race_2024_Seasonal!A:X,15,FALSE),0)</f>
        <v>0</v>
      </c>
      <c r="M43" s="660">
        <f>IFERROR(VLOOKUP($A43,Race_2024_Seasonal!A:X,16,FALSE),0)</f>
        <v>0</v>
      </c>
      <c r="N43" s="660">
        <f>IFERROR(VLOOKUP($A43,Race_2024_Seasonal!A:X,17,FALSE),0)</f>
        <v>0</v>
      </c>
      <c r="O43" s="660">
        <f>IFERROR(VLOOKUP($A43,Race_2024_Seasonal!A:X,18,FALSE),0)</f>
        <v>0</v>
      </c>
      <c r="P43" s="554"/>
      <c r="Q43" s="660">
        <f t="shared" si="0"/>
        <v>0</v>
      </c>
      <c r="R43" s="554"/>
      <c r="S43" s="670">
        <f>Q43-'P&amp;L'!I43</f>
        <v>0</v>
      </c>
    </row>
    <row r="44" spans="1:19" ht="15" x14ac:dyDescent="0.25">
      <c r="A44" s="546" t="s">
        <v>1244</v>
      </c>
      <c r="B44" s="546" t="str">
        <f>IFERROR(VLOOKUP(A44,Race_2024_Seasonal!A:C,3,FALSE), VLOOKUP(A44,Race_2024_Seasonal!A:C,3,FALSE))</f>
        <v>Var.rew/spoil/scrap</v>
      </c>
      <c r="C44" s="565" t="s">
        <v>184</v>
      </c>
      <c r="D44" s="660">
        <f>IFERROR(VLOOKUP($A44,Race_2024_Seasonal!A:X,7,FALSE),0)</f>
        <v>-240178.86600000001</v>
      </c>
      <c r="E44" s="660">
        <f>IFERROR(VLOOKUP($A44,Race_2024_Seasonal!A:X,8,FALSE),0)</f>
        <v>-211912.117</v>
      </c>
      <c r="F44" s="660">
        <f>IFERROR(VLOOKUP($A44,Race_2024_Seasonal!A:X,9,FALSE),0)</f>
        <v>-232898.856</v>
      </c>
      <c r="G44" s="660">
        <f>IFERROR(VLOOKUP($A44,Race_2024_Seasonal!A:X,10,FALSE),0)</f>
        <v>-242316.557</v>
      </c>
      <c r="H44" s="660">
        <f>IFERROR(VLOOKUP($A44,Race_2024_Seasonal!A:X,11,FALSE),0)</f>
        <v>-247590.74299999999</v>
      </c>
      <c r="I44" s="660">
        <f>IFERROR(VLOOKUP($A44,Race_2024_Seasonal!A:X,12,FALSE),0)</f>
        <v>-229767.03899999999</v>
      </c>
      <c r="J44" s="660">
        <f>IFERROR(VLOOKUP($A44,Race_2024_Seasonal!A:X,13,FALSE),0)</f>
        <v>-265424.89199999999</v>
      </c>
      <c r="K44" s="660">
        <f>IFERROR(VLOOKUP($A44,Race_2024_Seasonal!A:X,14,FALSE),0)</f>
        <v>-203027.55</v>
      </c>
      <c r="L44" s="660">
        <f>IFERROR(VLOOKUP($A44,Race_2024_Seasonal!A:X,15,FALSE),0)</f>
        <v>-220946.58199999999</v>
      </c>
      <c r="M44" s="660">
        <f>IFERROR(VLOOKUP($A44,Race_2024_Seasonal!A:X,16,FALSE),0)</f>
        <v>-247783.48199999999</v>
      </c>
      <c r="N44" s="660">
        <f>IFERROR(VLOOKUP($A44,Race_2024_Seasonal!A:X,17,FALSE),0)</f>
        <v>-247783.48199999999</v>
      </c>
      <c r="O44" s="660">
        <f>IFERROR(VLOOKUP($A44,Race_2024_Seasonal!A:X,18,FALSE),0)</f>
        <v>-247783.484</v>
      </c>
      <c r="P44" s="554"/>
      <c r="Q44" s="660">
        <f t="shared" si="0"/>
        <v>-2837413.65</v>
      </c>
      <c r="R44" s="554"/>
      <c r="S44" s="670">
        <f>Q44-'P&amp;L'!I44</f>
        <v>0</v>
      </c>
    </row>
    <row r="45" spans="1:19" ht="15" x14ac:dyDescent="0.25">
      <c r="A45" s="546" t="s">
        <v>1245</v>
      </c>
      <c r="B45" s="546" t="e">
        <f>IFERROR(VLOOKUP(A45,Race_2024_Seasonal!A:C,3,FALSE), VLOOKUP(A45,Race_2024_Seasonal!A:C,3,FALSE))</f>
        <v>#N/A</v>
      </c>
      <c r="C45" s="565" t="s">
        <v>670</v>
      </c>
      <c r="D45" s="660">
        <f>IFERROR(VLOOKUP($A45,Race_2024_Seasonal!A:X,7,FALSE),0)</f>
        <v>0</v>
      </c>
      <c r="E45" s="660">
        <f>IFERROR(VLOOKUP($A45,Race_2024_Seasonal!A:X,8,FALSE),0)</f>
        <v>0</v>
      </c>
      <c r="F45" s="660">
        <f>IFERROR(VLOOKUP($A45,Race_2024_Seasonal!A:X,9,FALSE),0)</f>
        <v>0</v>
      </c>
      <c r="G45" s="660">
        <f>IFERROR(VLOOKUP($A45,Race_2024_Seasonal!A:X,10,FALSE),0)</f>
        <v>0</v>
      </c>
      <c r="H45" s="660">
        <f>IFERROR(VLOOKUP($A45,Race_2024_Seasonal!A:X,11,FALSE),0)</f>
        <v>0</v>
      </c>
      <c r="I45" s="660">
        <f>IFERROR(VLOOKUP($A45,Race_2024_Seasonal!A:X,12,FALSE),0)</f>
        <v>0</v>
      </c>
      <c r="J45" s="660">
        <f>IFERROR(VLOOKUP($A45,Race_2024_Seasonal!A:X,13,FALSE),0)</f>
        <v>0</v>
      </c>
      <c r="K45" s="660">
        <f>IFERROR(VLOOKUP($A45,Race_2024_Seasonal!A:X,14,FALSE),0)</f>
        <v>0</v>
      </c>
      <c r="L45" s="660">
        <f>IFERROR(VLOOKUP($A45,Race_2024_Seasonal!A:X,15,FALSE),0)</f>
        <v>0</v>
      </c>
      <c r="M45" s="660">
        <f>IFERROR(VLOOKUP($A45,Race_2024_Seasonal!A:X,16,FALSE),0)</f>
        <v>0</v>
      </c>
      <c r="N45" s="660">
        <f>IFERROR(VLOOKUP($A45,Race_2024_Seasonal!A:X,17,FALSE),0)</f>
        <v>0</v>
      </c>
      <c r="O45" s="660">
        <f>IFERROR(VLOOKUP($A45,Race_2024_Seasonal!A:X,18,FALSE),0)</f>
        <v>0</v>
      </c>
      <c r="P45" s="554"/>
      <c r="Q45" s="660">
        <f t="shared" si="0"/>
        <v>0</v>
      </c>
      <c r="R45" s="554"/>
      <c r="S45" s="670">
        <f>Q45-'P&amp;L'!I45</f>
        <v>0</v>
      </c>
    </row>
    <row r="46" spans="1:19" ht="15" x14ac:dyDescent="0.25">
      <c r="A46" s="546" t="s">
        <v>1246</v>
      </c>
      <c r="B46" s="546" t="str">
        <f>IFERROR(VLOOKUP(A46,Race_2024_Seasonal!A:C,3,FALSE), VLOOKUP(A46,Race_2024_Seasonal!A:C,3,FALSE))</f>
        <v>Var.due t.startUp C</v>
      </c>
      <c r="C46" s="565" t="s">
        <v>669</v>
      </c>
      <c r="D46" s="659">
        <f>IFERROR(VLOOKUP($A46,Race_2024_Seasonal!A:X,7,FALSE),0)</f>
        <v>-246500</v>
      </c>
      <c r="E46" s="659">
        <f>IFERROR(VLOOKUP($A46,Race_2024_Seasonal!A:X,8,FALSE),0)</f>
        <v>-178350</v>
      </c>
      <c r="F46" s="659">
        <f>IFERROR(VLOOKUP($A46,Race_2024_Seasonal!A:X,9,FALSE),0)</f>
        <v>-162400</v>
      </c>
      <c r="G46" s="659">
        <f>IFERROR(VLOOKUP($A46,Race_2024_Seasonal!A:X,10,FALSE),0)</f>
        <v>-160950</v>
      </c>
      <c r="H46" s="659">
        <f>IFERROR(VLOOKUP($A46,Race_2024_Seasonal!A:X,11,FALSE),0)</f>
        <v>-224750</v>
      </c>
      <c r="I46" s="659">
        <f>IFERROR(VLOOKUP($A46,Race_2024_Seasonal!A:X,12,FALSE),0)</f>
        <v>-205900</v>
      </c>
      <c r="J46" s="659">
        <f>IFERROR(VLOOKUP($A46,Race_2024_Seasonal!A:X,13,FALSE),0)</f>
        <v>-207350</v>
      </c>
      <c r="K46" s="659">
        <f>IFERROR(VLOOKUP($A46,Race_2024_Seasonal!A:X,14,FALSE),0)</f>
        <v>-163850</v>
      </c>
      <c r="L46" s="659">
        <f>IFERROR(VLOOKUP($A46,Race_2024_Seasonal!A:X,15,FALSE),0)</f>
        <v>-171100</v>
      </c>
      <c r="M46" s="659">
        <f>IFERROR(VLOOKUP($A46,Race_2024_Seasonal!A:X,16,FALSE),0)</f>
        <v>-111650</v>
      </c>
      <c r="N46" s="659">
        <f>IFERROR(VLOOKUP($A46,Race_2024_Seasonal!A:X,17,FALSE),0)</f>
        <v>-133400</v>
      </c>
      <c r="O46" s="659">
        <f>IFERROR(VLOOKUP($A46,Race_2024_Seasonal!A:X,18,FALSE),0)</f>
        <v>-4350</v>
      </c>
      <c r="P46" s="554"/>
      <c r="Q46" s="659">
        <f t="shared" si="0"/>
        <v>-1970550</v>
      </c>
      <c r="R46" s="554"/>
      <c r="S46" s="670">
        <f>Q46-'P&amp;L'!I46</f>
        <v>0</v>
      </c>
    </row>
    <row r="47" spans="1:19" ht="15" x14ac:dyDescent="0.25">
      <c r="A47" s="546" t="s">
        <v>1247</v>
      </c>
      <c r="B47" s="546" t="str">
        <f>IFERROR(VLOOKUP(A47,Race_2024_Seasonal!A:C,3,FALSE), VLOOKUP(A47,Race_2024_Seasonal!A:C,3,FALSE))</f>
        <v>Other cost var. tot</v>
      </c>
      <c r="C47" s="564" t="s">
        <v>668</v>
      </c>
      <c r="D47" s="665">
        <f>IFERROR(VLOOKUP($A47,Race_2024_Seasonal!A:X,7,FALSE),0)</f>
        <v>-75882.156000000003</v>
      </c>
      <c r="E47" s="665">
        <f>IFERROR(VLOOKUP($A47,Race_2024_Seasonal!A:X,8,FALSE),0)</f>
        <v>-66951.554999999993</v>
      </c>
      <c r="F47" s="665">
        <f>IFERROR(VLOOKUP($A47,Race_2024_Seasonal!A:X,9,FALSE),0)</f>
        <v>-73582.108999999997</v>
      </c>
      <c r="G47" s="665">
        <f>IFERROR(VLOOKUP($A47,Race_2024_Seasonal!A:X,10,FALSE),0)</f>
        <v>-76557.539000000004</v>
      </c>
      <c r="H47" s="665">
        <f>IFERROR(VLOOKUP($A47,Race_2024_Seasonal!A:X,11,FALSE),0)</f>
        <v>-78223.865999999995</v>
      </c>
      <c r="I47" s="665">
        <f>IFERROR(VLOOKUP($A47,Race_2024_Seasonal!A:X,12,FALSE),0)</f>
        <v>-72592.642000000007</v>
      </c>
      <c r="J47" s="665">
        <f>IFERROR(VLOOKUP($A47,Race_2024_Seasonal!A:X,13,FALSE),0)</f>
        <v>-83858.391000000003</v>
      </c>
      <c r="K47" s="665">
        <f>IFERROR(VLOOKUP($A47,Race_2024_Seasonal!A:X,14,FALSE),0)</f>
        <v>-64144.563000000002</v>
      </c>
      <c r="L47" s="665">
        <f>IFERROR(VLOOKUP($A47,Race_2024_Seasonal!A:X,15,FALSE),0)</f>
        <v>-69805.904999999999</v>
      </c>
      <c r="M47" s="665">
        <f>IFERROR(VLOOKUP($A47,Race_2024_Seasonal!A:X,16,FALSE),0)</f>
        <v>-78284.759999999995</v>
      </c>
      <c r="N47" s="665">
        <f>IFERROR(VLOOKUP($A47,Race_2024_Seasonal!A:X,17,FALSE),0)</f>
        <v>-78284.759999999995</v>
      </c>
      <c r="O47" s="665">
        <f>IFERROR(VLOOKUP($A47,Race_2024_Seasonal!A:X,18,FALSE),0)</f>
        <v>-78284.759999999995</v>
      </c>
      <c r="P47" s="554"/>
      <c r="Q47" s="665">
        <f t="shared" si="0"/>
        <v>-896453.00599999994</v>
      </c>
      <c r="R47" s="554"/>
      <c r="S47" s="670">
        <f>Q47-'P&amp;L'!I47</f>
        <v>0</v>
      </c>
    </row>
    <row r="48" spans="1:19" ht="15" x14ac:dyDescent="0.25">
      <c r="A48" s="546" t="s">
        <v>1248</v>
      </c>
      <c r="B48" s="546" t="e">
        <f>IFERROR(VLOOKUP(A48,Race_2024_Seasonal!A:C,3,FALSE), VLOOKUP(A48,Race_2024_Seasonal!A:C,3,FALSE))</f>
        <v>#N/A</v>
      </c>
      <c r="C48" s="563" t="s">
        <v>921</v>
      </c>
      <c r="D48" s="624">
        <f>IFERROR(VLOOKUP($A48,Race_2024_Seasonal!A:X,7,FALSE),0)</f>
        <v>0</v>
      </c>
      <c r="E48" s="624">
        <f>IFERROR(VLOOKUP($A48,Race_2024_Seasonal!A:X,8,FALSE),0)</f>
        <v>0</v>
      </c>
      <c r="F48" s="624">
        <f>IFERROR(VLOOKUP($A48,Race_2024_Seasonal!A:X,9,FALSE),0)</f>
        <v>0</v>
      </c>
      <c r="G48" s="624">
        <f>IFERROR(VLOOKUP($A48,Race_2024_Seasonal!A:X,10,FALSE),0)</f>
        <v>0</v>
      </c>
      <c r="H48" s="624">
        <f>IFERROR(VLOOKUP($A48,Race_2024_Seasonal!A:X,11,FALSE),0)</f>
        <v>0</v>
      </c>
      <c r="I48" s="624">
        <f>IFERROR(VLOOKUP($A48,Race_2024_Seasonal!A:X,12,FALSE),0)</f>
        <v>0</v>
      </c>
      <c r="J48" s="624">
        <f>IFERROR(VLOOKUP($A48,Race_2024_Seasonal!A:X,13,FALSE),0)</f>
        <v>0</v>
      </c>
      <c r="K48" s="624">
        <f>IFERROR(VLOOKUP($A48,Race_2024_Seasonal!A:X,14,FALSE),0)</f>
        <v>0</v>
      </c>
      <c r="L48" s="624">
        <f>IFERROR(VLOOKUP($A48,Race_2024_Seasonal!A:X,15,FALSE),0)</f>
        <v>0</v>
      </c>
      <c r="M48" s="624">
        <f>IFERROR(VLOOKUP($A48,Race_2024_Seasonal!A:X,16,FALSE),0)</f>
        <v>0</v>
      </c>
      <c r="N48" s="624">
        <f>IFERROR(VLOOKUP($A48,Race_2024_Seasonal!A:X,17,FALSE),0)</f>
        <v>0</v>
      </c>
      <c r="O48" s="624">
        <f>IFERROR(VLOOKUP($A48,Race_2024_Seasonal!A:X,18,FALSE),0)</f>
        <v>0</v>
      </c>
      <c r="P48" s="554"/>
      <c r="Q48" s="624">
        <f t="shared" si="0"/>
        <v>0</v>
      </c>
      <c r="R48" s="554"/>
      <c r="S48" s="670">
        <f>Q48-'P&amp;L'!I48</f>
        <v>0</v>
      </c>
    </row>
    <row r="49" spans="1:19" ht="15" x14ac:dyDescent="0.25">
      <c r="A49" s="546" t="s">
        <v>1249</v>
      </c>
      <c r="B49" s="546" t="str">
        <f>IFERROR(VLOOKUP(A49,Race_2024_Seasonal!A:C,3,FALSE), VLOOKUP(A49,Race_2024_Seasonal!A:C,3,FALSE))</f>
        <v>R&amp;A and gen.warr.</v>
      </c>
      <c r="C49" s="563" t="s">
        <v>667</v>
      </c>
      <c r="D49" s="624">
        <f>IFERROR(VLOOKUP($A49,Race_2024_Seasonal!A:X,7,FALSE),0)</f>
        <v>-75882.156000000003</v>
      </c>
      <c r="E49" s="624">
        <f>IFERROR(VLOOKUP($A49,Race_2024_Seasonal!A:X,8,FALSE),0)</f>
        <v>-66951.554999999993</v>
      </c>
      <c r="F49" s="624">
        <f>IFERROR(VLOOKUP($A49,Race_2024_Seasonal!A:X,9,FALSE),0)</f>
        <v>-73582.108999999997</v>
      </c>
      <c r="G49" s="624">
        <f>IFERROR(VLOOKUP($A49,Race_2024_Seasonal!A:X,10,FALSE),0)</f>
        <v>-76557.539000000004</v>
      </c>
      <c r="H49" s="624">
        <f>IFERROR(VLOOKUP($A49,Race_2024_Seasonal!A:X,11,FALSE),0)</f>
        <v>-78223.865999999995</v>
      </c>
      <c r="I49" s="624">
        <f>IFERROR(VLOOKUP($A49,Race_2024_Seasonal!A:X,12,FALSE),0)</f>
        <v>-72592.642000000007</v>
      </c>
      <c r="J49" s="624">
        <f>IFERROR(VLOOKUP($A49,Race_2024_Seasonal!A:X,13,FALSE),0)</f>
        <v>-83858.391000000003</v>
      </c>
      <c r="K49" s="624">
        <f>IFERROR(VLOOKUP($A49,Race_2024_Seasonal!A:X,14,FALSE),0)</f>
        <v>-64144.563000000002</v>
      </c>
      <c r="L49" s="624">
        <f>IFERROR(VLOOKUP($A49,Race_2024_Seasonal!A:X,15,FALSE),0)</f>
        <v>-69805.904999999999</v>
      </c>
      <c r="M49" s="624">
        <f>IFERROR(VLOOKUP($A49,Race_2024_Seasonal!A:X,16,FALSE),0)</f>
        <v>-78284.759999999995</v>
      </c>
      <c r="N49" s="624">
        <f>IFERROR(VLOOKUP($A49,Race_2024_Seasonal!A:X,17,FALSE),0)</f>
        <v>-78284.759999999995</v>
      </c>
      <c r="O49" s="624">
        <f>IFERROR(VLOOKUP($A49,Race_2024_Seasonal!A:X,18,FALSE),0)</f>
        <v>-78284.759999999995</v>
      </c>
      <c r="P49" s="554"/>
      <c r="Q49" s="624">
        <f t="shared" si="0"/>
        <v>-896453.00599999994</v>
      </c>
      <c r="R49" s="554"/>
      <c r="S49" s="670">
        <f>Q49-'P&amp;L'!I49</f>
        <v>0</v>
      </c>
    </row>
    <row r="50" spans="1:19" ht="15" x14ac:dyDescent="0.25">
      <c r="A50" s="546" t="s">
        <v>1250</v>
      </c>
      <c r="B50" s="546" t="e">
        <f>IFERROR(VLOOKUP(A50,Race_2024_Seasonal!A:C,3,FALSE), VLOOKUP(A50,Race_2024_Seasonal!A:C,3,FALSE))</f>
        <v>#N/A</v>
      </c>
      <c r="C50" s="563" t="s">
        <v>666</v>
      </c>
      <c r="D50" s="624">
        <f>IFERROR(VLOOKUP($A50,Race_2024_Seasonal!A:X,7,FALSE),0)</f>
        <v>0</v>
      </c>
      <c r="E50" s="624">
        <f>IFERROR(VLOOKUP($A50,Race_2024_Seasonal!A:X,8,FALSE),0)</f>
        <v>0</v>
      </c>
      <c r="F50" s="624">
        <f>IFERROR(VLOOKUP($A50,Race_2024_Seasonal!A:X,9,FALSE),0)</f>
        <v>0</v>
      </c>
      <c r="G50" s="624">
        <f>IFERROR(VLOOKUP($A50,Race_2024_Seasonal!A:X,10,FALSE),0)</f>
        <v>0</v>
      </c>
      <c r="H50" s="624">
        <f>IFERROR(VLOOKUP($A50,Race_2024_Seasonal!A:X,11,FALSE),0)</f>
        <v>0</v>
      </c>
      <c r="I50" s="624">
        <f>IFERROR(VLOOKUP($A50,Race_2024_Seasonal!A:X,12,FALSE),0)</f>
        <v>0</v>
      </c>
      <c r="J50" s="624">
        <f>IFERROR(VLOOKUP($A50,Race_2024_Seasonal!A:X,13,FALSE),0)</f>
        <v>0</v>
      </c>
      <c r="K50" s="624">
        <f>IFERROR(VLOOKUP($A50,Race_2024_Seasonal!A:X,14,FALSE),0)</f>
        <v>0</v>
      </c>
      <c r="L50" s="624">
        <f>IFERROR(VLOOKUP($A50,Race_2024_Seasonal!A:X,15,FALSE),0)</f>
        <v>0</v>
      </c>
      <c r="M50" s="624">
        <f>IFERROR(VLOOKUP($A50,Race_2024_Seasonal!A:X,16,FALSE),0)</f>
        <v>0</v>
      </c>
      <c r="N50" s="624">
        <f>IFERROR(VLOOKUP($A50,Race_2024_Seasonal!A:X,17,FALSE),0)</f>
        <v>0</v>
      </c>
      <c r="O50" s="624">
        <f>IFERROR(VLOOKUP($A50,Race_2024_Seasonal!A:X,18,FALSE),0)</f>
        <v>0</v>
      </c>
      <c r="P50" s="554"/>
      <c r="Q50" s="624">
        <f t="shared" si="0"/>
        <v>0</v>
      </c>
      <c r="R50" s="554"/>
      <c r="S50" s="670">
        <f>Q50-'P&amp;L'!I50</f>
        <v>0</v>
      </c>
    </row>
    <row r="51" spans="1:19" ht="15" x14ac:dyDescent="0.25">
      <c r="A51" s="546" t="s">
        <v>1251</v>
      </c>
      <c r="B51" s="546" t="e">
        <f>IFERROR(VLOOKUP(A51,Race_2024_Seasonal!A:C,3,FALSE), VLOOKUP(A51,Race_2024_Seasonal!A:C,3,FALSE))</f>
        <v>#N/A</v>
      </c>
      <c r="C51" s="563" t="s">
        <v>665</v>
      </c>
      <c r="D51" s="624">
        <f>IFERROR(VLOOKUP($A51,Race_2024_Seasonal!A:X,7,FALSE),0)</f>
        <v>0</v>
      </c>
      <c r="E51" s="624">
        <f>IFERROR(VLOOKUP($A51,Race_2024_Seasonal!A:X,8,FALSE),0)</f>
        <v>0</v>
      </c>
      <c r="F51" s="624">
        <f>IFERROR(VLOOKUP($A51,Race_2024_Seasonal!A:X,9,FALSE),0)</f>
        <v>0</v>
      </c>
      <c r="G51" s="624">
        <f>IFERROR(VLOOKUP($A51,Race_2024_Seasonal!A:X,10,FALSE),0)</f>
        <v>0</v>
      </c>
      <c r="H51" s="624">
        <f>IFERROR(VLOOKUP($A51,Race_2024_Seasonal!A:X,11,FALSE),0)</f>
        <v>0</v>
      </c>
      <c r="I51" s="624">
        <f>IFERROR(VLOOKUP($A51,Race_2024_Seasonal!A:X,12,FALSE),0)</f>
        <v>0</v>
      </c>
      <c r="J51" s="624">
        <f>IFERROR(VLOOKUP($A51,Race_2024_Seasonal!A:X,13,FALSE),0)</f>
        <v>0</v>
      </c>
      <c r="K51" s="624">
        <f>IFERROR(VLOOKUP($A51,Race_2024_Seasonal!A:X,14,FALSE),0)</f>
        <v>0</v>
      </c>
      <c r="L51" s="624">
        <f>IFERROR(VLOOKUP($A51,Race_2024_Seasonal!A:X,15,FALSE),0)</f>
        <v>0</v>
      </c>
      <c r="M51" s="624">
        <f>IFERROR(VLOOKUP($A51,Race_2024_Seasonal!A:X,16,FALSE),0)</f>
        <v>0</v>
      </c>
      <c r="N51" s="624">
        <f>IFERROR(VLOOKUP($A51,Race_2024_Seasonal!A:X,17,FALSE),0)</f>
        <v>0</v>
      </c>
      <c r="O51" s="624">
        <f>IFERROR(VLOOKUP($A51,Race_2024_Seasonal!A:X,18,FALSE),0)</f>
        <v>0</v>
      </c>
      <c r="P51" s="554"/>
      <c r="Q51" s="624">
        <f t="shared" si="0"/>
        <v>0</v>
      </c>
      <c r="R51" s="554"/>
      <c r="S51" s="670">
        <f>Q51-'P&amp;L'!I51</f>
        <v>0</v>
      </c>
    </row>
    <row r="52" spans="1:19" ht="15" x14ac:dyDescent="0.25">
      <c r="A52" s="546" t="s">
        <v>1252</v>
      </c>
      <c r="B52" s="546" t="e">
        <f>IFERROR(VLOOKUP(A52,Race_2024_Seasonal!A:C,3,FALSE), VLOOKUP(A52,Race_2024_Seasonal!A:C,3,FALSE))</f>
        <v>#N/A</v>
      </c>
      <c r="C52" s="563" t="s">
        <v>664</v>
      </c>
      <c r="D52" s="624">
        <f>IFERROR(VLOOKUP($A52,Race_2024_Seasonal!A:X,7,FALSE),0)</f>
        <v>0</v>
      </c>
      <c r="E52" s="624">
        <f>IFERROR(VLOOKUP($A52,Race_2024_Seasonal!A:X,8,FALSE),0)</f>
        <v>0</v>
      </c>
      <c r="F52" s="624">
        <f>IFERROR(VLOOKUP($A52,Race_2024_Seasonal!A:X,9,FALSE),0)</f>
        <v>0</v>
      </c>
      <c r="G52" s="624">
        <f>IFERROR(VLOOKUP($A52,Race_2024_Seasonal!A:X,10,FALSE),0)</f>
        <v>0</v>
      </c>
      <c r="H52" s="624">
        <f>IFERROR(VLOOKUP($A52,Race_2024_Seasonal!A:X,11,FALSE),0)</f>
        <v>0</v>
      </c>
      <c r="I52" s="624">
        <f>IFERROR(VLOOKUP($A52,Race_2024_Seasonal!A:X,12,FALSE),0)</f>
        <v>0</v>
      </c>
      <c r="J52" s="624">
        <f>IFERROR(VLOOKUP($A52,Race_2024_Seasonal!A:X,13,FALSE),0)</f>
        <v>0</v>
      </c>
      <c r="K52" s="624">
        <f>IFERROR(VLOOKUP($A52,Race_2024_Seasonal!A:X,14,FALSE),0)</f>
        <v>0</v>
      </c>
      <c r="L52" s="624">
        <f>IFERROR(VLOOKUP($A52,Race_2024_Seasonal!A:X,15,FALSE),0)</f>
        <v>0</v>
      </c>
      <c r="M52" s="624">
        <f>IFERROR(VLOOKUP($A52,Race_2024_Seasonal!A:X,16,FALSE),0)</f>
        <v>0</v>
      </c>
      <c r="N52" s="624">
        <f>IFERROR(VLOOKUP($A52,Race_2024_Seasonal!A:X,17,FALSE),0)</f>
        <v>0</v>
      </c>
      <c r="O52" s="624">
        <f>IFERROR(VLOOKUP($A52,Race_2024_Seasonal!A:X,18,FALSE),0)</f>
        <v>0</v>
      </c>
      <c r="P52" s="554"/>
      <c r="Q52" s="624">
        <f t="shared" si="0"/>
        <v>0</v>
      </c>
      <c r="R52" s="554"/>
      <c r="S52" s="670">
        <f>Q52-'P&amp;L'!I52</f>
        <v>0</v>
      </c>
    </row>
    <row r="53" spans="1:19" ht="15" x14ac:dyDescent="0.25">
      <c r="A53" s="614" t="s">
        <v>1253</v>
      </c>
      <c r="B53" s="546" t="str">
        <f>IFERROR(VLOOKUP(A53,Race_2024_Seasonal!A:C,3,FALSE), VLOOKUP(A53,Race_2024_Seasonal!A:C,3,FALSE))</f>
        <v>MC after variations</v>
      </c>
      <c r="C53" s="615" t="s">
        <v>444</v>
      </c>
      <c r="D53" s="622">
        <f>IFERROR(VLOOKUP($A53,Race_2024_Seasonal!A:X,7,FALSE),0)</f>
        <v>-162103.45499999999</v>
      </c>
      <c r="E53" s="622">
        <f>IFERROR(VLOOKUP($A53,Race_2024_Seasonal!A:X,8,FALSE),0)</f>
        <v>-22683.742999999999</v>
      </c>
      <c r="F53" s="622">
        <f>IFERROR(VLOOKUP($A53,Race_2024_Seasonal!A:X,9,FALSE),0)</f>
        <v>-90504.351999999999</v>
      </c>
      <c r="G53" s="622">
        <f>IFERROR(VLOOKUP($A53,Race_2024_Seasonal!A:X,10,FALSE),0)</f>
        <v>-113277.675</v>
      </c>
      <c r="H53" s="622">
        <f>IFERROR(VLOOKUP($A53,Race_2024_Seasonal!A:X,11,FALSE),0)</f>
        <v>-205086.33199999999</v>
      </c>
      <c r="I53" s="622">
        <f>IFERROR(VLOOKUP($A53,Race_2024_Seasonal!A:X,12,FALSE),0)</f>
        <v>4554597.6720000003</v>
      </c>
      <c r="J53" s="622">
        <f>IFERROR(VLOOKUP($A53,Race_2024_Seasonal!A:X,13,FALSE),0)</f>
        <v>4315479.7</v>
      </c>
      <c r="K53" s="622">
        <f>IFERROR(VLOOKUP($A53,Race_2024_Seasonal!A:X,14,FALSE),0)</f>
        <v>4116695.5759999999</v>
      </c>
      <c r="L53" s="622">
        <f>IFERROR(VLOOKUP($A53,Race_2024_Seasonal!A:X,15,FALSE),0)</f>
        <v>3485855.07</v>
      </c>
      <c r="M53" s="622">
        <f>IFERROR(VLOOKUP($A53,Race_2024_Seasonal!A:X,16,FALSE),0)</f>
        <v>4070968.8319999999</v>
      </c>
      <c r="N53" s="622">
        <f>IFERROR(VLOOKUP($A53,Race_2024_Seasonal!A:X,17,FALSE),0)</f>
        <v>4049218.8319999999</v>
      </c>
      <c r="O53" s="622">
        <f>IFERROR(VLOOKUP($A53,Race_2024_Seasonal!A:X,18,FALSE),0)</f>
        <v>5578666.2659999998</v>
      </c>
      <c r="P53" s="554"/>
      <c r="Q53" s="622">
        <f t="shared" si="0"/>
        <v>29577826.390999999</v>
      </c>
      <c r="R53" s="554"/>
      <c r="S53" s="670">
        <f>Q53-'P&amp;L'!I53</f>
        <v>0</v>
      </c>
    </row>
    <row r="54" spans="1:19" ht="15" x14ac:dyDescent="0.25">
      <c r="A54" s="546" t="s">
        <v>1254</v>
      </c>
      <c r="B54" s="546" t="str">
        <f>IFERROR(VLOOKUP(A54,Race_2024_Seasonal!A:C,3,FALSE), VLOOKUP(A54,Race_2024_Seasonal!A:C,3,FALSE))</f>
        <v>Prod.&amp;mat.mgmt.exp.</v>
      </c>
      <c r="C54" s="552" t="s">
        <v>663</v>
      </c>
      <c r="D54" s="664">
        <f>IFERROR(VLOOKUP($A54,Race_2024_Seasonal!A:X,7,FALSE),0)</f>
        <v>-1642874.08</v>
      </c>
      <c r="E54" s="664">
        <f>IFERROR(VLOOKUP($A54,Race_2024_Seasonal!A:X,8,FALSE),0)</f>
        <v>-1702763.8459999999</v>
      </c>
      <c r="F54" s="664">
        <f>IFERROR(VLOOKUP($A54,Race_2024_Seasonal!A:X,9,FALSE),0)</f>
        <v>-1670491.618</v>
      </c>
      <c r="G54" s="664">
        <f>IFERROR(VLOOKUP($A54,Race_2024_Seasonal!A:X,10,FALSE),0)</f>
        <v>-1586195.915</v>
      </c>
      <c r="H54" s="664">
        <f>IFERROR(VLOOKUP($A54,Race_2024_Seasonal!A:X,11,FALSE),0)</f>
        <v>-1630612.1470000001</v>
      </c>
      <c r="I54" s="664">
        <f>IFERROR(VLOOKUP($A54,Race_2024_Seasonal!A:X,12,FALSE),0)</f>
        <v>-1617138.692</v>
      </c>
      <c r="J54" s="664">
        <f>IFERROR(VLOOKUP($A54,Race_2024_Seasonal!A:X,13,FALSE),0)</f>
        <v>-1762326.1470000001</v>
      </c>
      <c r="K54" s="664">
        <f>IFERROR(VLOOKUP($A54,Race_2024_Seasonal!A:X,14,FALSE),0)</f>
        <v>-1779396.379</v>
      </c>
      <c r="L54" s="664">
        <f>IFERROR(VLOOKUP($A54,Race_2024_Seasonal!A:X,15,FALSE),0)</f>
        <v>-1697975.82</v>
      </c>
      <c r="M54" s="664">
        <f>IFERROR(VLOOKUP($A54,Race_2024_Seasonal!A:X,16,FALSE),0)</f>
        <v>-1677487.594</v>
      </c>
      <c r="N54" s="664">
        <f>IFERROR(VLOOKUP($A54,Race_2024_Seasonal!A:X,17,FALSE),0)</f>
        <v>-1668551.956</v>
      </c>
      <c r="O54" s="664">
        <f>IFERROR(VLOOKUP($A54,Race_2024_Seasonal!A:X,18,FALSE),0)</f>
        <v>-1671648.4809999999</v>
      </c>
      <c r="P54" s="554"/>
      <c r="Q54" s="664">
        <f t="shared" si="0"/>
        <v>-20107462.675000001</v>
      </c>
      <c r="R54" s="554"/>
      <c r="S54" s="670">
        <f>Q54-'P&amp;L'!I54</f>
        <v>0</v>
      </c>
    </row>
    <row r="55" spans="1:19" ht="15" x14ac:dyDescent="0.25">
      <c r="A55" s="546" t="s">
        <v>1255</v>
      </c>
      <c r="B55" s="546" t="str">
        <f>IFERROR(VLOOKUP(A55,Race_2024_Seasonal!A:C,3,FALSE), VLOOKUP(A55,Race_2024_Seasonal!A:C,3,FALSE))</f>
        <v>PE production</v>
      </c>
      <c r="C55" s="549" t="s">
        <v>662</v>
      </c>
      <c r="D55" s="624">
        <f>IFERROR(VLOOKUP($A55,Race_2024_Seasonal!A:X,7,FALSE),0)</f>
        <v>-1228609.858</v>
      </c>
      <c r="E55" s="624">
        <f>IFERROR(VLOOKUP($A55,Race_2024_Seasonal!A:X,8,FALSE),0)</f>
        <v>-1293643.6529999999</v>
      </c>
      <c r="F55" s="624">
        <f>IFERROR(VLOOKUP($A55,Race_2024_Seasonal!A:X,9,FALSE),0)</f>
        <v>-1269647.689</v>
      </c>
      <c r="G55" s="624">
        <f>IFERROR(VLOOKUP($A55,Race_2024_Seasonal!A:X,10,FALSE),0)</f>
        <v>-1198266.6189999999</v>
      </c>
      <c r="H55" s="624">
        <f>IFERROR(VLOOKUP($A55,Race_2024_Seasonal!A:X,11,FALSE),0)</f>
        <v>-1229670.378</v>
      </c>
      <c r="I55" s="624">
        <f>IFERROR(VLOOKUP($A55,Race_2024_Seasonal!A:X,12,FALSE),0)</f>
        <v>-195174.87599999999</v>
      </c>
      <c r="J55" s="624">
        <f>IFERROR(VLOOKUP($A55,Race_2024_Seasonal!A:X,13,FALSE),0)</f>
        <v>-329479.70199999999</v>
      </c>
      <c r="K55" s="624">
        <f>IFERROR(VLOOKUP($A55,Race_2024_Seasonal!A:X,14,FALSE),0)</f>
        <v>-461555.69400000002</v>
      </c>
      <c r="L55" s="624">
        <f>IFERROR(VLOOKUP($A55,Race_2024_Seasonal!A:X,15,FALSE),0)</f>
        <v>-505270.26299999998</v>
      </c>
      <c r="M55" s="624">
        <f>IFERROR(VLOOKUP($A55,Race_2024_Seasonal!A:X,16,FALSE),0)</f>
        <v>-345907.17300000001</v>
      </c>
      <c r="N55" s="624">
        <f>IFERROR(VLOOKUP($A55,Race_2024_Seasonal!A:X,17,FALSE),0)</f>
        <v>-344691.49699999997</v>
      </c>
      <c r="O55" s="624">
        <f>IFERROR(VLOOKUP($A55,Race_2024_Seasonal!A:X,18,FALSE),0)</f>
        <v>-31829.413</v>
      </c>
      <c r="P55" s="554"/>
      <c r="Q55" s="624">
        <f t="shared" si="0"/>
        <v>-8433746.8150000013</v>
      </c>
      <c r="R55" s="554"/>
      <c r="S55" s="670">
        <f>Q55-'P&amp;L'!I55</f>
        <v>0</v>
      </c>
    </row>
    <row r="56" spans="1:19" ht="15" x14ac:dyDescent="0.25">
      <c r="A56" s="546" t="s">
        <v>1256</v>
      </c>
      <c r="B56" s="546" t="str">
        <f>IFERROR(VLOOKUP(A56,Race_2024_Seasonal!A:C,3,FALSE), VLOOKUP(A56,Race_2024_Seasonal!A:C,3,FALSE))</f>
        <v>PE mat. management</v>
      </c>
      <c r="C56" s="549" t="s">
        <v>661</v>
      </c>
      <c r="D56" s="624">
        <f>IFERROR(VLOOKUP($A56,Race_2024_Seasonal!A:X,7,FALSE),0)</f>
        <v>-335178.58899999998</v>
      </c>
      <c r="E56" s="624">
        <f>IFERROR(VLOOKUP($A56,Race_2024_Seasonal!A:X,8,FALSE),0)</f>
        <v>-327990.55099999998</v>
      </c>
      <c r="F56" s="624">
        <f>IFERROR(VLOOKUP($A56,Race_2024_Seasonal!A:X,9,FALSE),0)</f>
        <v>-318020.592</v>
      </c>
      <c r="G56" s="624">
        <f>IFERROR(VLOOKUP($A56,Race_2024_Seasonal!A:X,10,FALSE),0)</f>
        <v>-310763.76500000001</v>
      </c>
      <c r="H56" s="624">
        <f>IFERROR(VLOOKUP($A56,Race_2024_Seasonal!A:X,11,FALSE),0)</f>
        <v>-315774.33100000001</v>
      </c>
      <c r="I56" s="624">
        <f>IFERROR(VLOOKUP($A56,Race_2024_Seasonal!A:X,12,FALSE),0)</f>
        <v>-316922.54100000003</v>
      </c>
      <c r="J56" s="624">
        <f>IFERROR(VLOOKUP($A56,Race_2024_Seasonal!A:X,13,FALSE),0)</f>
        <v>-349227.40299999999</v>
      </c>
      <c r="K56" s="624">
        <f>IFERROR(VLOOKUP($A56,Race_2024_Seasonal!A:X,14,FALSE),0)</f>
        <v>-334037.12599999999</v>
      </c>
      <c r="L56" s="624">
        <f>IFERROR(VLOOKUP($A56,Race_2024_Seasonal!A:X,15,FALSE),0)</f>
        <v>-335623.99900000001</v>
      </c>
      <c r="M56" s="624">
        <f>IFERROR(VLOOKUP($A56,Race_2024_Seasonal!A:X,16,FALSE),0)</f>
        <v>-346677.20500000002</v>
      </c>
      <c r="N56" s="624">
        <f>IFERROR(VLOOKUP($A56,Race_2024_Seasonal!A:X,17,FALSE),0)</f>
        <v>-343882.66899999999</v>
      </c>
      <c r="O56" s="624">
        <f>IFERROR(VLOOKUP($A56,Race_2024_Seasonal!A:X,18,FALSE),0)</f>
        <v>-346548.44</v>
      </c>
      <c r="P56" s="554"/>
      <c r="Q56" s="624">
        <f t="shared" si="0"/>
        <v>-3980647.2109999997</v>
      </c>
      <c r="R56" s="554"/>
      <c r="S56" s="670">
        <f>Q56-'P&amp;L'!I56</f>
        <v>0</v>
      </c>
    </row>
    <row r="57" spans="1:19" ht="15" x14ac:dyDescent="0.25">
      <c r="A57" s="546" t="s">
        <v>1257</v>
      </c>
      <c r="B57" s="546" t="str">
        <f>IFERROR(VLOOKUP(A57,Race_2024_Seasonal!A:C,3,FALSE), VLOOKUP(A57,Race_2024_Seasonal!A:C,3,FALSE))</f>
        <v>PE plant admin.</v>
      </c>
      <c r="C57" s="549" t="s">
        <v>660</v>
      </c>
      <c r="D57" s="659">
        <f>IFERROR(VLOOKUP($A57,Race_2024_Seasonal!A:X,7,FALSE),0)</f>
        <v>-79085.633000000002</v>
      </c>
      <c r="E57" s="659">
        <f>IFERROR(VLOOKUP($A57,Race_2024_Seasonal!A:X,8,FALSE),0)</f>
        <v>-81129.642000000007</v>
      </c>
      <c r="F57" s="659">
        <f>IFERROR(VLOOKUP($A57,Race_2024_Seasonal!A:X,9,FALSE),0)</f>
        <v>-82823.337</v>
      </c>
      <c r="G57" s="659">
        <f>IFERROR(VLOOKUP($A57,Race_2024_Seasonal!A:X,10,FALSE),0)</f>
        <v>-77165.531000000003</v>
      </c>
      <c r="H57" s="659">
        <f>IFERROR(VLOOKUP($A57,Race_2024_Seasonal!A:X,11,FALSE),0)</f>
        <v>-85167.437999999995</v>
      </c>
      <c r="I57" s="659">
        <f>IFERROR(VLOOKUP($A57,Race_2024_Seasonal!A:X,12,FALSE),0)</f>
        <v>-89054.854000000007</v>
      </c>
      <c r="J57" s="659">
        <f>IFERROR(VLOOKUP($A57,Race_2024_Seasonal!A:X,13,FALSE),0)</f>
        <v>-99746.698999999993</v>
      </c>
      <c r="K57" s="659">
        <f>IFERROR(VLOOKUP($A57,Race_2024_Seasonal!A:X,14,FALSE),0)</f>
        <v>-85669.744999999995</v>
      </c>
      <c r="L57" s="659">
        <f>IFERROR(VLOOKUP($A57,Race_2024_Seasonal!A:X,15,FALSE),0)</f>
        <v>-87252.574999999997</v>
      </c>
      <c r="M57" s="659">
        <f>IFERROR(VLOOKUP($A57,Race_2024_Seasonal!A:X,16,FALSE),0)</f>
        <v>-86769.402000000002</v>
      </c>
      <c r="N57" s="659">
        <f>IFERROR(VLOOKUP($A57,Race_2024_Seasonal!A:X,17,FALSE),0)</f>
        <v>-81843.975999999995</v>
      </c>
      <c r="O57" s="659">
        <f>IFERROR(VLOOKUP($A57,Race_2024_Seasonal!A:X,18,FALSE),0)</f>
        <v>-92173.816999999995</v>
      </c>
      <c r="P57" s="554"/>
      <c r="Q57" s="659">
        <f t="shared" si="0"/>
        <v>-1027882.649</v>
      </c>
      <c r="R57" s="554"/>
      <c r="S57" s="670">
        <f>Q57-'P&amp;L'!I57</f>
        <v>0</v>
      </c>
    </row>
    <row r="58" spans="1:19" ht="15" x14ac:dyDescent="0.25">
      <c r="A58" s="546" t="s">
        <v>1258</v>
      </c>
      <c r="B58" s="546" t="str">
        <f>IFERROR(VLOOKUP(A58,Race_2024_Seasonal!A:C,3,FALSE), VLOOKUP(A58,Race_2024_Seasonal!A:C,3,FALSE))</f>
        <v>Period expenses ICO</v>
      </c>
      <c r="C58" s="549" t="s">
        <v>313</v>
      </c>
      <c r="D58" s="659">
        <f>IFERROR(VLOOKUP($A58,Race_2024_Seasonal!A:X,7,FALSE),0)</f>
        <v>0</v>
      </c>
      <c r="E58" s="659">
        <f>IFERROR(VLOOKUP($A58,Race_2024_Seasonal!A:X,8,FALSE),0)</f>
        <v>0</v>
      </c>
      <c r="F58" s="659">
        <f>IFERROR(VLOOKUP($A58,Race_2024_Seasonal!A:X,9,FALSE),0)</f>
        <v>0</v>
      </c>
      <c r="G58" s="659">
        <f>IFERROR(VLOOKUP($A58,Race_2024_Seasonal!A:X,10,FALSE),0)</f>
        <v>0</v>
      </c>
      <c r="H58" s="659">
        <f>IFERROR(VLOOKUP($A58,Race_2024_Seasonal!A:X,11,FALSE),0)</f>
        <v>0</v>
      </c>
      <c r="I58" s="659">
        <f>IFERROR(VLOOKUP($A58,Race_2024_Seasonal!A:X,12,FALSE),0)</f>
        <v>-1015986.421</v>
      </c>
      <c r="J58" s="659">
        <f>IFERROR(VLOOKUP($A58,Race_2024_Seasonal!A:X,13,FALSE),0)</f>
        <v>-983872.34299999999</v>
      </c>
      <c r="K58" s="659">
        <f>IFERROR(VLOOKUP($A58,Race_2024_Seasonal!A:X,14,FALSE),0)</f>
        <v>-898133.81400000001</v>
      </c>
      <c r="L58" s="659">
        <f>IFERROR(VLOOKUP($A58,Race_2024_Seasonal!A:X,15,FALSE),0)</f>
        <v>-769828.98300000001</v>
      </c>
      <c r="M58" s="659">
        <f>IFERROR(VLOOKUP($A58,Race_2024_Seasonal!A:X,16,FALSE),0)</f>
        <v>-898133.81400000001</v>
      </c>
      <c r="N58" s="659">
        <f>IFERROR(VLOOKUP($A58,Race_2024_Seasonal!A:X,17,FALSE),0)</f>
        <v>-898133.81400000001</v>
      </c>
      <c r="O58" s="659">
        <f>IFERROR(VLOOKUP($A58,Race_2024_Seasonal!A:X,18,FALSE),0)</f>
        <v>-1201096.811</v>
      </c>
      <c r="P58" s="554"/>
      <c r="Q58" s="659">
        <f t="shared" si="0"/>
        <v>-6665186</v>
      </c>
      <c r="R58" s="554"/>
      <c r="S58" s="670">
        <f>Q58-'P&amp;L'!I58</f>
        <v>0</v>
      </c>
    </row>
    <row r="59" spans="1:19" ht="15" x14ac:dyDescent="0.25">
      <c r="A59" s="546" t="s">
        <v>1259</v>
      </c>
      <c r="B59" s="546" t="e">
        <f>IFERROR(VLOOKUP(A59,Race_2024_Seasonal!A:C,3,FALSE), VLOOKUP(A59,Race_2024_Seasonal!A:C,3,FALSE))</f>
        <v>#N/A</v>
      </c>
      <c r="C59" s="556" t="s">
        <v>659</v>
      </c>
      <c r="D59" s="661">
        <f>IFERROR(VLOOKUP($A59,Race_2024_Seasonal!A:X,7,FALSE),0)</f>
        <v>0</v>
      </c>
      <c r="E59" s="661">
        <f>IFERROR(VLOOKUP($A59,Race_2024_Seasonal!A:X,8,FALSE),0)</f>
        <v>0</v>
      </c>
      <c r="F59" s="661">
        <f>IFERROR(VLOOKUP($A59,Race_2024_Seasonal!A:X,9,FALSE),0)</f>
        <v>0</v>
      </c>
      <c r="G59" s="661">
        <f>IFERROR(VLOOKUP($A59,Race_2024_Seasonal!A:X,10,FALSE),0)</f>
        <v>0</v>
      </c>
      <c r="H59" s="661">
        <f>IFERROR(VLOOKUP($A59,Race_2024_Seasonal!A:X,11,FALSE),0)</f>
        <v>0</v>
      </c>
      <c r="I59" s="661">
        <f>IFERROR(VLOOKUP($A59,Race_2024_Seasonal!A:X,12,FALSE),0)</f>
        <v>0</v>
      </c>
      <c r="J59" s="661">
        <f>IFERROR(VLOOKUP($A59,Race_2024_Seasonal!A:X,13,FALSE),0)</f>
        <v>0</v>
      </c>
      <c r="K59" s="661">
        <f>IFERROR(VLOOKUP($A59,Race_2024_Seasonal!A:X,14,FALSE),0)</f>
        <v>0</v>
      </c>
      <c r="L59" s="661">
        <f>IFERROR(VLOOKUP($A59,Race_2024_Seasonal!A:X,15,FALSE),0)</f>
        <v>0</v>
      </c>
      <c r="M59" s="661">
        <f>IFERROR(VLOOKUP($A59,Race_2024_Seasonal!A:X,16,FALSE),0)</f>
        <v>0</v>
      </c>
      <c r="N59" s="661">
        <f>IFERROR(VLOOKUP($A59,Race_2024_Seasonal!A:X,17,FALSE),0)</f>
        <v>0</v>
      </c>
      <c r="O59" s="661">
        <f>IFERROR(VLOOKUP($A59,Race_2024_Seasonal!A:X,18,FALSE),0)</f>
        <v>0</v>
      </c>
      <c r="P59" s="554"/>
      <c r="Q59" s="661">
        <f t="shared" si="0"/>
        <v>0</v>
      </c>
      <c r="R59" s="554"/>
      <c r="S59" s="670">
        <f>Q59-'P&amp;L'!I59</f>
        <v>0</v>
      </c>
    </row>
    <row r="60" spans="1:19" ht="15" x14ac:dyDescent="0.25">
      <c r="A60" s="546" t="s">
        <v>1260</v>
      </c>
      <c r="B60" s="546" t="e">
        <f>IFERROR(VLOOKUP(A60,Race_2024_Seasonal!A:C,3,FALSE), VLOOKUP(A60,Race_2024_Seasonal!A:C,3,FALSE))</f>
        <v>#N/A</v>
      </c>
      <c r="C60" s="552" t="s">
        <v>658</v>
      </c>
      <c r="D60" s="666">
        <f>IFERROR(VLOOKUP($A60,Race_2024_Seasonal!A:X,7,FALSE),0)</f>
        <v>0</v>
      </c>
      <c r="E60" s="666">
        <f>IFERROR(VLOOKUP($A60,Race_2024_Seasonal!A:X,8,FALSE),0)</f>
        <v>0</v>
      </c>
      <c r="F60" s="666">
        <f>IFERROR(VLOOKUP($A60,Race_2024_Seasonal!A:X,9,FALSE),0)</f>
        <v>0</v>
      </c>
      <c r="G60" s="666">
        <f>IFERROR(VLOOKUP($A60,Race_2024_Seasonal!A:X,10,FALSE),0)</f>
        <v>0</v>
      </c>
      <c r="H60" s="666">
        <f>IFERROR(VLOOKUP($A60,Race_2024_Seasonal!A:X,11,FALSE),0)</f>
        <v>0</v>
      </c>
      <c r="I60" s="666">
        <f>IFERROR(VLOOKUP($A60,Race_2024_Seasonal!A:X,12,FALSE),0)</f>
        <v>0</v>
      </c>
      <c r="J60" s="666">
        <f>IFERROR(VLOOKUP($A60,Race_2024_Seasonal!A:X,13,FALSE),0)</f>
        <v>0</v>
      </c>
      <c r="K60" s="666">
        <f>IFERROR(VLOOKUP($A60,Race_2024_Seasonal!A:X,14,FALSE),0)</f>
        <v>0</v>
      </c>
      <c r="L60" s="666">
        <f>IFERROR(VLOOKUP($A60,Race_2024_Seasonal!A:X,15,FALSE),0)</f>
        <v>0</v>
      </c>
      <c r="M60" s="666">
        <f>IFERROR(VLOOKUP($A60,Race_2024_Seasonal!A:X,16,FALSE),0)</f>
        <v>0</v>
      </c>
      <c r="N60" s="666">
        <f>IFERROR(VLOOKUP($A60,Race_2024_Seasonal!A:X,17,FALSE),0)</f>
        <v>0</v>
      </c>
      <c r="O60" s="666">
        <f>IFERROR(VLOOKUP($A60,Race_2024_Seasonal!A:X,18,FALSE),0)</f>
        <v>0</v>
      </c>
      <c r="P60" s="554"/>
      <c r="Q60" s="666">
        <f t="shared" si="0"/>
        <v>0</v>
      </c>
      <c r="R60" s="554"/>
      <c r="S60" s="670">
        <f>Q60-'P&amp;L'!I60</f>
        <v>0</v>
      </c>
    </row>
    <row r="61" spans="1:19" ht="15" x14ac:dyDescent="0.25">
      <c r="A61" s="546" t="s">
        <v>1261</v>
      </c>
      <c r="B61" s="546" t="e">
        <f>IFERROR(VLOOKUP(A61,Race_2024_Seasonal!A:C,3,FALSE), VLOOKUP(A61,Race_2024_Seasonal!A:C,3,FALSE))</f>
        <v>#N/A</v>
      </c>
      <c r="C61" s="549" t="s">
        <v>657</v>
      </c>
      <c r="D61" s="621">
        <f>IFERROR(VLOOKUP($A61,Race_2024_Seasonal!A:X,7,FALSE),0)</f>
        <v>0</v>
      </c>
      <c r="E61" s="621">
        <f>IFERROR(VLOOKUP($A61,Race_2024_Seasonal!A:X,8,FALSE),0)</f>
        <v>0</v>
      </c>
      <c r="F61" s="621">
        <f>IFERROR(VLOOKUP($A61,Race_2024_Seasonal!A:X,9,FALSE),0)</f>
        <v>0</v>
      </c>
      <c r="G61" s="621">
        <f>IFERROR(VLOOKUP($A61,Race_2024_Seasonal!A:X,10,FALSE),0)</f>
        <v>0</v>
      </c>
      <c r="H61" s="621">
        <f>IFERROR(VLOOKUP($A61,Race_2024_Seasonal!A:X,11,FALSE),0)</f>
        <v>0</v>
      </c>
      <c r="I61" s="621">
        <f>IFERROR(VLOOKUP($A61,Race_2024_Seasonal!A:X,12,FALSE),0)</f>
        <v>0</v>
      </c>
      <c r="J61" s="621">
        <f>IFERROR(VLOOKUP($A61,Race_2024_Seasonal!A:X,13,FALSE),0)</f>
        <v>0</v>
      </c>
      <c r="K61" s="621">
        <f>IFERROR(VLOOKUP($A61,Race_2024_Seasonal!A:X,14,FALSE),0)</f>
        <v>0</v>
      </c>
      <c r="L61" s="621">
        <f>IFERROR(VLOOKUP($A61,Race_2024_Seasonal!A:X,15,FALSE),0)</f>
        <v>0</v>
      </c>
      <c r="M61" s="621">
        <f>IFERROR(VLOOKUP($A61,Race_2024_Seasonal!A:X,16,FALSE),0)</f>
        <v>0</v>
      </c>
      <c r="N61" s="621">
        <f>IFERROR(VLOOKUP($A61,Race_2024_Seasonal!A:X,17,FALSE),0)</f>
        <v>0</v>
      </c>
      <c r="O61" s="621">
        <f>IFERROR(VLOOKUP($A61,Race_2024_Seasonal!A:X,18,FALSE),0)</f>
        <v>0</v>
      </c>
      <c r="P61" s="554"/>
      <c r="Q61" s="621">
        <f t="shared" si="0"/>
        <v>0</v>
      </c>
      <c r="R61" s="554"/>
      <c r="S61" s="670">
        <f>Q61-'P&amp;L'!I61</f>
        <v>0</v>
      </c>
    </row>
    <row r="62" spans="1:19" ht="15" x14ac:dyDescent="0.25">
      <c r="A62" s="546" t="s">
        <v>1262</v>
      </c>
      <c r="B62" s="546" t="e">
        <f>IFERROR(VLOOKUP(A62,Race_2024_Seasonal!A:C,3,FALSE), VLOOKUP(A62,Race_2024_Seasonal!A:C,3,FALSE))</f>
        <v>#N/A</v>
      </c>
      <c r="C62" s="549" t="s">
        <v>656</v>
      </c>
      <c r="D62" s="661">
        <f>IFERROR(VLOOKUP($A62,Race_2024_Seasonal!A:X,7,FALSE),0)</f>
        <v>0</v>
      </c>
      <c r="E62" s="661">
        <f>IFERROR(VLOOKUP($A62,Race_2024_Seasonal!A:X,8,FALSE),0)</f>
        <v>0</v>
      </c>
      <c r="F62" s="661">
        <f>IFERROR(VLOOKUP($A62,Race_2024_Seasonal!A:X,9,FALSE),0)</f>
        <v>0</v>
      </c>
      <c r="G62" s="661">
        <f>IFERROR(VLOOKUP($A62,Race_2024_Seasonal!A:X,10,FALSE),0)</f>
        <v>0</v>
      </c>
      <c r="H62" s="661">
        <f>IFERROR(VLOOKUP($A62,Race_2024_Seasonal!A:X,11,FALSE),0)</f>
        <v>0</v>
      </c>
      <c r="I62" s="661">
        <f>IFERROR(VLOOKUP($A62,Race_2024_Seasonal!A:X,12,FALSE),0)</f>
        <v>0</v>
      </c>
      <c r="J62" s="661">
        <f>IFERROR(VLOOKUP($A62,Race_2024_Seasonal!A:X,13,FALSE),0)</f>
        <v>0</v>
      </c>
      <c r="K62" s="661">
        <f>IFERROR(VLOOKUP($A62,Race_2024_Seasonal!A:X,14,FALSE),0)</f>
        <v>0</v>
      </c>
      <c r="L62" s="661">
        <f>IFERROR(VLOOKUP($A62,Race_2024_Seasonal!A:X,15,FALSE),0)</f>
        <v>0</v>
      </c>
      <c r="M62" s="661">
        <f>IFERROR(VLOOKUP($A62,Race_2024_Seasonal!A:X,16,FALSE),0)</f>
        <v>0</v>
      </c>
      <c r="N62" s="661">
        <f>IFERROR(VLOOKUP($A62,Race_2024_Seasonal!A:X,17,FALSE),0)</f>
        <v>0</v>
      </c>
      <c r="O62" s="661">
        <f>IFERROR(VLOOKUP($A62,Race_2024_Seasonal!A:X,18,FALSE),0)</f>
        <v>0</v>
      </c>
      <c r="P62" s="554"/>
      <c r="Q62" s="661">
        <f t="shared" si="0"/>
        <v>0</v>
      </c>
      <c r="R62" s="554"/>
      <c r="S62" s="670">
        <f>Q62-'P&amp;L'!I62</f>
        <v>0</v>
      </c>
    </row>
    <row r="63" spans="1:19" ht="15" x14ac:dyDescent="0.25">
      <c r="A63" s="546" t="s">
        <v>1263</v>
      </c>
      <c r="B63" s="546" t="e">
        <f>IFERROR(VLOOKUP(A63,Race_2024_Seasonal!A:C,3,FALSE), VLOOKUP(A63,Race_2024_Seasonal!A:C,3,FALSE))</f>
        <v>#N/A</v>
      </c>
      <c r="C63" s="556" t="s">
        <v>656</v>
      </c>
      <c r="D63" s="621">
        <f>IFERROR(VLOOKUP($A63,Race_2024_Seasonal!A:X,7,FALSE),0)</f>
        <v>0</v>
      </c>
      <c r="E63" s="621">
        <f>IFERROR(VLOOKUP($A63,Race_2024_Seasonal!A:X,8,FALSE),0)</f>
        <v>0</v>
      </c>
      <c r="F63" s="621">
        <f>IFERROR(VLOOKUP($A63,Race_2024_Seasonal!A:X,9,FALSE),0)</f>
        <v>0</v>
      </c>
      <c r="G63" s="621">
        <f>IFERROR(VLOOKUP($A63,Race_2024_Seasonal!A:X,10,FALSE),0)</f>
        <v>0</v>
      </c>
      <c r="H63" s="621">
        <f>IFERROR(VLOOKUP($A63,Race_2024_Seasonal!A:X,11,FALSE),0)</f>
        <v>0</v>
      </c>
      <c r="I63" s="621">
        <f>IFERROR(VLOOKUP($A63,Race_2024_Seasonal!A:X,12,FALSE),0)</f>
        <v>0</v>
      </c>
      <c r="J63" s="621">
        <f>IFERROR(VLOOKUP($A63,Race_2024_Seasonal!A:X,13,FALSE),0)</f>
        <v>0</v>
      </c>
      <c r="K63" s="621">
        <f>IFERROR(VLOOKUP($A63,Race_2024_Seasonal!A:X,14,FALSE),0)</f>
        <v>0</v>
      </c>
      <c r="L63" s="621">
        <f>IFERROR(VLOOKUP($A63,Race_2024_Seasonal!A:X,15,FALSE),0)</f>
        <v>0</v>
      </c>
      <c r="M63" s="621">
        <f>IFERROR(VLOOKUP($A63,Race_2024_Seasonal!A:X,16,FALSE),0)</f>
        <v>0</v>
      </c>
      <c r="N63" s="621">
        <f>IFERROR(VLOOKUP($A63,Race_2024_Seasonal!A:X,17,FALSE),0)</f>
        <v>0</v>
      </c>
      <c r="O63" s="621">
        <f>IFERROR(VLOOKUP($A63,Race_2024_Seasonal!A:X,18,FALSE),0)</f>
        <v>0</v>
      </c>
      <c r="P63" s="554"/>
      <c r="Q63" s="621">
        <f t="shared" si="0"/>
        <v>0</v>
      </c>
      <c r="R63" s="554"/>
      <c r="S63" s="670">
        <f>Q63-'P&amp;L'!I63</f>
        <v>0</v>
      </c>
    </row>
    <row r="64" spans="1:19" ht="15" x14ac:dyDescent="0.25">
      <c r="A64" s="614" t="s">
        <v>1264</v>
      </c>
      <c r="B64" s="546" t="str">
        <f>IFERROR(VLOOKUP(A64,Race_2024_Seasonal!A:C,3,FALSE), VLOOKUP(A64,Race_2024_Seasonal!A:C,3,FALSE))</f>
        <v>Gross margin</v>
      </c>
      <c r="C64" s="615" t="s">
        <v>655</v>
      </c>
      <c r="D64" s="669">
        <f>IFERROR(VLOOKUP($A64,Race_2024_Seasonal!A:X,7,FALSE),0)</f>
        <v>-1804977.5349999999</v>
      </c>
      <c r="E64" s="669">
        <f>IFERROR(VLOOKUP($A64,Race_2024_Seasonal!A:X,8,FALSE),0)</f>
        <v>-1725447.5889999999</v>
      </c>
      <c r="F64" s="669">
        <f>IFERROR(VLOOKUP($A64,Race_2024_Seasonal!A:X,9,FALSE),0)</f>
        <v>-1760995.97</v>
      </c>
      <c r="G64" s="669">
        <f>IFERROR(VLOOKUP($A64,Race_2024_Seasonal!A:X,10,FALSE),0)</f>
        <v>-1699473.59</v>
      </c>
      <c r="H64" s="669">
        <f>IFERROR(VLOOKUP($A64,Race_2024_Seasonal!A:X,11,FALSE),0)</f>
        <v>-1835698.4790000001</v>
      </c>
      <c r="I64" s="669">
        <f>IFERROR(VLOOKUP($A64,Race_2024_Seasonal!A:X,12,FALSE),0)</f>
        <v>2937458.98</v>
      </c>
      <c r="J64" s="669">
        <f>IFERROR(VLOOKUP($A64,Race_2024_Seasonal!A:X,13,FALSE),0)</f>
        <v>2553153.5529999998</v>
      </c>
      <c r="K64" s="669">
        <f>IFERROR(VLOOKUP($A64,Race_2024_Seasonal!A:X,14,FALSE),0)</f>
        <v>2337299.1970000002</v>
      </c>
      <c r="L64" s="669">
        <f>IFERROR(VLOOKUP($A64,Race_2024_Seasonal!A:X,15,FALSE),0)</f>
        <v>1787879.25</v>
      </c>
      <c r="M64" s="669">
        <f>IFERROR(VLOOKUP($A64,Race_2024_Seasonal!A:X,16,FALSE),0)</f>
        <v>2393481.2379999999</v>
      </c>
      <c r="N64" s="669">
        <f>IFERROR(VLOOKUP($A64,Race_2024_Seasonal!A:X,17,FALSE),0)</f>
        <v>2380666.8760000002</v>
      </c>
      <c r="O64" s="669">
        <f>IFERROR(VLOOKUP($A64,Race_2024_Seasonal!A:X,18,FALSE),0)</f>
        <v>3907017.7850000001</v>
      </c>
      <c r="P64" s="554"/>
      <c r="Q64" s="669">
        <f t="shared" si="0"/>
        <v>9470363.7160000019</v>
      </c>
      <c r="R64" s="554"/>
      <c r="S64" s="670">
        <f>Q64-'P&amp;L'!I64</f>
        <v>0</v>
      </c>
    </row>
    <row r="65" spans="1:19" ht="15" x14ac:dyDescent="0.25">
      <c r="A65" s="546" t="s">
        <v>1265</v>
      </c>
      <c r="B65" s="546" t="str">
        <f>IFERROR(VLOOKUP(A65,Race_2024_Seasonal!A:C,3,FALSE), VLOOKUP(A65,Race_2024_Seasonal!A:C,3,FALSE))</f>
        <v>R, D &amp; E expenses</v>
      </c>
      <c r="C65" s="552" t="s">
        <v>654</v>
      </c>
      <c r="D65" s="668">
        <f>IFERROR(VLOOKUP($A65,Race_2024_Seasonal!A:X,7,FALSE),0)</f>
        <v>-1329832.5900000001</v>
      </c>
      <c r="E65" s="668">
        <f>IFERROR(VLOOKUP($A65,Race_2024_Seasonal!A:X,8,FALSE),0)</f>
        <v>-1329832.5900000001</v>
      </c>
      <c r="F65" s="668">
        <f>IFERROR(VLOOKUP($A65,Race_2024_Seasonal!A:X,9,FALSE),0)</f>
        <v>-1329832.5900000001</v>
      </c>
      <c r="G65" s="668">
        <f>IFERROR(VLOOKUP($A65,Race_2024_Seasonal!A:X,10,FALSE),0)</f>
        <v>-1329832.5900000001</v>
      </c>
      <c r="H65" s="668">
        <f>IFERROR(VLOOKUP($A65,Race_2024_Seasonal!A:X,11,FALSE),0)</f>
        <v>-1329832.5900000001</v>
      </c>
      <c r="I65" s="668">
        <f>IFERROR(VLOOKUP($A65,Race_2024_Seasonal!A:X,12,FALSE),0)</f>
        <v>-1329832.5900000001</v>
      </c>
      <c r="J65" s="668">
        <f>IFERROR(VLOOKUP($A65,Race_2024_Seasonal!A:X,13,FALSE),0)</f>
        <v>-1329832.5900000001</v>
      </c>
      <c r="K65" s="668">
        <f>IFERROR(VLOOKUP($A65,Race_2024_Seasonal!A:X,14,FALSE),0)</f>
        <v>-1329832.5900000001</v>
      </c>
      <c r="L65" s="668">
        <f>IFERROR(VLOOKUP($A65,Race_2024_Seasonal!A:X,15,FALSE),0)</f>
        <v>-1329832.5900000001</v>
      </c>
      <c r="M65" s="668">
        <f>IFERROR(VLOOKUP($A65,Race_2024_Seasonal!A:X,16,FALSE),0)</f>
        <v>-1329832.5900000001</v>
      </c>
      <c r="N65" s="668">
        <f>IFERROR(VLOOKUP($A65,Race_2024_Seasonal!A:X,17,FALSE),0)</f>
        <v>-1329832.5900000001</v>
      </c>
      <c r="O65" s="668">
        <f>IFERROR(VLOOKUP($A65,Race_2024_Seasonal!A:X,18,FALSE),0)</f>
        <v>-1329832.5900000001</v>
      </c>
      <c r="P65" s="554"/>
      <c r="Q65" s="668">
        <f t="shared" si="0"/>
        <v>-15957991.08</v>
      </c>
      <c r="R65" s="554"/>
      <c r="S65" s="670">
        <f>Q65-'P&amp;L'!I65</f>
        <v>0</v>
      </c>
    </row>
    <row r="66" spans="1:19" ht="15" x14ac:dyDescent="0.25">
      <c r="A66" s="546" t="s">
        <v>1266</v>
      </c>
      <c r="B66" s="546" t="e">
        <f>IFERROR(VLOOKUP(A66,Race_2024_Seasonal!A:C,3,FALSE), VLOOKUP(A66,Race_2024_Seasonal!A:C,3,FALSE))</f>
        <v>#N/A</v>
      </c>
      <c r="C66" s="560" t="s">
        <v>653</v>
      </c>
      <c r="D66" s="666">
        <f>IFERROR(VLOOKUP($A66,Race_2024_Seasonal!A:X,7,FALSE),0)</f>
        <v>0</v>
      </c>
      <c r="E66" s="666">
        <f>IFERROR(VLOOKUP($A66,Race_2024_Seasonal!A:X,8,FALSE),0)</f>
        <v>0</v>
      </c>
      <c r="F66" s="666">
        <f>IFERROR(VLOOKUP($A66,Race_2024_Seasonal!A:X,9,FALSE),0)</f>
        <v>0</v>
      </c>
      <c r="G66" s="666">
        <f>IFERROR(VLOOKUP($A66,Race_2024_Seasonal!A:X,10,FALSE),0)</f>
        <v>0</v>
      </c>
      <c r="H66" s="666">
        <f>IFERROR(VLOOKUP($A66,Race_2024_Seasonal!A:X,11,FALSE),0)</f>
        <v>0</v>
      </c>
      <c r="I66" s="666">
        <f>IFERROR(VLOOKUP($A66,Race_2024_Seasonal!A:X,12,FALSE),0)</f>
        <v>0</v>
      </c>
      <c r="J66" s="666">
        <f>IFERROR(VLOOKUP($A66,Race_2024_Seasonal!A:X,13,FALSE),0)</f>
        <v>0</v>
      </c>
      <c r="K66" s="666">
        <f>IFERROR(VLOOKUP($A66,Race_2024_Seasonal!A:X,14,FALSE),0)</f>
        <v>0</v>
      </c>
      <c r="L66" s="666">
        <f>IFERROR(VLOOKUP($A66,Race_2024_Seasonal!A:X,15,FALSE),0)</f>
        <v>0</v>
      </c>
      <c r="M66" s="666">
        <f>IFERROR(VLOOKUP($A66,Race_2024_Seasonal!A:X,16,FALSE),0)</f>
        <v>0</v>
      </c>
      <c r="N66" s="666">
        <f>IFERROR(VLOOKUP($A66,Race_2024_Seasonal!A:X,17,FALSE),0)</f>
        <v>0</v>
      </c>
      <c r="O66" s="666">
        <f>IFERROR(VLOOKUP($A66,Race_2024_Seasonal!A:X,18,FALSE),0)</f>
        <v>0</v>
      </c>
      <c r="P66" s="554"/>
      <c r="Q66" s="666">
        <f t="shared" si="0"/>
        <v>0</v>
      </c>
      <c r="R66" s="554"/>
      <c r="S66" s="670">
        <f>Q66-'P&amp;L'!I66</f>
        <v>0</v>
      </c>
    </row>
    <row r="67" spans="1:19" ht="15" x14ac:dyDescent="0.25">
      <c r="A67" s="546" t="s">
        <v>1267</v>
      </c>
      <c r="B67" s="546" t="e">
        <f>IFERROR(VLOOKUP(A67,Race_2024_Seasonal!A:C,3,FALSE), VLOOKUP(A67,Race_2024_Seasonal!A:C,3,FALSE))</f>
        <v>#N/A</v>
      </c>
      <c r="C67" s="553" t="s">
        <v>652</v>
      </c>
      <c r="D67" s="621">
        <f>IFERROR(VLOOKUP($A67,Race_2024_Seasonal!A:X,7,FALSE),0)</f>
        <v>0</v>
      </c>
      <c r="E67" s="621">
        <f>IFERROR(VLOOKUP($A67,Race_2024_Seasonal!A:X,8,FALSE),0)</f>
        <v>0</v>
      </c>
      <c r="F67" s="621">
        <f>IFERROR(VLOOKUP($A67,Race_2024_Seasonal!A:X,9,FALSE),0)</f>
        <v>0</v>
      </c>
      <c r="G67" s="621">
        <f>IFERROR(VLOOKUP($A67,Race_2024_Seasonal!A:X,10,FALSE),0)</f>
        <v>0</v>
      </c>
      <c r="H67" s="621">
        <f>IFERROR(VLOOKUP($A67,Race_2024_Seasonal!A:X,11,FALSE),0)</f>
        <v>0</v>
      </c>
      <c r="I67" s="621">
        <f>IFERROR(VLOOKUP($A67,Race_2024_Seasonal!A:X,12,FALSE),0)</f>
        <v>0</v>
      </c>
      <c r="J67" s="621">
        <f>IFERROR(VLOOKUP($A67,Race_2024_Seasonal!A:X,13,FALSE),0)</f>
        <v>0</v>
      </c>
      <c r="K67" s="621">
        <f>IFERROR(VLOOKUP($A67,Race_2024_Seasonal!A:X,14,FALSE),0)</f>
        <v>0</v>
      </c>
      <c r="L67" s="621">
        <f>IFERROR(VLOOKUP($A67,Race_2024_Seasonal!A:X,15,FALSE),0)</f>
        <v>0</v>
      </c>
      <c r="M67" s="621">
        <f>IFERROR(VLOOKUP($A67,Race_2024_Seasonal!A:X,16,FALSE),0)</f>
        <v>0</v>
      </c>
      <c r="N67" s="621">
        <f>IFERROR(VLOOKUP($A67,Race_2024_Seasonal!A:X,17,FALSE),0)</f>
        <v>0</v>
      </c>
      <c r="O67" s="621">
        <f>IFERROR(VLOOKUP($A67,Race_2024_Seasonal!A:X,18,FALSE),0)</f>
        <v>0</v>
      </c>
      <c r="P67" s="554"/>
      <c r="Q67" s="621">
        <f t="shared" si="0"/>
        <v>0</v>
      </c>
      <c r="R67" s="554"/>
      <c r="S67" s="670">
        <f>Q67-'P&amp;L'!I67</f>
        <v>0</v>
      </c>
    </row>
    <row r="68" spans="1:19" ht="15" x14ac:dyDescent="0.25">
      <c r="A68" s="546" t="s">
        <v>1268</v>
      </c>
      <c r="B68" s="546" t="e">
        <f>IFERROR(VLOOKUP(A68,Race_2024_Seasonal!A:C,3,FALSE), VLOOKUP(A68,Race_2024_Seasonal!A:C,3,FALSE))</f>
        <v>#N/A</v>
      </c>
      <c r="C68" s="553" t="s">
        <v>651</v>
      </c>
      <c r="D68" s="661">
        <f>IFERROR(VLOOKUP($A68,Race_2024_Seasonal!A:X,7,FALSE),0)</f>
        <v>0</v>
      </c>
      <c r="E68" s="661">
        <f>IFERROR(VLOOKUP($A68,Race_2024_Seasonal!A:X,8,FALSE),0)</f>
        <v>0</v>
      </c>
      <c r="F68" s="661">
        <f>IFERROR(VLOOKUP($A68,Race_2024_Seasonal!A:X,9,FALSE),0)</f>
        <v>0</v>
      </c>
      <c r="G68" s="661">
        <f>IFERROR(VLOOKUP($A68,Race_2024_Seasonal!A:X,10,FALSE),0)</f>
        <v>0</v>
      </c>
      <c r="H68" s="661">
        <f>IFERROR(VLOOKUP($A68,Race_2024_Seasonal!A:X,11,FALSE),0)</f>
        <v>0</v>
      </c>
      <c r="I68" s="661">
        <f>IFERROR(VLOOKUP($A68,Race_2024_Seasonal!A:X,12,FALSE),0)</f>
        <v>0</v>
      </c>
      <c r="J68" s="661">
        <f>IFERROR(VLOOKUP($A68,Race_2024_Seasonal!A:X,13,FALSE),0)</f>
        <v>0</v>
      </c>
      <c r="K68" s="661">
        <f>IFERROR(VLOOKUP($A68,Race_2024_Seasonal!A:X,14,FALSE),0)</f>
        <v>0</v>
      </c>
      <c r="L68" s="661">
        <f>IFERROR(VLOOKUP($A68,Race_2024_Seasonal!A:X,15,FALSE),0)</f>
        <v>0</v>
      </c>
      <c r="M68" s="661">
        <f>IFERROR(VLOOKUP($A68,Race_2024_Seasonal!A:X,16,FALSE),0)</f>
        <v>0</v>
      </c>
      <c r="N68" s="661">
        <f>IFERROR(VLOOKUP($A68,Race_2024_Seasonal!A:X,17,FALSE),0)</f>
        <v>0</v>
      </c>
      <c r="O68" s="661">
        <f>IFERROR(VLOOKUP($A68,Race_2024_Seasonal!A:X,18,FALSE),0)</f>
        <v>0</v>
      </c>
      <c r="P68" s="554"/>
      <c r="Q68" s="661">
        <f t="shared" si="0"/>
        <v>0</v>
      </c>
      <c r="R68" s="554"/>
      <c r="S68" s="670">
        <f>Q68-'P&amp;L'!I68</f>
        <v>0</v>
      </c>
    </row>
    <row r="69" spans="1:19" ht="15" x14ac:dyDescent="0.25">
      <c r="A69" s="546" t="s">
        <v>1269</v>
      </c>
      <c r="B69" s="546" t="e">
        <f>IFERROR(VLOOKUP(A69,Race_2024_Seasonal!A:C,3,FALSE), VLOOKUP(A69,Race_2024_Seasonal!A:C,3,FALSE))</f>
        <v>#N/A</v>
      </c>
      <c r="C69" s="560" t="s">
        <v>650</v>
      </c>
      <c r="D69" s="621">
        <f>IFERROR(VLOOKUP($A69,Race_2024_Seasonal!A:X,7,FALSE),0)</f>
        <v>0</v>
      </c>
      <c r="E69" s="621">
        <f>IFERROR(VLOOKUP($A69,Race_2024_Seasonal!A:X,8,FALSE),0)</f>
        <v>0</v>
      </c>
      <c r="F69" s="621">
        <f>IFERROR(VLOOKUP($A69,Race_2024_Seasonal!A:X,9,FALSE),0)</f>
        <v>0</v>
      </c>
      <c r="G69" s="621">
        <f>IFERROR(VLOOKUP($A69,Race_2024_Seasonal!A:X,10,FALSE),0)</f>
        <v>0</v>
      </c>
      <c r="H69" s="621">
        <f>IFERROR(VLOOKUP($A69,Race_2024_Seasonal!A:X,11,FALSE),0)</f>
        <v>0</v>
      </c>
      <c r="I69" s="621">
        <f>IFERROR(VLOOKUP($A69,Race_2024_Seasonal!A:X,12,FALSE),0)</f>
        <v>0</v>
      </c>
      <c r="J69" s="621">
        <f>IFERROR(VLOOKUP($A69,Race_2024_Seasonal!A:X,13,FALSE),0)</f>
        <v>0</v>
      </c>
      <c r="K69" s="621">
        <f>IFERROR(VLOOKUP($A69,Race_2024_Seasonal!A:X,14,FALSE),0)</f>
        <v>0</v>
      </c>
      <c r="L69" s="621">
        <f>IFERROR(VLOOKUP($A69,Race_2024_Seasonal!A:X,15,FALSE),0)</f>
        <v>0</v>
      </c>
      <c r="M69" s="621">
        <f>IFERROR(VLOOKUP($A69,Race_2024_Seasonal!A:X,16,FALSE),0)</f>
        <v>0</v>
      </c>
      <c r="N69" s="621">
        <f>IFERROR(VLOOKUP($A69,Race_2024_Seasonal!A:X,17,FALSE),0)</f>
        <v>0</v>
      </c>
      <c r="O69" s="621">
        <f>IFERROR(VLOOKUP($A69,Race_2024_Seasonal!A:X,18,FALSE),0)</f>
        <v>0</v>
      </c>
      <c r="P69" s="554"/>
      <c r="Q69" s="621">
        <f t="shared" si="0"/>
        <v>0</v>
      </c>
      <c r="R69" s="554"/>
      <c r="S69" s="670">
        <f>Q69-'P&amp;L'!I69</f>
        <v>0</v>
      </c>
    </row>
    <row r="70" spans="1:19" ht="15" x14ac:dyDescent="0.25">
      <c r="A70" s="546" t="s">
        <v>1270</v>
      </c>
      <c r="B70" s="546" t="e">
        <f>IFERROR(VLOOKUP(A70,Race_2024_Seasonal!A:C,3,FALSE), VLOOKUP(A70,Race_2024_Seasonal!A:C,3,FALSE))</f>
        <v>#N/A</v>
      </c>
      <c r="C70" s="553" t="s">
        <v>649</v>
      </c>
      <c r="D70" s="624">
        <f>IFERROR(VLOOKUP($A70,Race_2024_Seasonal!A:X,7,FALSE),0)</f>
        <v>0</v>
      </c>
      <c r="E70" s="624">
        <f>IFERROR(VLOOKUP($A70,Race_2024_Seasonal!A:X,8,FALSE),0)</f>
        <v>0</v>
      </c>
      <c r="F70" s="624">
        <f>IFERROR(VLOOKUP($A70,Race_2024_Seasonal!A:X,9,FALSE),0)</f>
        <v>0</v>
      </c>
      <c r="G70" s="624">
        <f>IFERROR(VLOOKUP($A70,Race_2024_Seasonal!A:X,10,FALSE),0)</f>
        <v>0</v>
      </c>
      <c r="H70" s="624">
        <f>IFERROR(VLOOKUP($A70,Race_2024_Seasonal!A:X,11,FALSE),0)</f>
        <v>0</v>
      </c>
      <c r="I70" s="624">
        <f>IFERROR(VLOOKUP($A70,Race_2024_Seasonal!A:X,12,FALSE),0)</f>
        <v>0</v>
      </c>
      <c r="J70" s="624">
        <f>IFERROR(VLOOKUP($A70,Race_2024_Seasonal!A:X,13,FALSE),0)</f>
        <v>0</v>
      </c>
      <c r="K70" s="624">
        <f>IFERROR(VLOOKUP($A70,Race_2024_Seasonal!A:X,14,FALSE),0)</f>
        <v>0</v>
      </c>
      <c r="L70" s="624">
        <f>IFERROR(VLOOKUP($A70,Race_2024_Seasonal!A:X,15,FALSE),0)</f>
        <v>0</v>
      </c>
      <c r="M70" s="624">
        <f>IFERROR(VLOOKUP($A70,Race_2024_Seasonal!A:X,16,FALSE),0)</f>
        <v>0</v>
      </c>
      <c r="N70" s="624">
        <f>IFERROR(VLOOKUP($A70,Race_2024_Seasonal!A:X,17,FALSE),0)</f>
        <v>0</v>
      </c>
      <c r="O70" s="624">
        <f>IFERROR(VLOOKUP($A70,Race_2024_Seasonal!A:X,18,FALSE),0)</f>
        <v>0</v>
      </c>
      <c r="P70" s="554"/>
      <c r="Q70" s="624">
        <f t="shared" si="0"/>
        <v>0</v>
      </c>
      <c r="R70" s="554"/>
      <c r="S70" s="670">
        <f>Q70-'P&amp;L'!I70</f>
        <v>0</v>
      </c>
    </row>
    <row r="71" spans="1:19" ht="15" x14ac:dyDescent="0.25">
      <c r="A71" s="546" t="s">
        <v>1271</v>
      </c>
      <c r="B71" s="546" t="e">
        <f>IFERROR(VLOOKUP(A71,Race_2024_Seasonal!A:C,3,FALSE), VLOOKUP(A71,Race_2024_Seasonal!A:C,3,FALSE))</f>
        <v>#N/A</v>
      </c>
      <c r="C71" s="553" t="s">
        <v>648</v>
      </c>
      <c r="D71" s="624">
        <f>IFERROR(VLOOKUP($A71,Race_2024_Seasonal!A:X,7,FALSE),0)</f>
        <v>0</v>
      </c>
      <c r="E71" s="624">
        <f>IFERROR(VLOOKUP($A71,Race_2024_Seasonal!A:X,8,FALSE),0)</f>
        <v>0</v>
      </c>
      <c r="F71" s="624">
        <f>IFERROR(VLOOKUP($A71,Race_2024_Seasonal!A:X,9,FALSE),0)</f>
        <v>0</v>
      </c>
      <c r="G71" s="624">
        <f>IFERROR(VLOOKUP($A71,Race_2024_Seasonal!A:X,10,FALSE),0)</f>
        <v>0</v>
      </c>
      <c r="H71" s="624">
        <f>IFERROR(VLOOKUP($A71,Race_2024_Seasonal!A:X,11,FALSE),0)</f>
        <v>0</v>
      </c>
      <c r="I71" s="624">
        <f>IFERROR(VLOOKUP($A71,Race_2024_Seasonal!A:X,12,FALSE),0)</f>
        <v>0</v>
      </c>
      <c r="J71" s="624">
        <f>IFERROR(VLOOKUP($A71,Race_2024_Seasonal!A:X,13,FALSE),0)</f>
        <v>0</v>
      </c>
      <c r="K71" s="624">
        <f>IFERROR(VLOOKUP($A71,Race_2024_Seasonal!A:X,14,FALSE),0)</f>
        <v>0</v>
      </c>
      <c r="L71" s="624">
        <f>IFERROR(VLOOKUP($A71,Race_2024_Seasonal!A:X,15,FALSE),0)</f>
        <v>0</v>
      </c>
      <c r="M71" s="624">
        <f>IFERROR(VLOOKUP($A71,Race_2024_Seasonal!A:X,16,FALSE),0)</f>
        <v>0</v>
      </c>
      <c r="N71" s="624">
        <f>IFERROR(VLOOKUP($A71,Race_2024_Seasonal!A:X,17,FALSE),0)</f>
        <v>0</v>
      </c>
      <c r="O71" s="624">
        <f>IFERROR(VLOOKUP($A71,Race_2024_Seasonal!A:X,18,FALSE),0)</f>
        <v>0</v>
      </c>
      <c r="P71" s="554"/>
      <c r="Q71" s="624">
        <f t="shared" si="0"/>
        <v>0</v>
      </c>
      <c r="R71" s="554"/>
      <c r="S71" s="670">
        <f>Q71-'P&amp;L'!I71</f>
        <v>0</v>
      </c>
    </row>
    <row r="72" spans="1:19" ht="15" x14ac:dyDescent="0.25">
      <c r="A72" s="546" t="s">
        <v>1272</v>
      </c>
      <c r="B72" s="546" t="e">
        <f>IFERROR(VLOOKUP(A72,Race_2024_Seasonal!A:C,3,FALSE), VLOOKUP(A72,Race_2024_Seasonal!A:C,3,FALSE))</f>
        <v>#N/A</v>
      </c>
      <c r="C72" s="560" t="s">
        <v>647</v>
      </c>
      <c r="D72" s="664">
        <f>IFERROR(VLOOKUP($A72,Race_2024_Seasonal!A:X,7,FALSE),0)</f>
        <v>0</v>
      </c>
      <c r="E72" s="664">
        <f>IFERROR(VLOOKUP($A72,Race_2024_Seasonal!A:X,8,FALSE),0)</f>
        <v>0</v>
      </c>
      <c r="F72" s="664">
        <f>IFERROR(VLOOKUP($A72,Race_2024_Seasonal!A:X,9,FALSE),0)</f>
        <v>0</v>
      </c>
      <c r="G72" s="664">
        <f>IFERROR(VLOOKUP($A72,Race_2024_Seasonal!A:X,10,FALSE),0)</f>
        <v>0</v>
      </c>
      <c r="H72" s="664">
        <f>IFERROR(VLOOKUP($A72,Race_2024_Seasonal!A:X,11,FALSE),0)</f>
        <v>0</v>
      </c>
      <c r="I72" s="664">
        <f>IFERROR(VLOOKUP($A72,Race_2024_Seasonal!A:X,12,FALSE),0)</f>
        <v>0</v>
      </c>
      <c r="J72" s="664">
        <f>IFERROR(VLOOKUP($A72,Race_2024_Seasonal!A:X,13,FALSE),0)</f>
        <v>0</v>
      </c>
      <c r="K72" s="664">
        <f>IFERROR(VLOOKUP($A72,Race_2024_Seasonal!A:X,14,FALSE),0)</f>
        <v>0</v>
      </c>
      <c r="L72" s="664">
        <f>IFERROR(VLOOKUP($A72,Race_2024_Seasonal!A:X,15,FALSE),0)</f>
        <v>0</v>
      </c>
      <c r="M72" s="664">
        <f>IFERROR(VLOOKUP($A72,Race_2024_Seasonal!A:X,16,FALSE),0)</f>
        <v>0</v>
      </c>
      <c r="N72" s="664">
        <f>IFERROR(VLOOKUP($A72,Race_2024_Seasonal!A:X,17,FALSE),0)</f>
        <v>0</v>
      </c>
      <c r="O72" s="664">
        <f>IFERROR(VLOOKUP($A72,Race_2024_Seasonal!A:X,18,FALSE),0)</f>
        <v>0</v>
      </c>
      <c r="P72" s="576"/>
      <c r="Q72" s="664">
        <f t="shared" ref="Q72:Q135" si="1">SUM(D72:O72)</f>
        <v>0</v>
      </c>
      <c r="R72" s="554"/>
      <c r="S72" s="670">
        <f>Q72-'P&amp;L'!I72</f>
        <v>0</v>
      </c>
    </row>
    <row r="73" spans="1:19" ht="15" x14ac:dyDescent="0.25">
      <c r="A73" s="546" t="s">
        <v>1273</v>
      </c>
      <c r="B73" s="546" t="e">
        <f>IFERROR(VLOOKUP(A73,Race_2024_Seasonal!A:C,3,FALSE), VLOOKUP(A73,Race_2024_Seasonal!A:C,3,FALSE))</f>
        <v>#N/A</v>
      </c>
      <c r="C73" s="553" t="s">
        <v>646</v>
      </c>
      <c r="D73" s="659">
        <f>IFERROR(VLOOKUP($A73,Race_2024_Seasonal!A:X,7,FALSE),0)</f>
        <v>0</v>
      </c>
      <c r="E73" s="659">
        <f>IFERROR(VLOOKUP($A73,Race_2024_Seasonal!A:X,8,FALSE),0)</f>
        <v>0</v>
      </c>
      <c r="F73" s="659">
        <f>IFERROR(VLOOKUP($A73,Race_2024_Seasonal!A:X,9,FALSE),0)</f>
        <v>0</v>
      </c>
      <c r="G73" s="659">
        <f>IFERROR(VLOOKUP($A73,Race_2024_Seasonal!A:X,10,FALSE),0)</f>
        <v>0</v>
      </c>
      <c r="H73" s="659">
        <f>IFERROR(VLOOKUP($A73,Race_2024_Seasonal!A:X,11,FALSE),0)</f>
        <v>0</v>
      </c>
      <c r="I73" s="659">
        <f>IFERROR(VLOOKUP($A73,Race_2024_Seasonal!A:X,12,FALSE),0)</f>
        <v>0</v>
      </c>
      <c r="J73" s="659">
        <f>IFERROR(VLOOKUP($A73,Race_2024_Seasonal!A:X,13,FALSE),0)</f>
        <v>0</v>
      </c>
      <c r="K73" s="659">
        <f>IFERROR(VLOOKUP($A73,Race_2024_Seasonal!A:X,14,FALSE),0)</f>
        <v>0</v>
      </c>
      <c r="L73" s="659">
        <f>IFERROR(VLOOKUP($A73,Race_2024_Seasonal!A:X,15,FALSE),0)</f>
        <v>0</v>
      </c>
      <c r="M73" s="659">
        <f>IFERROR(VLOOKUP($A73,Race_2024_Seasonal!A:X,16,FALSE),0)</f>
        <v>0</v>
      </c>
      <c r="N73" s="659">
        <f>IFERROR(VLOOKUP($A73,Race_2024_Seasonal!A:X,17,FALSE),0)</f>
        <v>0</v>
      </c>
      <c r="O73" s="659">
        <f>IFERROR(VLOOKUP($A73,Race_2024_Seasonal!A:X,18,FALSE),0)</f>
        <v>0</v>
      </c>
      <c r="P73" s="576"/>
      <c r="Q73" s="659">
        <f t="shared" si="1"/>
        <v>0</v>
      </c>
      <c r="R73" s="554"/>
      <c r="S73" s="670">
        <f>Q73-'P&amp;L'!I73</f>
        <v>0</v>
      </c>
    </row>
    <row r="74" spans="1:19" ht="15" x14ac:dyDescent="0.25">
      <c r="A74" s="546" t="s">
        <v>1274</v>
      </c>
      <c r="B74" s="546" t="e">
        <f>IFERROR(VLOOKUP(A74,Race_2024_Seasonal!A:C,3,FALSE), VLOOKUP(A74,Race_2024_Seasonal!A:C,3,FALSE))</f>
        <v>#N/A</v>
      </c>
      <c r="C74" s="553" t="s">
        <v>645</v>
      </c>
      <c r="D74" s="624">
        <f>IFERROR(VLOOKUP($A74,Race_2024_Seasonal!A:X,7,FALSE),0)</f>
        <v>0</v>
      </c>
      <c r="E74" s="624">
        <f>IFERROR(VLOOKUP($A74,Race_2024_Seasonal!A:X,8,FALSE),0)</f>
        <v>0</v>
      </c>
      <c r="F74" s="624">
        <f>IFERROR(VLOOKUP($A74,Race_2024_Seasonal!A:X,9,FALSE),0)</f>
        <v>0</v>
      </c>
      <c r="G74" s="624">
        <f>IFERROR(VLOOKUP($A74,Race_2024_Seasonal!A:X,10,FALSE),0)</f>
        <v>0</v>
      </c>
      <c r="H74" s="624">
        <f>IFERROR(VLOOKUP($A74,Race_2024_Seasonal!A:X,11,FALSE),0)</f>
        <v>0</v>
      </c>
      <c r="I74" s="624">
        <f>IFERROR(VLOOKUP($A74,Race_2024_Seasonal!A:X,12,FALSE),0)</f>
        <v>0</v>
      </c>
      <c r="J74" s="624">
        <f>IFERROR(VLOOKUP($A74,Race_2024_Seasonal!A:X,13,FALSE),0)</f>
        <v>0</v>
      </c>
      <c r="K74" s="624">
        <f>IFERROR(VLOOKUP($A74,Race_2024_Seasonal!A:X,14,FALSE),0)</f>
        <v>0</v>
      </c>
      <c r="L74" s="624">
        <f>IFERROR(VLOOKUP($A74,Race_2024_Seasonal!A:X,15,FALSE),0)</f>
        <v>0</v>
      </c>
      <c r="M74" s="624">
        <f>IFERROR(VLOOKUP($A74,Race_2024_Seasonal!A:X,16,FALSE),0)</f>
        <v>0</v>
      </c>
      <c r="N74" s="624">
        <f>IFERROR(VLOOKUP($A74,Race_2024_Seasonal!A:X,17,FALSE),0)</f>
        <v>0</v>
      </c>
      <c r="O74" s="624">
        <f>IFERROR(VLOOKUP($A74,Race_2024_Seasonal!A:X,18,FALSE),0)</f>
        <v>0</v>
      </c>
      <c r="P74" s="554"/>
      <c r="Q74" s="624">
        <f t="shared" si="1"/>
        <v>0</v>
      </c>
      <c r="R74" s="554"/>
      <c r="S74" s="670">
        <f>Q74-'P&amp;L'!I74</f>
        <v>0</v>
      </c>
    </row>
    <row r="75" spans="1:19" ht="15" x14ac:dyDescent="0.25">
      <c r="A75" s="546" t="s">
        <v>1275</v>
      </c>
      <c r="B75" s="546" t="e">
        <f>IFERROR(VLOOKUP(A75,Race_2024_Seasonal!A:C,3,FALSE), VLOOKUP(A75,Race_2024_Seasonal!A:C,3,FALSE))</f>
        <v>#N/A</v>
      </c>
      <c r="C75" s="560" t="s">
        <v>644</v>
      </c>
      <c r="D75" s="624">
        <f>IFERROR(VLOOKUP($A75,Race_2024_Seasonal!A:X,7,FALSE),0)</f>
        <v>0</v>
      </c>
      <c r="E75" s="624">
        <f>IFERROR(VLOOKUP($A75,Race_2024_Seasonal!A:X,8,FALSE),0)</f>
        <v>0</v>
      </c>
      <c r="F75" s="624">
        <f>IFERROR(VLOOKUP($A75,Race_2024_Seasonal!A:X,9,FALSE),0)</f>
        <v>0</v>
      </c>
      <c r="G75" s="624">
        <f>IFERROR(VLOOKUP($A75,Race_2024_Seasonal!A:X,10,FALSE),0)</f>
        <v>0</v>
      </c>
      <c r="H75" s="624">
        <f>IFERROR(VLOOKUP($A75,Race_2024_Seasonal!A:X,11,FALSE),0)</f>
        <v>0</v>
      </c>
      <c r="I75" s="624">
        <f>IFERROR(VLOOKUP($A75,Race_2024_Seasonal!A:X,12,FALSE),0)</f>
        <v>0</v>
      </c>
      <c r="J75" s="624">
        <f>IFERROR(VLOOKUP($A75,Race_2024_Seasonal!A:X,13,FALSE),0)</f>
        <v>0</v>
      </c>
      <c r="K75" s="624">
        <f>IFERROR(VLOOKUP($A75,Race_2024_Seasonal!A:X,14,FALSE),0)</f>
        <v>0</v>
      </c>
      <c r="L75" s="624">
        <f>IFERROR(VLOOKUP($A75,Race_2024_Seasonal!A:X,15,FALSE),0)</f>
        <v>0</v>
      </c>
      <c r="M75" s="624">
        <f>IFERROR(VLOOKUP($A75,Race_2024_Seasonal!A:X,16,FALSE),0)</f>
        <v>0</v>
      </c>
      <c r="N75" s="624">
        <f>IFERROR(VLOOKUP($A75,Race_2024_Seasonal!A:X,17,FALSE),0)</f>
        <v>0</v>
      </c>
      <c r="O75" s="624">
        <f>IFERROR(VLOOKUP($A75,Race_2024_Seasonal!A:X,18,FALSE),0)</f>
        <v>0</v>
      </c>
      <c r="P75" s="554"/>
      <c r="Q75" s="624">
        <f t="shared" si="1"/>
        <v>0</v>
      </c>
      <c r="R75" s="554"/>
      <c r="S75" s="670">
        <f>Q75-'P&amp;L'!I75</f>
        <v>0</v>
      </c>
    </row>
    <row r="76" spans="1:19" ht="15" x14ac:dyDescent="0.25">
      <c r="A76" s="546" t="s">
        <v>1276</v>
      </c>
      <c r="B76" s="546" t="e">
        <f>IFERROR(VLOOKUP(A76,Race_2024_Seasonal!A:C,3,FALSE), VLOOKUP(A76,Race_2024_Seasonal!A:C,3,FALSE))</f>
        <v>#N/A</v>
      </c>
      <c r="C76" s="553" t="s">
        <v>643</v>
      </c>
      <c r="D76" s="624">
        <f>IFERROR(VLOOKUP($A76,Race_2024_Seasonal!A:X,7,FALSE),0)</f>
        <v>0</v>
      </c>
      <c r="E76" s="624">
        <f>IFERROR(VLOOKUP($A76,Race_2024_Seasonal!A:X,8,FALSE),0)</f>
        <v>0</v>
      </c>
      <c r="F76" s="624">
        <f>IFERROR(VLOOKUP($A76,Race_2024_Seasonal!A:X,9,FALSE),0)</f>
        <v>0</v>
      </c>
      <c r="G76" s="624">
        <f>IFERROR(VLOOKUP($A76,Race_2024_Seasonal!A:X,10,FALSE),0)</f>
        <v>0</v>
      </c>
      <c r="H76" s="624">
        <f>IFERROR(VLOOKUP($A76,Race_2024_Seasonal!A:X,11,FALSE),0)</f>
        <v>0</v>
      </c>
      <c r="I76" s="624">
        <f>IFERROR(VLOOKUP($A76,Race_2024_Seasonal!A:X,12,FALSE),0)</f>
        <v>0</v>
      </c>
      <c r="J76" s="624">
        <f>IFERROR(VLOOKUP($A76,Race_2024_Seasonal!A:X,13,FALSE),0)</f>
        <v>0</v>
      </c>
      <c r="K76" s="624">
        <f>IFERROR(VLOOKUP($A76,Race_2024_Seasonal!A:X,14,FALSE),0)</f>
        <v>0</v>
      </c>
      <c r="L76" s="624">
        <f>IFERROR(VLOOKUP($A76,Race_2024_Seasonal!A:X,15,FALSE),0)</f>
        <v>0</v>
      </c>
      <c r="M76" s="624">
        <f>IFERROR(VLOOKUP($A76,Race_2024_Seasonal!A:X,16,FALSE),0)</f>
        <v>0</v>
      </c>
      <c r="N76" s="624">
        <f>IFERROR(VLOOKUP($A76,Race_2024_Seasonal!A:X,17,FALSE),0)</f>
        <v>0</v>
      </c>
      <c r="O76" s="624">
        <f>IFERROR(VLOOKUP($A76,Race_2024_Seasonal!A:X,18,FALSE),0)</f>
        <v>0</v>
      </c>
      <c r="P76" s="554"/>
      <c r="Q76" s="624">
        <f t="shared" si="1"/>
        <v>0</v>
      </c>
      <c r="R76" s="554"/>
      <c r="S76" s="670">
        <f>Q76-'P&amp;L'!I76</f>
        <v>0</v>
      </c>
    </row>
    <row r="77" spans="1:19" ht="15" x14ac:dyDescent="0.25">
      <c r="A77" s="546" t="s">
        <v>1277</v>
      </c>
      <c r="B77" s="546" t="str">
        <f>IFERROR(VLOOKUP(A77,Race_2024_Seasonal!A:C,3,FALSE), VLOOKUP(A77,Race_2024_Seasonal!A:C,3,FALSE))</f>
        <v>R,D&amp;E alloc. in</v>
      </c>
      <c r="C77" s="549" t="s">
        <v>642</v>
      </c>
      <c r="D77" s="624">
        <f>IFERROR(VLOOKUP($A77,Race_2024_Seasonal!A:X,7,FALSE),0)</f>
        <v>-1329832.5900000001</v>
      </c>
      <c r="E77" s="624">
        <f>IFERROR(VLOOKUP($A77,Race_2024_Seasonal!A:X,8,FALSE),0)</f>
        <v>-1329832.5900000001</v>
      </c>
      <c r="F77" s="624">
        <f>IFERROR(VLOOKUP($A77,Race_2024_Seasonal!A:X,9,FALSE),0)</f>
        <v>-1329832.5900000001</v>
      </c>
      <c r="G77" s="624">
        <f>IFERROR(VLOOKUP($A77,Race_2024_Seasonal!A:X,10,FALSE),0)</f>
        <v>-1329832.5900000001</v>
      </c>
      <c r="H77" s="624">
        <f>IFERROR(VLOOKUP($A77,Race_2024_Seasonal!A:X,11,FALSE),0)</f>
        <v>-1329832.5900000001</v>
      </c>
      <c r="I77" s="624">
        <f>IFERROR(VLOOKUP($A77,Race_2024_Seasonal!A:X,12,FALSE),0)</f>
        <v>-1329832.5900000001</v>
      </c>
      <c r="J77" s="624">
        <f>IFERROR(VLOOKUP($A77,Race_2024_Seasonal!A:X,13,FALSE),0)</f>
        <v>-1329832.5900000001</v>
      </c>
      <c r="K77" s="624">
        <f>IFERROR(VLOOKUP($A77,Race_2024_Seasonal!A:X,14,FALSE),0)</f>
        <v>-1329832.5900000001</v>
      </c>
      <c r="L77" s="624">
        <f>IFERROR(VLOOKUP($A77,Race_2024_Seasonal!A:X,15,FALSE),0)</f>
        <v>-1329832.5900000001</v>
      </c>
      <c r="M77" s="624">
        <f>IFERROR(VLOOKUP($A77,Race_2024_Seasonal!A:X,16,FALSE),0)</f>
        <v>-1329832.5900000001</v>
      </c>
      <c r="N77" s="624">
        <f>IFERROR(VLOOKUP($A77,Race_2024_Seasonal!A:X,17,FALSE),0)</f>
        <v>-1329832.5900000001</v>
      </c>
      <c r="O77" s="624">
        <f>IFERROR(VLOOKUP($A77,Race_2024_Seasonal!A:X,18,FALSE),0)</f>
        <v>-1329832.5900000001</v>
      </c>
      <c r="P77" s="554"/>
      <c r="Q77" s="624">
        <f t="shared" si="1"/>
        <v>-15957991.08</v>
      </c>
      <c r="R77" s="554"/>
      <c r="S77" s="670">
        <f>Q77-'P&amp;L'!I77</f>
        <v>0</v>
      </c>
    </row>
    <row r="78" spans="1:19" ht="15" x14ac:dyDescent="0.25">
      <c r="A78" s="546" t="s">
        <v>1278</v>
      </c>
      <c r="B78" s="546" t="e">
        <f>IFERROR(VLOOKUP(A78,Race_2024_Seasonal!A:C,3,FALSE), VLOOKUP(A78,Race_2024_Seasonal!A:C,3,FALSE))</f>
        <v>#N/A</v>
      </c>
      <c r="C78" s="549" t="s">
        <v>641</v>
      </c>
      <c r="D78" s="659">
        <f>IFERROR(VLOOKUP($A78,Race_2024_Seasonal!A:X,7,FALSE),0)</f>
        <v>0</v>
      </c>
      <c r="E78" s="659">
        <f>IFERROR(VLOOKUP($A78,Race_2024_Seasonal!A:X,8,FALSE),0)</f>
        <v>0</v>
      </c>
      <c r="F78" s="659">
        <f>IFERROR(VLOOKUP($A78,Race_2024_Seasonal!A:X,9,FALSE),0)</f>
        <v>0</v>
      </c>
      <c r="G78" s="659">
        <f>IFERROR(VLOOKUP($A78,Race_2024_Seasonal!A:X,10,FALSE),0)</f>
        <v>0</v>
      </c>
      <c r="H78" s="659">
        <f>IFERROR(VLOOKUP($A78,Race_2024_Seasonal!A:X,11,FALSE),0)</f>
        <v>0</v>
      </c>
      <c r="I78" s="659">
        <f>IFERROR(VLOOKUP($A78,Race_2024_Seasonal!A:X,12,FALSE),0)</f>
        <v>0</v>
      </c>
      <c r="J78" s="659">
        <f>IFERROR(VLOOKUP($A78,Race_2024_Seasonal!A:X,13,FALSE),0)</f>
        <v>0</v>
      </c>
      <c r="K78" s="659">
        <f>IFERROR(VLOOKUP($A78,Race_2024_Seasonal!A:X,14,FALSE),0)</f>
        <v>0</v>
      </c>
      <c r="L78" s="659">
        <f>IFERROR(VLOOKUP($A78,Race_2024_Seasonal!A:X,15,FALSE),0)</f>
        <v>0</v>
      </c>
      <c r="M78" s="659">
        <f>IFERROR(VLOOKUP($A78,Race_2024_Seasonal!A:X,16,FALSE),0)</f>
        <v>0</v>
      </c>
      <c r="N78" s="659">
        <f>IFERROR(VLOOKUP($A78,Race_2024_Seasonal!A:X,17,FALSE),0)</f>
        <v>0</v>
      </c>
      <c r="O78" s="659">
        <f>IFERROR(VLOOKUP($A78,Race_2024_Seasonal!A:X,18,FALSE),0)</f>
        <v>0</v>
      </c>
      <c r="P78" s="554"/>
      <c r="Q78" s="659">
        <f t="shared" si="1"/>
        <v>0</v>
      </c>
      <c r="R78" s="554"/>
      <c r="S78" s="670">
        <f>Q78-'P&amp;L'!I78</f>
        <v>0</v>
      </c>
    </row>
    <row r="79" spans="1:19" ht="15" x14ac:dyDescent="0.25">
      <c r="A79" s="546" t="s">
        <v>1279</v>
      </c>
      <c r="B79" s="546" t="e">
        <f>IFERROR(VLOOKUP(A79,Race_2024_Seasonal!A:C,3,FALSE), VLOOKUP(A79,Race_2024_Seasonal!A:C,3,FALSE))</f>
        <v>#N/A</v>
      </c>
      <c r="C79" s="549" t="s">
        <v>640</v>
      </c>
      <c r="D79" s="624">
        <f>IFERROR(VLOOKUP($A79,Race_2024_Seasonal!A:X,7,FALSE),0)</f>
        <v>0</v>
      </c>
      <c r="E79" s="624">
        <f>IFERROR(VLOOKUP($A79,Race_2024_Seasonal!A:X,8,FALSE),0)</f>
        <v>0</v>
      </c>
      <c r="F79" s="624">
        <f>IFERROR(VLOOKUP($A79,Race_2024_Seasonal!A:X,9,FALSE),0)</f>
        <v>0</v>
      </c>
      <c r="G79" s="624">
        <f>IFERROR(VLOOKUP($A79,Race_2024_Seasonal!A:X,10,FALSE),0)</f>
        <v>0</v>
      </c>
      <c r="H79" s="624">
        <f>IFERROR(VLOOKUP($A79,Race_2024_Seasonal!A:X,11,FALSE),0)</f>
        <v>0</v>
      </c>
      <c r="I79" s="624">
        <f>IFERROR(VLOOKUP($A79,Race_2024_Seasonal!A:X,12,FALSE),0)</f>
        <v>0</v>
      </c>
      <c r="J79" s="624">
        <f>IFERROR(VLOOKUP($A79,Race_2024_Seasonal!A:X,13,FALSE),0)</f>
        <v>0</v>
      </c>
      <c r="K79" s="624">
        <f>IFERROR(VLOOKUP($A79,Race_2024_Seasonal!A:X,14,FALSE),0)</f>
        <v>0</v>
      </c>
      <c r="L79" s="624">
        <f>IFERROR(VLOOKUP($A79,Race_2024_Seasonal!A:X,15,FALSE),0)</f>
        <v>0</v>
      </c>
      <c r="M79" s="624">
        <f>IFERROR(VLOOKUP($A79,Race_2024_Seasonal!A:X,16,FALSE),0)</f>
        <v>0</v>
      </c>
      <c r="N79" s="624">
        <f>IFERROR(VLOOKUP($A79,Race_2024_Seasonal!A:X,17,FALSE),0)</f>
        <v>0</v>
      </c>
      <c r="O79" s="624">
        <f>IFERROR(VLOOKUP($A79,Race_2024_Seasonal!A:X,18,FALSE),0)</f>
        <v>0</v>
      </c>
      <c r="P79" s="554"/>
      <c r="Q79" s="624">
        <f t="shared" si="1"/>
        <v>0</v>
      </c>
      <c r="R79" s="554"/>
      <c r="S79" s="670">
        <f>Q79-'P&amp;L'!I79</f>
        <v>0</v>
      </c>
    </row>
    <row r="80" spans="1:19" ht="15" x14ac:dyDescent="0.25">
      <c r="A80" s="546" t="s">
        <v>1280</v>
      </c>
      <c r="B80" s="546" t="str">
        <f>IFERROR(VLOOKUP(A80,Race_2024_Seasonal!A:C,3,FALSE), VLOOKUP(A80,Race_2024_Seasonal!A:C,3,FALSE))</f>
        <v>Sales&amp;distrib.exp.</v>
      </c>
      <c r="C80" s="552" t="s">
        <v>639</v>
      </c>
      <c r="D80" s="664">
        <f>IFERROR(VLOOKUP($A80,Race_2024_Seasonal!A:X,7,FALSE),0)</f>
        <v>-265231.83600000001</v>
      </c>
      <c r="E80" s="664">
        <f>IFERROR(VLOOKUP($A80,Race_2024_Seasonal!A:X,8,FALSE),0)</f>
        <v>-253091.79500000001</v>
      </c>
      <c r="F80" s="664">
        <f>IFERROR(VLOOKUP($A80,Race_2024_Seasonal!A:X,9,FALSE),0)</f>
        <v>-252401.19</v>
      </c>
      <c r="G80" s="664">
        <f>IFERROR(VLOOKUP($A80,Race_2024_Seasonal!A:X,10,FALSE),0)</f>
        <v>-246558.37100000001</v>
      </c>
      <c r="H80" s="664">
        <f>IFERROR(VLOOKUP($A80,Race_2024_Seasonal!A:X,11,FALSE),0)</f>
        <v>-251019.06</v>
      </c>
      <c r="I80" s="664">
        <f>IFERROR(VLOOKUP($A80,Race_2024_Seasonal!A:X,12,FALSE),0)</f>
        <v>-248948.158</v>
      </c>
      <c r="J80" s="664">
        <f>IFERROR(VLOOKUP($A80,Race_2024_Seasonal!A:X,13,FALSE),0)</f>
        <v>-268002.05499999999</v>
      </c>
      <c r="K80" s="664">
        <f>IFERROR(VLOOKUP($A80,Race_2024_Seasonal!A:X,14,FALSE),0)</f>
        <v>-253097.05499999999</v>
      </c>
      <c r="L80" s="664">
        <f>IFERROR(VLOOKUP($A80,Race_2024_Seasonal!A:X,15,FALSE),0)</f>
        <v>-253776.00599999999</v>
      </c>
      <c r="M80" s="664">
        <f>IFERROR(VLOOKUP($A80,Race_2024_Seasonal!A:X,16,FALSE),0)</f>
        <v>-249050.98300000001</v>
      </c>
      <c r="N80" s="664">
        <f>IFERROR(VLOOKUP($A80,Race_2024_Seasonal!A:X,17,FALSE),0)</f>
        <v>-250565.59599999999</v>
      </c>
      <c r="O80" s="664">
        <f>IFERROR(VLOOKUP($A80,Race_2024_Seasonal!A:X,18,FALSE),0)</f>
        <v>-251207.03599999999</v>
      </c>
      <c r="P80" s="554"/>
      <c r="Q80" s="664">
        <f t="shared" si="1"/>
        <v>-3042949.1409999998</v>
      </c>
      <c r="R80" s="554"/>
      <c r="S80" s="670">
        <f>Q80-'P&amp;L'!I80</f>
        <v>0</v>
      </c>
    </row>
    <row r="81" spans="1:19" ht="15" x14ac:dyDescent="0.25">
      <c r="A81" s="546" t="s">
        <v>1281</v>
      </c>
      <c r="B81" s="546" t="str">
        <f>IFERROR(VLOOKUP(A81,Race_2024_Seasonal!A:C,3,FALSE), VLOOKUP(A81,Race_2024_Seasonal!A:C,3,FALSE))</f>
        <v>PE selling</v>
      </c>
      <c r="C81" s="556" t="s">
        <v>638</v>
      </c>
      <c r="D81" s="659">
        <f>IFERROR(VLOOKUP($A81,Race_2024_Seasonal!A:X,7,FALSE),0)</f>
        <v>-167525.995</v>
      </c>
      <c r="E81" s="659">
        <f>IFERROR(VLOOKUP($A81,Race_2024_Seasonal!A:X,8,FALSE),0)</f>
        <v>-167525.995</v>
      </c>
      <c r="F81" s="659">
        <f>IFERROR(VLOOKUP($A81,Race_2024_Seasonal!A:X,9,FALSE),0)</f>
        <v>-167525.995</v>
      </c>
      <c r="G81" s="659">
        <f>IFERROR(VLOOKUP($A81,Race_2024_Seasonal!A:X,10,FALSE),0)</f>
        <v>-167525.995</v>
      </c>
      <c r="H81" s="659">
        <f>IFERROR(VLOOKUP($A81,Race_2024_Seasonal!A:X,11,FALSE),0)</f>
        <v>-167525.995</v>
      </c>
      <c r="I81" s="659">
        <f>IFERROR(VLOOKUP($A81,Race_2024_Seasonal!A:X,12,FALSE),0)</f>
        <v>-167525.995</v>
      </c>
      <c r="J81" s="659">
        <f>IFERROR(VLOOKUP($A81,Race_2024_Seasonal!A:X,13,FALSE),0)</f>
        <v>-167525.995</v>
      </c>
      <c r="K81" s="659">
        <f>IFERROR(VLOOKUP($A81,Race_2024_Seasonal!A:X,14,FALSE),0)</f>
        <v>-167525.995</v>
      </c>
      <c r="L81" s="659">
        <f>IFERROR(VLOOKUP($A81,Race_2024_Seasonal!A:X,15,FALSE),0)</f>
        <v>-167525.995</v>
      </c>
      <c r="M81" s="659">
        <f>IFERROR(VLOOKUP($A81,Race_2024_Seasonal!A:X,16,FALSE),0)</f>
        <v>-167525.995</v>
      </c>
      <c r="N81" s="659">
        <f>IFERROR(VLOOKUP($A81,Race_2024_Seasonal!A:X,17,FALSE),0)</f>
        <v>-167525.995</v>
      </c>
      <c r="O81" s="659">
        <f>IFERROR(VLOOKUP($A81,Race_2024_Seasonal!A:X,18,FALSE),0)</f>
        <v>-167525.995</v>
      </c>
      <c r="P81" s="554"/>
      <c r="Q81" s="659">
        <f t="shared" si="1"/>
        <v>-2010311.9400000004</v>
      </c>
      <c r="R81" s="554"/>
      <c r="S81" s="670">
        <f>Q81-'P&amp;L'!I81</f>
        <v>0</v>
      </c>
    </row>
    <row r="82" spans="1:19" ht="15" x14ac:dyDescent="0.25">
      <c r="A82" s="546" t="s">
        <v>1282</v>
      </c>
      <c r="B82" s="546" t="str">
        <f>IFERROR(VLOOKUP(A82,Race_2024_Seasonal!A:C,3,FALSE), VLOOKUP(A82,Race_2024_Seasonal!A:C,3,FALSE))</f>
        <v>PE communication</v>
      </c>
      <c r="C82" s="556" t="s">
        <v>637</v>
      </c>
      <c r="D82" s="624">
        <f>IFERROR(VLOOKUP($A82,Race_2024_Seasonal!A:X,7,FALSE),0)</f>
        <v>-7054.3339999999998</v>
      </c>
      <c r="E82" s="624">
        <f>IFERROR(VLOOKUP($A82,Race_2024_Seasonal!A:X,8,FALSE),0)</f>
        <v>-7054.3339999999998</v>
      </c>
      <c r="F82" s="624">
        <f>IFERROR(VLOOKUP($A82,Race_2024_Seasonal!A:X,9,FALSE),0)</f>
        <v>-7054.3339999999998</v>
      </c>
      <c r="G82" s="624">
        <f>IFERROR(VLOOKUP($A82,Race_2024_Seasonal!A:X,10,FALSE),0)</f>
        <v>-7054.3339999999998</v>
      </c>
      <c r="H82" s="624">
        <f>IFERROR(VLOOKUP($A82,Race_2024_Seasonal!A:X,11,FALSE),0)</f>
        <v>-7054.3339999999998</v>
      </c>
      <c r="I82" s="624">
        <f>IFERROR(VLOOKUP($A82,Race_2024_Seasonal!A:X,12,FALSE),0)</f>
        <v>-7054.3339999999998</v>
      </c>
      <c r="J82" s="624">
        <f>IFERROR(VLOOKUP($A82,Race_2024_Seasonal!A:X,13,FALSE),0)</f>
        <v>-7054.3339999999998</v>
      </c>
      <c r="K82" s="624">
        <f>IFERROR(VLOOKUP($A82,Race_2024_Seasonal!A:X,14,FALSE),0)</f>
        <v>-7054.3339999999998</v>
      </c>
      <c r="L82" s="624">
        <f>IFERROR(VLOOKUP($A82,Race_2024_Seasonal!A:X,15,FALSE),0)</f>
        <v>-7054.3339999999998</v>
      </c>
      <c r="M82" s="624">
        <f>IFERROR(VLOOKUP($A82,Race_2024_Seasonal!A:X,16,FALSE),0)</f>
        <v>-7054.3339999999998</v>
      </c>
      <c r="N82" s="624">
        <f>IFERROR(VLOOKUP($A82,Race_2024_Seasonal!A:X,17,FALSE),0)</f>
        <v>-7054.3339999999998</v>
      </c>
      <c r="O82" s="624">
        <f>IFERROR(VLOOKUP($A82,Race_2024_Seasonal!A:X,18,FALSE),0)</f>
        <v>-7054.3339999999998</v>
      </c>
      <c r="P82" s="554"/>
      <c r="Q82" s="624">
        <f t="shared" si="1"/>
        <v>-84652.008000000016</v>
      </c>
      <c r="R82" s="554"/>
      <c r="S82" s="670">
        <f>Q82-'P&amp;L'!I82</f>
        <v>0</v>
      </c>
    </row>
    <row r="83" spans="1:19" ht="15" x14ac:dyDescent="0.25">
      <c r="A83" s="546" t="s">
        <v>1283</v>
      </c>
      <c r="B83" s="546" t="str">
        <f>IFERROR(VLOOKUP(A83,Race_2024_Seasonal!A:C,3,FALSE), VLOOKUP(A83,Race_2024_Seasonal!A:C,3,FALSE))</f>
        <v>PE distribution</v>
      </c>
      <c r="C83" s="556" t="s">
        <v>302</v>
      </c>
      <c r="D83" s="624">
        <f>IFERROR(VLOOKUP($A83,Race_2024_Seasonal!A:X,7,FALSE),0)</f>
        <v>-90651.506999999998</v>
      </c>
      <c r="E83" s="624">
        <f>IFERROR(VLOOKUP($A83,Race_2024_Seasonal!A:X,8,FALSE),0)</f>
        <v>-78511.466</v>
      </c>
      <c r="F83" s="624">
        <f>IFERROR(VLOOKUP($A83,Race_2024_Seasonal!A:X,9,FALSE),0)</f>
        <v>-77820.861000000004</v>
      </c>
      <c r="G83" s="624">
        <f>IFERROR(VLOOKUP($A83,Race_2024_Seasonal!A:X,10,FALSE),0)</f>
        <v>-71978.042000000001</v>
      </c>
      <c r="H83" s="624">
        <f>IFERROR(VLOOKUP($A83,Race_2024_Seasonal!A:X,11,FALSE),0)</f>
        <v>-76438.731</v>
      </c>
      <c r="I83" s="624">
        <f>IFERROR(VLOOKUP($A83,Race_2024_Seasonal!A:X,12,FALSE),0)</f>
        <v>-74367.828999999998</v>
      </c>
      <c r="J83" s="624">
        <f>IFERROR(VLOOKUP($A83,Race_2024_Seasonal!A:X,13,FALSE),0)</f>
        <v>-93421.725999999995</v>
      </c>
      <c r="K83" s="624">
        <f>IFERROR(VLOOKUP($A83,Race_2024_Seasonal!A:X,14,FALSE),0)</f>
        <v>-78516.725999999995</v>
      </c>
      <c r="L83" s="624">
        <f>IFERROR(VLOOKUP($A83,Race_2024_Seasonal!A:X,15,FALSE),0)</f>
        <v>-79195.676999999996</v>
      </c>
      <c r="M83" s="624">
        <f>IFERROR(VLOOKUP($A83,Race_2024_Seasonal!A:X,16,FALSE),0)</f>
        <v>-74470.653999999995</v>
      </c>
      <c r="N83" s="624">
        <f>IFERROR(VLOOKUP($A83,Race_2024_Seasonal!A:X,17,FALSE),0)</f>
        <v>-75985.267000000007</v>
      </c>
      <c r="O83" s="624">
        <f>IFERROR(VLOOKUP($A83,Race_2024_Seasonal!A:X,18,FALSE),0)</f>
        <v>-76626.706999999995</v>
      </c>
      <c r="P83" s="554"/>
      <c r="Q83" s="624">
        <f t="shared" si="1"/>
        <v>-947985.19299999997</v>
      </c>
      <c r="R83" s="554"/>
      <c r="S83" s="670">
        <f>Q83-'P&amp;L'!I83</f>
        <v>0</v>
      </c>
    </row>
    <row r="84" spans="1:19" ht="15" x14ac:dyDescent="0.25">
      <c r="A84" s="546" t="s">
        <v>1284</v>
      </c>
      <c r="B84" s="546" t="e">
        <f>IFERROR(VLOOKUP(A84,Race_2024_Seasonal!A:C,3,FALSE), VLOOKUP(A84,Race_2024_Seasonal!A:C,3,FALSE))</f>
        <v>#N/A</v>
      </c>
      <c r="C84" s="556" t="s">
        <v>636</v>
      </c>
      <c r="D84" s="624">
        <f>IFERROR(VLOOKUP($A84,Race_2024_Seasonal!A:X,7,FALSE),0)</f>
        <v>0</v>
      </c>
      <c r="E84" s="624">
        <f>IFERROR(VLOOKUP($A84,Race_2024_Seasonal!A:X,8,FALSE),0)</f>
        <v>0</v>
      </c>
      <c r="F84" s="624">
        <f>IFERROR(VLOOKUP($A84,Race_2024_Seasonal!A:X,9,FALSE),0)</f>
        <v>0</v>
      </c>
      <c r="G84" s="624">
        <f>IFERROR(VLOOKUP($A84,Race_2024_Seasonal!A:X,10,FALSE),0)</f>
        <v>0</v>
      </c>
      <c r="H84" s="624">
        <f>IFERROR(VLOOKUP($A84,Race_2024_Seasonal!A:X,11,FALSE),0)</f>
        <v>0</v>
      </c>
      <c r="I84" s="624">
        <f>IFERROR(VLOOKUP($A84,Race_2024_Seasonal!A:X,12,FALSE),0)</f>
        <v>0</v>
      </c>
      <c r="J84" s="624">
        <f>IFERROR(VLOOKUP($A84,Race_2024_Seasonal!A:X,13,FALSE),0)</f>
        <v>0</v>
      </c>
      <c r="K84" s="624">
        <f>IFERROR(VLOOKUP($A84,Race_2024_Seasonal!A:X,14,FALSE),0)</f>
        <v>0</v>
      </c>
      <c r="L84" s="624">
        <f>IFERROR(VLOOKUP($A84,Race_2024_Seasonal!A:X,15,FALSE),0)</f>
        <v>0</v>
      </c>
      <c r="M84" s="624">
        <f>IFERROR(VLOOKUP($A84,Race_2024_Seasonal!A:X,16,FALSE),0)</f>
        <v>0</v>
      </c>
      <c r="N84" s="624">
        <f>IFERROR(VLOOKUP($A84,Race_2024_Seasonal!A:X,17,FALSE),0)</f>
        <v>0</v>
      </c>
      <c r="O84" s="624">
        <f>IFERROR(VLOOKUP($A84,Race_2024_Seasonal!A:X,18,FALSE),0)</f>
        <v>0</v>
      </c>
      <c r="P84" s="554"/>
      <c r="Q84" s="624">
        <f t="shared" si="1"/>
        <v>0</v>
      </c>
      <c r="R84" s="554"/>
      <c r="S84" s="670">
        <f>Q84-'P&amp;L'!I84</f>
        <v>0</v>
      </c>
    </row>
    <row r="85" spans="1:19" ht="15" x14ac:dyDescent="0.25">
      <c r="A85" s="546" t="s">
        <v>1285</v>
      </c>
      <c r="B85" s="546" t="str">
        <f>IFERROR(VLOOKUP(A85,Race_2024_Seasonal!A:C,3,FALSE), VLOOKUP(A85,Race_2024_Seasonal!A:C,3,FALSE))</f>
        <v>F,G and A expenses</v>
      </c>
      <c r="C85" s="552" t="s">
        <v>297</v>
      </c>
      <c r="D85" s="664">
        <f>IFERROR(VLOOKUP($A85,Race_2024_Seasonal!A:X,7,FALSE),0)</f>
        <v>-384439.47700000001</v>
      </c>
      <c r="E85" s="664">
        <f>IFERROR(VLOOKUP($A85,Race_2024_Seasonal!A:X,8,FALSE),0)</f>
        <v>-308948.16499999998</v>
      </c>
      <c r="F85" s="664">
        <f>IFERROR(VLOOKUP($A85,Race_2024_Seasonal!A:X,9,FALSE),0)</f>
        <v>-310268.65700000001</v>
      </c>
      <c r="G85" s="664">
        <f>IFERROR(VLOOKUP($A85,Race_2024_Seasonal!A:X,10,FALSE),0)</f>
        <v>-307399.25199999998</v>
      </c>
      <c r="H85" s="664">
        <f>IFERROR(VLOOKUP($A85,Race_2024_Seasonal!A:X,11,FALSE),0)</f>
        <v>-307738.82199999999</v>
      </c>
      <c r="I85" s="664">
        <f>IFERROR(VLOOKUP($A85,Race_2024_Seasonal!A:X,12,FALSE),0)</f>
        <v>-308253.29200000002</v>
      </c>
      <c r="J85" s="664">
        <f>IFERROR(VLOOKUP($A85,Race_2024_Seasonal!A:X,13,FALSE),0)</f>
        <v>-311355.42200000002</v>
      </c>
      <c r="K85" s="664">
        <f>IFERROR(VLOOKUP($A85,Race_2024_Seasonal!A:X,14,FALSE),0)</f>
        <v>-309063.23300000001</v>
      </c>
      <c r="L85" s="664">
        <f>IFERROR(VLOOKUP($A85,Race_2024_Seasonal!A:X,15,FALSE),0)</f>
        <v>-309381.20199999999</v>
      </c>
      <c r="M85" s="664">
        <f>IFERROR(VLOOKUP($A85,Race_2024_Seasonal!A:X,16,FALSE),0)</f>
        <v>-307956.06199999998</v>
      </c>
      <c r="N85" s="664">
        <f>IFERROR(VLOOKUP($A85,Race_2024_Seasonal!A:X,17,FALSE),0)</f>
        <v>-308147.79200000002</v>
      </c>
      <c r="O85" s="664">
        <f>IFERROR(VLOOKUP($A85,Race_2024_Seasonal!A:X,18,FALSE),0)</f>
        <v>-309141.14399999997</v>
      </c>
      <c r="P85" s="554"/>
      <c r="Q85" s="664">
        <f t="shared" si="1"/>
        <v>-3782092.52</v>
      </c>
      <c r="R85" s="554"/>
      <c r="S85" s="670">
        <f>Q85-'P&amp;L'!I85</f>
        <v>0</v>
      </c>
    </row>
    <row r="86" spans="1:19" ht="15" x14ac:dyDescent="0.25">
      <c r="A86" s="546" t="s">
        <v>1286</v>
      </c>
      <c r="B86" s="546" t="str">
        <f>IFERROR(VLOOKUP(A86,Race_2024_Seasonal!A:C,3,FALSE), VLOOKUP(A86,Race_2024_Seasonal!A:C,3,FALSE))</f>
        <v>F,G&amp;A expenses</v>
      </c>
      <c r="C86" s="556" t="s">
        <v>297</v>
      </c>
      <c r="D86" s="624">
        <f>IFERROR(VLOOKUP($A86,Race_2024_Seasonal!A:X,7,FALSE),0)</f>
        <v>-384439.47700000001</v>
      </c>
      <c r="E86" s="624">
        <f>IFERROR(VLOOKUP($A86,Race_2024_Seasonal!A:X,8,FALSE),0)</f>
        <v>-308948.16499999998</v>
      </c>
      <c r="F86" s="624">
        <f>IFERROR(VLOOKUP($A86,Race_2024_Seasonal!A:X,9,FALSE),0)</f>
        <v>-310268.65700000001</v>
      </c>
      <c r="G86" s="624">
        <f>IFERROR(VLOOKUP($A86,Race_2024_Seasonal!A:X,10,FALSE),0)</f>
        <v>-307399.25199999998</v>
      </c>
      <c r="H86" s="624">
        <f>IFERROR(VLOOKUP($A86,Race_2024_Seasonal!A:X,11,FALSE),0)</f>
        <v>-307738.82199999999</v>
      </c>
      <c r="I86" s="624">
        <f>IFERROR(VLOOKUP($A86,Race_2024_Seasonal!A:X,12,FALSE),0)</f>
        <v>-308253.29200000002</v>
      </c>
      <c r="J86" s="624">
        <f>IFERROR(VLOOKUP($A86,Race_2024_Seasonal!A:X,13,FALSE),0)</f>
        <v>-311355.42200000002</v>
      </c>
      <c r="K86" s="624">
        <f>IFERROR(VLOOKUP($A86,Race_2024_Seasonal!A:X,14,FALSE),0)</f>
        <v>-309063.23300000001</v>
      </c>
      <c r="L86" s="624">
        <f>IFERROR(VLOOKUP($A86,Race_2024_Seasonal!A:X,15,FALSE),0)</f>
        <v>-309381.20199999999</v>
      </c>
      <c r="M86" s="624">
        <f>IFERROR(VLOOKUP($A86,Race_2024_Seasonal!A:X,16,FALSE),0)</f>
        <v>-307956.06199999998</v>
      </c>
      <c r="N86" s="624">
        <f>IFERROR(VLOOKUP($A86,Race_2024_Seasonal!A:X,17,FALSE),0)</f>
        <v>-308147.79200000002</v>
      </c>
      <c r="O86" s="624">
        <f>IFERROR(VLOOKUP($A86,Race_2024_Seasonal!A:X,18,FALSE),0)</f>
        <v>-309141.14399999997</v>
      </c>
      <c r="P86" s="554"/>
      <c r="Q86" s="624">
        <f t="shared" si="1"/>
        <v>-3782092.52</v>
      </c>
      <c r="R86" s="554"/>
      <c r="S86" s="670">
        <f>Q86-'P&amp;L'!I86</f>
        <v>0</v>
      </c>
    </row>
    <row r="87" spans="1:19" ht="15" x14ac:dyDescent="0.25">
      <c r="A87" s="546" t="s">
        <v>1287</v>
      </c>
      <c r="B87" s="546" t="e">
        <f>IFERROR(VLOOKUP(A87,Race_2024_Seasonal!A:C,3,FALSE), VLOOKUP(A87,Race_2024_Seasonal!A:C,3,FALSE))</f>
        <v>#N/A</v>
      </c>
      <c r="C87" s="556" t="s">
        <v>635</v>
      </c>
      <c r="D87" s="624">
        <f>IFERROR(VLOOKUP($A87,Race_2024_Seasonal!A:X,7,FALSE),0)</f>
        <v>0</v>
      </c>
      <c r="E87" s="624">
        <f>IFERROR(VLOOKUP($A87,Race_2024_Seasonal!A:X,8,FALSE),0)</f>
        <v>0</v>
      </c>
      <c r="F87" s="624">
        <f>IFERROR(VLOOKUP($A87,Race_2024_Seasonal!A:X,9,FALSE),0)</f>
        <v>0</v>
      </c>
      <c r="G87" s="624">
        <f>IFERROR(VLOOKUP($A87,Race_2024_Seasonal!A:X,10,FALSE),0)</f>
        <v>0</v>
      </c>
      <c r="H87" s="624">
        <f>IFERROR(VLOOKUP($A87,Race_2024_Seasonal!A:X,11,FALSE),0)</f>
        <v>0</v>
      </c>
      <c r="I87" s="624">
        <f>IFERROR(VLOOKUP($A87,Race_2024_Seasonal!A:X,12,FALSE),0)</f>
        <v>0</v>
      </c>
      <c r="J87" s="624">
        <f>IFERROR(VLOOKUP($A87,Race_2024_Seasonal!A:X,13,FALSE),0)</f>
        <v>0</v>
      </c>
      <c r="K87" s="624">
        <f>IFERROR(VLOOKUP($A87,Race_2024_Seasonal!A:X,14,FALSE),0)</f>
        <v>0</v>
      </c>
      <c r="L87" s="624">
        <f>IFERROR(VLOOKUP($A87,Race_2024_Seasonal!A:X,15,FALSE),0)</f>
        <v>0</v>
      </c>
      <c r="M87" s="624">
        <f>IFERROR(VLOOKUP($A87,Race_2024_Seasonal!A:X,16,FALSE),0)</f>
        <v>0</v>
      </c>
      <c r="N87" s="624">
        <f>IFERROR(VLOOKUP($A87,Race_2024_Seasonal!A:X,17,FALSE),0)</f>
        <v>0</v>
      </c>
      <c r="O87" s="624">
        <f>IFERROR(VLOOKUP($A87,Race_2024_Seasonal!A:X,18,FALSE),0)</f>
        <v>0</v>
      </c>
      <c r="P87" s="554"/>
      <c r="Q87" s="624">
        <f t="shared" si="1"/>
        <v>0</v>
      </c>
      <c r="R87" s="554"/>
      <c r="S87" s="670">
        <f>Q87-'P&amp;L'!I87</f>
        <v>0</v>
      </c>
    </row>
    <row r="88" spans="1:19" ht="15" x14ac:dyDescent="0.25">
      <c r="A88" s="546" t="s">
        <v>1288</v>
      </c>
      <c r="B88" s="546" t="e">
        <f>IFERROR(VLOOKUP(A88,Race_2024_Seasonal!A:C,3,FALSE), VLOOKUP(A88,Race_2024_Seasonal!A:C,3,FALSE))</f>
        <v>#N/A</v>
      </c>
      <c r="C88" s="552" t="s">
        <v>634</v>
      </c>
      <c r="D88" s="666">
        <f>IFERROR(VLOOKUP($A88,Race_2024_Seasonal!A:X,7,FALSE),0)</f>
        <v>0</v>
      </c>
      <c r="E88" s="666">
        <f>IFERROR(VLOOKUP($A88,Race_2024_Seasonal!A:X,8,FALSE),0)</f>
        <v>0</v>
      </c>
      <c r="F88" s="666">
        <f>IFERROR(VLOOKUP($A88,Race_2024_Seasonal!A:X,9,FALSE),0)</f>
        <v>0</v>
      </c>
      <c r="G88" s="666">
        <f>IFERROR(VLOOKUP($A88,Race_2024_Seasonal!A:X,10,FALSE),0)</f>
        <v>0</v>
      </c>
      <c r="H88" s="666">
        <f>IFERROR(VLOOKUP($A88,Race_2024_Seasonal!A:X,11,FALSE),0)</f>
        <v>0</v>
      </c>
      <c r="I88" s="666">
        <f>IFERROR(VLOOKUP($A88,Race_2024_Seasonal!A:X,12,FALSE),0)</f>
        <v>0</v>
      </c>
      <c r="J88" s="666">
        <f>IFERROR(VLOOKUP($A88,Race_2024_Seasonal!A:X,13,FALSE),0)</f>
        <v>0</v>
      </c>
      <c r="K88" s="666">
        <f>IFERROR(VLOOKUP($A88,Race_2024_Seasonal!A:X,14,FALSE),0)</f>
        <v>0</v>
      </c>
      <c r="L88" s="666">
        <f>IFERROR(VLOOKUP($A88,Race_2024_Seasonal!A:X,15,FALSE),0)</f>
        <v>0</v>
      </c>
      <c r="M88" s="666">
        <f>IFERROR(VLOOKUP($A88,Race_2024_Seasonal!A:X,16,FALSE),0)</f>
        <v>0</v>
      </c>
      <c r="N88" s="666">
        <f>IFERROR(VLOOKUP($A88,Race_2024_Seasonal!A:X,17,FALSE),0)</f>
        <v>0</v>
      </c>
      <c r="O88" s="666">
        <f>IFERROR(VLOOKUP($A88,Race_2024_Seasonal!A:X,18,FALSE),0)</f>
        <v>0</v>
      </c>
      <c r="P88" s="554"/>
      <c r="Q88" s="666">
        <f t="shared" si="1"/>
        <v>0</v>
      </c>
      <c r="R88" s="554"/>
      <c r="S88" s="670">
        <f>Q88-'P&amp;L'!I88</f>
        <v>0</v>
      </c>
    </row>
    <row r="89" spans="1:19" ht="15" x14ac:dyDescent="0.25">
      <c r="A89" s="546" t="s">
        <v>1289</v>
      </c>
      <c r="B89" s="546" t="e">
        <f>IFERROR(VLOOKUP(A89,Race_2024_Seasonal!A:C,3,FALSE), VLOOKUP(A89,Race_2024_Seasonal!A:C,3,FALSE))</f>
        <v>#N/A</v>
      </c>
      <c r="C89" s="549" t="s">
        <v>633</v>
      </c>
      <c r="D89" s="621">
        <f>IFERROR(VLOOKUP($A89,Race_2024_Seasonal!A:X,7,FALSE),0)</f>
        <v>0</v>
      </c>
      <c r="E89" s="621">
        <f>IFERROR(VLOOKUP($A89,Race_2024_Seasonal!A:X,8,FALSE),0)</f>
        <v>0</v>
      </c>
      <c r="F89" s="621">
        <f>IFERROR(VLOOKUP($A89,Race_2024_Seasonal!A:X,9,FALSE),0)</f>
        <v>0</v>
      </c>
      <c r="G89" s="621">
        <f>IFERROR(VLOOKUP($A89,Race_2024_Seasonal!A:X,10,FALSE),0)</f>
        <v>0</v>
      </c>
      <c r="H89" s="621">
        <f>IFERROR(VLOOKUP($A89,Race_2024_Seasonal!A:X,11,FALSE),0)</f>
        <v>0</v>
      </c>
      <c r="I89" s="621">
        <f>IFERROR(VLOOKUP($A89,Race_2024_Seasonal!A:X,12,FALSE),0)</f>
        <v>0</v>
      </c>
      <c r="J89" s="621">
        <f>IFERROR(VLOOKUP($A89,Race_2024_Seasonal!A:X,13,FALSE),0)</f>
        <v>0</v>
      </c>
      <c r="K89" s="621">
        <f>IFERROR(VLOOKUP($A89,Race_2024_Seasonal!A:X,14,FALSE),0)</f>
        <v>0</v>
      </c>
      <c r="L89" s="621">
        <f>IFERROR(VLOOKUP($A89,Race_2024_Seasonal!A:X,15,FALSE),0)</f>
        <v>0</v>
      </c>
      <c r="M89" s="621">
        <f>IFERROR(VLOOKUP($A89,Race_2024_Seasonal!A:X,16,FALSE),0)</f>
        <v>0</v>
      </c>
      <c r="N89" s="621">
        <f>IFERROR(VLOOKUP($A89,Race_2024_Seasonal!A:X,17,FALSE),0)</f>
        <v>0</v>
      </c>
      <c r="O89" s="621">
        <f>IFERROR(VLOOKUP($A89,Race_2024_Seasonal!A:X,18,FALSE),0)</f>
        <v>0</v>
      </c>
      <c r="P89" s="554"/>
      <c r="Q89" s="621">
        <f t="shared" si="1"/>
        <v>0</v>
      </c>
      <c r="R89" s="554"/>
      <c r="S89" s="670">
        <f>Q89-'P&amp;L'!I89</f>
        <v>0</v>
      </c>
    </row>
    <row r="90" spans="1:19" ht="15" x14ac:dyDescent="0.25">
      <c r="A90" s="546" t="s">
        <v>1290</v>
      </c>
      <c r="B90" s="546" t="e">
        <f>IFERROR(VLOOKUP(A90,Race_2024_Seasonal!A:C,3,FALSE), VLOOKUP(A90,Race_2024_Seasonal!A:C,3,FALSE))</f>
        <v>#N/A</v>
      </c>
      <c r="C90" s="549" t="s">
        <v>632</v>
      </c>
      <c r="D90" s="621">
        <f>IFERROR(VLOOKUP($A90,Race_2024_Seasonal!A:X,7,FALSE),0)</f>
        <v>0</v>
      </c>
      <c r="E90" s="621">
        <f>IFERROR(VLOOKUP($A90,Race_2024_Seasonal!A:X,8,FALSE),0)</f>
        <v>0</v>
      </c>
      <c r="F90" s="621">
        <f>IFERROR(VLOOKUP($A90,Race_2024_Seasonal!A:X,9,FALSE),0)</f>
        <v>0</v>
      </c>
      <c r="G90" s="621">
        <f>IFERROR(VLOOKUP($A90,Race_2024_Seasonal!A:X,10,FALSE),0)</f>
        <v>0</v>
      </c>
      <c r="H90" s="621">
        <f>IFERROR(VLOOKUP($A90,Race_2024_Seasonal!A:X,11,FALSE),0)</f>
        <v>0</v>
      </c>
      <c r="I90" s="621">
        <f>IFERROR(VLOOKUP($A90,Race_2024_Seasonal!A:X,12,FALSE),0)</f>
        <v>0</v>
      </c>
      <c r="J90" s="621">
        <f>IFERROR(VLOOKUP($A90,Race_2024_Seasonal!A:X,13,FALSE),0)</f>
        <v>0</v>
      </c>
      <c r="K90" s="621">
        <f>IFERROR(VLOOKUP($A90,Race_2024_Seasonal!A:X,14,FALSE),0)</f>
        <v>0</v>
      </c>
      <c r="L90" s="621">
        <f>IFERROR(VLOOKUP($A90,Race_2024_Seasonal!A:X,15,FALSE),0)</f>
        <v>0</v>
      </c>
      <c r="M90" s="621">
        <f>IFERROR(VLOOKUP($A90,Race_2024_Seasonal!A:X,16,FALSE),0)</f>
        <v>0</v>
      </c>
      <c r="N90" s="621">
        <f>IFERROR(VLOOKUP($A90,Race_2024_Seasonal!A:X,17,FALSE),0)</f>
        <v>0</v>
      </c>
      <c r="O90" s="621">
        <f>IFERROR(VLOOKUP($A90,Race_2024_Seasonal!A:X,18,FALSE),0)</f>
        <v>0</v>
      </c>
      <c r="P90" s="554"/>
      <c r="Q90" s="621">
        <f t="shared" si="1"/>
        <v>0</v>
      </c>
      <c r="R90" s="554"/>
      <c r="S90" s="670">
        <f>Q90-'P&amp;L'!I90</f>
        <v>0</v>
      </c>
    </row>
    <row r="91" spans="1:19" ht="15" x14ac:dyDescent="0.25">
      <c r="A91" s="546" t="s">
        <v>1291</v>
      </c>
      <c r="B91" s="546" t="e">
        <f>IFERROR(VLOOKUP(A91,Race_2024_Seasonal!A:C,3,FALSE), VLOOKUP(A91,Race_2024_Seasonal!A:C,3,FALSE))</f>
        <v>#N/A</v>
      </c>
      <c r="C91" s="549" t="s">
        <v>631</v>
      </c>
      <c r="D91" s="621">
        <f>IFERROR(VLOOKUP($A91,Race_2024_Seasonal!A:X,7,FALSE),0)</f>
        <v>0</v>
      </c>
      <c r="E91" s="621">
        <f>IFERROR(VLOOKUP($A91,Race_2024_Seasonal!A:X,8,FALSE),0)</f>
        <v>0</v>
      </c>
      <c r="F91" s="621">
        <f>IFERROR(VLOOKUP($A91,Race_2024_Seasonal!A:X,9,FALSE),0)</f>
        <v>0</v>
      </c>
      <c r="G91" s="621">
        <f>IFERROR(VLOOKUP($A91,Race_2024_Seasonal!A:X,10,FALSE),0)</f>
        <v>0</v>
      </c>
      <c r="H91" s="621">
        <f>IFERROR(VLOOKUP($A91,Race_2024_Seasonal!A:X,11,FALSE),0)</f>
        <v>0</v>
      </c>
      <c r="I91" s="621">
        <f>IFERROR(VLOOKUP($A91,Race_2024_Seasonal!A:X,12,FALSE),0)</f>
        <v>0</v>
      </c>
      <c r="J91" s="621">
        <f>IFERROR(VLOOKUP($A91,Race_2024_Seasonal!A:X,13,FALSE),0)</f>
        <v>0</v>
      </c>
      <c r="K91" s="621">
        <f>IFERROR(VLOOKUP($A91,Race_2024_Seasonal!A:X,14,FALSE),0)</f>
        <v>0</v>
      </c>
      <c r="L91" s="621">
        <f>IFERROR(VLOOKUP($A91,Race_2024_Seasonal!A:X,15,FALSE),0)</f>
        <v>0</v>
      </c>
      <c r="M91" s="621">
        <f>IFERROR(VLOOKUP($A91,Race_2024_Seasonal!A:X,16,FALSE),0)</f>
        <v>0</v>
      </c>
      <c r="N91" s="621">
        <f>IFERROR(VLOOKUP($A91,Race_2024_Seasonal!A:X,17,FALSE),0)</f>
        <v>0</v>
      </c>
      <c r="O91" s="621">
        <f>IFERROR(VLOOKUP($A91,Race_2024_Seasonal!A:X,18,FALSE),0)</f>
        <v>0</v>
      </c>
      <c r="P91" s="554"/>
      <c r="Q91" s="621">
        <f t="shared" si="1"/>
        <v>0</v>
      </c>
      <c r="R91" s="554"/>
      <c r="S91" s="670">
        <f>Q91-'P&amp;L'!I91</f>
        <v>0</v>
      </c>
    </row>
    <row r="92" spans="1:19" ht="15" x14ac:dyDescent="0.25">
      <c r="A92" s="546" t="s">
        <v>1292</v>
      </c>
      <c r="B92" s="546" t="e">
        <f>IFERROR(VLOOKUP(A92,Race_2024_Seasonal!A:C,3,FALSE), VLOOKUP(A92,Race_2024_Seasonal!A:C,3,FALSE))</f>
        <v>#N/A</v>
      </c>
      <c r="C92" s="549" t="s">
        <v>630</v>
      </c>
      <c r="D92" s="621">
        <f>IFERROR(VLOOKUP($A92,Race_2024_Seasonal!A:X,7,FALSE),0)</f>
        <v>0</v>
      </c>
      <c r="E92" s="621">
        <f>IFERROR(VLOOKUP($A92,Race_2024_Seasonal!A:X,8,FALSE),0)</f>
        <v>0</v>
      </c>
      <c r="F92" s="621">
        <f>IFERROR(VLOOKUP($A92,Race_2024_Seasonal!A:X,9,FALSE),0)</f>
        <v>0</v>
      </c>
      <c r="G92" s="621">
        <f>IFERROR(VLOOKUP($A92,Race_2024_Seasonal!A:X,10,FALSE),0)</f>
        <v>0</v>
      </c>
      <c r="H92" s="621">
        <f>IFERROR(VLOOKUP($A92,Race_2024_Seasonal!A:X,11,FALSE),0)</f>
        <v>0</v>
      </c>
      <c r="I92" s="621">
        <f>IFERROR(VLOOKUP($A92,Race_2024_Seasonal!A:X,12,FALSE),0)</f>
        <v>0</v>
      </c>
      <c r="J92" s="621">
        <f>IFERROR(VLOOKUP($A92,Race_2024_Seasonal!A:X,13,FALSE),0)</f>
        <v>0</v>
      </c>
      <c r="K92" s="621">
        <f>IFERROR(VLOOKUP($A92,Race_2024_Seasonal!A:X,14,FALSE),0)</f>
        <v>0</v>
      </c>
      <c r="L92" s="621">
        <f>IFERROR(VLOOKUP($A92,Race_2024_Seasonal!A:X,15,FALSE),0)</f>
        <v>0</v>
      </c>
      <c r="M92" s="621">
        <f>IFERROR(VLOOKUP($A92,Race_2024_Seasonal!A:X,16,FALSE),0)</f>
        <v>0</v>
      </c>
      <c r="N92" s="621">
        <f>IFERROR(VLOOKUP($A92,Race_2024_Seasonal!A:X,17,FALSE),0)</f>
        <v>0</v>
      </c>
      <c r="O92" s="621">
        <f>IFERROR(VLOOKUP($A92,Race_2024_Seasonal!A:X,18,FALSE),0)</f>
        <v>0</v>
      </c>
      <c r="P92" s="554"/>
      <c r="Q92" s="621">
        <f t="shared" si="1"/>
        <v>0</v>
      </c>
      <c r="R92" s="554"/>
      <c r="S92" s="670">
        <f>Q92-'P&amp;L'!I92</f>
        <v>0</v>
      </c>
    </row>
    <row r="93" spans="1:19" ht="15" x14ac:dyDescent="0.25">
      <c r="A93" s="546" t="s">
        <v>1293</v>
      </c>
      <c r="B93" s="546" t="e">
        <f>IFERROR(VLOOKUP(A93,Race_2024_Seasonal!A:C,3,FALSE), VLOOKUP(A93,Race_2024_Seasonal!A:C,3,FALSE))</f>
        <v>#N/A</v>
      </c>
      <c r="C93" s="549" t="s">
        <v>629</v>
      </c>
      <c r="D93" s="621">
        <f>IFERROR(VLOOKUP($A93,Race_2024_Seasonal!A:X,7,FALSE),0)</f>
        <v>0</v>
      </c>
      <c r="E93" s="621">
        <f>IFERROR(VLOOKUP($A93,Race_2024_Seasonal!A:X,8,FALSE),0)</f>
        <v>0</v>
      </c>
      <c r="F93" s="621">
        <f>IFERROR(VLOOKUP($A93,Race_2024_Seasonal!A:X,9,FALSE),0)</f>
        <v>0</v>
      </c>
      <c r="G93" s="621">
        <f>IFERROR(VLOOKUP($A93,Race_2024_Seasonal!A:X,10,FALSE),0)</f>
        <v>0</v>
      </c>
      <c r="H93" s="621">
        <f>IFERROR(VLOOKUP($A93,Race_2024_Seasonal!A:X,11,FALSE),0)</f>
        <v>0</v>
      </c>
      <c r="I93" s="621">
        <f>IFERROR(VLOOKUP($A93,Race_2024_Seasonal!A:X,12,FALSE),0)</f>
        <v>0</v>
      </c>
      <c r="J93" s="621">
        <f>IFERROR(VLOOKUP($A93,Race_2024_Seasonal!A:X,13,FALSE),0)</f>
        <v>0</v>
      </c>
      <c r="K93" s="621">
        <f>IFERROR(VLOOKUP($A93,Race_2024_Seasonal!A:X,14,FALSE),0)</f>
        <v>0</v>
      </c>
      <c r="L93" s="621">
        <f>IFERROR(VLOOKUP($A93,Race_2024_Seasonal!A:X,15,FALSE),0)</f>
        <v>0</v>
      </c>
      <c r="M93" s="621">
        <f>IFERROR(VLOOKUP($A93,Race_2024_Seasonal!A:X,16,FALSE),0)</f>
        <v>0</v>
      </c>
      <c r="N93" s="621">
        <f>IFERROR(VLOOKUP($A93,Race_2024_Seasonal!A:X,17,FALSE),0)</f>
        <v>0</v>
      </c>
      <c r="O93" s="621">
        <f>IFERROR(VLOOKUP($A93,Race_2024_Seasonal!A:X,18,FALSE),0)</f>
        <v>0</v>
      </c>
      <c r="P93" s="554"/>
      <c r="Q93" s="621">
        <f t="shared" si="1"/>
        <v>0</v>
      </c>
      <c r="R93" s="554"/>
      <c r="S93" s="670">
        <f>Q93-'P&amp;L'!I93</f>
        <v>0</v>
      </c>
    </row>
    <row r="94" spans="1:19" ht="15" x14ac:dyDescent="0.25">
      <c r="A94" s="546" t="s">
        <v>1294</v>
      </c>
      <c r="B94" s="546" t="e">
        <f>IFERROR(VLOOKUP(A94,Race_2024_Seasonal!A:C,3,FALSE), VLOOKUP(A94,Race_2024_Seasonal!A:C,3,FALSE))</f>
        <v>#N/A</v>
      </c>
      <c r="C94" s="549" t="s">
        <v>628</v>
      </c>
      <c r="D94" s="624">
        <f>IFERROR(VLOOKUP($A94,Race_2024_Seasonal!A:X,7,FALSE),0)</f>
        <v>0</v>
      </c>
      <c r="E94" s="624">
        <f>IFERROR(VLOOKUP($A94,Race_2024_Seasonal!A:X,8,FALSE),0)</f>
        <v>0</v>
      </c>
      <c r="F94" s="624">
        <f>IFERROR(VLOOKUP($A94,Race_2024_Seasonal!A:X,9,FALSE),0)</f>
        <v>0</v>
      </c>
      <c r="G94" s="624">
        <f>IFERROR(VLOOKUP($A94,Race_2024_Seasonal!A:X,10,FALSE),0)</f>
        <v>0</v>
      </c>
      <c r="H94" s="624">
        <f>IFERROR(VLOOKUP($A94,Race_2024_Seasonal!A:X,11,FALSE),0)</f>
        <v>0</v>
      </c>
      <c r="I94" s="624">
        <f>IFERROR(VLOOKUP($A94,Race_2024_Seasonal!A:X,12,FALSE),0)</f>
        <v>0</v>
      </c>
      <c r="J94" s="624">
        <f>IFERROR(VLOOKUP($A94,Race_2024_Seasonal!A:X,13,FALSE),0)</f>
        <v>0</v>
      </c>
      <c r="K94" s="624">
        <f>IFERROR(VLOOKUP($A94,Race_2024_Seasonal!A:X,14,FALSE),0)</f>
        <v>0</v>
      </c>
      <c r="L94" s="624">
        <f>IFERROR(VLOOKUP($A94,Race_2024_Seasonal!A:X,15,FALSE),0)</f>
        <v>0</v>
      </c>
      <c r="M94" s="624">
        <f>IFERROR(VLOOKUP($A94,Race_2024_Seasonal!A:X,16,FALSE),0)</f>
        <v>0</v>
      </c>
      <c r="N94" s="624">
        <f>IFERROR(VLOOKUP($A94,Race_2024_Seasonal!A:X,17,FALSE),0)</f>
        <v>0</v>
      </c>
      <c r="O94" s="624">
        <f>IFERROR(VLOOKUP($A94,Race_2024_Seasonal!A:X,18,FALSE),0)</f>
        <v>0</v>
      </c>
      <c r="P94" s="554"/>
      <c r="Q94" s="624">
        <f t="shared" si="1"/>
        <v>0</v>
      </c>
      <c r="R94" s="554"/>
      <c r="S94" s="670">
        <f>Q94-'P&amp;L'!I94</f>
        <v>0</v>
      </c>
    </row>
    <row r="95" spans="1:19" ht="15" x14ac:dyDescent="0.25">
      <c r="A95" s="546" t="s">
        <v>1295</v>
      </c>
      <c r="B95" s="546" t="e">
        <f>IFERROR(VLOOKUP(A95,Race_2024_Seasonal!A:C,3,FALSE), VLOOKUP(A95,Race_2024_Seasonal!A:C,3,FALSE))</f>
        <v>#N/A</v>
      </c>
      <c r="C95" s="553" t="s">
        <v>627</v>
      </c>
      <c r="D95" s="621">
        <f>IFERROR(VLOOKUP($A95,Race_2024_Seasonal!A:X,7,FALSE),0)</f>
        <v>0</v>
      </c>
      <c r="E95" s="621">
        <f>IFERROR(VLOOKUP($A95,Race_2024_Seasonal!A:X,8,FALSE),0)</f>
        <v>0</v>
      </c>
      <c r="F95" s="621">
        <f>IFERROR(VLOOKUP($A95,Race_2024_Seasonal!A:X,9,FALSE),0)</f>
        <v>0</v>
      </c>
      <c r="G95" s="621">
        <f>IFERROR(VLOOKUP($A95,Race_2024_Seasonal!A:X,10,FALSE),0)</f>
        <v>0</v>
      </c>
      <c r="H95" s="621">
        <f>IFERROR(VLOOKUP($A95,Race_2024_Seasonal!A:X,11,FALSE),0)</f>
        <v>0</v>
      </c>
      <c r="I95" s="621">
        <f>IFERROR(VLOOKUP($A95,Race_2024_Seasonal!A:X,12,FALSE),0)</f>
        <v>0</v>
      </c>
      <c r="J95" s="621">
        <f>IFERROR(VLOOKUP($A95,Race_2024_Seasonal!A:X,13,FALSE),0)</f>
        <v>0</v>
      </c>
      <c r="K95" s="621">
        <f>IFERROR(VLOOKUP($A95,Race_2024_Seasonal!A:X,14,FALSE),0)</f>
        <v>0</v>
      </c>
      <c r="L95" s="621">
        <f>IFERROR(VLOOKUP($A95,Race_2024_Seasonal!A:X,15,FALSE),0)</f>
        <v>0</v>
      </c>
      <c r="M95" s="621">
        <f>IFERROR(VLOOKUP($A95,Race_2024_Seasonal!A:X,16,FALSE),0)</f>
        <v>0</v>
      </c>
      <c r="N95" s="621">
        <f>IFERROR(VLOOKUP($A95,Race_2024_Seasonal!A:X,17,FALSE),0)</f>
        <v>0</v>
      </c>
      <c r="O95" s="621">
        <f>IFERROR(VLOOKUP($A95,Race_2024_Seasonal!A:X,18,FALSE),0)</f>
        <v>0</v>
      </c>
      <c r="P95" s="554"/>
      <c r="Q95" s="621">
        <f t="shared" si="1"/>
        <v>0</v>
      </c>
      <c r="R95" s="554"/>
      <c r="S95" s="670">
        <f>Q95-'P&amp;L'!I95</f>
        <v>0</v>
      </c>
    </row>
    <row r="96" spans="1:19" ht="15" x14ac:dyDescent="0.25">
      <c r="A96" s="546" t="s">
        <v>1296</v>
      </c>
      <c r="B96" s="546" t="e">
        <f>IFERROR(VLOOKUP(A96,Race_2024_Seasonal!A:C,3,FALSE), VLOOKUP(A96,Race_2024_Seasonal!A:C,3,FALSE))</f>
        <v>#N/A</v>
      </c>
      <c r="C96" s="553" t="s">
        <v>626</v>
      </c>
      <c r="D96" s="621">
        <f>IFERROR(VLOOKUP($A96,Race_2024_Seasonal!A:X,7,FALSE),0)</f>
        <v>0</v>
      </c>
      <c r="E96" s="621">
        <f>IFERROR(VLOOKUP($A96,Race_2024_Seasonal!A:X,8,FALSE),0)</f>
        <v>0</v>
      </c>
      <c r="F96" s="621">
        <f>IFERROR(VLOOKUP($A96,Race_2024_Seasonal!A:X,9,FALSE),0)</f>
        <v>0</v>
      </c>
      <c r="G96" s="621">
        <f>IFERROR(VLOOKUP($A96,Race_2024_Seasonal!A:X,10,FALSE),0)</f>
        <v>0</v>
      </c>
      <c r="H96" s="621">
        <f>IFERROR(VLOOKUP($A96,Race_2024_Seasonal!A:X,11,FALSE),0)</f>
        <v>0</v>
      </c>
      <c r="I96" s="621">
        <f>IFERROR(VLOOKUP($A96,Race_2024_Seasonal!A:X,12,FALSE),0)</f>
        <v>0</v>
      </c>
      <c r="J96" s="621">
        <f>IFERROR(VLOOKUP($A96,Race_2024_Seasonal!A:X,13,FALSE),0)</f>
        <v>0</v>
      </c>
      <c r="K96" s="621">
        <f>IFERROR(VLOOKUP($A96,Race_2024_Seasonal!A:X,14,FALSE),0)</f>
        <v>0</v>
      </c>
      <c r="L96" s="621">
        <f>IFERROR(VLOOKUP($A96,Race_2024_Seasonal!A:X,15,FALSE),0)</f>
        <v>0</v>
      </c>
      <c r="M96" s="621">
        <f>IFERROR(VLOOKUP($A96,Race_2024_Seasonal!A:X,16,FALSE),0)</f>
        <v>0</v>
      </c>
      <c r="N96" s="621">
        <f>IFERROR(VLOOKUP($A96,Race_2024_Seasonal!A:X,17,FALSE),0)</f>
        <v>0</v>
      </c>
      <c r="O96" s="621">
        <f>IFERROR(VLOOKUP($A96,Race_2024_Seasonal!A:X,18,FALSE),0)</f>
        <v>0</v>
      </c>
      <c r="P96" s="554"/>
      <c r="Q96" s="621">
        <f t="shared" si="1"/>
        <v>0</v>
      </c>
      <c r="R96" s="554"/>
      <c r="S96" s="670">
        <f>Q96-'P&amp;L'!I96</f>
        <v>0</v>
      </c>
    </row>
    <row r="97" spans="1:19" ht="15" x14ac:dyDescent="0.25">
      <c r="A97" s="546" t="s">
        <v>1297</v>
      </c>
      <c r="B97" s="546" t="e">
        <f>IFERROR(VLOOKUP(A97,Race_2024_Seasonal!A:C,3,FALSE), VLOOKUP(A97,Race_2024_Seasonal!A:C,3,FALSE))</f>
        <v>#N/A</v>
      </c>
      <c r="C97" s="553" t="s">
        <v>625</v>
      </c>
      <c r="D97" s="621">
        <f>IFERROR(VLOOKUP($A97,Race_2024_Seasonal!A:X,7,FALSE),0)</f>
        <v>0</v>
      </c>
      <c r="E97" s="621">
        <f>IFERROR(VLOOKUP($A97,Race_2024_Seasonal!A:X,8,FALSE),0)</f>
        <v>0</v>
      </c>
      <c r="F97" s="621">
        <f>IFERROR(VLOOKUP($A97,Race_2024_Seasonal!A:X,9,FALSE),0)</f>
        <v>0</v>
      </c>
      <c r="G97" s="621">
        <f>IFERROR(VLOOKUP($A97,Race_2024_Seasonal!A:X,10,FALSE),0)</f>
        <v>0</v>
      </c>
      <c r="H97" s="621">
        <f>IFERROR(VLOOKUP($A97,Race_2024_Seasonal!A:X,11,FALSE),0)</f>
        <v>0</v>
      </c>
      <c r="I97" s="621">
        <f>IFERROR(VLOOKUP($A97,Race_2024_Seasonal!A:X,12,FALSE),0)</f>
        <v>0</v>
      </c>
      <c r="J97" s="621">
        <f>IFERROR(VLOOKUP($A97,Race_2024_Seasonal!A:X,13,FALSE),0)</f>
        <v>0</v>
      </c>
      <c r="K97" s="621">
        <f>IFERROR(VLOOKUP($A97,Race_2024_Seasonal!A:X,14,FALSE),0)</f>
        <v>0</v>
      </c>
      <c r="L97" s="621">
        <f>IFERROR(VLOOKUP($A97,Race_2024_Seasonal!A:X,15,FALSE),0)</f>
        <v>0</v>
      </c>
      <c r="M97" s="621">
        <f>IFERROR(VLOOKUP($A97,Race_2024_Seasonal!A:X,16,FALSE),0)</f>
        <v>0</v>
      </c>
      <c r="N97" s="621">
        <f>IFERROR(VLOOKUP($A97,Race_2024_Seasonal!A:X,17,FALSE),0)</f>
        <v>0</v>
      </c>
      <c r="O97" s="621">
        <f>IFERROR(VLOOKUP($A97,Race_2024_Seasonal!A:X,18,FALSE),0)</f>
        <v>0</v>
      </c>
      <c r="P97" s="554"/>
      <c r="Q97" s="621">
        <f t="shared" si="1"/>
        <v>0</v>
      </c>
      <c r="R97" s="554"/>
      <c r="S97" s="670">
        <f>Q97-'P&amp;L'!I97</f>
        <v>0</v>
      </c>
    </row>
    <row r="98" spans="1:19" ht="15" x14ac:dyDescent="0.25">
      <c r="A98" s="546" t="s">
        <v>1298</v>
      </c>
      <c r="B98" s="546" t="e">
        <f>IFERROR(VLOOKUP(A98,Race_2024_Seasonal!A:C,3,FALSE), VLOOKUP(A98,Race_2024_Seasonal!A:C,3,FALSE))</f>
        <v>#N/A</v>
      </c>
      <c r="C98" s="553" t="s">
        <v>624</v>
      </c>
      <c r="D98" s="624">
        <f>IFERROR(VLOOKUP($A98,Race_2024_Seasonal!A:X,7,FALSE),0)</f>
        <v>0</v>
      </c>
      <c r="E98" s="624">
        <f>IFERROR(VLOOKUP($A98,Race_2024_Seasonal!A:X,8,FALSE),0)</f>
        <v>0</v>
      </c>
      <c r="F98" s="624">
        <f>IFERROR(VLOOKUP($A98,Race_2024_Seasonal!A:X,9,FALSE),0)</f>
        <v>0</v>
      </c>
      <c r="G98" s="624">
        <f>IFERROR(VLOOKUP($A98,Race_2024_Seasonal!A:X,10,FALSE),0)</f>
        <v>0</v>
      </c>
      <c r="H98" s="624">
        <f>IFERROR(VLOOKUP($A98,Race_2024_Seasonal!A:X,11,FALSE),0)</f>
        <v>0</v>
      </c>
      <c r="I98" s="624">
        <f>IFERROR(VLOOKUP($A98,Race_2024_Seasonal!A:X,12,FALSE),0)</f>
        <v>0</v>
      </c>
      <c r="J98" s="624">
        <f>IFERROR(VLOOKUP($A98,Race_2024_Seasonal!A:X,13,FALSE),0)</f>
        <v>0</v>
      </c>
      <c r="K98" s="624">
        <f>IFERROR(VLOOKUP($A98,Race_2024_Seasonal!A:X,14,FALSE),0)</f>
        <v>0</v>
      </c>
      <c r="L98" s="624">
        <f>IFERROR(VLOOKUP($A98,Race_2024_Seasonal!A:X,15,FALSE),0)</f>
        <v>0</v>
      </c>
      <c r="M98" s="624">
        <f>IFERROR(VLOOKUP($A98,Race_2024_Seasonal!A:X,16,FALSE),0)</f>
        <v>0</v>
      </c>
      <c r="N98" s="624">
        <f>IFERROR(VLOOKUP($A98,Race_2024_Seasonal!A:X,17,FALSE),0)</f>
        <v>0</v>
      </c>
      <c r="O98" s="624">
        <f>IFERROR(VLOOKUP($A98,Race_2024_Seasonal!A:X,18,FALSE),0)</f>
        <v>0</v>
      </c>
      <c r="P98" s="554"/>
      <c r="Q98" s="624">
        <f t="shared" si="1"/>
        <v>0</v>
      </c>
      <c r="R98" s="554"/>
      <c r="S98" s="670">
        <f>Q98-'P&amp;L'!I98</f>
        <v>0</v>
      </c>
    </row>
    <row r="99" spans="1:19" ht="15" x14ac:dyDescent="0.25">
      <c r="A99" s="546" t="s">
        <v>1299</v>
      </c>
      <c r="B99" s="546" t="e">
        <f>IFERROR(VLOOKUP(A99,Race_2024_Seasonal!A:C,3,FALSE), VLOOKUP(A99,Race_2024_Seasonal!A:C,3,FALSE))</f>
        <v>#N/A</v>
      </c>
      <c r="C99" s="553" t="s">
        <v>623</v>
      </c>
      <c r="D99" s="621">
        <f>IFERROR(VLOOKUP($A99,Race_2024_Seasonal!A:X,7,FALSE),0)</f>
        <v>0</v>
      </c>
      <c r="E99" s="621">
        <f>IFERROR(VLOOKUP($A99,Race_2024_Seasonal!A:X,8,FALSE),0)</f>
        <v>0</v>
      </c>
      <c r="F99" s="621">
        <f>IFERROR(VLOOKUP($A99,Race_2024_Seasonal!A:X,9,FALSE),0)</f>
        <v>0</v>
      </c>
      <c r="G99" s="621">
        <f>IFERROR(VLOOKUP($A99,Race_2024_Seasonal!A:X,10,FALSE),0)</f>
        <v>0</v>
      </c>
      <c r="H99" s="621">
        <f>IFERROR(VLOOKUP($A99,Race_2024_Seasonal!A:X,11,FALSE),0)</f>
        <v>0</v>
      </c>
      <c r="I99" s="621">
        <f>IFERROR(VLOOKUP($A99,Race_2024_Seasonal!A:X,12,FALSE),0)</f>
        <v>0</v>
      </c>
      <c r="J99" s="621">
        <f>IFERROR(VLOOKUP($A99,Race_2024_Seasonal!A:X,13,FALSE),0)</f>
        <v>0</v>
      </c>
      <c r="K99" s="621">
        <f>IFERROR(VLOOKUP($A99,Race_2024_Seasonal!A:X,14,FALSE),0)</f>
        <v>0</v>
      </c>
      <c r="L99" s="621">
        <f>IFERROR(VLOOKUP($A99,Race_2024_Seasonal!A:X,15,FALSE),0)</f>
        <v>0</v>
      </c>
      <c r="M99" s="621">
        <f>IFERROR(VLOOKUP($A99,Race_2024_Seasonal!A:X,16,FALSE),0)</f>
        <v>0</v>
      </c>
      <c r="N99" s="621">
        <f>IFERROR(VLOOKUP($A99,Race_2024_Seasonal!A:X,17,FALSE),0)</f>
        <v>0</v>
      </c>
      <c r="O99" s="621">
        <f>IFERROR(VLOOKUP($A99,Race_2024_Seasonal!A:X,18,FALSE),0)</f>
        <v>0</v>
      </c>
      <c r="P99" s="554"/>
      <c r="Q99" s="621">
        <f t="shared" si="1"/>
        <v>0</v>
      </c>
      <c r="R99" s="554"/>
      <c r="S99" s="670">
        <f>Q99-'P&amp;L'!I99</f>
        <v>0</v>
      </c>
    </row>
    <row r="100" spans="1:19" ht="15" x14ac:dyDescent="0.25">
      <c r="A100" s="546" t="s">
        <v>1300</v>
      </c>
      <c r="B100" s="546" t="e">
        <f>IFERROR(VLOOKUP(A100,Race_2024_Seasonal!A:C,3,FALSE), VLOOKUP(A100,Race_2024_Seasonal!A:C,3,FALSE))</f>
        <v>#N/A</v>
      </c>
      <c r="C100" s="658" t="s">
        <v>929</v>
      </c>
      <c r="D100" s="621">
        <f>IFERROR(VLOOKUP($A100,Race_2024_Seasonal!A:X,7,FALSE),0)</f>
        <v>0</v>
      </c>
      <c r="E100" s="621">
        <f>IFERROR(VLOOKUP($A100,Race_2024_Seasonal!A:X,8,FALSE),0)</f>
        <v>0</v>
      </c>
      <c r="F100" s="621">
        <f>IFERROR(VLOOKUP($A100,Race_2024_Seasonal!A:X,9,FALSE),0)</f>
        <v>0</v>
      </c>
      <c r="G100" s="621">
        <f>IFERROR(VLOOKUP($A100,Race_2024_Seasonal!A:X,10,FALSE),0)</f>
        <v>0</v>
      </c>
      <c r="H100" s="621">
        <f>IFERROR(VLOOKUP($A100,Race_2024_Seasonal!A:X,11,FALSE),0)</f>
        <v>0</v>
      </c>
      <c r="I100" s="621">
        <f>IFERROR(VLOOKUP($A100,Race_2024_Seasonal!A:X,12,FALSE),0)</f>
        <v>0</v>
      </c>
      <c r="J100" s="621">
        <f>IFERROR(VLOOKUP($A100,Race_2024_Seasonal!A:X,13,FALSE),0)</f>
        <v>0</v>
      </c>
      <c r="K100" s="621">
        <f>IFERROR(VLOOKUP($A100,Race_2024_Seasonal!A:X,14,FALSE),0)</f>
        <v>0</v>
      </c>
      <c r="L100" s="621">
        <f>IFERROR(VLOOKUP($A100,Race_2024_Seasonal!A:X,15,FALSE),0)</f>
        <v>0</v>
      </c>
      <c r="M100" s="621">
        <f>IFERROR(VLOOKUP($A100,Race_2024_Seasonal!A:X,16,FALSE),0)</f>
        <v>0</v>
      </c>
      <c r="N100" s="621">
        <f>IFERROR(VLOOKUP($A100,Race_2024_Seasonal!A:X,17,FALSE),0)</f>
        <v>0</v>
      </c>
      <c r="O100" s="621">
        <f>IFERROR(VLOOKUP($A100,Race_2024_Seasonal!A:X,18,FALSE),0)</f>
        <v>0</v>
      </c>
      <c r="P100" s="554"/>
      <c r="Q100" s="621">
        <f t="shared" si="1"/>
        <v>0</v>
      </c>
      <c r="R100" s="554"/>
      <c r="S100" s="670">
        <f>Q100-'P&amp;L'!I100</f>
        <v>0</v>
      </c>
    </row>
    <row r="101" spans="1:19" ht="15" x14ac:dyDescent="0.25">
      <c r="A101" s="546" t="s">
        <v>1301</v>
      </c>
      <c r="B101" s="546" t="e">
        <f>IFERROR(VLOOKUP(A101,Race_2024_Seasonal!A:C,3,FALSE), VLOOKUP(A101,Race_2024_Seasonal!A:C,3,FALSE))</f>
        <v>#N/A</v>
      </c>
      <c r="C101" s="549" t="s">
        <v>622</v>
      </c>
      <c r="D101" s="621">
        <f>IFERROR(VLOOKUP($A101,Race_2024_Seasonal!A:X,7,FALSE),0)</f>
        <v>0</v>
      </c>
      <c r="E101" s="621">
        <f>IFERROR(VLOOKUP($A101,Race_2024_Seasonal!A:X,8,FALSE),0)</f>
        <v>0</v>
      </c>
      <c r="F101" s="621">
        <f>IFERROR(VLOOKUP($A101,Race_2024_Seasonal!A:X,9,FALSE),0)</f>
        <v>0</v>
      </c>
      <c r="G101" s="621">
        <f>IFERROR(VLOOKUP($A101,Race_2024_Seasonal!A:X,10,FALSE),0)</f>
        <v>0</v>
      </c>
      <c r="H101" s="621">
        <f>IFERROR(VLOOKUP($A101,Race_2024_Seasonal!A:X,11,FALSE),0)</f>
        <v>0</v>
      </c>
      <c r="I101" s="621">
        <f>IFERROR(VLOOKUP($A101,Race_2024_Seasonal!A:X,12,FALSE),0)</f>
        <v>0</v>
      </c>
      <c r="J101" s="621">
        <f>IFERROR(VLOOKUP($A101,Race_2024_Seasonal!A:X,13,FALSE),0)</f>
        <v>0</v>
      </c>
      <c r="K101" s="621">
        <f>IFERROR(VLOOKUP($A101,Race_2024_Seasonal!A:X,14,FALSE),0)</f>
        <v>0</v>
      </c>
      <c r="L101" s="621">
        <f>IFERROR(VLOOKUP($A101,Race_2024_Seasonal!A:X,15,FALSE),0)</f>
        <v>0</v>
      </c>
      <c r="M101" s="621">
        <f>IFERROR(VLOOKUP($A101,Race_2024_Seasonal!A:X,16,FALSE),0)</f>
        <v>0</v>
      </c>
      <c r="N101" s="621">
        <f>IFERROR(VLOOKUP($A101,Race_2024_Seasonal!A:X,17,FALSE),0)</f>
        <v>0</v>
      </c>
      <c r="O101" s="621">
        <f>IFERROR(VLOOKUP($A101,Race_2024_Seasonal!A:X,18,FALSE),0)</f>
        <v>0</v>
      </c>
      <c r="P101" s="554"/>
      <c r="Q101" s="621">
        <f t="shared" si="1"/>
        <v>0</v>
      </c>
      <c r="R101" s="554"/>
      <c r="S101" s="670">
        <f>Q101-'P&amp;L'!I101</f>
        <v>0</v>
      </c>
    </row>
    <row r="102" spans="1:19" ht="15" x14ac:dyDescent="0.25">
      <c r="A102" s="546" t="s">
        <v>1302</v>
      </c>
      <c r="B102" s="546" t="e">
        <f>IFERROR(VLOOKUP(A102,Race_2024_Seasonal!A:C,3,FALSE), VLOOKUP(A102,Race_2024_Seasonal!A:C,3,FALSE))</f>
        <v>#N/A</v>
      </c>
      <c r="C102" s="553" t="s">
        <v>621</v>
      </c>
      <c r="D102" s="621">
        <f>IFERROR(VLOOKUP($A102,Race_2024_Seasonal!A:X,7,FALSE),0)</f>
        <v>0</v>
      </c>
      <c r="E102" s="621">
        <f>IFERROR(VLOOKUP($A102,Race_2024_Seasonal!A:X,8,FALSE),0)</f>
        <v>0</v>
      </c>
      <c r="F102" s="621">
        <f>IFERROR(VLOOKUP($A102,Race_2024_Seasonal!A:X,9,FALSE),0)</f>
        <v>0</v>
      </c>
      <c r="G102" s="621">
        <f>IFERROR(VLOOKUP($A102,Race_2024_Seasonal!A:X,10,FALSE),0)</f>
        <v>0</v>
      </c>
      <c r="H102" s="621">
        <f>IFERROR(VLOOKUP($A102,Race_2024_Seasonal!A:X,11,FALSE),0)</f>
        <v>0</v>
      </c>
      <c r="I102" s="621">
        <f>IFERROR(VLOOKUP($A102,Race_2024_Seasonal!A:X,12,FALSE),0)</f>
        <v>0</v>
      </c>
      <c r="J102" s="621">
        <f>IFERROR(VLOOKUP($A102,Race_2024_Seasonal!A:X,13,FALSE),0)</f>
        <v>0</v>
      </c>
      <c r="K102" s="621">
        <f>IFERROR(VLOOKUP($A102,Race_2024_Seasonal!A:X,14,FALSE),0)</f>
        <v>0</v>
      </c>
      <c r="L102" s="621">
        <f>IFERROR(VLOOKUP($A102,Race_2024_Seasonal!A:X,15,FALSE),0)</f>
        <v>0</v>
      </c>
      <c r="M102" s="621">
        <f>IFERROR(VLOOKUP($A102,Race_2024_Seasonal!A:X,16,FALSE),0)</f>
        <v>0</v>
      </c>
      <c r="N102" s="621">
        <f>IFERROR(VLOOKUP($A102,Race_2024_Seasonal!A:X,17,FALSE),0)</f>
        <v>0</v>
      </c>
      <c r="O102" s="621">
        <f>IFERROR(VLOOKUP($A102,Race_2024_Seasonal!A:X,18,FALSE),0)</f>
        <v>0</v>
      </c>
      <c r="P102" s="554"/>
      <c r="Q102" s="621">
        <f t="shared" si="1"/>
        <v>0</v>
      </c>
      <c r="R102" s="554"/>
      <c r="S102" s="670">
        <f>Q102-'P&amp;L'!I102</f>
        <v>0</v>
      </c>
    </row>
    <row r="103" spans="1:19" ht="15" x14ac:dyDescent="0.25">
      <c r="A103" s="546" t="s">
        <v>1303</v>
      </c>
      <c r="B103" s="546" t="e">
        <f>IFERROR(VLOOKUP(A103,Race_2024_Seasonal!A:C,3,FALSE), VLOOKUP(A103,Race_2024_Seasonal!A:C,3,FALSE))</f>
        <v>#N/A</v>
      </c>
      <c r="C103" s="553" t="s">
        <v>620</v>
      </c>
      <c r="D103" s="621">
        <f>IFERROR(VLOOKUP($A103,Race_2024_Seasonal!A:X,7,FALSE),0)</f>
        <v>0</v>
      </c>
      <c r="E103" s="621">
        <f>IFERROR(VLOOKUP($A103,Race_2024_Seasonal!A:X,8,FALSE),0)</f>
        <v>0</v>
      </c>
      <c r="F103" s="621">
        <f>IFERROR(VLOOKUP($A103,Race_2024_Seasonal!A:X,9,FALSE),0)</f>
        <v>0</v>
      </c>
      <c r="G103" s="621">
        <f>IFERROR(VLOOKUP($A103,Race_2024_Seasonal!A:X,10,FALSE),0)</f>
        <v>0</v>
      </c>
      <c r="H103" s="621">
        <f>IFERROR(VLOOKUP($A103,Race_2024_Seasonal!A:X,11,FALSE),0)</f>
        <v>0</v>
      </c>
      <c r="I103" s="621">
        <f>IFERROR(VLOOKUP($A103,Race_2024_Seasonal!A:X,12,FALSE),0)</f>
        <v>0</v>
      </c>
      <c r="J103" s="621">
        <f>IFERROR(VLOOKUP($A103,Race_2024_Seasonal!A:X,13,FALSE),0)</f>
        <v>0</v>
      </c>
      <c r="K103" s="621">
        <f>IFERROR(VLOOKUP($A103,Race_2024_Seasonal!A:X,14,FALSE),0)</f>
        <v>0</v>
      </c>
      <c r="L103" s="621">
        <f>IFERROR(VLOOKUP($A103,Race_2024_Seasonal!A:X,15,FALSE),0)</f>
        <v>0</v>
      </c>
      <c r="M103" s="621">
        <f>IFERROR(VLOOKUP($A103,Race_2024_Seasonal!A:X,16,FALSE),0)</f>
        <v>0</v>
      </c>
      <c r="N103" s="621">
        <f>IFERROR(VLOOKUP($A103,Race_2024_Seasonal!A:X,17,FALSE),0)</f>
        <v>0</v>
      </c>
      <c r="O103" s="621">
        <f>IFERROR(VLOOKUP($A103,Race_2024_Seasonal!A:X,18,FALSE),0)</f>
        <v>0</v>
      </c>
      <c r="P103" s="554"/>
      <c r="Q103" s="621">
        <f t="shared" si="1"/>
        <v>0</v>
      </c>
      <c r="R103" s="554"/>
      <c r="S103" s="670">
        <f>Q103-'P&amp;L'!I103</f>
        <v>0</v>
      </c>
    </row>
    <row r="104" spans="1:19" ht="15" x14ac:dyDescent="0.25">
      <c r="A104" s="546" t="s">
        <v>1304</v>
      </c>
      <c r="B104" s="546" t="e">
        <f>IFERROR(VLOOKUP(A104,Race_2024_Seasonal!A:C,3,FALSE), VLOOKUP(A104,Race_2024_Seasonal!A:C,3,FALSE))</f>
        <v>#N/A</v>
      </c>
      <c r="C104" s="553" t="s">
        <v>619</v>
      </c>
      <c r="D104" s="621">
        <f>IFERROR(VLOOKUP($A104,Race_2024_Seasonal!A:X,7,FALSE),0)</f>
        <v>0</v>
      </c>
      <c r="E104" s="621">
        <f>IFERROR(VLOOKUP($A104,Race_2024_Seasonal!A:X,8,FALSE),0)</f>
        <v>0</v>
      </c>
      <c r="F104" s="621">
        <f>IFERROR(VLOOKUP($A104,Race_2024_Seasonal!A:X,9,FALSE),0)</f>
        <v>0</v>
      </c>
      <c r="G104" s="621">
        <f>IFERROR(VLOOKUP($A104,Race_2024_Seasonal!A:X,10,FALSE),0)</f>
        <v>0</v>
      </c>
      <c r="H104" s="621">
        <f>IFERROR(VLOOKUP($A104,Race_2024_Seasonal!A:X,11,FALSE),0)</f>
        <v>0</v>
      </c>
      <c r="I104" s="621">
        <f>IFERROR(VLOOKUP($A104,Race_2024_Seasonal!A:X,12,FALSE),0)</f>
        <v>0</v>
      </c>
      <c r="J104" s="621">
        <f>IFERROR(VLOOKUP($A104,Race_2024_Seasonal!A:X,13,FALSE),0)</f>
        <v>0</v>
      </c>
      <c r="K104" s="621">
        <f>IFERROR(VLOOKUP($A104,Race_2024_Seasonal!A:X,14,FALSE),0)</f>
        <v>0</v>
      </c>
      <c r="L104" s="621">
        <f>IFERROR(VLOOKUP($A104,Race_2024_Seasonal!A:X,15,FALSE),0)</f>
        <v>0</v>
      </c>
      <c r="M104" s="621">
        <f>IFERROR(VLOOKUP($A104,Race_2024_Seasonal!A:X,16,FALSE),0)</f>
        <v>0</v>
      </c>
      <c r="N104" s="621">
        <f>IFERROR(VLOOKUP($A104,Race_2024_Seasonal!A:X,17,FALSE),0)</f>
        <v>0</v>
      </c>
      <c r="O104" s="621">
        <f>IFERROR(VLOOKUP($A104,Race_2024_Seasonal!A:X,18,FALSE),0)</f>
        <v>0</v>
      </c>
      <c r="P104" s="554"/>
      <c r="Q104" s="621">
        <f t="shared" si="1"/>
        <v>0</v>
      </c>
      <c r="R104" s="554"/>
      <c r="S104" s="670">
        <f>Q104-'P&amp;L'!I104</f>
        <v>0</v>
      </c>
    </row>
    <row r="105" spans="1:19" ht="15" x14ac:dyDescent="0.25">
      <c r="A105" s="546" t="s">
        <v>1305</v>
      </c>
      <c r="B105" s="546" t="e">
        <f>IFERROR(VLOOKUP(A105,Race_2024_Seasonal!A:C,3,FALSE), VLOOKUP(A105,Race_2024_Seasonal!A:C,3,FALSE))</f>
        <v>#N/A</v>
      </c>
      <c r="C105" s="549" t="s">
        <v>618</v>
      </c>
      <c r="D105" s="621">
        <f>IFERROR(VLOOKUP($A105,Race_2024_Seasonal!A:X,7,FALSE),0)</f>
        <v>0</v>
      </c>
      <c r="E105" s="621">
        <f>IFERROR(VLOOKUP($A105,Race_2024_Seasonal!A:X,8,FALSE),0)</f>
        <v>0</v>
      </c>
      <c r="F105" s="621">
        <f>IFERROR(VLOOKUP($A105,Race_2024_Seasonal!A:X,9,FALSE),0)</f>
        <v>0</v>
      </c>
      <c r="G105" s="621">
        <f>IFERROR(VLOOKUP($A105,Race_2024_Seasonal!A:X,10,FALSE),0)</f>
        <v>0</v>
      </c>
      <c r="H105" s="621">
        <f>IFERROR(VLOOKUP($A105,Race_2024_Seasonal!A:X,11,FALSE),0)</f>
        <v>0</v>
      </c>
      <c r="I105" s="621">
        <f>IFERROR(VLOOKUP($A105,Race_2024_Seasonal!A:X,12,FALSE),0)</f>
        <v>0</v>
      </c>
      <c r="J105" s="621">
        <f>IFERROR(VLOOKUP($A105,Race_2024_Seasonal!A:X,13,FALSE),0)</f>
        <v>0</v>
      </c>
      <c r="K105" s="621">
        <f>IFERROR(VLOOKUP($A105,Race_2024_Seasonal!A:X,14,FALSE),0)</f>
        <v>0</v>
      </c>
      <c r="L105" s="621">
        <f>IFERROR(VLOOKUP($A105,Race_2024_Seasonal!A:X,15,FALSE),0)</f>
        <v>0</v>
      </c>
      <c r="M105" s="621">
        <f>IFERROR(VLOOKUP($A105,Race_2024_Seasonal!A:X,16,FALSE),0)</f>
        <v>0</v>
      </c>
      <c r="N105" s="621">
        <f>IFERROR(VLOOKUP($A105,Race_2024_Seasonal!A:X,17,FALSE),0)</f>
        <v>0</v>
      </c>
      <c r="O105" s="621">
        <f>IFERROR(VLOOKUP($A105,Race_2024_Seasonal!A:X,18,FALSE),0)</f>
        <v>0</v>
      </c>
      <c r="P105" s="554"/>
      <c r="Q105" s="621">
        <f t="shared" si="1"/>
        <v>0</v>
      </c>
      <c r="R105" s="554"/>
      <c r="S105" s="670">
        <f>Q105-'P&amp;L'!I105</f>
        <v>0</v>
      </c>
    </row>
    <row r="106" spans="1:19" ht="15" x14ac:dyDescent="0.25">
      <c r="A106" s="546" t="s">
        <v>1306</v>
      </c>
      <c r="B106" s="546" t="e">
        <f>IFERROR(VLOOKUP(A106,Race_2024_Seasonal!A:C,3,FALSE), VLOOKUP(A106,Race_2024_Seasonal!A:C,3,FALSE))</f>
        <v>#N/A</v>
      </c>
      <c r="C106" s="553" t="s">
        <v>617</v>
      </c>
      <c r="D106" s="621">
        <f>IFERROR(VLOOKUP($A106,Race_2024_Seasonal!A:X,7,FALSE),0)</f>
        <v>0</v>
      </c>
      <c r="E106" s="621">
        <f>IFERROR(VLOOKUP($A106,Race_2024_Seasonal!A:X,8,FALSE),0)</f>
        <v>0</v>
      </c>
      <c r="F106" s="621">
        <f>IFERROR(VLOOKUP($A106,Race_2024_Seasonal!A:X,9,FALSE),0)</f>
        <v>0</v>
      </c>
      <c r="G106" s="621">
        <f>IFERROR(VLOOKUP($A106,Race_2024_Seasonal!A:X,10,FALSE),0)</f>
        <v>0</v>
      </c>
      <c r="H106" s="621">
        <f>IFERROR(VLOOKUP($A106,Race_2024_Seasonal!A:X,11,FALSE),0)</f>
        <v>0</v>
      </c>
      <c r="I106" s="621">
        <f>IFERROR(VLOOKUP($A106,Race_2024_Seasonal!A:X,12,FALSE),0)</f>
        <v>0</v>
      </c>
      <c r="J106" s="621">
        <f>IFERROR(VLOOKUP($A106,Race_2024_Seasonal!A:X,13,FALSE),0)</f>
        <v>0</v>
      </c>
      <c r="K106" s="621">
        <f>IFERROR(VLOOKUP($A106,Race_2024_Seasonal!A:X,14,FALSE),0)</f>
        <v>0</v>
      </c>
      <c r="L106" s="621">
        <f>IFERROR(VLOOKUP($A106,Race_2024_Seasonal!A:X,15,FALSE),0)</f>
        <v>0</v>
      </c>
      <c r="M106" s="621">
        <f>IFERROR(VLOOKUP($A106,Race_2024_Seasonal!A:X,16,FALSE),0)</f>
        <v>0</v>
      </c>
      <c r="N106" s="621">
        <f>IFERROR(VLOOKUP($A106,Race_2024_Seasonal!A:X,17,FALSE),0)</f>
        <v>0</v>
      </c>
      <c r="O106" s="621">
        <f>IFERROR(VLOOKUP($A106,Race_2024_Seasonal!A:X,18,FALSE),0)</f>
        <v>0</v>
      </c>
      <c r="P106" s="554"/>
      <c r="Q106" s="621">
        <f t="shared" si="1"/>
        <v>0</v>
      </c>
      <c r="R106" s="554"/>
      <c r="S106" s="670">
        <f>Q106-'P&amp;L'!I106</f>
        <v>0</v>
      </c>
    </row>
    <row r="107" spans="1:19" ht="15" x14ac:dyDescent="0.25">
      <c r="A107" s="546" t="s">
        <v>1307</v>
      </c>
      <c r="B107" s="546" t="e">
        <f>IFERROR(VLOOKUP(A107,Race_2024_Seasonal!A:C,3,FALSE), VLOOKUP(A107,Race_2024_Seasonal!A:C,3,FALSE))</f>
        <v>#N/A</v>
      </c>
      <c r="C107" s="553" t="s">
        <v>616</v>
      </c>
      <c r="D107" s="621">
        <f>IFERROR(VLOOKUP($A107,Race_2024_Seasonal!A:X,7,FALSE),0)</f>
        <v>0</v>
      </c>
      <c r="E107" s="621">
        <f>IFERROR(VLOOKUP($A107,Race_2024_Seasonal!A:X,8,FALSE),0)</f>
        <v>0</v>
      </c>
      <c r="F107" s="621">
        <f>IFERROR(VLOOKUP($A107,Race_2024_Seasonal!A:X,9,FALSE),0)</f>
        <v>0</v>
      </c>
      <c r="G107" s="621">
        <f>IFERROR(VLOOKUP($A107,Race_2024_Seasonal!A:X,10,FALSE),0)</f>
        <v>0</v>
      </c>
      <c r="H107" s="621">
        <f>IFERROR(VLOOKUP($A107,Race_2024_Seasonal!A:X,11,FALSE),0)</f>
        <v>0</v>
      </c>
      <c r="I107" s="621">
        <f>IFERROR(VLOOKUP($A107,Race_2024_Seasonal!A:X,12,FALSE),0)</f>
        <v>0</v>
      </c>
      <c r="J107" s="621">
        <f>IFERROR(VLOOKUP($A107,Race_2024_Seasonal!A:X,13,FALSE),0)</f>
        <v>0</v>
      </c>
      <c r="K107" s="621">
        <f>IFERROR(VLOOKUP($A107,Race_2024_Seasonal!A:X,14,FALSE),0)</f>
        <v>0</v>
      </c>
      <c r="L107" s="621">
        <f>IFERROR(VLOOKUP($A107,Race_2024_Seasonal!A:X,15,FALSE),0)</f>
        <v>0</v>
      </c>
      <c r="M107" s="621">
        <f>IFERROR(VLOOKUP($A107,Race_2024_Seasonal!A:X,16,FALSE),0)</f>
        <v>0</v>
      </c>
      <c r="N107" s="621">
        <f>IFERROR(VLOOKUP($A107,Race_2024_Seasonal!A:X,17,FALSE),0)</f>
        <v>0</v>
      </c>
      <c r="O107" s="621">
        <f>IFERROR(VLOOKUP($A107,Race_2024_Seasonal!A:X,18,FALSE),0)</f>
        <v>0</v>
      </c>
      <c r="P107" s="554"/>
      <c r="Q107" s="621">
        <f t="shared" si="1"/>
        <v>0</v>
      </c>
      <c r="R107" s="554"/>
      <c r="S107" s="670">
        <f>Q107-'P&amp;L'!I107</f>
        <v>0</v>
      </c>
    </row>
    <row r="108" spans="1:19" ht="15" x14ac:dyDescent="0.25">
      <c r="A108" s="546" t="s">
        <v>1308</v>
      </c>
      <c r="B108" s="546" t="e">
        <f>IFERROR(VLOOKUP(A108,Race_2024_Seasonal!A:C,3,FALSE), VLOOKUP(A108,Race_2024_Seasonal!A:C,3,FALSE))</f>
        <v>#N/A</v>
      </c>
      <c r="C108" s="555" t="s">
        <v>806</v>
      </c>
      <c r="D108" s="621">
        <f>IFERROR(VLOOKUP($A108,Race_2024_Seasonal!A:X,7,FALSE),0)</f>
        <v>0</v>
      </c>
      <c r="E108" s="621">
        <f>IFERROR(VLOOKUP($A108,Race_2024_Seasonal!A:X,8,FALSE),0)</f>
        <v>0</v>
      </c>
      <c r="F108" s="621">
        <f>IFERROR(VLOOKUP($A108,Race_2024_Seasonal!A:X,9,FALSE),0)</f>
        <v>0</v>
      </c>
      <c r="G108" s="621">
        <f>IFERROR(VLOOKUP($A108,Race_2024_Seasonal!A:X,10,FALSE),0)</f>
        <v>0</v>
      </c>
      <c r="H108" s="621">
        <f>IFERROR(VLOOKUP($A108,Race_2024_Seasonal!A:X,11,FALSE),0)</f>
        <v>0</v>
      </c>
      <c r="I108" s="621">
        <f>IFERROR(VLOOKUP($A108,Race_2024_Seasonal!A:X,12,FALSE),0)</f>
        <v>0</v>
      </c>
      <c r="J108" s="621">
        <f>IFERROR(VLOOKUP($A108,Race_2024_Seasonal!A:X,13,FALSE),0)</f>
        <v>0</v>
      </c>
      <c r="K108" s="621">
        <f>IFERROR(VLOOKUP($A108,Race_2024_Seasonal!A:X,14,FALSE),0)</f>
        <v>0</v>
      </c>
      <c r="L108" s="621">
        <f>IFERROR(VLOOKUP($A108,Race_2024_Seasonal!A:X,15,FALSE),0)</f>
        <v>0</v>
      </c>
      <c r="M108" s="621">
        <f>IFERROR(VLOOKUP($A108,Race_2024_Seasonal!A:X,16,FALSE),0)</f>
        <v>0</v>
      </c>
      <c r="N108" s="621">
        <f>IFERROR(VLOOKUP($A108,Race_2024_Seasonal!A:X,17,FALSE),0)</f>
        <v>0</v>
      </c>
      <c r="O108" s="621">
        <f>IFERROR(VLOOKUP($A108,Race_2024_Seasonal!A:X,18,FALSE),0)</f>
        <v>0</v>
      </c>
      <c r="P108" s="554"/>
      <c r="Q108" s="621">
        <f t="shared" si="1"/>
        <v>0</v>
      </c>
      <c r="R108" s="554"/>
      <c r="S108" s="670">
        <f>Q108-'P&amp;L'!I108</f>
        <v>0</v>
      </c>
    </row>
    <row r="109" spans="1:19" ht="15" x14ac:dyDescent="0.25">
      <c r="A109" s="546" t="s">
        <v>1309</v>
      </c>
      <c r="B109" s="546" t="e">
        <f>IFERROR(VLOOKUP(A109,Race_2024_Seasonal!A:C,3,FALSE), VLOOKUP(A109,Race_2024_Seasonal!A:C,3,FALSE))</f>
        <v>#N/A</v>
      </c>
      <c r="C109" s="555" t="s">
        <v>805</v>
      </c>
      <c r="D109" s="621">
        <f>IFERROR(VLOOKUP($A109,Race_2024_Seasonal!A:X,7,FALSE),0)</f>
        <v>0</v>
      </c>
      <c r="E109" s="621">
        <f>IFERROR(VLOOKUP($A109,Race_2024_Seasonal!A:X,8,FALSE),0)</f>
        <v>0</v>
      </c>
      <c r="F109" s="621">
        <f>IFERROR(VLOOKUP($A109,Race_2024_Seasonal!A:X,9,FALSE),0)</f>
        <v>0</v>
      </c>
      <c r="G109" s="621">
        <f>IFERROR(VLOOKUP($A109,Race_2024_Seasonal!A:X,10,FALSE),0)</f>
        <v>0</v>
      </c>
      <c r="H109" s="621">
        <f>IFERROR(VLOOKUP($A109,Race_2024_Seasonal!A:X,11,FALSE),0)</f>
        <v>0</v>
      </c>
      <c r="I109" s="621">
        <f>IFERROR(VLOOKUP($A109,Race_2024_Seasonal!A:X,12,FALSE),0)</f>
        <v>0</v>
      </c>
      <c r="J109" s="621">
        <f>IFERROR(VLOOKUP($A109,Race_2024_Seasonal!A:X,13,FALSE),0)</f>
        <v>0</v>
      </c>
      <c r="K109" s="621">
        <f>IFERROR(VLOOKUP($A109,Race_2024_Seasonal!A:X,14,FALSE),0)</f>
        <v>0</v>
      </c>
      <c r="L109" s="621">
        <f>IFERROR(VLOOKUP($A109,Race_2024_Seasonal!A:X,15,FALSE),0)</f>
        <v>0</v>
      </c>
      <c r="M109" s="621">
        <f>IFERROR(VLOOKUP($A109,Race_2024_Seasonal!A:X,16,FALSE),0)</f>
        <v>0</v>
      </c>
      <c r="N109" s="621">
        <f>IFERROR(VLOOKUP($A109,Race_2024_Seasonal!A:X,17,FALSE),0)</f>
        <v>0</v>
      </c>
      <c r="O109" s="621">
        <f>IFERROR(VLOOKUP($A109,Race_2024_Seasonal!A:X,18,FALSE),0)</f>
        <v>0</v>
      </c>
      <c r="P109" s="554"/>
      <c r="Q109" s="621">
        <f t="shared" si="1"/>
        <v>0</v>
      </c>
      <c r="R109" s="554"/>
      <c r="S109" s="670">
        <f>Q109-'P&amp;L'!I109</f>
        <v>0</v>
      </c>
    </row>
    <row r="110" spans="1:19" ht="15" x14ac:dyDescent="0.25">
      <c r="A110" s="546" t="s">
        <v>1310</v>
      </c>
      <c r="B110" s="546" t="e">
        <f>IFERROR(VLOOKUP(A110,Race_2024_Seasonal!A:C,3,FALSE), VLOOKUP(A110,Race_2024_Seasonal!A:C,3,FALSE))</f>
        <v>#N/A</v>
      </c>
      <c r="C110" s="555" t="s">
        <v>804</v>
      </c>
      <c r="D110" s="621">
        <f>IFERROR(VLOOKUP($A110,Race_2024_Seasonal!A:X,7,FALSE),0)</f>
        <v>0</v>
      </c>
      <c r="E110" s="621">
        <f>IFERROR(VLOOKUP($A110,Race_2024_Seasonal!A:X,8,FALSE),0)</f>
        <v>0</v>
      </c>
      <c r="F110" s="621">
        <f>IFERROR(VLOOKUP($A110,Race_2024_Seasonal!A:X,9,FALSE),0)</f>
        <v>0</v>
      </c>
      <c r="G110" s="621">
        <f>IFERROR(VLOOKUP($A110,Race_2024_Seasonal!A:X,10,FALSE),0)</f>
        <v>0</v>
      </c>
      <c r="H110" s="621">
        <f>IFERROR(VLOOKUP($A110,Race_2024_Seasonal!A:X,11,FALSE),0)</f>
        <v>0</v>
      </c>
      <c r="I110" s="621">
        <f>IFERROR(VLOOKUP($A110,Race_2024_Seasonal!A:X,12,FALSE),0)</f>
        <v>0</v>
      </c>
      <c r="J110" s="621">
        <f>IFERROR(VLOOKUP($A110,Race_2024_Seasonal!A:X,13,FALSE),0)</f>
        <v>0</v>
      </c>
      <c r="K110" s="621">
        <f>IFERROR(VLOOKUP($A110,Race_2024_Seasonal!A:X,14,FALSE),0)</f>
        <v>0</v>
      </c>
      <c r="L110" s="621">
        <f>IFERROR(VLOOKUP($A110,Race_2024_Seasonal!A:X,15,FALSE),0)</f>
        <v>0</v>
      </c>
      <c r="M110" s="621">
        <f>IFERROR(VLOOKUP($A110,Race_2024_Seasonal!A:X,16,FALSE),0)</f>
        <v>0</v>
      </c>
      <c r="N110" s="621">
        <f>IFERROR(VLOOKUP($A110,Race_2024_Seasonal!A:X,17,FALSE),0)</f>
        <v>0</v>
      </c>
      <c r="O110" s="621">
        <f>IFERROR(VLOOKUP($A110,Race_2024_Seasonal!A:X,18,FALSE),0)</f>
        <v>0</v>
      </c>
      <c r="P110" s="554"/>
      <c r="Q110" s="621">
        <f t="shared" si="1"/>
        <v>0</v>
      </c>
      <c r="R110" s="554"/>
      <c r="S110" s="670">
        <f>Q110-'P&amp;L'!I110</f>
        <v>0</v>
      </c>
    </row>
    <row r="111" spans="1:19" ht="15" x14ac:dyDescent="0.25">
      <c r="A111" s="546" t="s">
        <v>1311</v>
      </c>
      <c r="B111" s="546" t="e">
        <f>IFERROR(VLOOKUP(A111,Race_2024_Seasonal!A:C,3,FALSE), VLOOKUP(A111,Race_2024_Seasonal!A:C,3,FALSE))</f>
        <v>#N/A</v>
      </c>
      <c r="C111" s="555" t="s">
        <v>803</v>
      </c>
      <c r="D111" s="621">
        <f>IFERROR(VLOOKUP($A111,Race_2024_Seasonal!A:X,7,FALSE),0)</f>
        <v>0</v>
      </c>
      <c r="E111" s="621">
        <f>IFERROR(VLOOKUP($A111,Race_2024_Seasonal!A:X,8,FALSE),0)</f>
        <v>0</v>
      </c>
      <c r="F111" s="621">
        <f>IFERROR(VLOOKUP($A111,Race_2024_Seasonal!A:X,9,FALSE),0)</f>
        <v>0</v>
      </c>
      <c r="G111" s="621">
        <f>IFERROR(VLOOKUP($A111,Race_2024_Seasonal!A:X,10,FALSE),0)</f>
        <v>0</v>
      </c>
      <c r="H111" s="621">
        <f>IFERROR(VLOOKUP($A111,Race_2024_Seasonal!A:X,11,FALSE),0)</f>
        <v>0</v>
      </c>
      <c r="I111" s="621">
        <f>IFERROR(VLOOKUP($A111,Race_2024_Seasonal!A:X,12,FALSE),0)</f>
        <v>0</v>
      </c>
      <c r="J111" s="621">
        <f>IFERROR(VLOOKUP($A111,Race_2024_Seasonal!A:X,13,FALSE),0)</f>
        <v>0</v>
      </c>
      <c r="K111" s="621">
        <f>IFERROR(VLOOKUP($A111,Race_2024_Seasonal!A:X,14,FALSE),0)</f>
        <v>0</v>
      </c>
      <c r="L111" s="621">
        <f>IFERROR(VLOOKUP($A111,Race_2024_Seasonal!A:X,15,FALSE),0)</f>
        <v>0</v>
      </c>
      <c r="M111" s="621">
        <f>IFERROR(VLOOKUP($A111,Race_2024_Seasonal!A:X,16,FALSE),0)</f>
        <v>0</v>
      </c>
      <c r="N111" s="621">
        <f>IFERROR(VLOOKUP($A111,Race_2024_Seasonal!A:X,17,FALSE),0)</f>
        <v>0</v>
      </c>
      <c r="O111" s="621">
        <f>IFERROR(VLOOKUP($A111,Race_2024_Seasonal!A:X,18,FALSE),0)</f>
        <v>0</v>
      </c>
      <c r="P111" s="554"/>
      <c r="Q111" s="621">
        <f t="shared" si="1"/>
        <v>0</v>
      </c>
      <c r="R111" s="545"/>
      <c r="S111" s="670">
        <f>Q111-'P&amp;L'!I111</f>
        <v>0</v>
      </c>
    </row>
    <row r="112" spans="1:19" ht="15" x14ac:dyDescent="0.25">
      <c r="A112" s="546" t="s">
        <v>1312</v>
      </c>
      <c r="B112" s="546" t="e">
        <f>IFERROR(VLOOKUP(A112,Race_2024_Seasonal!A:C,3,FALSE), VLOOKUP(A112,Race_2024_Seasonal!A:C,3,FALSE))</f>
        <v>#N/A</v>
      </c>
      <c r="C112" s="555" t="s">
        <v>615</v>
      </c>
      <c r="D112" s="621">
        <f>IFERROR(VLOOKUP($A112,Race_2024_Seasonal!A:X,7,FALSE),0)</f>
        <v>0</v>
      </c>
      <c r="E112" s="621">
        <f>IFERROR(VLOOKUP($A112,Race_2024_Seasonal!A:X,8,FALSE),0)</f>
        <v>0</v>
      </c>
      <c r="F112" s="621">
        <f>IFERROR(VLOOKUP($A112,Race_2024_Seasonal!A:X,9,FALSE),0)</f>
        <v>0</v>
      </c>
      <c r="G112" s="621">
        <f>IFERROR(VLOOKUP($A112,Race_2024_Seasonal!A:X,10,FALSE),0)</f>
        <v>0</v>
      </c>
      <c r="H112" s="621">
        <f>IFERROR(VLOOKUP($A112,Race_2024_Seasonal!A:X,11,FALSE),0)</f>
        <v>0</v>
      </c>
      <c r="I112" s="621">
        <f>IFERROR(VLOOKUP($A112,Race_2024_Seasonal!A:X,12,FALSE),0)</f>
        <v>0</v>
      </c>
      <c r="J112" s="621">
        <f>IFERROR(VLOOKUP($A112,Race_2024_Seasonal!A:X,13,FALSE),0)</f>
        <v>0</v>
      </c>
      <c r="K112" s="621">
        <f>IFERROR(VLOOKUP($A112,Race_2024_Seasonal!A:X,14,FALSE),0)</f>
        <v>0</v>
      </c>
      <c r="L112" s="621">
        <f>IFERROR(VLOOKUP($A112,Race_2024_Seasonal!A:X,15,FALSE),0)</f>
        <v>0</v>
      </c>
      <c r="M112" s="621">
        <f>IFERROR(VLOOKUP($A112,Race_2024_Seasonal!A:X,16,FALSE),0)</f>
        <v>0</v>
      </c>
      <c r="N112" s="621">
        <f>IFERROR(VLOOKUP($A112,Race_2024_Seasonal!A:X,17,FALSE),0)</f>
        <v>0</v>
      </c>
      <c r="O112" s="621">
        <f>IFERROR(VLOOKUP($A112,Race_2024_Seasonal!A:X,18,FALSE),0)</f>
        <v>0</v>
      </c>
      <c r="P112" s="554"/>
      <c r="Q112" s="621">
        <f t="shared" si="1"/>
        <v>0</v>
      </c>
      <c r="R112" s="545"/>
      <c r="S112" s="670">
        <f>Q112-'P&amp;L'!I112</f>
        <v>0</v>
      </c>
    </row>
    <row r="113" spans="1:19" ht="15" x14ac:dyDescent="0.25">
      <c r="A113" s="546" t="s">
        <v>1313</v>
      </c>
      <c r="B113" s="546" t="e">
        <f>IFERROR(VLOOKUP(A113,Race_2024_Seasonal!A:C,3,FALSE), VLOOKUP(A113,Race_2024_Seasonal!A:C,3,FALSE))</f>
        <v>#N/A</v>
      </c>
      <c r="C113" s="555" t="s">
        <v>802</v>
      </c>
      <c r="D113" s="621">
        <f>IFERROR(VLOOKUP($A113,Race_2024_Seasonal!A:X,7,FALSE),0)</f>
        <v>0</v>
      </c>
      <c r="E113" s="621">
        <f>IFERROR(VLOOKUP($A113,Race_2024_Seasonal!A:X,8,FALSE),0)</f>
        <v>0</v>
      </c>
      <c r="F113" s="621">
        <f>IFERROR(VLOOKUP($A113,Race_2024_Seasonal!A:X,9,FALSE),0)</f>
        <v>0</v>
      </c>
      <c r="G113" s="621">
        <f>IFERROR(VLOOKUP($A113,Race_2024_Seasonal!A:X,10,FALSE),0)</f>
        <v>0</v>
      </c>
      <c r="H113" s="621">
        <f>IFERROR(VLOOKUP($A113,Race_2024_Seasonal!A:X,11,FALSE),0)</f>
        <v>0</v>
      </c>
      <c r="I113" s="621">
        <f>IFERROR(VLOOKUP($A113,Race_2024_Seasonal!A:X,12,FALSE),0)</f>
        <v>0</v>
      </c>
      <c r="J113" s="621">
        <f>IFERROR(VLOOKUP($A113,Race_2024_Seasonal!A:X,13,FALSE),0)</f>
        <v>0</v>
      </c>
      <c r="K113" s="621">
        <f>IFERROR(VLOOKUP($A113,Race_2024_Seasonal!A:X,14,FALSE),0)</f>
        <v>0</v>
      </c>
      <c r="L113" s="621">
        <f>IFERROR(VLOOKUP($A113,Race_2024_Seasonal!A:X,15,FALSE),0)</f>
        <v>0</v>
      </c>
      <c r="M113" s="621">
        <f>IFERROR(VLOOKUP($A113,Race_2024_Seasonal!A:X,16,FALSE),0)</f>
        <v>0</v>
      </c>
      <c r="N113" s="621">
        <f>IFERROR(VLOOKUP($A113,Race_2024_Seasonal!A:X,17,FALSE),0)</f>
        <v>0</v>
      </c>
      <c r="O113" s="621">
        <f>IFERROR(VLOOKUP($A113,Race_2024_Seasonal!A:X,18,FALSE),0)</f>
        <v>0</v>
      </c>
      <c r="P113" s="554"/>
      <c r="Q113" s="621">
        <f t="shared" si="1"/>
        <v>0</v>
      </c>
      <c r="R113" s="545"/>
      <c r="S113" s="670">
        <f>Q113-'P&amp;L'!I113</f>
        <v>0</v>
      </c>
    </row>
    <row r="114" spans="1:19" ht="15" x14ac:dyDescent="0.25">
      <c r="A114" s="546" t="s">
        <v>1314</v>
      </c>
      <c r="B114" s="546" t="e">
        <f>IFERROR(VLOOKUP(A114,Race_2024_Seasonal!A:C,3,FALSE), VLOOKUP(A114,Race_2024_Seasonal!A:C,3,FALSE))</f>
        <v>#N/A</v>
      </c>
      <c r="C114" s="555" t="s">
        <v>614</v>
      </c>
      <c r="D114" s="621">
        <f>IFERROR(VLOOKUP($A114,Race_2024_Seasonal!A:X,7,FALSE),0)</f>
        <v>0</v>
      </c>
      <c r="E114" s="621">
        <f>IFERROR(VLOOKUP($A114,Race_2024_Seasonal!A:X,8,FALSE),0)</f>
        <v>0</v>
      </c>
      <c r="F114" s="621">
        <f>IFERROR(VLOOKUP($A114,Race_2024_Seasonal!A:X,9,FALSE),0)</f>
        <v>0</v>
      </c>
      <c r="G114" s="621">
        <f>IFERROR(VLOOKUP($A114,Race_2024_Seasonal!A:X,10,FALSE),0)</f>
        <v>0</v>
      </c>
      <c r="H114" s="621">
        <f>IFERROR(VLOOKUP($A114,Race_2024_Seasonal!A:X,11,FALSE),0)</f>
        <v>0</v>
      </c>
      <c r="I114" s="621">
        <f>IFERROR(VLOOKUP($A114,Race_2024_Seasonal!A:X,12,FALSE),0)</f>
        <v>0</v>
      </c>
      <c r="J114" s="621">
        <f>IFERROR(VLOOKUP($A114,Race_2024_Seasonal!A:X,13,FALSE),0)</f>
        <v>0</v>
      </c>
      <c r="K114" s="621">
        <f>IFERROR(VLOOKUP($A114,Race_2024_Seasonal!A:X,14,FALSE),0)</f>
        <v>0</v>
      </c>
      <c r="L114" s="621">
        <f>IFERROR(VLOOKUP($A114,Race_2024_Seasonal!A:X,15,FALSE),0)</f>
        <v>0</v>
      </c>
      <c r="M114" s="621">
        <f>IFERROR(VLOOKUP($A114,Race_2024_Seasonal!A:X,16,FALSE),0)</f>
        <v>0</v>
      </c>
      <c r="N114" s="621">
        <f>IFERROR(VLOOKUP($A114,Race_2024_Seasonal!A:X,17,FALSE),0)</f>
        <v>0</v>
      </c>
      <c r="O114" s="621">
        <f>IFERROR(VLOOKUP($A114,Race_2024_Seasonal!A:X,18,FALSE),0)</f>
        <v>0</v>
      </c>
      <c r="P114" s="554"/>
      <c r="Q114" s="621">
        <f t="shared" si="1"/>
        <v>0</v>
      </c>
      <c r="R114" s="545"/>
      <c r="S114" s="670">
        <f>Q114-'P&amp;L'!I114</f>
        <v>0</v>
      </c>
    </row>
    <row r="115" spans="1:19" ht="15" x14ac:dyDescent="0.25">
      <c r="A115" s="546" t="s">
        <v>1315</v>
      </c>
      <c r="B115" s="546" t="e">
        <f>IFERROR(VLOOKUP(A115,Race_2024_Seasonal!A:C,3,FALSE), VLOOKUP(A115,Race_2024_Seasonal!A:C,3,FALSE))</f>
        <v>#N/A</v>
      </c>
      <c r="C115" s="555" t="s">
        <v>801</v>
      </c>
      <c r="D115" s="624">
        <f>IFERROR(VLOOKUP($A115,Race_2024_Seasonal!A:X,7,FALSE),0)</f>
        <v>0</v>
      </c>
      <c r="E115" s="624">
        <f>IFERROR(VLOOKUP($A115,Race_2024_Seasonal!A:X,8,FALSE),0)</f>
        <v>0</v>
      </c>
      <c r="F115" s="624">
        <f>IFERROR(VLOOKUP($A115,Race_2024_Seasonal!A:X,9,FALSE),0)</f>
        <v>0</v>
      </c>
      <c r="G115" s="624">
        <f>IFERROR(VLOOKUP($A115,Race_2024_Seasonal!A:X,10,FALSE),0)</f>
        <v>0</v>
      </c>
      <c r="H115" s="624">
        <f>IFERROR(VLOOKUP($A115,Race_2024_Seasonal!A:X,11,FALSE),0)</f>
        <v>0</v>
      </c>
      <c r="I115" s="624">
        <f>IFERROR(VLOOKUP($A115,Race_2024_Seasonal!A:X,12,FALSE),0)</f>
        <v>0</v>
      </c>
      <c r="J115" s="624">
        <f>IFERROR(VLOOKUP($A115,Race_2024_Seasonal!A:X,13,FALSE),0)</f>
        <v>0</v>
      </c>
      <c r="K115" s="624">
        <f>IFERROR(VLOOKUP($A115,Race_2024_Seasonal!A:X,14,FALSE),0)</f>
        <v>0</v>
      </c>
      <c r="L115" s="624">
        <f>IFERROR(VLOOKUP($A115,Race_2024_Seasonal!A:X,15,FALSE),0)</f>
        <v>0</v>
      </c>
      <c r="M115" s="624">
        <f>IFERROR(VLOOKUP($A115,Race_2024_Seasonal!A:X,16,FALSE),0)</f>
        <v>0</v>
      </c>
      <c r="N115" s="624">
        <f>IFERROR(VLOOKUP($A115,Race_2024_Seasonal!A:X,17,FALSE),0)</f>
        <v>0</v>
      </c>
      <c r="O115" s="624">
        <f>IFERROR(VLOOKUP($A115,Race_2024_Seasonal!A:X,18,FALSE),0)</f>
        <v>0</v>
      </c>
      <c r="P115" s="554"/>
      <c r="Q115" s="624">
        <f t="shared" si="1"/>
        <v>0</v>
      </c>
      <c r="R115" s="545"/>
      <c r="S115" s="670">
        <f>Q115-'P&amp;L'!I115</f>
        <v>0</v>
      </c>
    </row>
    <row r="116" spans="1:19" ht="15" x14ac:dyDescent="0.25">
      <c r="A116" s="546" t="s">
        <v>1316</v>
      </c>
      <c r="B116" s="546" t="e">
        <f>IFERROR(VLOOKUP(A116,Race_2024_Seasonal!A:C,3,FALSE), VLOOKUP(A116,Race_2024_Seasonal!A:C,3,FALSE))</f>
        <v>#N/A</v>
      </c>
      <c r="C116" s="556" t="s">
        <v>613</v>
      </c>
      <c r="D116" s="624">
        <f>IFERROR(VLOOKUP($A116,Race_2024_Seasonal!A:X,7,FALSE),0)</f>
        <v>0</v>
      </c>
      <c r="E116" s="624">
        <f>IFERROR(VLOOKUP($A116,Race_2024_Seasonal!A:X,8,FALSE),0)</f>
        <v>0</v>
      </c>
      <c r="F116" s="624">
        <f>IFERROR(VLOOKUP($A116,Race_2024_Seasonal!A:X,9,FALSE),0)</f>
        <v>0</v>
      </c>
      <c r="G116" s="624">
        <f>IFERROR(VLOOKUP($A116,Race_2024_Seasonal!A:X,10,FALSE),0)</f>
        <v>0</v>
      </c>
      <c r="H116" s="624">
        <f>IFERROR(VLOOKUP($A116,Race_2024_Seasonal!A:X,11,FALSE),0)</f>
        <v>0</v>
      </c>
      <c r="I116" s="624">
        <f>IFERROR(VLOOKUP($A116,Race_2024_Seasonal!A:X,12,FALSE),0)</f>
        <v>0</v>
      </c>
      <c r="J116" s="624">
        <f>IFERROR(VLOOKUP($A116,Race_2024_Seasonal!A:X,13,FALSE),0)</f>
        <v>0</v>
      </c>
      <c r="K116" s="624">
        <f>IFERROR(VLOOKUP($A116,Race_2024_Seasonal!A:X,14,FALSE),0)</f>
        <v>0</v>
      </c>
      <c r="L116" s="624">
        <f>IFERROR(VLOOKUP($A116,Race_2024_Seasonal!A:X,15,FALSE),0)</f>
        <v>0</v>
      </c>
      <c r="M116" s="624">
        <f>IFERROR(VLOOKUP($A116,Race_2024_Seasonal!A:X,16,FALSE),0)</f>
        <v>0</v>
      </c>
      <c r="N116" s="624">
        <f>IFERROR(VLOOKUP($A116,Race_2024_Seasonal!A:X,17,FALSE),0)</f>
        <v>0</v>
      </c>
      <c r="O116" s="624">
        <f>IFERROR(VLOOKUP($A116,Race_2024_Seasonal!A:X,18,FALSE),0)</f>
        <v>0</v>
      </c>
      <c r="P116" s="554"/>
      <c r="Q116" s="624">
        <f t="shared" si="1"/>
        <v>0</v>
      </c>
      <c r="R116" s="545"/>
      <c r="S116" s="670">
        <f>Q116-'P&amp;L'!I116</f>
        <v>0</v>
      </c>
    </row>
    <row r="117" spans="1:19" ht="15" x14ac:dyDescent="0.25">
      <c r="A117" s="546" t="s">
        <v>1317</v>
      </c>
      <c r="B117" s="546" t="e">
        <f>IFERROR(VLOOKUP(A117,Race_2024_Seasonal!A:C,3,FALSE), VLOOKUP(A117,Race_2024_Seasonal!A:C,3,FALSE))</f>
        <v>#N/A</v>
      </c>
      <c r="C117" s="555" t="s">
        <v>611</v>
      </c>
      <c r="D117" s="621">
        <f>IFERROR(VLOOKUP($A117,Race_2024_Seasonal!A:X,7,FALSE),0)</f>
        <v>0</v>
      </c>
      <c r="E117" s="621">
        <f>IFERROR(VLOOKUP($A117,Race_2024_Seasonal!A:X,8,FALSE),0)</f>
        <v>0</v>
      </c>
      <c r="F117" s="621">
        <f>IFERROR(VLOOKUP($A117,Race_2024_Seasonal!A:X,9,FALSE),0)</f>
        <v>0</v>
      </c>
      <c r="G117" s="621">
        <f>IFERROR(VLOOKUP($A117,Race_2024_Seasonal!A:X,10,FALSE),0)</f>
        <v>0</v>
      </c>
      <c r="H117" s="621">
        <f>IFERROR(VLOOKUP($A117,Race_2024_Seasonal!A:X,11,FALSE),0)</f>
        <v>0</v>
      </c>
      <c r="I117" s="621">
        <f>IFERROR(VLOOKUP($A117,Race_2024_Seasonal!A:X,12,FALSE),0)</f>
        <v>0</v>
      </c>
      <c r="J117" s="621">
        <f>IFERROR(VLOOKUP($A117,Race_2024_Seasonal!A:X,13,FALSE),0)</f>
        <v>0</v>
      </c>
      <c r="K117" s="621">
        <f>IFERROR(VLOOKUP($A117,Race_2024_Seasonal!A:X,14,FALSE),0)</f>
        <v>0</v>
      </c>
      <c r="L117" s="621">
        <f>IFERROR(VLOOKUP($A117,Race_2024_Seasonal!A:X,15,FALSE),0)</f>
        <v>0</v>
      </c>
      <c r="M117" s="621">
        <f>IFERROR(VLOOKUP($A117,Race_2024_Seasonal!A:X,16,FALSE),0)</f>
        <v>0</v>
      </c>
      <c r="N117" s="621">
        <f>IFERROR(VLOOKUP($A117,Race_2024_Seasonal!A:X,17,FALSE),0)</f>
        <v>0</v>
      </c>
      <c r="O117" s="621">
        <f>IFERROR(VLOOKUP($A117,Race_2024_Seasonal!A:X,18,FALSE),0)</f>
        <v>0</v>
      </c>
      <c r="P117" s="554"/>
      <c r="Q117" s="621">
        <f t="shared" si="1"/>
        <v>0</v>
      </c>
      <c r="R117" s="545"/>
      <c r="S117" s="670">
        <f>Q117-'P&amp;L'!I117</f>
        <v>0</v>
      </c>
    </row>
    <row r="118" spans="1:19" ht="15" x14ac:dyDescent="0.25">
      <c r="A118" s="546" t="s">
        <v>1318</v>
      </c>
      <c r="B118" s="546" t="e">
        <f>IFERROR(VLOOKUP(A118,Race_2024_Seasonal!A:C,3,FALSE), VLOOKUP(A118,Race_2024_Seasonal!A:C,3,FALSE))</f>
        <v>#N/A</v>
      </c>
      <c r="C118" s="555" t="s">
        <v>610</v>
      </c>
      <c r="D118" s="621">
        <f>IFERROR(VLOOKUP($A118,Race_2024_Seasonal!A:X,7,FALSE),0)</f>
        <v>0</v>
      </c>
      <c r="E118" s="621">
        <f>IFERROR(VLOOKUP($A118,Race_2024_Seasonal!A:X,8,FALSE),0)</f>
        <v>0</v>
      </c>
      <c r="F118" s="621">
        <f>IFERROR(VLOOKUP($A118,Race_2024_Seasonal!A:X,9,FALSE),0)</f>
        <v>0</v>
      </c>
      <c r="G118" s="621">
        <f>IFERROR(VLOOKUP($A118,Race_2024_Seasonal!A:X,10,FALSE),0)</f>
        <v>0</v>
      </c>
      <c r="H118" s="621">
        <f>IFERROR(VLOOKUP($A118,Race_2024_Seasonal!A:X,11,FALSE),0)</f>
        <v>0</v>
      </c>
      <c r="I118" s="621">
        <f>IFERROR(VLOOKUP($A118,Race_2024_Seasonal!A:X,12,FALSE),0)</f>
        <v>0</v>
      </c>
      <c r="J118" s="621">
        <f>IFERROR(VLOOKUP($A118,Race_2024_Seasonal!A:X,13,FALSE),0)</f>
        <v>0</v>
      </c>
      <c r="K118" s="621">
        <f>IFERROR(VLOOKUP($A118,Race_2024_Seasonal!A:X,14,FALSE),0)</f>
        <v>0</v>
      </c>
      <c r="L118" s="621">
        <f>IFERROR(VLOOKUP($A118,Race_2024_Seasonal!A:X,15,FALSE),0)</f>
        <v>0</v>
      </c>
      <c r="M118" s="621">
        <f>IFERROR(VLOOKUP($A118,Race_2024_Seasonal!A:X,16,FALSE),0)</f>
        <v>0</v>
      </c>
      <c r="N118" s="621">
        <f>IFERROR(VLOOKUP($A118,Race_2024_Seasonal!A:X,17,FALSE),0)</f>
        <v>0</v>
      </c>
      <c r="O118" s="621">
        <f>IFERROR(VLOOKUP($A118,Race_2024_Seasonal!A:X,18,FALSE),0)</f>
        <v>0</v>
      </c>
      <c r="P118" s="554"/>
      <c r="Q118" s="621">
        <f t="shared" si="1"/>
        <v>0</v>
      </c>
      <c r="R118" s="545"/>
      <c r="S118" s="670">
        <f>Q118-'P&amp;L'!I118</f>
        <v>0</v>
      </c>
    </row>
    <row r="119" spans="1:19" ht="15" x14ac:dyDescent="0.25">
      <c r="A119" s="546" t="s">
        <v>1319</v>
      </c>
      <c r="B119" s="546" t="e">
        <f>IFERROR(VLOOKUP(A119,Race_2024_Seasonal!A:C,3,FALSE), VLOOKUP(A119,Race_2024_Seasonal!A:C,3,FALSE))</f>
        <v>#N/A</v>
      </c>
      <c r="C119" s="553" t="s">
        <v>609</v>
      </c>
      <c r="D119" s="621">
        <f>IFERROR(VLOOKUP($A119,Race_2024_Seasonal!A:X,7,FALSE),0)</f>
        <v>0</v>
      </c>
      <c r="E119" s="621">
        <f>IFERROR(VLOOKUP($A119,Race_2024_Seasonal!A:X,8,FALSE),0)</f>
        <v>0</v>
      </c>
      <c r="F119" s="621">
        <f>IFERROR(VLOOKUP($A119,Race_2024_Seasonal!A:X,9,FALSE),0)</f>
        <v>0</v>
      </c>
      <c r="G119" s="621">
        <f>IFERROR(VLOOKUP($A119,Race_2024_Seasonal!A:X,10,FALSE),0)</f>
        <v>0</v>
      </c>
      <c r="H119" s="621">
        <f>IFERROR(VLOOKUP($A119,Race_2024_Seasonal!A:X,11,FALSE),0)</f>
        <v>0</v>
      </c>
      <c r="I119" s="621">
        <f>IFERROR(VLOOKUP($A119,Race_2024_Seasonal!A:X,12,FALSE),0)</f>
        <v>0</v>
      </c>
      <c r="J119" s="621">
        <f>IFERROR(VLOOKUP($A119,Race_2024_Seasonal!A:X,13,FALSE),0)</f>
        <v>0</v>
      </c>
      <c r="K119" s="621">
        <f>IFERROR(VLOOKUP($A119,Race_2024_Seasonal!A:X,14,FALSE),0)</f>
        <v>0</v>
      </c>
      <c r="L119" s="621">
        <f>IFERROR(VLOOKUP($A119,Race_2024_Seasonal!A:X,15,FALSE),0)</f>
        <v>0</v>
      </c>
      <c r="M119" s="621">
        <f>IFERROR(VLOOKUP($A119,Race_2024_Seasonal!A:X,16,FALSE),0)</f>
        <v>0</v>
      </c>
      <c r="N119" s="621">
        <f>IFERROR(VLOOKUP($A119,Race_2024_Seasonal!A:X,17,FALSE),0)</f>
        <v>0</v>
      </c>
      <c r="O119" s="621">
        <f>IFERROR(VLOOKUP($A119,Race_2024_Seasonal!A:X,18,FALSE),0)</f>
        <v>0</v>
      </c>
      <c r="P119" s="554"/>
      <c r="Q119" s="621">
        <f t="shared" si="1"/>
        <v>0</v>
      </c>
      <c r="R119" s="545"/>
      <c r="S119" s="670">
        <f>Q119-'P&amp;L'!I119</f>
        <v>0</v>
      </c>
    </row>
    <row r="120" spans="1:19" ht="15" x14ac:dyDescent="0.25">
      <c r="A120" s="546" t="s">
        <v>1320</v>
      </c>
      <c r="B120" s="546" t="e">
        <f>IFERROR(VLOOKUP(A120,Race_2024_Seasonal!A:C,3,FALSE), VLOOKUP(A120,Race_2024_Seasonal!A:C,3,FALSE))</f>
        <v>#N/A</v>
      </c>
      <c r="C120" s="549" t="s">
        <v>608</v>
      </c>
      <c r="D120" s="621">
        <f>IFERROR(VLOOKUP($A120,Race_2024_Seasonal!A:X,7,FALSE),0)</f>
        <v>0</v>
      </c>
      <c r="E120" s="621">
        <f>IFERROR(VLOOKUP($A120,Race_2024_Seasonal!A:X,8,FALSE),0)</f>
        <v>0</v>
      </c>
      <c r="F120" s="621">
        <f>IFERROR(VLOOKUP($A120,Race_2024_Seasonal!A:X,9,FALSE),0)</f>
        <v>0</v>
      </c>
      <c r="G120" s="621">
        <f>IFERROR(VLOOKUP($A120,Race_2024_Seasonal!A:X,10,FALSE),0)</f>
        <v>0</v>
      </c>
      <c r="H120" s="621">
        <f>IFERROR(VLOOKUP($A120,Race_2024_Seasonal!A:X,11,FALSE),0)</f>
        <v>0</v>
      </c>
      <c r="I120" s="621">
        <f>IFERROR(VLOOKUP($A120,Race_2024_Seasonal!A:X,12,FALSE),0)</f>
        <v>0</v>
      </c>
      <c r="J120" s="621">
        <f>IFERROR(VLOOKUP($A120,Race_2024_Seasonal!A:X,13,FALSE),0)</f>
        <v>0</v>
      </c>
      <c r="K120" s="621">
        <f>IFERROR(VLOOKUP($A120,Race_2024_Seasonal!A:X,14,FALSE),0)</f>
        <v>0</v>
      </c>
      <c r="L120" s="621">
        <f>IFERROR(VLOOKUP($A120,Race_2024_Seasonal!A:X,15,FALSE),0)</f>
        <v>0</v>
      </c>
      <c r="M120" s="621">
        <f>IFERROR(VLOOKUP($A120,Race_2024_Seasonal!A:X,16,FALSE),0)</f>
        <v>0</v>
      </c>
      <c r="N120" s="621">
        <f>IFERROR(VLOOKUP($A120,Race_2024_Seasonal!A:X,17,FALSE),0)</f>
        <v>0</v>
      </c>
      <c r="O120" s="621">
        <f>IFERROR(VLOOKUP($A120,Race_2024_Seasonal!A:X,18,FALSE),0)</f>
        <v>0</v>
      </c>
      <c r="P120" s="545"/>
      <c r="Q120" s="621">
        <f t="shared" si="1"/>
        <v>0</v>
      </c>
      <c r="R120" s="545"/>
      <c r="S120" s="670">
        <f>Q120-'P&amp;L'!I120</f>
        <v>0</v>
      </c>
    </row>
    <row r="121" spans="1:19" ht="15" x14ac:dyDescent="0.25">
      <c r="A121" s="546" t="s">
        <v>1321</v>
      </c>
      <c r="B121" s="546" t="e">
        <f>IFERROR(VLOOKUP(A121,Race_2024_Seasonal!A:C,3,FALSE), VLOOKUP(A121,Race_2024_Seasonal!A:C,3,FALSE))</f>
        <v>#N/A</v>
      </c>
      <c r="C121" s="549" t="s">
        <v>607</v>
      </c>
      <c r="D121" s="624">
        <f>IFERROR(VLOOKUP($A121,Race_2024_Seasonal!A:X,7,FALSE),0)</f>
        <v>0</v>
      </c>
      <c r="E121" s="624">
        <f>IFERROR(VLOOKUP($A121,Race_2024_Seasonal!A:X,8,FALSE),0)</f>
        <v>0</v>
      </c>
      <c r="F121" s="624">
        <f>IFERROR(VLOOKUP($A121,Race_2024_Seasonal!A:X,9,FALSE),0)</f>
        <v>0</v>
      </c>
      <c r="G121" s="624">
        <f>IFERROR(VLOOKUP($A121,Race_2024_Seasonal!A:X,10,FALSE),0)</f>
        <v>0</v>
      </c>
      <c r="H121" s="624">
        <f>IFERROR(VLOOKUP($A121,Race_2024_Seasonal!A:X,11,FALSE),0)</f>
        <v>0</v>
      </c>
      <c r="I121" s="624">
        <f>IFERROR(VLOOKUP($A121,Race_2024_Seasonal!A:X,12,FALSE),0)</f>
        <v>0</v>
      </c>
      <c r="J121" s="624">
        <f>IFERROR(VLOOKUP($A121,Race_2024_Seasonal!A:X,13,FALSE),0)</f>
        <v>0</v>
      </c>
      <c r="K121" s="624">
        <f>IFERROR(VLOOKUP($A121,Race_2024_Seasonal!A:X,14,FALSE),0)</f>
        <v>0</v>
      </c>
      <c r="L121" s="624">
        <f>IFERROR(VLOOKUP($A121,Race_2024_Seasonal!A:X,15,FALSE),0)</f>
        <v>0</v>
      </c>
      <c r="M121" s="624">
        <f>IFERROR(VLOOKUP($A121,Race_2024_Seasonal!A:X,16,FALSE),0)</f>
        <v>0</v>
      </c>
      <c r="N121" s="624">
        <f>IFERROR(VLOOKUP($A121,Race_2024_Seasonal!A:X,17,FALSE),0)</f>
        <v>0</v>
      </c>
      <c r="O121" s="624">
        <f>IFERROR(VLOOKUP($A121,Race_2024_Seasonal!A:X,18,FALSE),0)</f>
        <v>0</v>
      </c>
      <c r="P121" s="554"/>
      <c r="Q121" s="624">
        <f t="shared" si="1"/>
        <v>0</v>
      </c>
      <c r="R121" s="545"/>
      <c r="S121" s="670">
        <f>Q121-'P&amp;L'!I121</f>
        <v>0</v>
      </c>
    </row>
    <row r="122" spans="1:19" ht="15" x14ac:dyDescent="0.25">
      <c r="A122" s="546" t="s">
        <v>1322</v>
      </c>
      <c r="B122" s="546" t="e">
        <f>IFERROR(VLOOKUP(A122,Race_2024_Seasonal!A:C,3,FALSE), VLOOKUP(A122,Race_2024_Seasonal!A:C,3,FALSE))</f>
        <v>#N/A</v>
      </c>
      <c r="C122" s="549" t="s">
        <v>606</v>
      </c>
      <c r="D122" s="624">
        <f>IFERROR(VLOOKUP($A122,Race_2024_Seasonal!A:X,7,FALSE),0)</f>
        <v>0</v>
      </c>
      <c r="E122" s="624">
        <f>IFERROR(VLOOKUP($A122,Race_2024_Seasonal!A:X,8,FALSE),0)</f>
        <v>0</v>
      </c>
      <c r="F122" s="624">
        <f>IFERROR(VLOOKUP($A122,Race_2024_Seasonal!A:X,9,FALSE),0)</f>
        <v>0</v>
      </c>
      <c r="G122" s="624">
        <f>IFERROR(VLOOKUP($A122,Race_2024_Seasonal!A:X,10,FALSE),0)</f>
        <v>0</v>
      </c>
      <c r="H122" s="624">
        <f>IFERROR(VLOOKUP($A122,Race_2024_Seasonal!A:X,11,FALSE),0)</f>
        <v>0</v>
      </c>
      <c r="I122" s="624">
        <f>IFERROR(VLOOKUP($A122,Race_2024_Seasonal!A:X,12,FALSE),0)</f>
        <v>0</v>
      </c>
      <c r="J122" s="624">
        <f>IFERROR(VLOOKUP($A122,Race_2024_Seasonal!A:X,13,FALSE),0)</f>
        <v>0</v>
      </c>
      <c r="K122" s="624">
        <f>IFERROR(VLOOKUP($A122,Race_2024_Seasonal!A:X,14,FALSE),0)</f>
        <v>0</v>
      </c>
      <c r="L122" s="624">
        <f>IFERROR(VLOOKUP($A122,Race_2024_Seasonal!A:X,15,FALSE),0)</f>
        <v>0</v>
      </c>
      <c r="M122" s="624">
        <f>IFERROR(VLOOKUP($A122,Race_2024_Seasonal!A:X,16,FALSE),0)</f>
        <v>0</v>
      </c>
      <c r="N122" s="624">
        <f>IFERROR(VLOOKUP($A122,Race_2024_Seasonal!A:X,17,FALSE),0)</f>
        <v>0</v>
      </c>
      <c r="O122" s="624">
        <f>IFERROR(VLOOKUP($A122,Race_2024_Seasonal!A:X,18,FALSE),0)</f>
        <v>0</v>
      </c>
      <c r="P122" s="554"/>
      <c r="Q122" s="624">
        <f t="shared" si="1"/>
        <v>0</v>
      </c>
      <c r="R122" s="545"/>
      <c r="S122" s="670">
        <f>Q122-'P&amp;L'!I122</f>
        <v>0</v>
      </c>
    </row>
    <row r="123" spans="1:19" ht="15" x14ac:dyDescent="0.25">
      <c r="A123" s="546" t="s">
        <v>1323</v>
      </c>
      <c r="B123" s="546" t="e">
        <f>IFERROR(VLOOKUP(A123,Race_2024_Seasonal!A:C,3,FALSE), VLOOKUP(A123,Race_2024_Seasonal!A:C,3,FALSE))</f>
        <v>#N/A</v>
      </c>
      <c r="C123" s="549" t="s">
        <v>605</v>
      </c>
      <c r="D123" s="624">
        <f>IFERROR(VLOOKUP($A123,Race_2024_Seasonal!A:X,7,FALSE),0)</f>
        <v>0</v>
      </c>
      <c r="E123" s="624">
        <f>IFERROR(VLOOKUP($A123,Race_2024_Seasonal!A:X,8,FALSE),0)</f>
        <v>0</v>
      </c>
      <c r="F123" s="624">
        <f>IFERROR(VLOOKUP($A123,Race_2024_Seasonal!A:X,9,FALSE),0)</f>
        <v>0</v>
      </c>
      <c r="G123" s="624">
        <f>IFERROR(VLOOKUP($A123,Race_2024_Seasonal!A:X,10,FALSE),0)</f>
        <v>0</v>
      </c>
      <c r="H123" s="624">
        <f>IFERROR(VLOOKUP($A123,Race_2024_Seasonal!A:X,11,FALSE),0)</f>
        <v>0</v>
      </c>
      <c r="I123" s="624">
        <f>IFERROR(VLOOKUP($A123,Race_2024_Seasonal!A:X,12,FALSE),0)</f>
        <v>0</v>
      </c>
      <c r="J123" s="624">
        <f>IFERROR(VLOOKUP($A123,Race_2024_Seasonal!A:X,13,FALSE),0)</f>
        <v>0</v>
      </c>
      <c r="K123" s="624">
        <f>IFERROR(VLOOKUP($A123,Race_2024_Seasonal!A:X,14,FALSE),0)</f>
        <v>0</v>
      </c>
      <c r="L123" s="624">
        <f>IFERROR(VLOOKUP($A123,Race_2024_Seasonal!A:X,15,FALSE),0)</f>
        <v>0</v>
      </c>
      <c r="M123" s="624">
        <f>IFERROR(VLOOKUP($A123,Race_2024_Seasonal!A:X,16,FALSE),0)</f>
        <v>0</v>
      </c>
      <c r="N123" s="624">
        <f>IFERROR(VLOOKUP($A123,Race_2024_Seasonal!A:X,17,FALSE),0)</f>
        <v>0</v>
      </c>
      <c r="O123" s="624">
        <f>IFERROR(VLOOKUP($A123,Race_2024_Seasonal!A:X,18,FALSE),0)</f>
        <v>0</v>
      </c>
      <c r="P123" s="554"/>
      <c r="Q123" s="624">
        <f t="shared" si="1"/>
        <v>0</v>
      </c>
      <c r="R123" s="545"/>
      <c r="S123" s="670">
        <f>Q123-'P&amp;L'!I123</f>
        <v>0</v>
      </c>
    </row>
    <row r="124" spans="1:19" ht="15" x14ac:dyDescent="0.25">
      <c r="A124" s="546" t="s">
        <v>1324</v>
      </c>
      <c r="B124" s="546" t="e">
        <f>IFERROR(VLOOKUP(A124,Race_2024_Seasonal!A:C,3,FALSE), VLOOKUP(A124,Race_2024_Seasonal!A:C,3,FALSE))</f>
        <v>#N/A</v>
      </c>
      <c r="C124" s="549" t="s">
        <v>604</v>
      </c>
      <c r="D124" s="624">
        <f>IFERROR(VLOOKUP($A124,Race_2024_Seasonal!A:X,7,FALSE),0)</f>
        <v>0</v>
      </c>
      <c r="E124" s="624">
        <f>IFERROR(VLOOKUP($A124,Race_2024_Seasonal!A:X,8,FALSE),0)</f>
        <v>0</v>
      </c>
      <c r="F124" s="624">
        <f>IFERROR(VLOOKUP($A124,Race_2024_Seasonal!A:X,9,FALSE),0)</f>
        <v>0</v>
      </c>
      <c r="G124" s="624">
        <f>IFERROR(VLOOKUP($A124,Race_2024_Seasonal!A:X,10,FALSE),0)</f>
        <v>0</v>
      </c>
      <c r="H124" s="624">
        <f>IFERROR(VLOOKUP($A124,Race_2024_Seasonal!A:X,11,FALSE),0)</f>
        <v>0</v>
      </c>
      <c r="I124" s="624">
        <f>IFERROR(VLOOKUP($A124,Race_2024_Seasonal!A:X,12,FALSE),0)</f>
        <v>0</v>
      </c>
      <c r="J124" s="624">
        <f>IFERROR(VLOOKUP($A124,Race_2024_Seasonal!A:X,13,FALSE),0)</f>
        <v>0</v>
      </c>
      <c r="K124" s="624">
        <f>IFERROR(VLOOKUP($A124,Race_2024_Seasonal!A:X,14,FALSE),0)</f>
        <v>0</v>
      </c>
      <c r="L124" s="624">
        <f>IFERROR(VLOOKUP($A124,Race_2024_Seasonal!A:X,15,FALSE),0)</f>
        <v>0</v>
      </c>
      <c r="M124" s="624">
        <f>IFERROR(VLOOKUP($A124,Race_2024_Seasonal!A:X,16,FALSE),0)</f>
        <v>0</v>
      </c>
      <c r="N124" s="624">
        <f>IFERROR(VLOOKUP($A124,Race_2024_Seasonal!A:X,17,FALSE),0)</f>
        <v>0</v>
      </c>
      <c r="O124" s="624">
        <f>IFERROR(VLOOKUP($A124,Race_2024_Seasonal!A:X,18,FALSE),0)</f>
        <v>0</v>
      </c>
      <c r="P124" s="554"/>
      <c r="Q124" s="624">
        <f t="shared" si="1"/>
        <v>0</v>
      </c>
      <c r="R124" s="545"/>
      <c r="S124" s="670">
        <f>Q124-'P&amp;L'!I124</f>
        <v>0</v>
      </c>
    </row>
    <row r="125" spans="1:19" ht="15" x14ac:dyDescent="0.25">
      <c r="A125" s="546" t="s">
        <v>1325</v>
      </c>
      <c r="B125" s="546" t="e">
        <f>IFERROR(VLOOKUP(A125,Race_2024_Seasonal!A:C,3,FALSE), VLOOKUP(A125,Race_2024_Seasonal!A:C,3,FALSE))</f>
        <v>#N/A</v>
      </c>
      <c r="C125" s="549" t="s">
        <v>603</v>
      </c>
      <c r="D125" s="624">
        <f>IFERROR(VLOOKUP($A125,Race_2024_Seasonal!A:X,7,FALSE),0)</f>
        <v>0</v>
      </c>
      <c r="E125" s="624">
        <f>IFERROR(VLOOKUP($A125,Race_2024_Seasonal!A:X,8,FALSE),0)</f>
        <v>0</v>
      </c>
      <c r="F125" s="624">
        <f>IFERROR(VLOOKUP($A125,Race_2024_Seasonal!A:X,9,FALSE),0)</f>
        <v>0</v>
      </c>
      <c r="G125" s="624">
        <f>IFERROR(VLOOKUP($A125,Race_2024_Seasonal!A:X,10,FALSE),0)</f>
        <v>0</v>
      </c>
      <c r="H125" s="624">
        <f>IFERROR(VLOOKUP($A125,Race_2024_Seasonal!A:X,11,FALSE),0)</f>
        <v>0</v>
      </c>
      <c r="I125" s="624">
        <f>IFERROR(VLOOKUP($A125,Race_2024_Seasonal!A:X,12,FALSE),0)</f>
        <v>0</v>
      </c>
      <c r="J125" s="624">
        <f>IFERROR(VLOOKUP($A125,Race_2024_Seasonal!A:X,13,FALSE),0)</f>
        <v>0</v>
      </c>
      <c r="K125" s="624">
        <f>IFERROR(VLOOKUP($A125,Race_2024_Seasonal!A:X,14,FALSE),0)</f>
        <v>0</v>
      </c>
      <c r="L125" s="624">
        <f>IFERROR(VLOOKUP($A125,Race_2024_Seasonal!A:X,15,FALSE),0)</f>
        <v>0</v>
      </c>
      <c r="M125" s="624">
        <f>IFERROR(VLOOKUP($A125,Race_2024_Seasonal!A:X,16,FALSE),0)</f>
        <v>0</v>
      </c>
      <c r="N125" s="624">
        <f>IFERROR(VLOOKUP($A125,Race_2024_Seasonal!A:X,17,FALSE),0)</f>
        <v>0</v>
      </c>
      <c r="O125" s="624">
        <f>IFERROR(VLOOKUP($A125,Race_2024_Seasonal!A:X,18,FALSE),0)</f>
        <v>0</v>
      </c>
      <c r="P125" s="554"/>
      <c r="Q125" s="624">
        <f t="shared" si="1"/>
        <v>0</v>
      </c>
      <c r="R125" s="545"/>
      <c r="S125" s="670">
        <f>Q125-'P&amp;L'!I125</f>
        <v>0</v>
      </c>
    </row>
    <row r="126" spans="1:19" ht="15" x14ac:dyDescent="0.25">
      <c r="A126" s="546" t="s">
        <v>1326</v>
      </c>
      <c r="B126" s="546" t="e">
        <f>IFERROR(VLOOKUP(A126,Race_2024_Seasonal!A:C,3,FALSE), VLOOKUP(A126,Race_2024_Seasonal!A:C,3,FALSE))</f>
        <v>#N/A</v>
      </c>
      <c r="C126" s="553" t="s">
        <v>602</v>
      </c>
      <c r="D126" s="624">
        <f>IFERROR(VLOOKUP($A126,Race_2024_Seasonal!A:X,7,FALSE),0)</f>
        <v>0</v>
      </c>
      <c r="E126" s="624">
        <f>IFERROR(VLOOKUP($A126,Race_2024_Seasonal!A:X,8,FALSE),0)</f>
        <v>0</v>
      </c>
      <c r="F126" s="624">
        <f>IFERROR(VLOOKUP($A126,Race_2024_Seasonal!A:X,9,FALSE),0)</f>
        <v>0</v>
      </c>
      <c r="G126" s="624">
        <f>IFERROR(VLOOKUP($A126,Race_2024_Seasonal!A:X,10,FALSE),0)</f>
        <v>0</v>
      </c>
      <c r="H126" s="624">
        <f>IFERROR(VLOOKUP($A126,Race_2024_Seasonal!A:X,11,FALSE),0)</f>
        <v>0</v>
      </c>
      <c r="I126" s="624">
        <f>IFERROR(VLOOKUP($A126,Race_2024_Seasonal!A:X,12,FALSE),0)</f>
        <v>0</v>
      </c>
      <c r="J126" s="624">
        <f>IFERROR(VLOOKUP($A126,Race_2024_Seasonal!A:X,13,FALSE),0)</f>
        <v>0</v>
      </c>
      <c r="K126" s="624">
        <f>IFERROR(VLOOKUP($A126,Race_2024_Seasonal!A:X,14,FALSE),0)</f>
        <v>0</v>
      </c>
      <c r="L126" s="624">
        <f>IFERROR(VLOOKUP($A126,Race_2024_Seasonal!A:X,15,FALSE),0)</f>
        <v>0</v>
      </c>
      <c r="M126" s="624">
        <f>IFERROR(VLOOKUP($A126,Race_2024_Seasonal!A:X,16,FALSE),0)</f>
        <v>0</v>
      </c>
      <c r="N126" s="624">
        <f>IFERROR(VLOOKUP($A126,Race_2024_Seasonal!A:X,17,FALSE),0)</f>
        <v>0</v>
      </c>
      <c r="O126" s="624">
        <f>IFERROR(VLOOKUP($A126,Race_2024_Seasonal!A:X,18,FALSE),0)</f>
        <v>0</v>
      </c>
      <c r="P126" s="554"/>
      <c r="Q126" s="624">
        <f t="shared" si="1"/>
        <v>0</v>
      </c>
      <c r="R126" s="545"/>
      <c r="S126" s="670">
        <f>Q126-'P&amp;L'!I126</f>
        <v>0</v>
      </c>
    </row>
    <row r="127" spans="1:19" ht="15" x14ac:dyDescent="0.25">
      <c r="A127" s="546" t="s">
        <v>1327</v>
      </c>
      <c r="B127" s="546" t="e">
        <f>IFERROR(VLOOKUP(A127,Race_2024_Seasonal!A:C,3,FALSE), VLOOKUP(A127,Race_2024_Seasonal!A:C,3,FALSE))</f>
        <v>#N/A</v>
      </c>
      <c r="C127" s="553" t="s">
        <v>601</v>
      </c>
      <c r="D127" s="624">
        <f>IFERROR(VLOOKUP($A127,Race_2024_Seasonal!A:X,7,FALSE),0)</f>
        <v>0</v>
      </c>
      <c r="E127" s="624">
        <f>IFERROR(VLOOKUP($A127,Race_2024_Seasonal!A:X,8,FALSE),0)</f>
        <v>0</v>
      </c>
      <c r="F127" s="624">
        <f>IFERROR(VLOOKUP($A127,Race_2024_Seasonal!A:X,9,FALSE),0)</f>
        <v>0</v>
      </c>
      <c r="G127" s="624">
        <f>IFERROR(VLOOKUP($A127,Race_2024_Seasonal!A:X,10,FALSE),0)</f>
        <v>0</v>
      </c>
      <c r="H127" s="624">
        <f>IFERROR(VLOOKUP($A127,Race_2024_Seasonal!A:X,11,FALSE),0)</f>
        <v>0</v>
      </c>
      <c r="I127" s="624">
        <f>IFERROR(VLOOKUP($A127,Race_2024_Seasonal!A:X,12,FALSE),0)</f>
        <v>0</v>
      </c>
      <c r="J127" s="624">
        <f>IFERROR(VLOOKUP($A127,Race_2024_Seasonal!A:X,13,FALSE),0)</f>
        <v>0</v>
      </c>
      <c r="K127" s="624">
        <f>IFERROR(VLOOKUP($A127,Race_2024_Seasonal!A:X,14,FALSE),0)</f>
        <v>0</v>
      </c>
      <c r="L127" s="624">
        <f>IFERROR(VLOOKUP($A127,Race_2024_Seasonal!A:X,15,FALSE),0)</f>
        <v>0</v>
      </c>
      <c r="M127" s="624">
        <f>IFERROR(VLOOKUP($A127,Race_2024_Seasonal!A:X,16,FALSE),0)</f>
        <v>0</v>
      </c>
      <c r="N127" s="624">
        <f>IFERROR(VLOOKUP($A127,Race_2024_Seasonal!A:X,17,FALSE),0)</f>
        <v>0</v>
      </c>
      <c r="O127" s="624">
        <f>IFERROR(VLOOKUP($A127,Race_2024_Seasonal!A:X,18,FALSE),0)</f>
        <v>0</v>
      </c>
      <c r="P127" s="554"/>
      <c r="Q127" s="624">
        <f t="shared" si="1"/>
        <v>0</v>
      </c>
      <c r="R127" s="545"/>
      <c r="S127" s="670">
        <f>Q127-'P&amp;L'!I127</f>
        <v>0</v>
      </c>
    </row>
    <row r="128" spans="1:19" ht="15" x14ac:dyDescent="0.25">
      <c r="A128" s="546" t="s">
        <v>1328</v>
      </c>
      <c r="B128" s="546" t="e">
        <f>IFERROR(VLOOKUP(A128,Race_2024_Seasonal!A:C,3,FALSE), VLOOKUP(A128,Race_2024_Seasonal!A:C,3,FALSE))</f>
        <v>#N/A</v>
      </c>
      <c r="C128" s="553" t="s">
        <v>600</v>
      </c>
      <c r="D128" s="621">
        <f>IFERROR(VLOOKUP($A128,Race_2024_Seasonal!A:X,7,FALSE),0)</f>
        <v>0</v>
      </c>
      <c r="E128" s="621">
        <f>IFERROR(VLOOKUP($A128,Race_2024_Seasonal!A:X,8,FALSE),0)</f>
        <v>0</v>
      </c>
      <c r="F128" s="621">
        <f>IFERROR(VLOOKUP($A128,Race_2024_Seasonal!A:X,9,FALSE),0)</f>
        <v>0</v>
      </c>
      <c r="G128" s="621">
        <f>IFERROR(VLOOKUP($A128,Race_2024_Seasonal!A:X,10,FALSE),0)</f>
        <v>0</v>
      </c>
      <c r="H128" s="621">
        <f>IFERROR(VLOOKUP($A128,Race_2024_Seasonal!A:X,11,FALSE),0)</f>
        <v>0</v>
      </c>
      <c r="I128" s="621">
        <f>IFERROR(VLOOKUP($A128,Race_2024_Seasonal!A:X,12,FALSE),0)</f>
        <v>0</v>
      </c>
      <c r="J128" s="621">
        <f>IFERROR(VLOOKUP($A128,Race_2024_Seasonal!A:X,13,FALSE),0)</f>
        <v>0</v>
      </c>
      <c r="K128" s="621">
        <f>IFERROR(VLOOKUP($A128,Race_2024_Seasonal!A:X,14,FALSE),0)</f>
        <v>0</v>
      </c>
      <c r="L128" s="621">
        <f>IFERROR(VLOOKUP($A128,Race_2024_Seasonal!A:X,15,FALSE),0)</f>
        <v>0</v>
      </c>
      <c r="M128" s="621">
        <f>IFERROR(VLOOKUP($A128,Race_2024_Seasonal!A:X,16,FALSE),0)</f>
        <v>0</v>
      </c>
      <c r="N128" s="621">
        <f>IFERROR(VLOOKUP($A128,Race_2024_Seasonal!A:X,17,FALSE),0)</f>
        <v>0</v>
      </c>
      <c r="O128" s="621">
        <f>IFERROR(VLOOKUP($A128,Race_2024_Seasonal!A:X,18,FALSE),0)</f>
        <v>0</v>
      </c>
      <c r="P128" s="554"/>
      <c r="Q128" s="621">
        <f t="shared" si="1"/>
        <v>0</v>
      </c>
      <c r="R128" s="545"/>
      <c r="S128" s="670">
        <f>Q128-'P&amp;L'!I128</f>
        <v>0</v>
      </c>
    </row>
    <row r="129" spans="1:19" ht="15" x14ac:dyDescent="0.25">
      <c r="A129" s="546" t="s">
        <v>1329</v>
      </c>
      <c r="B129" s="546" t="e">
        <f>IFERROR(VLOOKUP(A129,Race_2024_Seasonal!A:C,3,FALSE), VLOOKUP(A129,Race_2024_Seasonal!A:C,3,FALSE))</f>
        <v>#N/A</v>
      </c>
      <c r="C129" s="553" t="s">
        <v>599</v>
      </c>
      <c r="D129" s="621">
        <f>IFERROR(VLOOKUP($A129,Race_2024_Seasonal!A:X,7,FALSE),0)</f>
        <v>0</v>
      </c>
      <c r="E129" s="621">
        <f>IFERROR(VLOOKUP($A129,Race_2024_Seasonal!A:X,8,FALSE),0)</f>
        <v>0</v>
      </c>
      <c r="F129" s="621">
        <f>IFERROR(VLOOKUP($A129,Race_2024_Seasonal!A:X,9,FALSE),0)</f>
        <v>0</v>
      </c>
      <c r="G129" s="621">
        <f>IFERROR(VLOOKUP($A129,Race_2024_Seasonal!A:X,10,FALSE),0)</f>
        <v>0</v>
      </c>
      <c r="H129" s="621">
        <f>IFERROR(VLOOKUP($A129,Race_2024_Seasonal!A:X,11,FALSE),0)</f>
        <v>0</v>
      </c>
      <c r="I129" s="621">
        <f>IFERROR(VLOOKUP($A129,Race_2024_Seasonal!A:X,12,FALSE),0)</f>
        <v>0</v>
      </c>
      <c r="J129" s="621">
        <f>IFERROR(VLOOKUP($A129,Race_2024_Seasonal!A:X,13,FALSE),0)</f>
        <v>0</v>
      </c>
      <c r="K129" s="621">
        <f>IFERROR(VLOOKUP($A129,Race_2024_Seasonal!A:X,14,FALSE),0)</f>
        <v>0</v>
      </c>
      <c r="L129" s="621">
        <f>IFERROR(VLOOKUP($A129,Race_2024_Seasonal!A:X,15,FALSE),0)</f>
        <v>0</v>
      </c>
      <c r="M129" s="621">
        <f>IFERROR(VLOOKUP($A129,Race_2024_Seasonal!A:X,16,FALSE),0)</f>
        <v>0</v>
      </c>
      <c r="N129" s="621">
        <f>IFERROR(VLOOKUP($A129,Race_2024_Seasonal!A:X,17,FALSE),0)</f>
        <v>0</v>
      </c>
      <c r="O129" s="621">
        <f>IFERROR(VLOOKUP($A129,Race_2024_Seasonal!A:X,18,FALSE),0)</f>
        <v>0</v>
      </c>
      <c r="P129" s="554"/>
      <c r="Q129" s="621">
        <f t="shared" si="1"/>
        <v>0</v>
      </c>
      <c r="R129" s="545"/>
      <c r="S129" s="670">
        <f>Q129-'P&amp;L'!I129</f>
        <v>0</v>
      </c>
    </row>
    <row r="130" spans="1:19" ht="15" x14ac:dyDescent="0.25">
      <c r="A130" s="546" t="s">
        <v>1330</v>
      </c>
      <c r="B130" s="546" t="e">
        <f>IFERROR(VLOOKUP(A130,Race_2024_Seasonal!A:C,3,FALSE), VLOOKUP(A130,Race_2024_Seasonal!A:C,3,FALSE))</f>
        <v>#N/A</v>
      </c>
      <c r="C130" s="553" t="s">
        <v>598</v>
      </c>
      <c r="D130" s="621">
        <f>IFERROR(VLOOKUP($A130,Race_2024_Seasonal!A:X,7,FALSE),0)</f>
        <v>0</v>
      </c>
      <c r="E130" s="621">
        <f>IFERROR(VLOOKUP($A130,Race_2024_Seasonal!A:X,8,FALSE),0)</f>
        <v>0</v>
      </c>
      <c r="F130" s="621">
        <f>IFERROR(VLOOKUP($A130,Race_2024_Seasonal!A:X,9,FALSE),0)</f>
        <v>0</v>
      </c>
      <c r="G130" s="621">
        <f>IFERROR(VLOOKUP($A130,Race_2024_Seasonal!A:X,10,FALSE),0)</f>
        <v>0</v>
      </c>
      <c r="H130" s="621">
        <f>IFERROR(VLOOKUP($A130,Race_2024_Seasonal!A:X,11,FALSE),0)</f>
        <v>0</v>
      </c>
      <c r="I130" s="621">
        <f>IFERROR(VLOOKUP($A130,Race_2024_Seasonal!A:X,12,FALSE),0)</f>
        <v>0</v>
      </c>
      <c r="J130" s="621">
        <f>IFERROR(VLOOKUP($A130,Race_2024_Seasonal!A:X,13,FALSE),0)</f>
        <v>0</v>
      </c>
      <c r="K130" s="621">
        <f>IFERROR(VLOOKUP($A130,Race_2024_Seasonal!A:X,14,FALSE),0)</f>
        <v>0</v>
      </c>
      <c r="L130" s="621">
        <f>IFERROR(VLOOKUP($A130,Race_2024_Seasonal!A:X,15,FALSE),0)</f>
        <v>0</v>
      </c>
      <c r="M130" s="621">
        <f>IFERROR(VLOOKUP($A130,Race_2024_Seasonal!A:X,16,FALSE),0)</f>
        <v>0</v>
      </c>
      <c r="N130" s="621">
        <f>IFERROR(VLOOKUP($A130,Race_2024_Seasonal!A:X,17,FALSE),0)</f>
        <v>0</v>
      </c>
      <c r="O130" s="621">
        <f>IFERROR(VLOOKUP($A130,Race_2024_Seasonal!A:X,18,FALSE),0)</f>
        <v>0</v>
      </c>
      <c r="P130" s="554"/>
      <c r="Q130" s="621">
        <f t="shared" si="1"/>
        <v>0</v>
      </c>
      <c r="R130" s="545"/>
      <c r="S130" s="670">
        <f>Q130-'P&amp;L'!I130</f>
        <v>0</v>
      </c>
    </row>
    <row r="131" spans="1:19" ht="15" x14ac:dyDescent="0.25">
      <c r="A131" s="546" t="s">
        <v>1331</v>
      </c>
      <c r="B131" s="546" t="e">
        <f>IFERROR(VLOOKUP(A131,Race_2024_Seasonal!A:C,3,FALSE), VLOOKUP(A131,Race_2024_Seasonal!A:C,3,FALSE))</f>
        <v>#N/A</v>
      </c>
      <c r="C131" s="553" t="s">
        <v>597</v>
      </c>
      <c r="D131" s="621">
        <f>IFERROR(VLOOKUP($A131,Race_2024_Seasonal!A:X,7,FALSE),0)</f>
        <v>0</v>
      </c>
      <c r="E131" s="621">
        <f>IFERROR(VLOOKUP($A131,Race_2024_Seasonal!A:X,8,FALSE),0)</f>
        <v>0</v>
      </c>
      <c r="F131" s="621">
        <f>IFERROR(VLOOKUP($A131,Race_2024_Seasonal!A:X,9,FALSE),0)</f>
        <v>0</v>
      </c>
      <c r="G131" s="621">
        <f>IFERROR(VLOOKUP($A131,Race_2024_Seasonal!A:X,10,FALSE),0)</f>
        <v>0</v>
      </c>
      <c r="H131" s="621">
        <f>IFERROR(VLOOKUP($A131,Race_2024_Seasonal!A:X,11,FALSE),0)</f>
        <v>0</v>
      </c>
      <c r="I131" s="621">
        <f>IFERROR(VLOOKUP($A131,Race_2024_Seasonal!A:X,12,FALSE),0)</f>
        <v>0</v>
      </c>
      <c r="J131" s="621">
        <f>IFERROR(VLOOKUP($A131,Race_2024_Seasonal!A:X,13,FALSE),0)</f>
        <v>0</v>
      </c>
      <c r="K131" s="621">
        <f>IFERROR(VLOOKUP($A131,Race_2024_Seasonal!A:X,14,FALSE),0)</f>
        <v>0</v>
      </c>
      <c r="L131" s="621">
        <f>IFERROR(VLOOKUP($A131,Race_2024_Seasonal!A:X,15,FALSE),0)</f>
        <v>0</v>
      </c>
      <c r="M131" s="621">
        <f>IFERROR(VLOOKUP($A131,Race_2024_Seasonal!A:X,16,FALSE),0)</f>
        <v>0</v>
      </c>
      <c r="N131" s="621">
        <f>IFERROR(VLOOKUP($A131,Race_2024_Seasonal!A:X,17,FALSE),0)</f>
        <v>0</v>
      </c>
      <c r="O131" s="621">
        <f>IFERROR(VLOOKUP($A131,Race_2024_Seasonal!A:X,18,FALSE),0)</f>
        <v>0</v>
      </c>
      <c r="P131" s="554"/>
      <c r="Q131" s="621">
        <f t="shared" si="1"/>
        <v>0</v>
      </c>
      <c r="R131" s="545"/>
      <c r="S131" s="670">
        <f>Q131-'P&amp;L'!I131</f>
        <v>0</v>
      </c>
    </row>
    <row r="132" spans="1:19" ht="15" x14ac:dyDescent="0.25">
      <c r="A132" s="546" t="s">
        <v>1332</v>
      </c>
      <c r="B132" s="546" t="e">
        <f>IFERROR(VLOOKUP(A132,Race_2024_Seasonal!A:C,3,FALSE), VLOOKUP(A132,Race_2024_Seasonal!A:C,3,FALSE))</f>
        <v>#N/A</v>
      </c>
      <c r="C132" s="552" t="s">
        <v>596</v>
      </c>
      <c r="D132" s="666">
        <f>IFERROR(VLOOKUP($A132,Race_2024_Seasonal!A:X,7,FALSE),0)</f>
        <v>0</v>
      </c>
      <c r="E132" s="666">
        <f>IFERROR(VLOOKUP($A132,Race_2024_Seasonal!A:X,8,FALSE),0)</f>
        <v>0</v>
      </c>
      <c r="F132" s="666">
        <f>IFERROR(VLOOKUP($A132,Race_2024_Seasonal!A:X,9,FALSE),0)</f>
        <v>0</v>
      </c>
      <c r="G132" s="666">
        <f>IFERROR(VLOOKUP($A132,Race_2024_Seasonal!A:X,10,FALSE),0)</f>
        <v>0</v>
      </c>
      <c r="H132" s="666">
        <f>IFERROR(VLOOKUP($A132,Race_2024_Seasonal!A:X,11,FALSE),0)</f>
        <v>0</v>
      </c>
      <c r="I132" s="666">
        <f>IFERROR(VLOOKUP($A132,Race_2024_Seasonal!A:X,12,FALSE),0)</f>
        <v>0</v>
      </c>
      <c r="J132" s="666">
        <f>IFERROR(VLOOKUP($A132,Race_2024_Seasonal!A:X,13,FALSE),0)</f>
        <v>0</v>
      </c>
      <c r="K132" s="666">
        <f>IFERROR(VLOOKUP($A132,Race_2024_Seasonal!A:X,14,FALSE),0)</f>
        <v>0</v>
      </c>
      <c r="L132" s="666">
        <f>IFERROR(VLOOKUP($A132,Race_2024_Seasonal!A:X,15,FALSE),0)</f>
        <v>0</v>
      </c>
      <c r="M132" s="666">
        <f>IFERROR(VLOOKUP($A132,Race_2024_Seasonal!A:X,16,FALSE),0)</f>
        <v>0</v>
      </c>
      <c r="N132" s="666">
        <f>IFERROR(VLOOKUP($A132,Race_2024_Seasonal!A:X,17,FALSE),0)</f>
        <v>0</v>
      </c>
      <c r="O132" s="666">
        <f>IFERROR(VLOOKUP($A132,Race_2024_Seasonal!A:X,18,FALSE),0)</f>
        <v>0</v>
      </c>
      <c r="P132" s="554"/>
      <c r="Q132" s="666">
        <f t="shared" si="1"/>
        <v>0</v>
      </c>
      <c r="R132" s="545"/>
      <c r="S132" s="670">
        <f>Q132-'P&amp;L'!I132</f>
        <v>0</v>
      </c>
    </row>
    <row r="133" spans="1:19" ht="15" x14ac:dyDescent="0.25">
      <c r="A133" s="546" t="s">
        <v>1333</v>
      </c>
      <c r="B133" s="546" t="e">
        <f>IFERROR(VLOOKUP(A133,Race_2024_Seasonal!A:C,3,FALSE), VLOOKUP(A133,Race_2024_Seasonal!A:C,3,FALSE))</f>
        <v>#N/A</v>
      </c>
      <c r="C133" s="549" t="s">
        <v>595</v>
      </c>
      <c r="D133" s="621">
        <f>IFERROR(VLOOKUP($A133,Race_2024_Seasonal!A:X,7,FALSE),0)</f>
        <v>0</v>
      </c>
      <c r="E133" s="621">
        <f>IFERROR(VLOOKUP($A133,Race_2024_Seasonal!A:X,8,FALSE),0)</f>
        <v>0</v>
      </c>
      <c r="F133" s="621">
        <f>IFERROR(VLOOKUP($A133,Race_2024_Seasonal!A:X,9,FALSE),0)</f>
        <v>0</v>
      </c>
      <c r="G133" s="621">
        <f>IFERROR(VLOOKUP($A133,Race_2024_Seasonal!A:X,10,FALSE),0)</f>
        <v>0</v>
      </c>
      <c r="H133" s="621">
        <f>IFERROR(VLOOKUP($A133,Race_2024_Seasonal!A:X,11,FALSE),0)</f>
        <v>0</v>
      </c>
      <c r="I133" s="621">
        <f>IFERROR(VLOOKUP($A133,Race_2024_Seasonal!A:X,12,FALSE),0)</f>
        <v>0</v>
      </c>
      <c r="J133" s="621">
        <f>IFERROR(VLOOKUP($A133,Race_2024_Seasonal!A:X,13,FALSE),0)</f>
        <v>0</v>
      </c>
      <c r="K133" s="621">
        <f>IFERROR(VLOOKUP($A133,Race_2024_Seasonal!A:X,14,FALSE),0)</f>
        <v>0</v>
      </c>
      <c r="L133" s="621">
        <f>IFERROR(VLOOKUP($A133,Race_2024_Seasonal!A:X,15,FALSE),0)</f>
        <v>0</v>
      </c>
      <c r="M133" s="621">
        <f>IFERROR(VLOOKUP($A133,Race_2024_Seasonal!A:X,16,FALSE),0)</f>
        <v>0</v>
      </c>
      <c r="N133" s="621">
        <f>IFERROR(VLOOKUP($A133,Race_2024_Seasonal!A:X,17,FALSE),0)</f>
        <v>0</v>
      </c>
      <c r="O133" s="621">
        <f>IFERROR(VLOOKUP($A133,Race_2024_Seasonal!A:X,18,FALSE),0)</f>
        <v>0</v>
      </c>
      <c r="P133" s="554"/>
      <c r="Q133" s="621">
        <f t="shared" si="1"/>
        <v>0</v>
      </c>
      <c r="R133" s="545"/>
      <c r="S133" s="670">
        <f>Q133-'P&amp;L'!I133</f>
        <v>0</v>
      </c>
    </row>
    <row r="134" spans="1:19" ht="15" x14ac:dyDescent="0.25">
      <c r="A134" s="614" t="s">
        <v>1334</v>
      </c>
      <c r="B134" s="546" t="str">
        <f>IFERROR(VLOOKUP(A134,Race_2024_Seasonal!A:C,3,FALSE), VLOOKUP(A134,Race_2024_Seasonal!A:C,3,FALSE))</f>
        <v>NOP</v>
      </c>
      <c r="C134" s="615" t="s">
        <v>594</v>
      </c>
      <c r="D134" s="622">
        <f>IFERROR(VLOOKUP($A134,Race_2024_Seasonal!A:X,7,FALSE),0)</f>
        <v>-3784481.4380000001</v>
      </c>
      <c r="E134" s="622">
        <f>IFERROR(VLOOKUP($A134,Race_2024_Seasonal!A:X,8,FALSE),0)</f>
        <v>-3617320.139</v>
      </c>
      <c r="F134" s="622">
        <f>IFERROR(VLOOKUP($A134,Race_2024_Seasonal!A:X,9,FALSE),0)</f>
        <v>-3653498.4070000001</v>
      </c>
      <c r="G134" s="622">
        <f>IFERROR(VLOOKUP($A134,Race_2024_Seasonal!A:X,10,FALSE),0)</f>
        <v>-3583263.8029999998</v>
      </c>
      <c r="H134" s="622">
        <f>IFERROR(VLOOKUP($A134,Race_2024_Seasonal!A:X,11,FALSE),0)</f>
        <v>-3724288.9509999999</v>
      </c>
      <c r="I134" s="622">
        <f>IFERROR(VLOOKUP($A134,Race_2024_Seasonal!A:X,12,FALSE),0)</f>
        <v>1050424.94</v>
      </c>
      <c r="J134" s="622">
        <f>IFERROR(VLOOKUP($A134,Race_2024_Seasonal!A:X,13,FALSE),0)</f>
        <v>643963.48600000003</v>
      </c>
      <c r="K134" s="622">
        <f>IFERROR(VLOOKUP($A134,Race_2024_Seasonal!A:X,14,FALSE),0)</f>
        <v>445306.31900000002</v>
      </c>
      <c r="L134" s="622">
        <f>IFERROR(VLOOKUP($A134,Race_2024_Seasonal!A:X,15,FALSE),0)</f>
        <v>-105110.548</v>
      </c>
      <c r="M134" s="622">
        <f>IFERROR(VLOOKUP($A134,Race_2024_Seasonal!A:X,16,FALSE),0)</f>
        <v>506641.603</v>
      </c>
      <c r="N134" s="622">
        <f>IFERROR(VLOOKUP($A134,Race_2024_Seasonal!A:X,17,FALSE),0)</f>
        <v>492120.89799999999</v>
      </c>
      <c r="O134" s="622">
        <f>IFERROR(VLOOKUP($A134,Race_2024_Seasonal!A:X,18,FALSE),0)</f>
        <v>2016837.0149999999</v>
      </c>
      <c r="P134" s="554"/>
      <c r="Q134" s="622">
        <f t="shared" si="1"/>
        <v>-13312669.024999997</v>
      </c>
      <c r="R134" s="545"/>
      <c r="S134" s="670">
        <f>Q134-'P&amp;L'!I134</f>
        <v>0</v>
      </c>
    </row>
    <row r="135" spans="1:19" ht="15" x14ac:dyDescent="0.25">
      <c r="A135" s="546" t="s">
        <v>1335</v>
      </c>
      <c r="B135" s="546" t="e">
        <f>IFERROR(VLOOKUP(A135,Race_2024_Seasonal!A:C,3,FALSE), VLOOKUP(A135,Race_2024_Seasonal!A:C,3,FALSE))</f>
        <v>#N/A</v>
      </c>
      <c r="C135" s="552" t="s">
        <v>593</v>
      </c>
      <c r="D135" s="664">
        <f>IFERROR(VLOOKUP($A135,Race_2024_Seasonal!A:X,7,FALSE),0)</f>
        <v>0</v>
      </c>
      <c r="E135" s="664">
        <f>IFERROR(VLOOKUP($A135,Race_2024_Seasonal!A:X,8,FALSE),0)</f>
        <v>0</v>
      </c>
      <c r="F135" s="664">
        <f>IFERROR(VLOOKUP($A135,Race_2024_Seasonal!A:X,9,FALSE),0)</f>
        <v>0</v>
      </c>
      <c r="G135" s="664">
        <f>IFERROR(VLOOKUP($A135,Race_2024_Seasonal!A:X,10,FALSE),0)</f>
        <v>0</v>
      </c>
      <c r="H135" s="664">
        <f>IFERROR(VLOOKUP($A135,Race_2024_Seasonal!A:X,11,FALSE),0)</f>
        <v>0</v>
      </c>
      <c r="I135" s="664">
        <f>IFERROR(VLOOKUP($A135,Race_2024_Seasonal!A:X,12,FALSE),0)</f>
        <v>0</v>
      </c>
      <c r="J135" s="664">
        <f>IFERROR(VLOOKUP($A135,Race_2024_Seasonal!A:X,13,FALSE),0)</f>
        <v>0</v>
      </c>
      <c r="K135" s="664">
        <f>IFERROR(VLOOKUP($A135,Race_2024_Seasonal!A:X,14,FALSE),0)</f>
        <v>0</v>
      </c>
      <c r="L135" s="664">
        <f>IFERROR(VLOOKUP($A135,Race_2024_Seasonal!A:X,15,FALSE),0)</f>
        <v>0</v>
      </c>
      <c r="M135" s="664">
        <f>IFERROR(VLOOKUP($A135,Race_2024_Seasonal!A:X,16,FALSE),0)</f>
        <v>0</v>
      </c>
      <c r="N135" s="664">
        <f>IFERROR(VLOOKUP($A135,Race_2024_Seasonal!A:X,17,FALSE),0)</f>
        <v>0</v>
      </c>
      <c r="O135" s="664">
        <f>IFERROR(VLOOKUP($A135,Race_2024_Seasonal!A:X,18,FALSE),0)</f>
        <v>0</v>
      </c>
      <c r="P135" s="554"/>
      <c r="Q135" s="664">
        <f t="shared" si="1"/>
        <v>0</v>
      </c>
      <c r="R135" s="545"/>
      <c r="S135" s="670">
        <f>Q135-'P&amp;L'!I135</f>
        <v>0</v>
      </c>
    </row>
    <row r="136" spans="1:19" ht="15" x14ac:dyDescent="0.25">
      <c r="A136" s="546" t="s">
        <v>1509</v>
      </c>
      <c r="B136" s="546" t="e">
        <f>IFERROR(VLOOKUP(A136,Race_2024_Seasonal!A:C,3,FALSE), VLOOKUP(A136,Race_2024_Seasonal!A:C,3,FALSE))</f>
        <v>#N/A</v>
      </c>
      <c r="C136" s="549" t="s">
        <v>1506</v>
      </c>
      <c r="D136" s="659">
        <f>IFERROR(VLOOKUP($A136,Race_2024_Seasonal!A:X,7,FALSE),0)</f>
        <v>0</v>
      </c>
      <c r="E136" s="659">
        <f>IFERROR(VLOOKUP($A136,Race_2024_Seasonal!A:X,8,FALSE),0)</f>
        <v>0</v>
      </c>
      <c r="F136" s="659">
        <f>IFERROR(VLOOKUP($A136,Race_2024_Seasonal!A:X,9,FALSE),0)</f>
        <v>0</v>
      </c>
      <c r="G136" s="659">
        <f>IFERROR(VLOOKUP($A136,Race_2024_Seasonal!A:X,10,FALSE),0)</f>
        <v>0</v>
      </c>
      <c r="H136" s="659">
        <f>IFERROR(VLOOKUP($A136,Race_2024_Seasonal!A:X,11,FALSE),0)</f>
        <v>0</v>
      </c>
      <c r="I136" s="659">
        <f>IFERROR(VLOOKUP($A136,Race_2024_Seasonal!A:X,12,FALSE),0)</f>
        <v>0</v>
      </c>
      <c r="J136" s="659">
        <f>IFERROR(VLOOKUP($A136,Race_2024_Seasonal!A:X,13,FALSE),0)</f>
        <v>0</v>
      </c>
      <c r="K136" s="659">
        <f>IFERROR(VLOOKUP($A136,Race_2024_Seasonal!A:X,14,FALSE),0)</f>
        <v>0</v>
      </c>
      <c r="L136" s="659">
        <f>IFERROR(VLOOKUP($A136,Race_2024_Seasonal!A:X,15,FALSE),0)</f>
        <v>0</v>
      </c>
      <c r="M136" s="659">
        <f>IFERROR(VLOOKUP($A136,Race_2024_Seasonal!A:X,16,FALSE),0)</f>
        <v>0</v>
      </c>
      <c r="N136" s="659">
        <f>IFERROR(VLOOKUP($A136,Race_2024_Seasonal!A:X,17,FALSE),0)</f>
        <v>0</v>
      </c>
      <c r="O136" s="659">
        <f>IFERROR(VLOOKUP($A136,Race_2024_Seasonal!A:X,18,FALSE),0)</f>
        <v>0</v>
      </c>
      <c r="P136" s="554"/>
      <c r="Q136" s="659">
        <f t="shared" ref="Q136:Q145" si="2">SUM(D136:O136)</f>
        <v>0</v>
      </c>
      <c r="R136" s="545"/>
      <c r="S136" s="670">
        <f>Q136-'P&amp;L'!I136</f>
        <v>0</v>
      </c>
    </row>
    <row r="137" spans="1:19" ht="15" x14ac:dyDescent="0.25">
      <c r="A137" s="546" t="s">
        <v>1336</v>
      </c>
      <c r="B137" s="546" t="e">
        <f>IFERROR(VLOOKUP(A137,Race_2024_Seasonal!A:C,3,FALSE), VLOOKUP(A137,Race_2024_Seasonal!A:C,3,FALSE))</f>
        <v>#N/A</v>
      </c>
      <c r="C137" s="549" t="s">
        <v>158</v>
      </c>
      <c r="D137" s="659">
        <f>IFERROR(VLOOKUP($A137,Race_2024_Seasonal!A:X,7,FALSE),0)</f>
        <v>0</v>
      </c>
      <c r="E137" s="659">
        <f>IFERROR(VLOOKUP($A137,Race_2024_Seasonal!A:X,8,FALSE),0)</f>
        <v>0</v>
      </c>
      <c r="F137" s="659">
        <f>IFERROR(VLOOKUP($A137,Race_2024_Seasonal!A:X,9,FALSE),0)</f>
        <v>0</v>
      </c>
      <c r="G137" s="659">
        <f>IFERROR(VLOOKUP($A137,Race_2024_Seasonal!A:X,10,FALSE),0)</f>
        <v>0</v>
      </c>
      <c r="H137" s="659">
        <f>IFERROR(VLOOKUP($A137,Race_2024_Seasonal!A:X,11,FALSE),0)</f>
        <v>0</v>
      </c>
      <c r="I137" s="659">
        <f>IFERROR(VLOOKUP($A137,Race_2024_Seasonal!A:X,12,FALSE),0)</f>
        <v>0</v>
      </c>
      <c r="J137" s="659">
        <f>IFERROR(VLOOKUP($A137,Race_2024_Seasonal!A:X,13,FALSE),0)</f>
        <v>0</v>
      </c>
      <c r="K137" s="659">
        <f>IFERROR(VLOOKUP($A137,Race_2024_Seasonal!A:X,14,FALSE),0)</f>
        <v>0</v>
      </c>
      <c r="L137" s="659">
        <f>IFERROR(VLOOKUP($A137,Race_2024_Seasonal!A:X,15,FALSE),0)</f>
        <v>0</v>
      </c>
      <c r="M137" s="659">
        <f>IFERROR(VLOOKUP($A137,Race_2024_Seasonal!A:X,16,FALSE),0)</f>
        <v>0</v>
      </c>
      <c r="N137" s="659">
        <f>IFERROR(VLOOKUP($A137,Race_2024_Seasonal!A:X,17,FALSE),0)</f>
        <v>0</v>
      </c>
      <c r="O137" s="659">
        <f>IFERROR(VLOOKUP($A137,Race_2024_Seasonal!A:X,18,FALSE),0)</f>
        <v>0</v>
      </c>
      <c r="P137" s="554"/>
      <c r="Q137" s="659">
        <f t="shared" si="2"/>
        <v>0</v>
      </c>
      <c r="R137" s="545"/>
      <c r="S137" s="670">
        <f>Q137-'P&amp;L'!I137</f>
        <v>0</v>
      </c>
    </row>
    <row r="138" spans="1:19" ht="15" x14ac:dyDescent="0.25">
      <c r="A138" s="546" t="s">
        <v>1337</v>
      </c>
      <c r="B138" s="546" t="e">
        <f>IFERROR(VLOOKUP(A138,Race_2024_Seasonal!A:C,3,FALSE), VLOOKUP(A138,Race_2024_Seasonal!A:C,3,FALSE))</f>
        <v>#N/A</v>
      </c>
      <c r="C138" s="549" t="s">
        <v>930</v>
      </c>
      <c r="D138" s="659">
        <f>IFERROR(VLOOKUP($A138,Race_2024_Seasonal!A:X,7,FALSE),0)</f>
        <v>0</v>
      </c>
      <c r="E138" s="659">
        <f>IFERROR(VLOOKUP($A138,Race_2024_Seasonal!A:X,8,FALSE),0)</f>
        <v>0</v>
      </c>
      <c r="F138" s="659">
        <f>IFERROR(VLOOKUP($A138,Race_2024_Seasonal!A:X,9,FALSE),0)</f>
        <v>0</v>
      </c>
      <c r="G138" s="659">
        <f>IFERROR(VLOOKUP($A138,Race_2024_Seasonal!A:X,10,FALSE),0)</f>
        <v>0</v>
      </c>
      <c r="H138" s="659">
        <f>IFERROR(VLOOKUP($A138,Race_2024_Seasonal!A:X,11,FALSE),0)</f>
        <v>0</v>
      </c>
      <c r="I138" s="659">
        <f>IFERROR(VLOOKUP($A138,Race_2024_Seasonal!A:X,12,FALSE),0)</f>
        <v>0</v>
      </c>
      <c r="J138" s="659">
        <f>IFERROR(VLOOKUP($A138,Race_2024_Seasonal!A:X,13,FALSE),0)</f>
        <v>0</v>
      </c>
      <c r="K138" s="659">
        <f>IFERROR(VLOOKUP($A138,Race_2024_Seasonal!A:X,14,FALSE),0)</f>
        <v>0</v>
      </c>
      <c r="L138" s="659">
        <f>IFERROR(VLOOKUP($A138,Race_2024_Seasonal!A:X,15,FALSE),0)</f>
        <v>0</v>
      </c>
      <c r="M138" s="659">
        <f>IFERROR(VLOOKUP($A138,Race_2024_Seasonal!A:X,16,FALSE),0)</f>
        <v>0</v>
      </c>
      <c r="N138" s="659">
        <f>IFERROR(VLOOKUP($A138,Race_2024_Seasonal!A:X,17,FALSE),0)</f>
        <v>0</v>
      </c>
      <c r="O138" s="659">
        <f>IFERROR(VLOOKUP($A138,Race_2024_Seasonal!A:X,18,FALSE),0)</f>
        <v>0</v>
      </c>
      <c r="P138" s="554"/>
      <c r="Q138" s="659">
        <f t="shared" si="2"/>
        <v>0</v>
      </c>
      <c r="R138" s="545"/>
      <c r="S138" s="670">
        <f>Q138-'P&amp;L'!I138</f>
        <v>0</v>
      </c>
    </row>
    <row r="139" spans="1:19" ht="15" x14ac:dyDescent="0.25">
      <c r="A139" s="546" t="s">
        <v>1338</v>
      </c>
      <c r="B139" s="546" t="e">
        <f>IFERROR(VLOOKUP(A139,Race_2024_Seasonal!A:C,3,FALSE), VLOOKUP(A139,Race_2024_Seasonal!A:C,3,FALSE))</f>
        <v>#N/A</v>
      </c>
      <c r="C139" s="549" t="s">
        <v>931</v>
      </c>
      <c r="D139" s="624">
        <f>IFERROR(VLOOKUP($A139,Race_2024_Seasonal!A:X,7,FALSE),0)</f>
        <v>0</v>
      </c>
      <c r="E139" s="624">
        <f>IFERROR(VLOOKUP($A139,Race_2024_Seasonal!A:X,8,FALSE),0)</f>
        <v>0</v>
      </c>
      <c r="F139" s="624">
        <f>IFERROR(VLOOKUP($A139,Race_2024_Seasonal!A:X,9,FALSE),0)</f>
        <v>0</v>
      </c>
      <c r="G139" s="624">
        <f>IFERROR(VLOOKUP($A139,Race_2024_Seasonal!A:X,10,FALSE),0)</f>
        <v>0</v>
      </c>
      <c r="H139" s="624">
        <f>IFERROR(VLOOKUP($A139,Race_2024_Seasonal!A:X,11,FALSE),0)</f>
        <v>0</v>
      </c>
      <c r="I139" s="624">
        <f>IFERROR(VLOOKUP($A139,Race_2024_Seasonal!A:X,12,FALSE),0)</f>
        <v>0</v>
      </c>
      <c r="J139" s="624">
        <f>IFERROR(VLOOKUP($A139,Race_2024_Seasonal!A:X,13,FALSE),0)</f>
        <v>0</v>
      </c>
      <c r="K139" s="624">
        <f>IFERROR(VLOOKUP($A139,Race_2024_Seasonal!A:X,14,FALSE),0)</f>
        <v>0</v>
      </c>
      <c r="L139" s="624">
        <f>IFERROR(VLOOKUP($A139,Race_2024_Seasonal!A:X,15,FALSE),0)</f>
        <v>0</v>
      </c>
      <c r="M139" s="624">
        <f>IFERROR(VLOOKUP($A139,Race_2024_Seasonal!A:X,16,FALSE),0)</f>
        <v>0</v>
      </c>
      <c r="N139" s="624">
        <f>IFERROR(VLOOKUP($A139,Race_2024_Seasonal!A:X,17,FALSE),0)</f>
        <v>0</v>
      </c>
      <c r="O139" s="624">
        <f>IFERROR(VLOOKUP($A139,Race_2024_Seasonal!A:X,18,FALSE),0)</f>
        <v>0</v>
      </c>
      <c r="P139" s="545"/>
      <c r="Q139" s="624">
        <f t="shared" si="2"/>
        <v>0</v>
      </c>
      <c r="R139" s="545"/>
      <c r="S139" s="670">
        <f>Q139-'P&amp;L'!I139</f>
        <v>0</v>
      </c>
    </row>
    <row r="140" spans="1:19" ht="15" x14ac:dyDescent="0.25">
      <c r="A140" s="546" t="s">
        <v>1339</v>
      </c>
      <c r="B140" s="546" t="e">
        <f>IFERROR(VLOOKUP(A140,Race_2024_Seasonal!A:C,3,FALSE), VLOOKUP(A140,Race_2024_Seasonal!A:C,3,FALSE))</f>
        <v>#N/A</v>
      </c>
      <c r="C140" s="549" t="s">
        <v>592</v>
      </c>
      <c r="D140" s="624">
        <f>IFERROR(VLOOKUP($A140,Race_2024_Seasonal!A:X,7,FALSE),0)</f>
        <v>0</v>
      </c>
      <c r="E140" s="624">
        <f>IFERROR(VLOOKUP($A140,Race_2024_Seasonal!A:X,8,FALSE),0)</f>
        <v>0</v>
      </c>
      <c r="F140" s="624">
        <f>IFERROR(VLOOKUP($A140,Race_2024_Seasonal!A:X,9,FALSE),0)</f>
        <v>0</v>
      </c>
      <c r="G140" s="624">
        <f>IFERROR(VLOOKUP($A140,Race_2024_Seasonal!A:X,10,FALSE),0)</f>
        <v>0</v>
      </c>
      <c r="H140" s="624">
        <f>IFERROR(VLOOKUP($A140,Race_2024_Seasonal!A:X,11,FALSE),0)</f>
        <v>0</v>
      </c>
      <c r="I140" s="624">
        <f>IFERROR(VLOOKUP($A140,Race_2024_Seasonal!A:X,12,FALSE),0)</f>
        <v>0</v>
      </c>
      <c r="J140" s="624">
        <f>IFERROR(VLOOKUP($A140,Race_2024_Seasonal!A:X,13,FALSE),0)</f>
        <v>0</v>
      </c>
      <c r="K140" s="624">
        <f>IFERROR(VLOOKUP($A140,Race_2024_Seasonal!A:X,14,FALSE),0)</f>
        <v>0</v>
      </c>
      <c r="L140" s="624">
        <f>IFERROR(VLOOKUP($A140,Race_2024_Seasonal!A:X,15,FALSE),0)</f>
        <v>0</v>
      </c>
      <c r="M140" s="624">
        <f>IFERROR(VLOOKUP($A140,Race_2024_Seasonal!A:X,16,FALSE),0)</f>
        <v>0</v>
      </c>
      <c r="N140" s="624">
        <f>IFERROR(VLOOKUP($A140,Race_2024_Seasonal!A:X,17,FALSE),0)</f>
        <v>0</v>
      </c>
      <c r="O140" s="624">
        <f>IFERROR(VLOOKUP($A140,Race_2024_Seasonal!A:X,18,FALSE),0)</f>
        <v>0</v>
      </c>
      <c r="P140" s="554"/>
      <c r="Q140" s="624">
        <f t="shared" si="2"/>
        <v>0</v>
      </c>
      <c r="R140" s="545"/>
      <c r="S140" s="670">
        <f>Q140-'P&amp;L'!I140</f>
        <v>0</v>
      </c>
    </row>
    <row r="141" spans="1:19" ht="15" x14ac:dyDescent="0.25">
      <c r="A141" s="546" t="s">
        <v>1510</v>
      </c>
      <c r="B141" s="546" t="e">
        <f>IFERROR(VLOOKUP(A141,Race_2024_Seasonal!A:C,3,FALSE), VLOOKUP(A141,Race_2024_Seasonal!A:C,3,FALSE))</f>
        <v>#N/A</v>
      </c>
      <c r="C141" s="549" t="s">
        <v>1507</v>
      </c>
      <c r="D141" s="624">
        <f>IFERROR(VLOOKUP($A141,Race_2024_Seasonal!A:X,7,FALSE),0)</f>
        <v>0</v>
      </c>
      <c r="E141" s="624">
        <f>IFERROR(VLOOKUP($A141,Race_2024_Seasonal!A:X,8,FALSE),0)</f>
        <v>0</v>
      </c>
      <c r="F141" s="624">
        <f>IFERROR(VLOOKUP($A141,Race_2024_Seasonal!A:X,9,FALSE),0)</f>
        <v>0</v>
      </c>
      <c r="G141" s="624">
        <f>IFERROR(VLOOKUP($A141,Race_2024_Seasonal!A:X,10,FALSE),0)</f>
        <v>0</v>
      </c>
      <c r="H141" s="624">
        <f>IFERROR(VLOOKUP($A141,Race_2024_Seasonal!A:X,11,FALSE),0)</f>
        <v>0</v>
      </c>
      <c r="I141" s="624">
        <f>IFERROR(VLOOKUP($A141,Race_2024_Seasonal!A:X,12,FALSE),0)</f>
        <v>0</v>
      </c>
      <c r="J141" s="624">
        <f>IFERROR(VLOOKUP($A141,Race_2024_Seasonal!A:X,13,FALSE),0)</f>
        <v>0</v>
      </c>
      <c r="K141" s="624">
        <f>IFERROR(VLOOKUP($A141,Race_2024_Seasonal!A:X,14,FALSE),0)</f>
        <v>0</v>
      </c>
      <c r="L141" s="624">
        <f>IFERROR(VLOOKUP($A141,Race_2024_Seasonal!A:X,15,FALSE),0)</f>
        <v>0</v>
      </c>
      <c r="M141" s="624">
        <f>IFERROR(VLOOKUP($A141,Race_2024_Seasonal!A:X,16,FALSE),0)</f>
        <v>0</v>
      </c>
      <c r="N141" s="624">
        <f>IFERROR(VLOOKUP($A141,Race_2024_Seasonal!A:X,17,FALSE),0)</f>
        <v>0</v>
      </c>
      <c r="O141" s="624">
        <f>IFERROR(VLOOKUP($A141,Race_2024_Seasonal!A:X,18,FALSE),0)</f>
        <v>0</v>
      </c>
      <c r="P141" s="554"/>
      <c r="Q141" s="624">
        <f t="shared" si="2"/>
        <v>0</v>
      </c>
      <c r="R141" s="545"/>
      <c r="S141" s="670">
        <f>Q141-'P&amp;L'!I141</f>
        <v>0</v>
      </c>
    </row>
    <row r="142" spans="1:19" ht="15" x14ac:dyDescent="0.25">
      <c r="A142" s="546" t="s">
        <v>1511</v>
      </c>
      <c r="B142" s="546" t="e">
        <f>IFERROR(VLOOKUP(A142,Race_2024_Seasonal!A:C,3,FALSE), VLOOKUP(A142,Race_2024_Seasonal!A:C,3,FALSE))</f>
        <v>#N/A</v>
      </c>
      <c r="C142" s="549" t="s">
        <v>1508</v>
      </c>
      <c r="D142" s="624">
        <f>IFERROR(VLOOKUP($A142,Race_2024_Seasonal!A:X,7,FALSE),0)</f>
        <v>0</v>
      </c>
      <c r="E142" s="624">
        <f>IFERROR(VLOOKUP($A142,Race_2024_Seasonal!A:X,8,FALSE),0)</f>
        <v>0</v>
      </c>
      <c r="F142" s="624">
        <f>IFERROR(VLOOKUP($A142,Race_2024_Seasonal!A:X,9,FALSE),0)</f>
        <v>0</v>
      </c>
      <c r="G142" s="624">
        <f>IFERROR(VLOOKUP($A142,Race_2024_Seasonal!A:X,10,FALSE),0)</f>
        <v>0</v>
      </c>
      <c r="H142" s="624">
        <f>IFERROR(VLOOKUP($A142,Race_2024_Seasonal!A:X,11,FALSE),0)</f>
        <v>0</v>
      </c>
      <c r="I142" s="624">
        <f>IFERROR(VLOOKUP($A142,Race_2024_Seasonal!A:X,12,FALSE),0)</f>
        <v>0</v>
      </c>
      <c r="J142" s="624">
        <f>IFERROR(VLOOKUP($A142,Race_2024_Seasonal!A:X,13,FALSE),0)</f>
        <v>0</v>
      </c>
      <c r="K142" s="624">
        <f>IFERROR(VLOOKUP($A142,Race_2024_Seasonal!A:X,14,FALSE),0)</f>
        <v>0</v>
      </c>
      <c r="L142" s="624">
        <f>IFERROR(VLOOKUP($A142,Race_2024_Seasonal!A:X,15,FALSE),0)</f>
        <v>0</v>
      </c>
      <c r="M142" s="624">
        <f>IFERROR(VLOOKUP($A142,Race_2024_Seasonal!A:X,16,FALSE),0)</f>
        <v>0</v>
      </c>
      <c r="N142" s="624">
        <f>IFERROR(VLOOKUP($A142,Race_2024_Seasonal!A:X,17,FALSE),0)</f>
        <v>0</v>
      </c>
      <c r="O142" s="624">
        <f>IFERROR(VLOOKUP($A142,Race_2024_Seasonal!A:X,18,FALSE),0)</f>
        <v>0</v>
      </c>
      <c r="P142" s="554"/>
      <c r="Q142" s="624">
        <f t="shared" si="2"/>
        <v>0</v>
      </c>
      <c r="R142" s="545"/>
      <c r="S142" s="670">
        <f>Q142-'P&amp;L'!I142</f>
        <v>0</v>
      </c>
    </row>
    <row r="143" spans="1:19" ht="15" x14ac:dyDescent="0.25">
      <c r="A143" s="546" t="s">
        <v>1340</v>
      </c>
      <c r="B143" s="546" t="e">
        <f>IFERROR(VLOOKUP(A143,Race_2024_Seasonal!A:C,3,FALSE), VLOOKUP(A143,Race_2024_Seasonal!A:C,3,FALSE))</f>
        <v>#N/A</v>
      </c>
      <c r="C143" s="549" t="s">
        <v>932</v>
      </c>
      <c r="D143" s="624">
        <f>IFERROR(VLOOKUP($A143,Race_2024_Seasonal!A:X,7,FALSE),0)</f>
        <v>0</v>
      </c>
      <c r="E143" s="624">
        <f>IFERROR(VLOOKUP($A143,Race_2024_Seasonal!A:X,8,FALSE),0)</f>
        <v>0</v>
      </c>
      <c r="F143" s="624">
        <f>IFERROR(VLOOKUP($A143,Race_2024_Seasonal!A:X,9,FALSE),0)</f>
        <v>0</v>
      </c>
      <c r="G143" s="624">
        <f>IFERROR(VLOOKUP($A143,Race_2024_Seasonal!A:X,10,FALSE),0)</f>
        <v>0</v>
      </c>
      <c r="H143" s="624">
        <f>IFERROR(VLOOKUP($A143,Race_2024_Seasonal!A:X,11,FALSE),0)</f>
        <v>0</v>
      </c>
      <c r="I143" s="624">
        <f>IFERROR(VLOOKUP($A143,Race_2024_Seasonal!A:X,12,FALSE),0)</f>
        <v>0</v>
      </c>
      <c r="J143" s="624">
        <f>IFERROR(VLOOKUP($A143,Race_2024_Seasonal!A:X,13,FALSE),0)</f>
        <v>0</v>
      </c>
      <c r="K143" s="624">
        <f>IFERROR(VLOOKUP($A143,Race_2024_Seasonal!A:X,14,FALSE),0)</f>
        <v>0</v>
      </c>
      <c r="L143" s="624">
        <f>IFERROR(VLOOKUP($A143,Race_2024_Seasonal!A:X,15,FALSE),0)</f>
        <v>0</v>
      </c>
      <c r="M143" s="624">
        <f>IFERROR(VLOOKUP($A143,Race_2024_Seasonal!A:X,16,FALSE),0)</f>
        <v>0</v>
      </c>
      <c r="N143" s="624">
        <f>IFERROR(VLOOKUP($A143,Race_2024_Seasonal!A:X,17,FALSE),0)</f>
        <v>0</v>
      </c>
      <c r="O143" s="624">
        <f>IFERROR(VLOOKUP($A143,Race_2024_Seasonal!A:X,18,FALSE),0)</f>
        <v>0</v>
      </c>
      <c r="P143" s="554"/>
      <c r="Q143" s="624">
        <f t="shared" si="2"/>
        <v>0</v>
      </c>
      <c r="R143" s="545"/>
      <c r="S143" s="670">
        <f>Q143-'P&amp;L'!I143</f>
        <v>0</v>
      </c>
    </row>
    <row r="144" spans="1:19" ht="15" x14ac:dyDescent="0.25">
      <c r="A144" s="546" t="s">
        <v>1341</v>
      </c>
      <c r="B144" s="546" t="e">
        <f>IFERROR(VLOOKUP(A144,Race_2024_Seasonal!A:C,3,FALSE), VLOOKUP(A144,Race_2024_Seasonal!A:C,3,FALSE))</f>
        <v>#N/A</v>
      </c>
      <c r="C144" s="549" t="s">
        <v>591</v>
      </c>
      <c r="D144" s="624">
        <f>IFERROR(VLOOKUP($A144,Race_2024_Seasonal!A:X,7,FALSE),0)</f>
        <v>0</v>
      </c>
      <c r="E144" s="624">
        <f>IFERROR(VLOOKUP($A144,Race_2024_Seasonal!A:X,8,FALSE),0)</f>
        <v>0</v>
      </c>
      <c r="F144" s="624">
        <f>IFERROR(VLOOKUP($A144,Race_2024_Seasonal!A:X,9,FALSE),0)</f>
        <v>0</v>
      </c>
      <c r="G144" s="624">
        <f>IFERROR(VLOOKUP($A144,Race_2024_Seasonal!A:X,10,FALSE),0)</f>
        <v>0</v>
      </c>
      <c r="H144" s="624">
        <f>IFERROR(VLOOKUP($A144,Race_2024_Seasonal!A:X,11,FALSE),0)</f>
        <v>0</v>
      </c>
      <c r="I144" s="624">
        <f>IFERROR(VLOOKUP($A144,Race_2024_Seasonal!A:X,12,FALSE),0)</f>
        <v>0</v>
      </c>
      <c r="J144" s="624">
        <f>IFERROR(VLOOKUP($A144,Race_2024_Seasonal!A:X,13,FALSE),0)</f>
        <v>0</v>
      </c>
      <c r="K144" s="624">
        <f>IFERROR(VLOOKUP($A144,Race_2024_Seasonal!A:X,14,FALSE),0)</f>
        <v>0</v>
      </c>
      <c r="L144" s="624">
        <f>IFERROR(VLOOKUP($A144,Race_2024_Seasonal!A:X,15,FALSE),0)</f>
        <v>0</v>
      </c>
      <c r="M144" s="624">
        <f>IFERROR(VLOOKUP($A144,Race_2024_Seasonal!A:X,16,FALSE),0)</f>
        <v>0</v>
      </c>
      <c r="N144" s="624">
        <f>IFERROR(VLOOKUP($A144,Race_2024_Seasonal!A:X,17,FALSE),0)</f>
        <v>0</v>
      </c>
      <c r="O144" s="624">
        <f>IFERROR(VLOOKUP($A144,Race_2024_Seasonal!A:X,18,FALSE),0)</f>
        <v>0</v>
      </c>
      <c r="P144" s="554"/>
      <c r="Q144" s="624">
        <f t="shared" si="2"/>
        <v>0</v>
      </c>
      <c r="R144" s="545"/>
      <c r="S144" s="670">
        <f>Q144-'P&amp;L'!I144</f>
        <v>0</v>
      </c>
    </row>
    <row r="145" spans="1:19" ht="15" x14ac:dyDescent="0.25">
      <c r="A145" s="546" t="s">
        <v>1342</v>
      </c>
      <c r="B145" s="546" t="e">
        <f>IFERROR(VLOOKUP(A145,Race_2024_Seasonal!A:C,3,FALSE), VLOOKUP(A145,Race_2024_Seasonal!A:C,3,FALSE))</f>
        <v>#N/A</v>
      </c>
      <c r="C145" s="549" t="s">
        <v>590</v>
      </c>
      <c r="D145" s="624">
        <f>IFERROR(VLOOKUP($A145,Race_2024_Seasonal!A:X,7,FALSE),0)</f>
        <v>0</v>
      </c>
      <c r="E145" s="624">
        <f>IFERROR(VLOOKUP($A145,Race_2024_Seasonal!A:X,8,FALSE),0)</f>
        <v>0</v>
      </c>
      <c r="F145" s="624">
        <f>IFERROR(VLOOKUP($A145,Race_2024_Seasonal!A:X,9,FALSE),0)</f>
        <v>0</v>
      </c>
      <c r="G145" s="624">
        <f>IFERROR(VLOOKUP($A145,Race_2024_Seasonal!A:X,10,FALSE),0)</f>
        <v>0</v>
      </c>
      <c r="H145" s="624">
        <f>IFERROR(VLOOKUP($A145,Race_2024_Seasonal!A:X,11,FALSE),0)</f>
        <v>0</v>
      </c>
      <c r="I145" s="624">
        <f>IFERROR(VLOOKUP($A145,Race_2024_Seasonal!A:X,12,FALSE),0)</f>
        <v>0</v>
      </c>
      <c r="J145" s="624">
        <f>IFERROR(VLOOKUP($A145,Race_2024_Seasonal!A:X,13,FALSE),0)</f>
        <v>0</v>
      </c>
      <c r="K145" s="624">
        <f>IFERROR(VLOOKUP($A145,Race_2024_Seasonal!A:X,14,FALSE),0)</f>
        <v>0</v>
      </c>
      <c r="L145" s="624">
        <f>IFERROR(VLOOKUP($A145,Race_2024_Seasonal!A:X,15,FALSE),0)</f>
        <v>0</v>
      </c>
      <c r="M145" s="624">
        <f>IFERROR(VLOOKUP($A145,Race_2024_Seasonal!A:X,16,FALSE),0)</f>
        <v>0</v>
      </c>
      <c r="N145" s="624">
        <f>IFERROR(VLOOKUP($A145,Race_2024_Seasonal!A:X,17,FALSE),0)</f>
        <v>0</v>
      </c>
      <c r="O145" s="624">
        <f>IFERROR(VLOOKUP($A145,Race_2024_Seasonal!A:X,18,FALSE),0)</f>
        <v>0</v>
      </c>
      <c r="P145" s="554"/>
      <c r="Q145" s="624">
        <f t="shared" si="2"/>
        <v>0</v>
      </c>
      <c r="R145" s="545"/>
      <c r="S145" s="670">
        <f>Q145-'P&amp;L'!I145</f>
        <v>0</v>
      </c>
    </row>
    <row r="146" spans="1:19" ht="15" x14ac:dyDescent="0.25">
      <c r="A146" s="546" t="s">
        <v>1343</v>
      </c>
      <c r="B146" s="546" t="e">
        <f>IFERROR(VLOOKUP(A146,Race_2024_Seasonal!A:C,3,FALSE), VLOOKUP(A146,Race_2024_Seasonal!A:C,3,FALSE))</f>
        <v>#N/A</v>
      </c>
      <c r="C146" s="549" t="s">
        <v>589</v>
      </c>
      <c r="D146" s="662">
        <f>IFERROR(VLOOKUP($A146,Race_2024_Seasonal!A:X,7,FALSE),0)</f>
        <v>0</v>
      </c>
      <c r="E146" s="662">
        <f>IFERROR(VLOOKUP($A146,Race_2024_Seasonal!A:X,8,FALSE),0)</f>
        <v>0</v>
      </c>
      <c r="F146" s="662">
        <f>IFERROR(VLOOKUP($A146,Race_2024_Seasonal!A:X,9,FALSE),0)</f>
        <v>0</v>
      </c>
      <c r="G146" s="662">
        <f>IFERROR(VLOOKUP($A146,Race_2024_Seasonal!A:X,10,FALSE),0)</f>
        <v>0</v>
      </c>
      <c r="H146" s="662">
        <f>IFERROR(VLOOKUP($A146,Race_2024_Seasonal!A:X,11,FALSE),0)</f>
        <v>0</v>
      </c>
      <c r="I146" s="662">
        <f>IFERROR(VLOOKUP($A146,Race_2024_Seasonal!A:X,12,FALSE),0)</f>
        <v>0</v>
      </c>
      <c r="J146" s="662">
        <f>IFERROR(VLOOKUP($A146,Race_2024_Seasonal!A:X,13,FALSE),0)</f>
        <v>0</v>
      </c>
      <c r="K146" s="662">
        <f>IFERROR(VLOOKUP($A146,Race_2024_Seasonal!A:X,14,FALSE),0)</f>
        <v>0</v>
      </c>
      <c r="L146" s="662">
        <f>IFERROR(VLOOKUP($A146,Race_2024_Seasonal!A:X,15,FALSE),0)</f>
        <v>0</v>
      </c>
      <c r="M146" s="662">
        <f>IFERROR(VLOOKUP($A146,Race_2024_Seasonal!A:X,16,FALSE),0)</f>
        <v>0</v>
      </c>
      <c r="N146" s="662">
        <f>IFERROR(VLOOKUP($A146,Race_2024_Seasonal!A:X,17,FALSE),0)</f>
        <v>0</v>
      </c>
      <c r="O146" s="662">
        <f>IFERROR(VLOOKUP($A146,Race_2024_Seasonal!A:X,18,FALSE),0)</f>
        <v>0</v>
      </c>
      <c r="P146" s="545"/>
      <c r="Q146" s="662">
        <f>SUM(D146:O146)</f>
        <v>0</v>
      </c>
      <c r="R146" s="545"/>
      <c r="S146" s="670">
        <f>Q146-'P&amp;L'!I146</f>
        <v>0</v>
      </c>
    </row>
    <row r="147" spans="1:19" ht="12.75" customHeight="1" x14ac:dyDescent="0.25">
      <c r="A147" s="614" t="s">
        <v>1344</v>
      </c>
      <c r="B147" s="546" t="str">
        <f>IFERROR(VLOOKUP(A147,Race_2024_Seasonal!A:C,3,FALSE), VLOOKUP(A147,Race_2024_Seasonal!A:C,3,FALSE))</f>
        <v>EBIT</v>
      </c>
      <c r="C147" s="616" t="s">
        <v>588</v>
      </c>
      <c r="D147" s="623">
        <f>IFERROR(VLOOKUP($A147,Race_2024_Seasonal!A:X,7,FALSE),0)</f>
        <v>-3784481.4380000001</v>
      </c>
      <c r="E147" s="623">
        <f>IFERROR(VLOOKUP($A147,Race_2024_Seasonal!A:X,8,FALSE),0)</f>
        <v>-3617320.139</v>
      </c>
      <c r="F147" s="623">
        <f>IFERROR(VLOOKUP($A147,Race_2024_Seasonal!A:X,9,FALSE),0)</f>
        <v>-3653498.4070000001</v>
      </c>
      <c r="G147" s="623">
        <f>IFERROR(VLOOKUP($A147,Race_2024_Seasonal!A:X,10,FALSE),0)</f>
        <v>-3583263.8029999998</v>
      </c>
      <c r="H147" s="623">
        <f>IFERROR(VLOOKUP($A147,Race_2024_Seasonal!A:X,11,FALSE),0)</f>
        <v>-3724288.9509999999</v>
      </c>
      <c r="I147" s="623">
        <f>IFERROR(VLOOKUP($A147,Race_2024_Seasonal!A:X,12,FALSE),0)</f>
        <v>1050424.94</v>
      </c>
      <c r="J147" s="623">
        <f>IFERROR(VLOOKUP($A147,Race_2024_Seasonal!A:X,13,FALSE),0)</f>
        <v>643963.48600000003</v>
      </c>
      <c r="K147" s="623">
        <f>IFERROR(VLOOKUP($A147,Race_2024_Seasonal!A:X,14,FALSE),0)</f>
        <v>445306.31900000002</v>
      </c>
      <c r="L147" s="623">
        <f>IFERROR(VLOOKUP($A147,Race_2024_Seasonal!A:X,15,FALSE),0)</f>
        <v>-105110.548</v>
      </c>
      <c r="M147" s="623">
        <f>IFERROR(VLOOKUP($A147,Race_2024_Seasonal!A:X,16,FALSE),0)</f>
        <v>506641.603</v>
      </c>
      <c r="N147" s="623">
        <f>IFERROR(VLOOKUP($A147,Race_2024_Seasonal!A:X,17,FALSE),0)</f>
        <v>492120.89799999999</v>
      </c>
      <c r="O147" s="623">
        <f>IFERROR(VLOOKUP($A147,Race_2024_Seasonal!A:X,18,FALSE),0)</f>
        <v>2016837.0149999999</v>
      </c>
      <c r="Q147" s="623">
        <f>SUM(D147:O147)</f>
        <v>-13312669.024999997</v>
      </c>
      <c r="S147" s="670">
        <f>Q147-'P&amp;L'!I147</f>
        <v>0</v>
      </c>
    </row>
  </sheetData>
  <autoFilter ref="C7:Q7" xr:uid="{67A75636-6977-42F1-9840-22E76F5961A4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36" activePane="bottomRight" state="frozen"/>
      <selection activeCell="D14" sqref="D14"/>
      <selection pane="topRight" activeCell="D14" sqref="D14"/>
      <selection pane="bottomLeft" activeCell="D14" sqref="D14"/>
      <selection pane="bottomRight" activeCell="Q49" sqref="Q49:Q60"/>
    </sheetView>
  </sheetViews>
  <sheetFormatPr defaultColWidth="9.28515625" defaultRowHeight="12.75" customHeight="1" outlineLevelRow="1" outlineLevelCol="1" x14ac:dyDescent="0.25"/>
  <cols>
    <col min="1" max="1" width="19.5703125" style="544" hidden="1" customWidth="1" outlineLevel="1"/>
    <col min="2" max="2" width="3.5703125" style="544" hidden="1" customWidth="1" outlineLevel="1"/>
    <col min="3" max="3" width="48.7109375" style="544" bestFit="1" customWidth="1" collapsed="1"/>
    <col min="4" max="15" width="20.7109375" style="544" customWidth="1"/>
    <col min="16" max="16" width="4.42578125" style="544" customWidth="1"/>
    <col min="17" max="18" width="20.7109375" style="544" customWidth="1"/>
    <col min="19" max="19" width="11.42578125" style="544" bestFit="1" customWidth="1"/>
    <col min="20" max="20" width="9.28515625" style="544" customWidth="1"/>
    <col min="21" max="16384" width="9.28515625" style="451"/>
  </cols>
  <sheetData>
    <row r="1" spans="1:20" ht="19.899999999999999" customHeight="1" x14ac:dyDescent="0.25">
      <c r="A1" s="451"/>
      <c r="B1" s="451"/>
      <c r="C1" s="60" t="str">
        <f>+'0. Instructions'!$A$1</f>
        <v>Budget 2024</v>
      </c>
      <c r="D1" s="60"/>
      <c r="E1" s="60"/>
      <c r="F1" s="471"/>
      <c r="G1" s="610"/>
      <c r="H1" s="610"/>
      <c r="I1" s="577"/>
      <c r="J1" s="609"/>
      <c r="K1" s="451"/>
      <c r="L1" s="609"/>
      <c r="M1" s="611"/>
      <c r="N1" s="451"/>
      <c r="O1" s="451"/>
      <c r="P1" s="451"/>
      <c r="Q1" s="451"/>
      <c r="R1" s="451"/>
      <c r="S1" s="451"/>
      <c r="T1" s="451"/>
    </row>
    <row r="2" spans="1:20" ht="19.899999999999999" customHeight="1" thickBot="1" x14ac:dyDescent="0.3">
      <c r="A2" s="451"/>
      <c r="B2" s="451"/>
      <c r="C2" s="55" t="s">
        <v>702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51"/>
      <c r="T2" s="451"/>
    </row>
    <row r="3" spans="1:20" ht="37.9" customHeight="1" x14ac:dyDescent="0.25">
      <c r="A3" s="546"/>
      <c r="B3" s="546"/>
      <c r="C3" s="545"/>
      <c r="D3" s="575"/>
      <c r="E3" s="575"/>
      <c r="F3" s="575"/>
      <c r="G3" s="575"/>
      <c r="H3" s="575"/>
      <c r="I3" s="545"/>
      <c r="J3" s="575"/>
      <c r="K3" s="545"/>
      <c r="L3" s="546"/>
      <c r="M3" s="554"/>
    </row>
    <row r="4" spans="1:20" ht="15" x14ac:dyDescent="0.25">
      <c r="A4" s="546"/>
      <c r="B4" s="546"/>
      <c r="C4" s="545"/>
      <c r="D4" s="575"/>
      <c r="E4" s="575"/>
      <c r="F4" s="575"/>
      <c r="G4" s="575"/>
      <c r="H4" s="575"/>
      <c r="I4" s="545"/>
      <c r="J4" s="575"/>
      <c r="L4" s="546"/>
      <c r="M4" s="554"/>
    </row>
    <row r="5" spans="1:20" ht="15" x14ac:dyDescent="0.25">
      <c r="A5" s="546"/>
      <c r="B5" s="546"/>
      <c r="C5" s="546"/>
      <c r="D5" s="546"/>
      <c r="E5" s="546"/>
      <c r="F5" s="546"/>
      <c r="G5" s="546"/>
      <c r="H5" s="546"/>
      <c r="J5" s="546"/>
      <c r="L5" s="546"/>
      <c r="M5" s="554"/>
    </row>
    <row r="6" spans="1:20" ht="30" customHeight="1" x14ac:dyDescent="0.25">
      <c r="A6" s="546"/>
      <c r="B6" s="546"/>
      <c r="C6" s="545"/>
      <c r="P6" s="574"/>
      <c r="Q6" s="573" t="s">
        <v>701</v>
      </c>
      <c r="R6" s="573"/>
    </row>
    <row r="7" spans="1:20" ht="30" customHeight="1" x14ac:dyDescent="0.25">
      <c r="A7" s="546"/>
      <c r="B7" s="546"/>
      <c r="C7" s="571"/>
      <c r="D7" s="571" t="s">
        <v>714</v>
      </c>
      <c r="E7" s="571" t="s">
        <v>713</v>
      </c>
      <c r="F7" s="571" t="s">
        <v>712</v>
      </c>
      <c r="G7" s="571" t="s">
        <v>711</v>
      </c>
      <c r="H7" s="571" t="s">
        <v>710</v>
      </c>
      <c r="I7" s="571" t="s">
        <v>709</v>
      </c>
      <c r="J7" s="571" t="s">
        <v>708</v>
      </c>
      <c r="K7" s="571" t="s">
        <v>707</v>
      </c>
      <c r="L7" s="571" t="s">
        <v>706</v>
      </c>
      <c r="M7" s="571" t="s">
        <v>705</v>
      </c>
      <c r="N7" s="571" t="s">
        <v>704</v>
      </c>
      <c r="O7" s="571" t="s">
        <v>703</v>
      </c>
      <c r="P7" s="572"/>
      <c r="Q7" s="571" t="s">
        <v>489</v>
      </c>
      <c r="R7" s="673"/>
      <c r="S7" s="640" t="s">
        <v>226</v>
      </c>
    </row>
    <row r="8" spans="1:20" ht="15" x14ac:dyDescent="0.25">
      <c r="A8" s="546" t="s">
        <v>1345</v>
      </c>
      <c r="B8" s="546"/>
      <c r="C8" s="581" t="s">
        <v>431</v>
      </c>
      <c r="D8" s="595">
        <f>IFERROR(VLOOKUP($A8,Race_2024_Seasonal!A:W,6,FALSE),0)+IFERROR(VLOOKUP($A8,Race_2024_Seasonal!A:W,7,FALSE),0)</f>
        <v>7398631.3099999996</v>
      </c>
      <c r="E8" s="595">
        <f>IFERROR(VLOOKUP($A8,Race_2024_Seasonal!$A:$W,8,FALSE),0)+D8</f>
        <v>7385533.5529999994</v>
      </c>
      <c r="F8" s="595">
        <f>IFERROR(VLOOKUP($A8,Race_2024_Seasonal!$A:$W,9,FALSE),0)+E8</f>
        <v>6621285.5919999992</v>
      </c>
      <c r="G8" s="595">
        <f>IFERROR(VLOOKUP($A8,Race_2024_Seasonal!$A:$W,10,FALSE),0)+F8</f>
        <v>6223497.527999999</v>
      </c>
      <c r="H8" s="595">
        <f>IFERROR(VLOOKUP($A8,Race_2024_Seasonal!$A:$W,11,FALSE),0)+G8</f>
        <v>5994506.9299999988</v>
      </c>
      <c r="I8" s="595">
        <f>IFERROR(VLOOKUP($A8,Race_2024_Seasonal!$A:$W,12,FALSE),0)+H8</f>
        <v>9275798.4519999996</v>
      </c>
      <c r="J8" s="595">
        <f>IFERROR(VLOOKUP($A8,Race_2024_Seasonal!$A:$W,13,FALSE),0)+I8</f>
        <v>9755986.625</v>
      </c>
      <c r="K8" s="595">
        <f>IFERROR(VLOOKUP($A8,Race_2024_Seasonal!$A:$W,14,FALSE),0)+J8</f>
        <v>7995272.2489999998</v>
      </c>
      <c r="L8" s="595">
        <f>IFERROR(VLOOKUP($A8,Race_2024_Seasonal!$A:$W,15,FALSE),0)+K8</f>
        <v>7483391.8470000001</v>
      </c>
      <c r="M8" s="595">
        <f>IFERROR(VLOOKUP($A8,Race_2024_Seasonal!$A:$W,16,FALSE),0)+L8</f>
        <v>8259502.7920000004</v>
      </c>
      <c r="N8" s="595">
        <f>IFERROR(VLOOKUP($A8,Race_2024_Seasonal!$A:$W,17,FALSE),0)+M8</f>
        <v>8234765.8859999999</v>
      </c>
      <c r="O8" s="580">
        <f>IFERROR(VLOOKUP($A8,Race_2024_Seasonal!$A:$W,18,FALSE),0)+N8</f>
        <v>8729162.5140000004</v>
      </c>
      <c r="Q8" s="594">
        <f>O8</f>
        <v>8729162.5140000004</v>
      </c>
      <c r="R8" s="674"/>
      <c r="S8" s="641">
        <f>Q8-KeyData!H8</f>
        <v>0</v>
      </c>
      <c r="T8" s="546"/>
    </row>
    <row r="9" spans="1:20" ht="15" x14ac:dyDescent="0.25">
      <c r="A9" s="546" t="s">
        <v>1346</v>
      </c>
      <c r="B9" s="546"/>
      <c r="C9" s="579" t="s">
        <v>731</v>
      </c>
      <c r="D9" s="578">
        <f>IFERROR(VLOOKUP($A9,Race_2024_Seasonal!A:W,6,FALSE),0)+IFERROR(VLOOKUP($A9,Race_2024_Seasonal!A:W,7,FALSE),0)</f>
        <v>4952885.5649999995</v>
      </c>
      <c r="E9" s="578">
        <f>IFERROR(VLOOKUP($A9,Race_2024_Seasonal!$A:$W,8,FALSE),0)+D9</f>
        <v>4149761.6089999992</v>
      </c>
      <c r="F9" s="578">
        <f>IFERROR(VLOOKUP($A9,Race_2024_Seasonal!$A:$W,9,FALSE),0)+E9</f>
        <v>3659703.1899999995</v>
      </c>
      <c r="G9" s="578">
        <f>IFERROR(VLOOKUP($A9,Race_2024_Seasonal!$A:$W,10,FALSE),0)+F9</f>
        <v>3758092.1019999995</v>
      </c>
      <c r="H9" s="578">
        <f>IFERROR(VLOOKUP($A9,Race_2024_Seasonal!$A:$W,11,FALSE),0)+G9</f>
        <v>3476245.6009999993</v>
      </c>
      <c r="I9" s="578">
        <f>IFERROR(VLOOKUP($A9,Race_2024_Seasonal!$A:$W,12,FALSE),0)+H9</f>
        <v>3697769.2229999993</v>
      </c>
      <c r="J9" s="578">
        <f>IFERROR(VLOOKUP($A9,Race_2024_Seasonal!$A:$W,13,FALSE),0)+I9</f>
        <v>3806471.3719999995</v>
      </c>
      <c r="K9" s="578">
        <f>IFERROR(VLOOKUP($A9,Race_2024_Seasonal!$A:$W,14,FALSE),0)+J9</f>
        <v>3067126.2839999995</v>
      </c>
      <c r="L9" s="578">
        <f>IFERROR(VLOOKUP($A9,Race_2024_Seasonal!$A:$W,15,FALSE),0)+K9</f>
        <v>3223513.6419999995</v>
      </c>
      <c r="M9" s="578">
        <f>IFERROR(VLOOKUP($A9,Race_2024_Seasonal!$A:$W,16,FALSE),0)+L9</f>
        <v>3389736.1409999994</v>
      </c>
      <c r="N9" s="578">
        <f>IFERROR(VLOOKUP($A9,Race_2024_Seasonal!$A:$W,17,FALSE),0)+M9</f>
        <v>2734951.0139999995</v>
      </c>
      <c r="O9" s="589">
        <f>IFERROR(VLOOKUP($A9,Race_2024_Seasonal!$A:$W,18,FALSE),0)+N9</f>
        <v>3066825.8629999994</v>
      </c>
      <c r="Q9" s="587">
        <f t="shared" ref="Q9:Q12" si="0">O9</f>
        <v>3066825.8629999994</v>
      </c>
      <c r="R9" s="671"/>
      <c r="S9" s="641">
        <f>Q9-KeyData!H9</f>
        <v>0</v>
      </c>
      <c r="T9" s="546"/>
    </row>
    <row r="10" spans="1:20" ht="15" x14ac:dyDescent="0.25">
      <c r="A10" s="546" t="s">
        <v>1347</v>
      </c>
      <c r="B10" s="546"/>
      <c r="C10" s="579" t="s">
        <v>730</v>
      </c>
      <c r="D10" s="578">
        <f>IFERROR(VLOOKUP($A10,Race_2024_Seasonal!A:W,6,FALSE),0)+IFERROR(VLOOKUP($A10,Race_2024_Seasonal!A:W,7,FALSE),0)</f>
        <v>1212078.2819999999</v>
      </c>
      <c r="E10" s="578">
        <f>IFERROR(VLOOKUP($A10,Race_2024_Seasonal!$A:$W,8,FALSE),0)+D10</f>
        <v>1603604.5069999998</v>
      </c>
      <c r="F10" s="578">
        <f>IFERROR(VLOOKUP($A10,Race_2024_Seasonal!$A:$W,9,FALSE),0)+E10</f>
        <v>1467719.9039999996</v>
      </c>
      <c r="G10" s="578">
        <f>IFERROR(VLOOKUP($A10,Race_2024_Seasonal!$A:$W,10,FALSE),0)+F10</f>
        <v>1221821.3519999997</v>
      </c>
      <c r="H10" s="578">
        <f>IFERROR(VLOOKUP($A10,Race_2024_Seasonal!$A:$W,11,FALSE),0)+G10</f>
        <v>1248016.0179999997</v>
      </c>
      <c r="I10" s="578">
        <f>IFERROR(VLOOKUP($A10,Race_2024_Seasonal!$A:$W,12,FALSE),0)+H10</f>
        <v>4105067.9509999999</v>
      </c>
      <c r="J10" s="578">
        <f>IFERROR(VLOOKUP($A10,Race_2024_Seasonal!$A:$W,13,FALSE),0)+I10</f>
        <v>4246794.3559999997</v>
      </c>
      <c r="K10" s="578">
        <f>IFERROR(VLOOKUP($A10,Race_2024_Seasonal!$A:$W,14,FALSE),0)+J10</f>
        <v>3627479.0289999996</v>
      </c>
      <c r="L10" s="578">
        <f>IFERROR(VLOOKUP($A10,Race_2024_Seasonal!$A:$W,15,FALSE),0)+K10</f>
        <v>3126986.4849999994</v>
      </c>
      <c r="M10" s="578">
        <f>IFERROR(VLOOKUP($A10,Race_2024_Seasonal!$A:$W,16,FALSE),0)+L10</f>
        <v>3598547.0359999994</v>
      </c>
      <c r="N10" s="578">
        <f>IFERROR(VLOOKUP($A10,Race_2024_Seasonal!$A:$W,17,FALSE),0)+M10</f>
        <v>3910790.3539999994</v>
      </c>
      <c r="O10" s="589">
        <f>IFERROR(VLOOKUP($A10,Race_2024_Seasonal!$A:$W,18,FALSE),0)+N10</f>
        <v>4391117.0359999994</v>
      </c>
      <c r="Q10" s="587">
        <f t="shared" si="0"/>
        <v>4391117.0359999994</v>
      </c>
      <c r="R10" s="671"/>
      <c r="S10" s="641">
        <f>Q10-KeyData!H10</f>
        <v>0</v>
      </c>
      <c r="T10" s="546"/>
    </row>
    <row r="11" spans="1:20" ht="15" x14ac:dyDescent="0.25">
      <c r="A11" s="546" t="s">
        <v>1348</v>
      </c>
      <c r="B11" s="546"/>
      <c r="C11" s="579" t="s">
        <v>729</v>
      </c>
      <c r="D11" s="578">
        <f>IFERROR(VLOOKUP($A11,Race_2024_Seasonal!A:W,6,FALSE),0)+IFERROR(VLOOKUP($A11,Race_2024_Seasonal!A:W,7,FALSE),0)</f>
        <v>0</v>
      </c>
      <c r="E11" s="578">
        <f>IFERROR(VLOOKUP($A11,Race_2024_Seasonal!$A:$W,8,FALSE),0)+D11</f>
        <v>0</v>
      </c>
      <c r="F11" s="578">
        <f>IFERROR(VLOOKUP($A11,Race_2024_Seasonal!$A:$W,9,FALSE),0)+E11</f>
        <v>0</v>
      </c>
      <c r="G11" s="578">
        <f>IFERROR(VLOOKUP($A11,Race_2024_Seasonal!$A:$W,10,FALSE),0)+F11</f>
        <v>0</v>
      </c>
      <c r="H11" s="578">
        <f>IFERROR(VLOOKUP($A11,Race_2024_Seasonal!$A:$W,11,FALSE),0)+G11</f>
        <v>0</v>
      </c>
      <c r="I11" s="578">
        <f>IFERROR(VLOOKUP($A11,Race_2024_Seasonal!$A:$W,12,FALSE),0)+H11</f>
        <v>0</v>
      </c>
      <c r="J11" s="578">
        <f>IFERROR(VLOOKUP($A11,Race_2024_Seasonal!$A:$W,13,FALSE),0)+I11</f>
        <v>0</v>
      </c>
      <c r="K11" s="578">
        <f>IFERROR(VLOOKUP($A11,Race_2024_Seasonal!$A:$W,14,FALSE),0)+J11</f>
        <v>0</v>
      </c>
      <c r="L11" s="578">
        <f>IFERROR(VLOOKUP($A11,Race_2024_Seasonal!$A:$W,15,FALSE),0)+K11</f>
        <v>0</v>
      </c>
      <c r="M11" s="578">
        <f>IFERROR(VLOOKUP($A11,Race_2024_Seasonal!$A:$W,16,FALSE),0)+L11</f>
        <v>0</v>
      </c>
      <c r="N11" s="578">
        <f>IFERROR(VLOOKUP($A11,Race_2024_Seasonal!$A:$W,17,FALSE),0)+M11</f>
        <v>0</v>
      </c>
      <c r="O11" s="589">
        <f>IFERROR(VLOOKUP($A11,Race_2024_Seasonal!$A:$W,18,FALSE),0)+N11</f>
        <v>0</v>
      </c>
      <c r="Q11" s="587">
        <f t="shared" si="0"/>
        <v>0</v>
      </c>
      <c r="R11" s="671"/>
      <c r="S11" s="641">
        <f>Q11-KeyData!H11</f>
        <v>0</v>
      </c>
      <c r="T11" s="546"/>
    </row>
    <row r="12" spans="1:20" ht="15" x14ac:dyDescent="0.25">
      <c r="A12" s="546" t="s">
        <v>1349</v>
      </c>
      <c r="B12" s="546"/>
      <c r="C12" s="608" t="s">
        <v>728</v>
      </c>
      <c r="D12" s="585">
        <f>IFERROR(VLOOKUP($A12,Race_2024_Seasonal!A:W,6,FALSE),0)+IFERROR(VLOOKUP($A12,Race_2024_Seasonal!A:W,7,FALSE),0)</f>
        <v>1233667.463</v>
      </c>
      <c r="E12" s="585">
        <f>IFERROR(VLOOKUP($A12,Race_2024_Seasonal!$A:$W,8,FALSE),0)+D12</f>
        <v>1632167.4369999999</v>
      </c>
      <c r="F12" s="585">
        <f>IFERROR(VLOOKUP($A12,Race_2024_Seasonal!$A:$W,9,FALSE),0)+E12</f>
        <v>1493862.4979999999</v>
      </c>
      <c r="G12" s="585">
        <f>IFERROR(VLOOKUP($A12,Race_2024_Seasonal!$A:$W,10,FALSE),0)+F12</f>
        <v>1243584.074</v>
      </c>
      <c r="H12" s="585">
        <f>IFERROR(VLOOKUP($A12,Race_2024_Seasonal!$A:$W,11,FALSE),0)+G12</f>
        <v>1270245.311</v>
      </c>
      <c r="I12" s="585">
        <f>IFERROR(VLOOKUP($A12,Race_2024_Seasonal!$A:$W,12,FALSE),0)+H12</f>
        <v>1472961.2779999999</v>
      </c>
      <c r="J12" s="585">
        <f>IFERROR(VLOOKUP($A12,Race_2024_Seasonal!$A:$W,13,FALSE),0)+I12</f>
        <v>1702720.8969999999</v>
      </c>
      <c r="K12" s="585">
        <f>IFERROR(VLOOKUP($A12,Race_2024_Seasonal!$A:$W,14,FALSE),0)+J12</f>
        <v>1300666.9359999998</v>
      </c>
      <c r="L12" s="585">
        <f>IFERROR(VLOOKUP($A12,Race_2024_Seasonal!$A:$W,15,FALSE),0)+K12</f>
        <v>1132891.7199999997</v>
      </c>
      <c r="M12" s="585">
        <f>IFERROR(VLOOKUP($A12,Race_2024_Seasonal!$A:$W,16,FALSE),0)+L12</f>
        <v>1271219.6149999998</v>
      </c>
      <c r="N12" s="585">
        <f>IFERROR(VLOOKUP($A12,Race_2024_Seasonal!$A:$W,17,FALSE),0)+M12</f>
        <v>1589024.5179999997</v>
      </c>
      <c r="O12" s="584">
        <f>IFERROR(VLOOKUP($A12,Race_2024_Seasonal!$A:$W,18,FALSE),0)+N12</f>
        <v>1271219.6149999998</v>
      </c>
      <c r="Q12" s="583">
        <f t="shared" si="0"/>
        <v>1271219.6149999998</v>
      </c>
      <c r="R12" s="671"/>
      <c r="S12" s="641">
        <f>Q12-KeyData!H12</f>
        <v>0</v>
      </c>
      <c r="T12" s="607"/>
    </row>
    <row r="13" spans="1:20" ht="15" x14ac:dyDescent="0.25">
      <c r="A13" s="546"/>
      <c r="B13" s="546"/>
      <c r="C13" s="554"/>
      <c r="D13" s="554"/>
      <c r="E13" s="554"/>
      <c r="F13" s="554"/>
      <c r="G13" s="554"/>
      <c r="H13" s="554"/>
      <c r="I13" s="554"/>
      <c r="J13" s="554"/>
      <c r="K13" s="554"/>
      <c r="L13" s="554"/>
      <c r="M13" s="554"/>
      <c r="N13" s="554"/>
      <c r="O13" s="554"/>
      <c r="Q13" s="554"/>
      <c r="R13" s="554"/>
      <c r="S13" s="641">
        <f>Q13-KeyData!H13</f>
        <v>0</v>
      </c>
    </row>
    <row r="14" spans="1:20" ht="15" x14ac:dyDescent="0.25">
      <c r="A14" s="546" t="s">
        <v>1350</v>
      </c>
      <c r="B14" s="546"/>
      <c r="C14" s="581" t="s">
        <v>727</v>
      </c>
      <c r="D14" s="606">
        <f>IFERROR(VLOOKUP($A14,Race_2024_Seasonal!A:W,6,FALSE),0)+IFERROR(VLOOKUP($A14,Race_2024_Seasonal!A:W,7,FALSE),0)</f>
        <v>26814185.521000002</v>
      </c>
      <c r="E14" s="606">
        <f>IFERROR(VLOOKUP($A14,Race_2024_Seasonal!$A:$W,8,FALSE),0)+D14</f>
        <v>25064132.458000001</v>
      </c>
      <c r="F14" s="606">
        <f>IFERROR(VLOOKUP($A14,Race_2024_Seasonal!$A:$W,9,FALSE),0)+E14</f>
        <v>24485814.397</v>
      </c>
      <c r="G14" s="606">
        <f>IFERROR(VLOOKUP($A14,Race_2024_Seasonal!$A:$W,10,FALSE),0)+F14</f>
        <v>25068031.396000002</v>
      </c>
      <c r="H14" s="606">
        <f>IFERROR(VLOOKUP($A14,Race_2024_Seasonal!$A:$W,11,FALSE),0)+G14</f>
        <v>25596487.470000003</v>
      </c>
      <c r="I14" s="606">
        <f>IFERROR(VLOOKUP($A14,Race_2024_Seasonal!$A:$W,12,FALSE),0)+H14</f>
        <v>24851978.000000004</v>
      </c>
      <c r="J14" s="606">
        <f>IFERROR(VLOOKUP($A14,Race_2024_Seasonal!$A:$W,13,FALSE),0)+I14</f>
        <v>26249212.011000004</v>
      </c>
      <c r="K14" s="606">
        <f>IFERROR(VLOOKUP($A14,Race_2024_Seasonal!$A:$W,14,FALSE),0)+J14</f>
        <v>23307044.398000002</v>
      </c>
      <c r="L14" s="606">
        <f>IFERROR(VLOOKUP($A14,Race_2024_Seasonal!$A:$W,15,FALSE),0)+K14</f>
        <v>22485524.037</v>
      </c>
      <c r="M14" s="606">
        <f>IFERROR(VLOOKUP($A14,Race_2024_Seasonal!$A:$W,16,FALSE),0)+L14</f>
        <v>24764948.75</v>
      </c>
      <c r="N14" s="606">
        <f>IFERROR(VLOOKUP($A14,Race_2024_Seasonal!$A:$W,17,FALSE),0)+M14</f>
        <v>26021312.344999999</v>
      </c>
      <c r="O14" s="605">
        <f>IFERROR(VLOOKUP($A14,Race_2024_Seasonal!$A:$W,18,FALSE),0)+N14</f>
        <v>25830103.728</v>
      </c>
      <c r="Q14" s="604">
        <f t="shared" ref="Q14:Q15" si="1">O14</f>
        <v>25830103.728</v>
      </c>
      <c r="R14" s="671"/>
      <c r="S14" s="641">
        <f>Q14-KeyData!H14</f>
        <v>0</v>
      </c>
    </row>
    <row r="15" spans="1:20" ht="15" outlineLevel="1" x14ac:dyDescent="0.25">
      <c r="A15" s="546"/>
      <c r="B15" s="546"/>
      <c r="C15" s="631"/>
      <c r="D15" s="632"/>
      <c r="E15" s="632"/>
      <c r="F15" s="632"/>
      <c r="G15" s="632"/>
      <c r="H15" s="632"/>
      <c r="I15" s="632"/>
      <c r="J15" s="632"/>
      <c r="K15" s="632"/>
      <c r="L15" s="632"/>
      <c r="M15" s="632"/>
      <c r="N15" s="632"/>
      <c r="O15" s="633"/>
      <c r="Q15" s="639">
        <f t="shared" si="1"/>
        <v>0</v>
      </c>
      <c r="R15" s="671"/>
      <c r="S15" s="641">
        <f>Q15-KeyData!H15</f>
        <v>0</v>
      </c>
    </row>
    <row r="16" spans="1:20" ht="15" outlineLevel="1" x14ac:dyDescent="0.25">
      <c r="A16" s="546"/>
      <c r="B16" s="546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Q16" s="554"/>
      <c r="R16" s="554"/>
      <c r="S16" s="641">
        <f>Q16-KeyData!H16</f>
        <v>0</v>
      </c>
    </row>
    <row r="17" spans="1:19" ht="15" outlineLevel="1" x14ac:dyDescent="0.25">
      <c r="A17" s="546" t="s">
        <v>1351</v>
      </c>
      <c r="B17" s="546"/>
      <c r="C17" s="581" t="s">
        <v>726</v>
      </c>
      <c r="D17" s="606">
        <f>IFERROR(VLOOKUP($A17,Race_2024_Seasonal!A:W,6,FALSE),0)+IFERROR(VLOOKUP($A17,Race_2024_Seasonal!A:W,7,FALSE),0)</f>
        <v>35380479.652999997</v>
      </c>
      <c r="E17" s="606">
        <f>IFERROR(VLOOKUP($A17,Race_2024_Seasonal!$A:$W,8,FALSE),0)+D17</f>
        <v>34582077.781999998</v>
      </c>
      <c r="F17" s="606">
        <f>IFERROR(VLOOKUP($A17,Race_2024_Seasonal!$A:$W,9,FALSE),0)+E17</f>
        <v>35969220.522</v>
      </c>
      <c r="G17" s="606">
        <f>IFERROR(VLOOKUP($A17,Race_2024_Seasonal!$A:$W,10,FALSE),0)+F17</f>
        <v>34946682.023999996</v>
      </c>
      <c r="H17" s="606">
        <f>IFERROR(VLOOKUP($A17,Race_2024_Seasonal!$A:$W,11,FALSE),0)+G17</f>
        <v>34184017.312999994</v>
      </c>
      <c r="I17" s="606">
        <f>IFERROR(VLOOKUP($A17,Race_2024_Seasonal!$A:$W,12,FALSE),0)+H17</f>
        <v>33565725.017999992</v>
      </c>
      <c r="J17" s="606">
        <f>IFERROR(VLOOKUP($A17,Race_2024_Seasonal!$A:$W,13,FALSE),0)+I17</f>
        <v>34318571.850999989</v>
      </c>
      <c r="K17" s="606">
        <f>IFERROR(VLOOKUP($A17,Race_2024_Seasonal!$A:$W,14,FALSE),0)+J17</f>
        <v>33508292.344999988</v>
      </c>
      <c r="L17" s="606">
        <f>IFERROR(VLOOKUP($A17,Race_2024_Seasonal!$A:$W,15,FALSE),0)+K17</f>
        <v>31862027.273999989</v>
      </c>
      <c r="M17" s="606">
        <f>IFERROR(VLOOKUP($A17,Race_2024_Seasonal!$A:$W,16,FALSE),0)+L17</f>
        <v>33981781.205999985</v>
      </c>
      <c r="N17" s="606">
        <f>IFERROR(VLOOKUP($A17,Race_2024_Seasonal!$A:$W,17,FALSE),0)+M17</f>
        <v>35547423.064999983</v>
      </c>
      <c r="O17" s="605">
        <f>IFERROR(VLOOKUP($A17,Race_2024_Seasonal!$A:$W,18,FALSE),0)+N17</f>
        <v>34732766.990999982</v>
      </c>
      <c r="Q17" s="604">
        <f t="shared" ref="Q17:Q19" si="2">O17</f>
        <v>34732766.990999982</v>
      </c>
      <c r="R17" s="671"/>
      <c r="S17" s="641">
        <f>Q17-KeyData!H17</f>
        <v>0</v>
      </c>
    </row>
    <row r="18" spans="1:19" ht="15" x14ac:dyDescent="0.25">
      <c r="A18" s="546"/>
      <c r="B18" s="546"/>
      <c r="C18" s="634"/>
      <c r="D18" s="635"/>
      <c r="E18" s="635"/>
      <c r="F18" s="635"/>
      <c r="G18" s="635"/>
      <c r="H18" s="635"/>
      <c r="I18" s="635"/>
      <c r="J18" s="635"/>
      <c r="K18" s="635"/>
      <c r="L18" s="635"/>
      <c r="M18" s="635"/>
      <c r="N18" s="635"/>
      <c r="O18" s="636"/>
      <c r="Q18" s="638">
        <f t="shared" si="2"/>
        <v>0</v>
      </c>
      <c r="R18" s="671"/>
      <c r="S18" s="641">
        <f>Q18-KeyData!H18</f>
        <v>0</v>
      </c>
    </row>
    <row r="19" spans="1:19" ht="15" x14ac:dyDescent="0.25">
      <c r="A19" s="546"/>
      <c r="B19" s="546"/>
      <c r="C19" s="603" t="s">
        <v>422</v>
      </c>
      <c r="D19" s="602">
        <f>D8+D14-D17</f>
        <v>-1167662.8219999969</v>
      </c>
      <c r="E19" s="602">
        <f t="shared" ref="E19:O19" si="3">E8+E14-E17</f>
        <v>-2132411.7709999979</v>
      </c>
      <c r="F19" s="602">
        <f t="shared" si="3"/>
        <v>-4862120.5329999998</v>
      </c>
      <c r="G19" s="602">
        <f t="shared" si="3"/>
        <v>-3655153.099999994</v>
      </c>
      <c r="H19" s="602">
        <f t="shared" si="3"/>
        <v>-2593022.9129999913</v>
      </c>
      <c r="I19" s="602">
        <f t="shared" si="3"/>
        <v>562051.43400001526</v>
      </c>
      <c r="J19" s="602">
        <f t="shared" si="3"/>
        <v>1686626.7850000188</v>
      </c>
      <c r="K19" s="602">
        <f t="shared" si="3"/>
        <v>-2205975.6979999878</v>
      </c>
      <c r="L19" s="602">
        <f t="shared" si="3"/>
        <v>-1893111.3899999894</v>
      </c>
      <c r="M19" s="602">
        <f t="shared" si="3"/>
        <v>-957329.6639999859</v>
      </c>
      <c r="N19" s="602">
        <f t="shared" si="3"/>
        <v>-1291344.833999984</v>
      </c>
      <c r="O19" s="602">
        <f t="shared" si="3"/>
        <v>-173500.74899998307</v>
      </c>
      <c r="Q19" s="599">
        <f t="shared" si="2"/>
        <v>-173500.74899998307</v>
      </c>
      <c r="R19" s="671"/>
      <c r="S19" s="641">
        <f>Q19-KeyData!H19</f>
        <v>1.4901161193847656E-8</v>
      </c>
    </row>
    <row r="20" spans="1:19" ht="15" x14ac:dyDescent="0.25">
      <c r="A20" s="546"/>
      <c r="B20" s="546"/>
      <c r="C20" s="592"/>
      <c r="D20" s="592"/>
      <c r="E20" s="592"/>
      <c r="F20" s="592"/>
      <c r="G20" s="592"/>
      <c r="H20" s="592"/>
      <c r="I20" s="592"/>
      <c r="J20" s="592"/>
      <c r="K20" s="592"/>
      <c r="L20" s="592"/>
      <c r="M20" s="592"/>
      <c r="N20" s="592"/>
      <c r="O20" s="592"/>
      <c r="Q20" s="592"/>
      <c r="R20" s="592"/>
      <c r="S20" s="641">
        <f>Q20-KeyData!H20</f>
        <v>0</v>
      </c>
    </row>
    <row r="21" spans="1:19" ht="15" outlineLevel="1" x14ac:dyDescent="0.25">
      <c r="A21" s="546"/>
      <c r="B21" s="546"/>
      <c r="C21" s="581" t="s">
        <v>724</v>
      </c>
      <c r="D21" s="595">
        <f t="shared" ref="D21:O21" si="4">SUM(D22:D23)</f>
        <v>144</v>
      </c>
      <c r="E21" s="595">
        <f t="shared" si="4"/>
        <v>144</v>
      </c>
      <c r="F21" s="595">
        <f t="shared" si="4"/>
        <v>144</v>
      </c>
      <c r="G21" s="595">
        <f t="shared" si="4"/>
        <v>144</v>
      </c>
      <c r="H21" s="595">
        <f t="shared" si="4"/>
        <v>144</v>
      </c>
      <c r="I21" s="595">
        <f t="shared" si="4"/>
        <v>144</v>
      </c>
      <c r="J21" s="595">
        <f t="shared" si="4"/>
        <v>144</v>
      </c>
      <c r="K21" s="595">
        <f t="shared" si="4"/>
        <v>144</v>
      </c>
      <c r="L21" s="595">
        <f t="shared" si="4"/>
        <v>144</v>
      </c>
      <c r="M21" s="595">
        <f t="shared" si="4"/>
        <v>144</v>
      </c>
      <c r="N21" s="595">
        <f t="shared" si="4"/>
        <v>144</v>
      </c>
      <c r="O21" s="580">
        <f t="shared" si="4"/>
        <v>144</v>
      </c>
      <c r="Q21" s="594">
        <f>O21</f>
        <v>144</v>
      </c>
      <c r="R21" s="674"/>
      <c r="S21" s="641">
        <f>Q21-KeyData!H21</f>
        <v>0</v>
      </c>
    </row>
    <row r="22" spans="1:19" ht="15" outlineLevel="1" x14ac:dyDescent="0.25">
      <c r="A22" s="544" t="s">
        <v>1352</v>
      </c>
      <c r="C22" s="591" t="s">
        <v>723</v>
      </c>
      <c r="D22" s="578">
        <f>IFERROR(VLOOKUP($A22,Race_2024_Seasonal!$A:$W,7,FALSE),0)</f>
        <v>107</v>
      </c>
      <c r="E22" s="578">
        <f>IFERROR(VLOOKUP($A22,Race_2024_Seasonal!$A:$W,7,FALSE),0)</f>
        <v>107</v>
      </c>
      <c r="F22" s="578">
        <f>IFERROR(VLOOKUP($A22,Race_2024_Seasonal!$A:$W,7,FALSE),0)</f>
        <v>107</v>
      </c>
      <c r="G22" s="578">
        <f>IFERROR(VLOOKUP($A22,Race_2024_Seasonal!$A:$W,7,FALSE),0)</f>
        <v>107</v>
      </c>
      <c r="H22" s="578">
        <f>IFERROR(VLOOKUP($A22,Race_2024_Seasonal!$A:$W,7,FALSE),0)</f>
        <v>107</v>
      </c>
      <c r="I22" s="578">
        <f>IFERROR(VLOOKUP($A22,Race_2024_Seasonal!$A:$W,7,FALSE),0)</f>
        <v>107</v>
      </c>
      <c r="J22" s="578">
        <f>IFERROR(VLOOKUP($A22,Race_2024_Seasonal!$A:$W,7,FALSE),0)</f>
        <v>107</v>
      </c>
      <c r="K22" s="578">
        <f>IFERROR(VLOOKUP($A22,Race_2024_Seasonal!$A:$W,7,FALSE),0)</f>
        <v>107</v>
      </c>
      <c r="L22" s="578">
        <f>IFERROR(VLOOKUP($A22,Race_2024_Seasonal!$A:$W,7,FALSE),0)</f>
        <v>107</v>
      </c>
      <c r="M22" s="578">
        <f>IFERROR(VLOOKUP($A22,Race_2024_Seasonal!$A:$W,7,FALSE),0)</f>
        <v>107</v>
      </c>
      <c r="N22" s="578">
        <f>IFERROR(VLOOKUP($A22,Race_2024_Seasonal!$A:$W,7,FALSE),0)</f>
        <v>107</v>
      </c>
      <c r="O22" s="589">
        <f>IFERROR(VLOOKUP($A22,Race_2024_Seasonal!$A:$W,7,FALSE),0)</f>
        <v>107</v>
      </c>
      <c r="Q22" s="587">
        <f t="shared" ref="Q22:Q30" si="5">O22</f>
        <v>107</v>
      </c>
      <c r="R22" s="671"/>
      <c r="S22" s="641">
        <f>Q22-KeyData!H22</f>
        <v>0</v>
      </c>
    </row>
    <row r="23" spans="1:19" ht="15" outlineLevel="1" x14ac:dyDescent="0.25">
      <c r="A23" s="546" t="s">
        <v>1353</v>
      </c>
      <c r="B23" s="546"/>
      <c r="C23" s="591" t="s">
        <v>722</v>
      </c>
      <c r="D23" s="578">
        <f>IFERROR(VLOOKUP($A23,Race_2024_Seasonal!$A:$W,7,FALSE),0)</f>
        <v>37</v>
      </c>
      <c r="E23" s="578">
        <f>IFERROR(VLOOKUP($A23,Race_2024_Seasonal!$A:$W,7,FALSE),0)</f>
        <v>37</v>
      </c>
      <c r="F23" s="578">
        <f>IFERROR(VLOOKUP($A23,Race_2024_Seasonal!$A:$W,7,FALSE),0)</f>
        <v>37</v>
      </c>
      <c r="G23" s="578">
        <f>IFERROR(VLOOKUP($A23,Race_2024_Seasonal!$A:$W,7,FALSE),0)</f>
        <v>37</v>
      </c>
      <c r="H23" s="578">
        <f>IFERROR(VLOOKUP($A23,Race_2024_Seasonal!$A:$W,7,FALSE),0)</f>
        <v>37</v>
      </c>
      <c r="I23" s="578">
        <f>IFERROR(VLOOKUP($A23,Race_2024_Seasonal!$A:$W,7,FALSE),0)</f>
        <v>37</v>
      </c>
      <c r="J23" s="578">
        <f>IFERROR(VLOOKUP($A23,Race_2024_Seasonal!$A:$W,7,FALSE),0)</f>
        <v>37</v>
      </c>
      <c r="K23" s="578">
        <f>IFERROR(VLOOKUP($A23,Race_2024_Seasonal!$A:$W,7,FALSE),0)</f>
        <v>37</v>
      </c>
      <c r="L23" s="578">
        <f>IFERROR(VLOOKUP($A23,Race_2024_Seasonal!$A:$W,7,FALSE),0)</f>
        <v>37</v>
      </c>
      <c r="M23" s="578">
        <f>IFERROR(VLOOKUP($A23,Race_2024_Seasonal!$A:$W,7,FALSE),0)</f>
        <v>37</v>
      </c>
      <c r="N23" s="578">
        <f>IFERROR(VLOOKUP($A23,Race_2024_Seasonal!$A:$W,7,FALSE),0)</f>
        <v>37</v>
      </c>
      <c r="O23" s="589">
        <f>IFERROR(VLOOKUP($A23,Race_2024_Seasonal!$A:$W,7,FALSE),0)</f>
        <v>37</v>
      </c>
      <c r="Q23" s="587">
        <f t="shared" si="5"/>
        <v>37</v>
      </c>
      <c r="R23" s="671"/>
      <c r="S23" s="641">
        <f>Q23-KeyData!H23</f>
        <v>0</v>
      </c>
    </row>
    <row r="24" spans="1:19" ht="15" x14ac:dyDescent="0.25">
      <c r="A24" s="546" t="s">
        <v>1354</v>
      </c>
      <c r="B24" s="546"/>
      <c r="C24" s="591" t="s">
        <v>721</v>
      </c>
      <c r="D24" s="578">
        <f>IFERROR(VLOOKUP($A24,Race_2024_Seasonal!$A:$W,7,FALSE),0)</f>
        <v>0</v>
      </c>
      <c r="E24" s="578">
        <f>IFERROR(VLOOKUP($A24,Race_2024_Seasonal!$A:$W,7,FALSE),0)</f>
        <v>0</v>
      </c>
      <c r="F24" s="578">
        <f>IFERROR(VLOOKUP($A24,Race_2024_Seasonal!$A:$W,7,FALSE),0)</f>
        <v>0</v>
      </c>
      <c r="G24" s="578">
        <f>IFERROR(VLOOKUP($A24,Race_2024_Seasonal!$A:$W,7,FALSE),0)</f>
        <v>0</v>
      </c>
      <c r="H24" s="578">
        <f>IFERROR(VLOOKUP($A24,Race_2024_Seasonal!$A:$W,7,FALSE),0)</f>
        <v>0</v>
      </c>
      <c r="I24" s="578">
        <f>IFERROR(VLOOKUP($A24,Race_2024_Seasonal!$A:$W,7,FALSE),0)</f>
        <v>0</v>
      </c>
      <c r="J24" s="578">
        <f>IFERROR(VLOOKUP($A24,Race_2024_Seasonal!$A:$W,7,FALSE),0)</f>
        <v>0</v>
      </c>
      <c r="K24" s="578">
        <f>IFERROR(VLOOKUP($A24,Race_2024_Seasonal!$A:$W,7,FALSE),0)</f>
        <v>0</v>
      </c>
      <c r="L24" s="578">
        <f>IFERROR(VLOOKUP($A24,Race_2024_Seasonal!$A:$W,7,FALSE),0)</f>
        <v>0</v>
      </c>
      <c r="M24" s="578">
        <f>IFERROR(VLOOKUP($A24,Race_2024_Seasonal!$A:$W,7,FALSE),0)</f>
        <v>0</v>
      </c>
      <c r="N24" s="578">
        <f>IFERROR(VLOOKUP($A24,Race_2024_Seasonal!$A:$W,7,FALSE),0)</f>
        <v>0</v>
      </c>
      <c r="O24" s="589">
        <f>IFERROR(VLOOKUP($A24,Race_2024_Seasonal!$A:$W,7,FALSE),0)</f>
        <v>0</v>
      </c>
      <c r="Q24" s="587">
        <f t="shared" si="5"/>
        <v>0</v>
      </c>
      <c r="R24" s="671"/>
      <c r="S24" s="641">
        <f>Q24-KeyData!H24</f>
        <v>0</v>
      </c>
    </row>
    <row r="25" spans="1:19" ht="15" x14ac:dyDescent="0.25">
      <c r="A25" s="546" t="s">
        <v>1355</v>
      </c>
      <c r="B25" s="546"/>
      <c r="C25" s="591" t="s">
        <v>720</v>
      </c>
      <c r="D25" s="578">
        <f>IFERROR(VLOOKUP($A25,Race_2024_Seasonal!$A:$W,7,FALSE),0)</f>
        <v>1</v>
      </c>
      <c r="E25" s="578">
        <f>IFERROR(VLOOKUP($A25,Race_2024_Seasonal!$A:$W,7,FALSE),0)</f>
        <v>1</v>
      </c>
      <c r="F25" s="578">
        <f>IFERROR(VLOOKUP($A25,Race_2024_Seasonal!$A:$W,7,FALSE),0)</f>
        <v>1</v>
      </c>
      <c r="G25" s="578">
        <f>IFERROR(VLOOKUP($A25,Race_2024_Seasonal!$A:$W,7,FALSE),0)</f>
        <v>1</v>
      </c>
      <c r="H25" s="578">
        <f>IFERROR(VLOOKUP($A25,Race_2024_Seasonal!$A:$W,7,FALSE),0)</f>
        <v>1</v>
      </c>
      <c r="I25" s="578">
        <f>IFERROR(VLOOKUP($A25,Race_2024_Seasonal!$A:$W,7,FALSE),0)</f>
        <v>1</v>
      </c>
      <c r="J25" s="578">
        <f>IFERROR(VLOOKUP($A25,Race_2024_Seasonal!$A:$W,7,FALSE),0)</f>
        <v>1</v>
      </c>
      <c r="K25" s="578">
        <f>IFERROR(VLOOKUP($A25,Race_2024_Seasonal!$A:$W,7,FALSE),0)</f>
        <v>1</v>
      </c>
      <c r="L25" s="578">
        <f>IFERROR(VLOOKUP($A25,Race_2024_Seasonal!$A:$W,7,FALSE),0)</f>
        <v>1</v>
      </c>
      <c r="M25" s="578">
        <f>IFERROR(VLOOKUP($A25,Race_2024_Seasonal!$A:$W,7,FALSE),0)</f>
        <v>1</v>
      </c>
      <c r="N25" s="578">
        <f>IFERROR(VLOOKUP($A25,Race_2024_Seasonal!$A:$W,7,FALSE),0)</f>
        <v>1</v>
      </c>
      <c r="O25" s="589">
        <f>IFERROR(VLOOKUP($A25,Race_2024_Seasonal!$A:$W,7,FALSE),0)</f>
        <v>1</v>
      </c>
      <c r="Q25" s="587">
        <f t="shared" si="5"/>
        <v>1</v>
      </c>
      <c r="R25" s="671"/>
      <c r="S25" s="641">
        <f>Q25-KeyData!H25</f>
        <v>0</v>
      </c>
    </row>
    <row r="26" spans="1:19" ht="15" x14ac:dyDescent="0.25">
      <c r="A26" s="546" t="s">
        <v>1356</v>
      </c>
      <c r="B26" s="546"/>
      <c r="C26" s="591" t="s">
        <v>719</v>
      </c>
      <c r="D26" s="578">
        <f>IFERROR(VLOOKUP($A26,Race_2024_Seasonal!$A:$W,7,FALSE),0)</f>
        <v>107</v>
      </c>
      <c r="E26" s="578">
        <f>IFERROR(VLOOKUP($A26,Race_2024_Seasonal!$A:$W,7,FALSE),0)</f>
        <v>107</v>
      </c>
      <c r="F26" s="578">
        <f>IFERROR(VLOOKUP($A26,Race_2024_Seasonal!$A:$W,7,FALSE),0)</f>
        <v>107</v>
      </c>
      <c r="G26" s="578">
        <f>IFERROR(VLOOKUP($A26,Race_2024_Seasonal!$A:$W,7,FALSE),0)</f>
        <v>107</v>
      </c>
      <c r="H26" s="578">
        <f>IFERROR(VLOOKUP($A26,Race_2024_Seasonal!$A:$W,7,FALSE),0)</f>
        <v>107</v>
      </c>
      <c r="I26" s="578">
        <f>IFERROR(VLOOKUP($A26,Race_2024_Seasonal!$A:$W,7,FALSE),0)</f>
        <v>107</v>
      </c>
      <c r="J26" s="578">
        <f>IFERROR(VLOOKUP($A26,Race_2024_Seasonal!$A:$W,7,FALSE),0)</f>
        <v>107</v>
      </c>
      <c r="K26" s="578">
        <f>IFERROR(VLOOKUP($A26,Race_2024_Seasonal!$A:$W,7,FALSE),0)</f>
        <v>107</v>
      </c>
      <c r="L26" s="578">
        <f>IFERROR(VLOOKUP($A26,Race_2024_Seasonal!$A:$W,7,FALSE),0)</f>
        <v>107</v>
      </c>
      <c r="M26" s="578">
        <f>IFERROR(VLOOKUP($A26,Race_2024_Seasonal!$A:$W,7,FALSE),0)</f>
        <v>107</v>
      </c>
      <c r="N26" s="578">
        <f>IFERROR(VLOOKUP($A26,Race_2024_Seasonal!$A:$W,7,FALSE),0)</f>
        <v>107</v>
      </c>
      <c r="O26" s="589">
        <f>IFERROR(VLOOKUP($A26,Race_2024_Seasonal!$A:$W,7,FALSE),0)</f>
        <v>107</v>
      </c>
      <c r="Q26" s="587">
        <f t="shared" si="5"/>
        <v>107</v>
      </c>
      <c r="R26" s="671"/>
      <c r="S26" s="641">
        <f>Q26-KeyData!H26</f>
        <v>0</v>
      </c>
    </row>
    <row r="27" spans="1:19" ht="15" x14ac:dyDescent="0.25">
      <c r="A27" s="546" t="s">
        <v>1357</v>
      </c>
      <c r="B27" s="546"/>
      <c r="C27" s="591" t="s">
        <v>718</v>
      </c>
      <c r="D27" s="578">
        <f>IFERROR(VLOOKUP($A27,Race_2024_Seasonal!$A:$W,7,FALSE),0)</f>
        <v>36</v>
      </c>
      <c r="E27" s="578">
        <f>IFERROR(VLOOKUP($A27,Race_2024_Seasonal!$A:$W,7,FALSE),0)</f>
        <v>36</v>
      </c>
      <c r="F27" s="578">
        <f>IFERROR(VLOOKUP($A27,Race_2024_Seasonal!$A:$W,7,FALSE),0)</f>
        <v>36</v>
      </c>
      <c r="G27" s="578">
        <f>IFERROR(VLOOKUP($A27,Race_2024_Seasonal!$A:$W,7,FALSE),0)</f>
        <v>36</v>
      </c>
      <c r="H27" s="578">
        <f>IFERROR(VLOOKUP($A27,Race_2024_Seasonal!$A:$W,7,FALSE),0)</f>
        <v>36</v>
      </c>
      <c r="I27" s="578">
        <f>IFERROR(VLOOKUP($A27,Race_2024_Seasonal!$A:$W,7,FALSE),0)</f>
        <v>36</v>
      </c>
      <c r="J27" s="578">
        <f>IFERROR(VLOOKUP($A27,Race_2024_Seasonal!$A:$W,7,FALSE),0)</f>
        <v>36</v>
      </c>
      <c r="K27" s="578">
        <f>IFERROR(VLOOKUP($A27,Race_2024_Seasonal!$A:$W,7,FALSE),0)</f>
        <v>36</v>
      </c>
      <c r="L27" s="578">
        <f>IFERROR(VLOOKUP($A27,Race_2024_Seasonal!$A:$W,7,FALSE),0)</f>
        <v>36</v>
      </c>
      <c r="M27" s="578">
        <f>IFERROR(VLOOKUP($A27,Race_2024_Seasonal!$A:$W,7,FALSE),0)</f>
        <v>36</v>
      </c>
      <c r="N27" s="578">
        <f>IFERROR(VLOOKUP($A27,Race_2024_Seasonal!$A:$W,7,FALSE),0)</f>
        <v>36</v>
      </c>
      <c r="O27" s="589">
        <f>IFERROR(VLOOKUP($A27,Race_2024_Seasonal!$A:$W,7,FALSE),0)</f>
        <v>36</v>
      </c>
      <c r="Q27" s="587">
        <f t="shared" si="5"/>
        <v>36</v>
      </c>
      <c r="R27" s="671"/>
      <c r="S27" s="641">
        <f>Q27-KeyData!H27</f>
        <v>0</v>
      </c>
    </row>
    <row r="28" spans="1:19" ht="15" x14ac:dyDescent="0.25">
      <c r="A28" s="546" t="s">
        <v>1358</v>
      </c>
      <c r="B28" s="546"/>
      <c r="C28" s="590" t="s">
        <v>717</v>
      </c>
      <c r="D28" s="578">
        <f>IFERROR(VLOOKUP($A28,Race_2024_Seasonal!$A:$W,7,FALSE),0)</f>
        <v>0</v>
      </c>
      <c r="E28" s="578">
        <f>IFERROR(VLOOKUP($A28,Race_2024_Seasonal!$A:$W,7,FALSE),0)</f>
        <v>0</v>
      </c>
      <c r="F28" s="578">
        <f>IFERROR(VLOOKUP($A28,Race_2024_Seasonal!$A:$W,7,FALSE),0)</f>
        <v>0</v>
      </c>
      <c r="G28" s="578">
        <f>IFERROR(VLOOKUP($A28,Race_2024_Seasonal!$A:$W,7,FALSE),0)</f>
        <v>0</v>
      </c>
      <c r="H28" s="578">
        <f>IFERROR(VLOOKUP($A28,Race_2024_Seasonal!$A:$W,7,FALSE),0)</f>
        <v>0</v>
      </c>
      <c r="I28" s="578">
        <f>IFERROR(VLOOKUP($A28,Race_2024_Seasonal!$A:$W,7,FALSE),0)</f>
        <v>0</v>
      </c>
      <c r="J28" s="578">
        <f>IFERROR(VLOOKUP($A28,Race_2024_Seasonal!$A:$W,7,FALSE),0)</f>
        <v>0</v>
      </c>
      <c r="K28" s="578">
        <f>IFERROR(VLOOKUP($A28,Race_2024_Seasonal!$A:$W,7,FALSE),0)</f>
        <v>0</v>
      </c>
      <c r="L28" s="578">
        <f>IFERROR(VLOOKUP($A28,Race_2024_Seasonal!$A:$W,7,FALSE),0)</f>
        <v>0</v>
      </c>
      <c r="M28" s="578">
        <f>IFERROR(VLOOKUP($A28,Race_2024_Seasonal!$A:$W,7,FALSE),0)</f>
        <v>0</v>
      </c>
      <c r="N28" s="578">
        <f>IFERROR(VLOOKUP($A28,Race_2024_Seasonal!$A:$W,7,FALSE),0)</f>
        <v>0</v>
      </c>
      <c r="O28" s="589">
        <f>IFERROR(VLOOKUP($A28,Race_2024_Seasonal!$A:$W,7,FALSE),0)</f>
        <v>0</v>
      </c>
      <c r="Q28" s="587">
        <f t="shared" si="5"/>
        <v>0</v>
      </c>
      <c r="R28" s="671"/>
      <c r="S28" s="641">
        <f>Q28-KeyData!H28</f>
        <v>0</v>
      </c>
    </row>
    <row r="29" spans="1:19" ht="15" x14ac:dyDescent="0.25">
      <c r="A29" s="546" t="s">
        <v>1359</v>
      </c>
      <c r="B29" s="546"/>
      <c r="C29" s="590" t="s">
        <v>716</v>
      </c>
      <c r="D29" s="578">
        <f>IFERROR(VLOOKUP($A29,Race_2024_Seasonal!$A:$W,7,FALSE),0)</f>
        <v>0</v>
      </c>
      <c r="E29" s="578">
        <f>IFERROR(VLOOKUP($A29,Race_2024_Seasonal!$A:$W,7,FALSE),0)</f>
        <v>0</v>
      </c>
      <c r="F29" s="578">
        <f>IFERROR(VLOOKUP($A29,Race_2024_Seasonal!$A:$W,7,FALSE),0)</f>
        <v>0</v>
      </c>
      <c r="G29" s="578">
        <f>IFERROR(VLOOKUP($A29,Race_2024_Seasonal!$A:$W,7,FALSE),0)</f>
        <v>0</v>
      </c>
      <c r="H29" s="578">
        <f>IFERROR(VLOOKUP($A29,Race_2024_Seasonal!$A:$W,7,FALSE),0)</f>
        <v>0</v>
      </c>
      <c r="I29" s="578">
        <f>IFERROR(VLOOKUP($A29,Race_2024_Seasonal!$A:$W,7,FALSE),0)</f>
        <v>0</v>
      </c>
      <c r="J29" s="578">
        <f>IFERROR(VLOOKUP($A29,Race_2024_Seasonal!$A:$W,7,FALSE),0)</f>
        <v>0</v>
      </c>
      <c r="K29" s="578">
        <f>IFERROR(VLOOKUP($A29,Race_2024_Seasonal!$A:$W,7,FALSE),0)</f>
        <v>0</v>
      </c>
      <c r="L29" s="578">
        <f>IFERROR(VLOOKUP($A29,Race_2024_Seasonal!$A:$W,7,FALSE),0)</f>
        <v>0</v>
      </c>
      <c r="M29" s="578">
        <f>IFERROR(VLOOKUP($A29,Race_2024_Seasonal!$A:$W,7,FALSE),0)</f>
        <v>0</v>
      </c>
      <c r="N29" s="578">
        <f>IFERROR(VLOOKUP($A29,Race_2024_Seasonal!$A:$W,7,FALSE),0)</f>
        <v>0</v>
      </c>
      <c r="O29" s="589">
        <f>IFERROR(VLOOKUP($A29,Race_2024_Seasonal!$A:$W,7,FALSE),0)</f>
        <v>0</v>
      </c>
      <c r="Q29" s="587">
        <f t="shared" si="5"/>
        <v>0</v>
      </c>
      <c r="R29" s="671"/>
      <c r="S29" s="641">
        <f>Q29-KeyData!H29</f>
        <v>0</v>
      </c>
    </row>
    <row r="30" spans="1:19" ht="15" x14ac:dyDescent="0.25">
      <c r="A30" s="546" t="s">
        <v>1360</v>
      </c>
      <c r="B30" s="546"/>
      <c r="C30" s="586" t="s">
        <v>715</v>
      </c>
      <c r="D30" s="625">
        <f>IFERROR((VLOOKUP($A30,Race_2024_Seasonal!$A:$W,5)-D21),0)</f>
        <v>-144</v>
      </c>
      <c r="E30" s="625">
        <f>IFERROR((VLOOKUP($A30,Race_2024_Seasonal!$A:$W,7,FALSE)-E21),0)</f>
        <v>0</v>
      </c>
      <c r="F30" s="625">
        <f>IFERROR((VLOOKUP($A30,Race_2024_Seasonal!$A:$W,7,FALSE)-F21),0)</f>
        <v>0</v>
      </c>
      <c r="G30" s="625">
        <f>IFERROR((VLOOKUP($A30,Race_2024_Seasonal!$A:$W,7,FALSE)-G21),0)</f>
        <v>0</v>
      </c>
      <c r="H30" s="625">
        <f>IFERROR((VLOOKUP($A30,Race_2024_Seasonal!$A:$W,7,FALSE)-H21),0)</f>
        <v>0</v>
      </c>
      <c r="I30" s="625">
        <f>IFERROR((VLOOKUP($A30,Race_2024_Seasonal!$A:$W,7,FALSE)-I21),0)</f>
        <v>0</v>
      </c>
      <c r="J30" s="625">
        <f>IFERROR((VLOOKUP($A30,Race_2024_Seasonal!$A:$W,7,FALSE)-J21),0)</f>
        <v>0</v>
      </c>
      <c r="K30" s="625">
        <f>IFERROR((VLOOKUP($A30,Race_2024_Seasonal!$A:$W,7,FALSE)-K21),0)</f>
        <v>0</v>
      </c>
      <c r="L30" s="625">
        <f>IFERROR((VLOOKUP($A30,Race_2024_Seasonal!$A:$W,7,FALSE)-L21),0)</f>
        <v>0</v>
      </c>
      <c r="M30" s="625">
        <f>IFERROR((VLOOKUP($A30,Race_2024_Seasonal!$A:$W,7,FALSE)-M21),0)</f>
        <v>0</v>
      </c>
      <c r="N30" s="625">
        <f>IFERROR((VLOOKUP($A30,Race_2024_Seasonal!$A:$W,7,FALSE)-N21),0)</f>
        <v>0</v>
      </c>
      <c r="O30" s="626">
        <f>IFERROR((VLOOKUP($A30,Race_2024_Seasonal!$A:$W,7,FALSE)-O21),0)</f>
        <v>0</v>
      </c>
      <c r="Q30" s="637">
        <f t="shared" si="5"/>
        <v>0</v>
      </c>
      <c r="R30" s="672"/>
      <c r="S30" s="641">
        <f>Q30-KeyData!H30</f>
        <v>0</v>
      </c>
    </row>
    <row r="31" spans="1:19" ht="15" x14ac:dyDescent="0.25">
      <c r="S31" s="641">
        <f>Q31-KeyData!H31</f>
        <v>0</v>
      </c>
    </row>
    <row r="32" spans="1:19" ht="15" x14ac:dyDescent="0.25">
      <c r="C32" s="627" t="s">
        <v>292</v>
      </c>
      <c r="D32" s="606">
        <f t="shared" ref="D32:O32" si="6">SUM(D40+D46)</f>
        <v>-1642874.08</v>
      </c>
      <c r="E32" s="606">
        <f t="shared" si="6"/>
        <v>-1702763.8459999999</v>
      </c>
      <c r="F32" s="606">
        <f t="shared" si="6"/>
        <v>-1670491.618</v>
      </c>
      <c r="G32" s="606">
        <f t="shared" si="6"/>
        <v>-1586195.915</v>
      </c>
      <c r="H32" s="606">
        <f t="shared" si="6"/>
        <v>-1630612.1469999999</v>
      </c>
      <c r="I32" s="606">
        <f t="shared" si="6"/>
        <v>-601152.27100000007</v>
      </c>
      <c r="J32" s="606">
        <f t="shared" si="6"/>
        <v>-778453.804</v>
      </c>
      <c r="K32" s="606">
        <f t="shared" si="6"/>
        <v>-881262.56500000006</v>
      </c>
      <c r="L32" s="606">
        <f t="shared" si="6"/>
        <v>-928146.83700000006</v>
      </c>
      <c r="M32" s="606">
        <f t="shared" si="6"/>
        <v>-779353.78</v>
      </c>
      <c r="N32" s="606">
        <f t="shared" si="6"/>
        <v>-770418.14200000011</v>
      </c>
      <c r="O32" s="605">
        <f t="shared" si="6"/>
        <v>-470551.67000000004</v>
      </c>
      <c r="Q32" s="604">
        <f>SUM(D32:O32)</f>
        <v>-13442276.674999999</v>
      </c>
      <c r="R32" s="671"/>
      <c r="S32" s="641">
        <f>Q32-KeyData!H32</f>
        <v>0</v>
      </c>
    </row>
    <row r="33" spans="1:19" ht="15" x14ac:dyDescent="0.25">
      <c r="A33" s="544" t="s">
        <v>1361</v>
      </c>
      <c r="C33" s="630" t="s">
        <v>329</v>
      </c>
      <c r="D33" s="578">
        <f>IFERROR(VLOOKUP(A33, Race_2024_Seasonal!A:W, 7, FALSE), 0)</f>
        <v>-381948.70799999998</v>
      </c>
      <c r="E33" s="578">
        <f>IFERROR(VLOOKUP(A33, Race_2024_Seasonal!A:W, 8, FALSE), 0)</f>
        <v>-381945.63900000002</v>
      </c>
      <c r="F33" s="578">
        <f>IFERROR(VLOOKUP(A33, Race_2024_Seasonal!A:W, 9, FALSE), 0)</f>
        <v>-381778.114</v>
      </c>
      <c r="G33" s="578">
        <f>IFERROR(VLOOKUP(A33, Race_2024_Seasonal!A:W, 10, FALSE), 0)</f>
        <v>-349221.68900000001</v>
      </c>
      <c r="H33" s="578">
        <f>IFERROR(VLOOKUP(A33, Race_2024_Seasonal!A:W, 11, FALSE), 0)</f>
        <v>-369005.27399999998</v>
      </c>
      <c r="I33" s="578">
        <f>IFERROR(VLOOKUP(A33, Race_2024_Seasonal!A:W, 12, FALSE), 0)</f>
        <v>-377461.51799999998</v>
      </c>
      <c r="J33" s="578">
        <f>IFERROR(VLOOKUP(A33, Race_2024_Seasonal!A:W, 13, FALSE), 0)</f>
        <v>-487739.49400000001</v>
      </c>
      <c r="K33" s="578">
        <f>IFERROR(VLOOKUP(A33, Race_2024_Seasonal!A:W, 14, FALSE), 0)</f>
        <v>-453250.174</v>
      </c>
      <c r="L33" s="578">
        <f>IFERROR(VLOOKUP(A33, Race_2024_Seasonal!A:W, 15, FALSE), 0)</f>
        <v>-415635.01699999999</v>
      </c>
      <c r="M33" s="578">
        <f>IFERROR(VLOOKUP(A33, Race_2024_Seasonal!A:W, 16, FALSE), 0)</f>
        <v>-416513.19400000002</v>
      </c>
      <c r="N33" s="578">
        <f>IFERROR(VLOOKUP(A33, Race_2024_Seasonal!A:W, 17, FALSE), 0)</f>
        <v>-409462.40899999999</v>
      </c>
      <c r="O33" s="589">
        <f>IFERROR(VLOOKUP(A33, Race_2024_Seasonal!A:W, 18, FALSE), 0)</f>
        <v>-424063.26799999998</v>
      </c>
      <c r="Q33" s="587">
        <f t="shared" ref="Q33:Q46" si="7">SUM(D33:O33)</f>
        <v>-4848024.4980000006</v>
      </c>
      <c r="R33" s="671"/>
      <c r="S33" s="641">
        <f>Q33-KeyData!H33</f>
        <v>0</v>
      </c>
    </row>
    <row r="34" spans="1:19" ht="15" x14ac:dyDescent="0.25">
      <c r="A34" s="544" t="s">
        <v>1362</v>
      </c>
      <c r="C34" s="630" t="s">
        <v>327</v>
      </c>
      <c r="D34" s="578">
        <f>IFERROR(VLOOKUP(A34, Race_2024_Seasonal!A:W, 7, FALSE), 0)</f>
        <v>-24299.433000000001</v>
      </c>
      <c r="E34" s="578">
        <f>IFERROR(VLOOKUP(A34, Race_2024_Seasonal!A:W, 8, FALSE), 0)</f>
        <v>-21474.04</v>
      </c>
      <c r="F34" s="578">
        <f>IFERROR(VLOOKUP(A34, Race_2024_Seasonal!A:W, 9, FALSE), 0)</f>
        <v>-23299.741999999998</v>
      </c>
      <c r="G34" s="578">
        <f>IFERROR(VLOOKUP(A34, Race_2024_Seasonal!A:W, 10, FALSE), 0)</f>
        <v>-20025.524000000001</v>
      </c>
      <c r="H34" s="578">
        <f>IFERROR(VLOOKUP(A34, Race_2024_Seasonal!A:W, 11, FALSE), 0)</f>
        <v>-20643.78</v>
      </c>
      <c r="I34" s="578">
        <f>IFERROR(VLOOKUP(A34, Race_2024_Seasonal!A:W, 12, FALSE), 0)</f>
        <v>-19847.84</v>
      </c>
      <c r="J34" s="578">
        <f>IFERROR(VLOOKUP(A34, Race_2024_Seasonal!A:W, 13, FALSE), 0)</f>
        <v>-25603.786</v>
      </c>
      <c r="K34" s="578">
        <f>IFERROR(VLOOKUP(A34, Race_2024_Seasonal!A:W, 14, FALSE), 0)</f>
        <v>-19357.576000000001</v>
      </c>
      <c r="L34" s="578">
        <f>IFERROR(VLOOKUP(A34, Race_2024_Seasonal!A:W, 15, FALSE), 0)</f>
        <v>-21009.716</v>
      </c>
      <c r="M34" s="578">
        <f>IFERROR(VLOOKUP(A34, Race_2024_Seasonal!A:W, 16, FALSE), 0)</f>
        <v>-21476.274000000001</v>
      </c>
      <c r="N34" s="578">
        <f>IFERROR(VLOOKUP(A34, Race_2024_Seasonal!A:W, 17, FALSE), 0)</f>
        <v>-20709.050999999999</v>
      </c>
      <c r="O34" s="589">
        <f>IFERROR(VLOOKUP(A34, Race_2024_Seasonal!A:W, 18, FALSE), 0)</f>
        <v>-20996.880000000001</v>
      </c>
      <c r="Q34" s="587">
        <f t="shared" si="7"/>
        <v>-258743.64199999999</v>
      </c>
      <c r="R34" s="671"/>
      <c r="S34" s="641">
        <f>Q34-KeyData!H34</f>
        <v>0</v>
      </c>
    </row>
    <row r="35" spans="1:19" ht="15" x14ac:dyDescent="0.25">
      <c r="A35" s="544" t="s">
        <v>1363</v>
      </c>
      <c r="C35" s="630" t="s">
        <v>326</v>
      </c>
      <c r="D35" s="578">
        <f>IFERROR(VLOOKUP(A35, Race_2024_Seasonal!A:W, 7, FALSE), 0)</f>
        <v>-174371.33199999999</v>
      </c>
      <c r="E35" s="578">
        <f>IFERROR(VLOOKUP(A35, Race_2024_Seasonal!A:W, 8, FALSE), 0)</f>
        <v>-205801.08100000001</v>
      </c>
      <c r="F35" s="578">
        <f>IFERROR(VLOOKUP(A35, Race_2024_Seasonal!A:W, 9, FALSE), 0)</f>
        <v>-158228.53099999999</v>
      </c>
      <c r="G35" s="578">
        <f>IFERROR(VLOOKUP(A35, Race_2024_Seasonal!A:W, 10, FALSE), 0)</f>
        <v>-102979.909</v>
      </c>
      <c r="H35" s="578">
        <f>IFERROR(VLOOKUP(A35, Race_2024_Seasonal!A:W, 11, FALSE), 0)</f>
        <v>-124304.068</v>
      </c>
      <c r="I35" s="578">
        <f>IFERROR(VLOOKUP(A35, Race_2024_Seasonal!A:W, 12, FALSE), 0)</f>
        <v>-102718.327</v>
      </c>
      <c r="J35" s="578">
        <f>IFERROR(VLOOKUP(A35, Race_2024_Seasonal!A:W, 13, FALSE), 0)</f>
        <v>-130567.876</v>
      </c>
      <c r="K35" s="578">
        <f>IFERROR(VLOOKUP(A35, Race_2024_Seasonal!A:W, 14, FALSE), 0)</f>
        <v>-103503.268</v>
      </c>
      <c r="L35" s="578">
        <f>IFERROR(VLOOKUP(A35, Race_2024_Seasonal!A:W, 15, FALSE), 0)</f>
        <v>-141985.32399999999</v>
      </c>
      <c r="M35" s="578">
        <f>IFERROR(VLOOKUP(A35, Race_2024_Seasonal!A:W, 16, FALSE), 0)</f>
        <v>-103505.28200000001</v>
      </c>
      <c r="N35" s="578">
        <f>IFERROR(VLOOKUP(A35, Race_2024_Seasonal!A:W, 17, FALSE), 0)</f>
        <v>-122923.92</v>
      </c>
      <c r="O35" s="589">
        <f>IFERROR(VLOOKUP(A35, Race_2024_Seasonal!A:W, 18, FALSE), 0)</f>
        <v>-104268.548</v>
      </c>
      <c r="Q35" s="587">
        <f t="shared" si="7"/>
        <v>-1575157.466</v>
      </c>
      <c r="R35" s="671"/>
      <c r="S35" s="641">
        <f>Q35-KeyData!H35</f>
        <v>0</v>
      </c>
    </row>
    <row r="36" spans="1:19" ht="15" x14ac:dyDescent="0.25">
      <c r="A36" s="544" t="s">
        <v>1364</v>
      </c>
      <c r="C36" s="630" t="s">
        <v>325</v>
      </c>
      <c r="D36" s="578">
        <f>IFERROR(VLOOKUP(A36, Race_2024_Seasonal!A:W, 7, FALSE), 0)</f>
        <v>-2540.482</v>
      </c>
      <c r="E36" s="578">
        <f>IFERROR(VLOOKUP(A36, Race_2024_Seasonal!A:W, 8, FALSE), 0)</f>
        <v>-1040.4829999999999</v>
      </c>
      <c r="F36" s="578">
        <f>IFERROR(VLOOKUP(A36, Race_2024_Seasonal!A:W, 9, FALSE), 0)</f>
        <v>-1040.4829999999999</v>
      </c>
      <c r="G36" s="578">
        <f>IFERROR(VLOOKUP(A36, Race_2024_Seasonal!A:W, 10, FALSE), 0)</f>
        <v>-3040.4830000000002</v>
      </c>
      <c r="H36" s="578">
        <f>IFERROR(VLOOKUP(A36, Race_2024_Seasonal!A:W, 11, FALSE), 0)</f>
        <v>-4040.482</v>
      </c>
      <c r="I36" s="578">
        <f>IFERROR(VLOOKUP(A36, Race_2024_Seasonal!A:W, 12, FALSE), 0)</f>
        <v>-1040.4829999999999</v>
      </c>
      <c r="J36" s="578">
        <f>IFERROR(VLOOKUP(A36, Race_2024_Seasonal!A:W, 13, FALSE), 0)</f>
        <v>-2540.482</v>
      </c>
      <c r="K36" s="578">
        <f>IFERROR(VLOOKUP(A36, Race_2024_Seasonal!A:W, 14, FALSE), 0)</f>
        <v>-60040.483</v>
      </c>
      <c r="L36" s="578">
        <f>IFERROR(VLOOKUP(A36, Race_2024_Seasonal!A:W, 15, FALSE), 0)</f>
        <v>-1040.4829999999999</v>
      </c>
      <c r="M36" s="578">
        <f>IFERROR(VLOOKUP(A36, Race_2024_Seasonal!A:W, 16, FALSE), 0)</f>
        <v>-6040.4830000000002</v>
      </c>
      <c r="N36" s="578">
        <f>IFERROR(VLOOKUP(A36, Race_2024_Seasonal!A:W, 17, FALSE), 0)</f>
        <v>-1040.4829999999999</v>
      </c>
      <c r="O36" s="589">
        <f>IFERROR(VLOOKUP(A36, Race_2024_Seasonal!A:W, 18, FALSE), 0)</f>
        <v>-1040.4829999999999</v>
      </c>
      <c r="Q36" s="587">
        <f t="shared" si="7"/>
        <v>-84485.792999999976</v>
      </c>
      <c r="R36" s="671"/>
      <c r="S36" s="641">
        <f>Q36-KeyData!H36</f>
        <v>0</v>
      </c>
    </row>
    <row r="37" spans="1:19" ht="15" x14ac:dyDescent="0.25">
      <c r="A37" s="544" t="s">
        <v>1365</v>
      </c>
      <c r="C37" s="630" t="s">
        <v>324</v>
      </c>
      <c r="D37" s="578">
        <f>IFERROR(VLOOKUP(A37, Race_2024_Seasonal!A:W, 7, FALSE), 0)</f>
        <v>-11415.487999999999</v>
      </c>
      <c r="E37" s="578">
        <f>IFERROR(VLOOKUP(A37, Race_2024_Seasonal!A:W, 8, FALSE), 0)</f>
        <v>-11415.487999999999</v>
      </c>
      <c r="F37" s="578">
        <f>IFERROR(VLOOKUP(A37, Race_2024_Seasonal!A:W, 9, FALSE), 0)</f>
        <v>-11415.487999999999</v>
      </c>
      <c r="G37" s="578">
        <f>IFERROR(VLOOKUP(A37, Race_2024_Seasonal!A:W, 10, FALSE), 0)</f>
        <v>-11415.487999999999</v>
      </c>
      <c r="H37" s="578">
        <f>IFERROR(VLOOKUP(A37, Race_2024_Seasonal!A:W, 11, FALSE), 0)</f>
        <v>-11415.487999999999</v>
      </c>
      <c r="I37" s="578">
        <f>IFERROR(VLOOKUP(A37, Race_2024_Seasonal!A:W, 12, FALSE), 0)</f>
        <v>-11415.487999999999</v>
      </c>
      <c r="J37" s="578">
        <f>IFERROR(VLOOKUP(A37, Race_2024_Seasonal!A:W, 13, FALSE), 0)</f>
        <v>-11415.487999999999</v>
      </c>
      <c r="K37" s="578">
        <f>IFERROR(VLOOKUP(A37, Race_2024_Seasonal!A:W, 14, FALSE), 0)</f>
        <v>-11415.487999999999</v>
      </c>
      <c r="L37" s="578">
        <f>IFERROR(VLOOKUP(A37, Race_2024_Seasonal!A:W, 15, FALSE), 0)</f>
        <v>-11415.487999999999</v>
      </c>
      <c r="M37" s="578">
        <f>IFERROR(VLOOKUP(A37, Race_2024_Seasonal!A:W, 16, FALSE), 0)</f>
        <v>-11415.487999999999</v>
      </c>
      <c r="N37" s="578">
        <f>IFERROR(VLOOKUP(A37, Race_2024_Seasonal!A:W, 17, FALSE), 0)</f>
        <v>-11415.487999999999</v>
      </c>
      <c r="O37" s="589">
        <f>IFERROR(VLOOKUP(A37, Race_2024_Seasonal!A:W, 18, FALSE), 0)</f>
        <v>-11415.487999999999</v>
      </c>
      <c r="Q37" s="587">
        <f t="shared" si="7"/>
        <v>-136985.856</v>
      </c>
      <c r="R37" s="671"/>
      <c r="S37" s="641">
        <f>Q37-KeyData!H37</f>
        <v>0</v>
      </c>
    </row>
    <row r="38" spans="1:19" ht="12.75" customHeight="1" x14ac:dyDescent="0.25">
      <c r="A38" s="544" t="s">
        <v>1366</v>
      </c>
      <c r="C38" s="630" t="s">
        <v>322</v>
      </c>
      <c r="D38" s="578">
        <f>IFERROR(VLOOKUP(A38, Race_2024_Seasonal!A:W, 7, FALSE), 0)</f>
        <v>-15708.333000000001</v>
      </c>
      <c r="E38" s="578">
        <f>IFERROR(VLOOKUP(A38, Race_2024_Seasonal!A:W, 8, FALSE), 0)</f>
        <v>-15708.333000000001</v>
      </c>
      <c r="F38" s="578">
        <f>IFERROR(VLOOKUP(A38, Race_2024_Seasonal!A:W, 9, FALSE), 0)</f>
        <v>-15708.333000000001</v>
      </c>
      <c r="G38" s="578">
        <f>IFERROR(VLOOKUP(A38, Race_2024_Seasonal!A:W, 10, FALSE), 0)</f>
        <v>-15708.333000000001</v>
      </c>
      <c r="H38" s="578">
        <f>IFERROR(VLOOKUP(A38, Race_2024_Seasonal!A:W, 11, FALSE), 0)</f>
        <v>-15708.333000000001</v>
      </c>
      <c r="I38" s="578">
        <f>IFERROR(VLOOKUP(A38, Race_2024_Seasonal!A:W, 12, FALSE), 0)</f>
        <v>-15708.333000000001</v>
      </c>
      <c r="J38" s="578">
        <f>IFERROR(VLOOKUP(A38, Race_2024_Seasonal!A:W, 13, FALSE), 0)</f>
        <v>-15708.333000000001</v>
      </c>
      <c r="K38" s="578">
        <f>IFERROR(VLOOKUP(A38, Race_2024_Seasonal!A:W, 14, FALSE), 0)</f>
        <v>-15708.333000000001</v>
      </c>
      <c r="L38" s="578">
        <f>IFERROR(VLOOKUP(A38, Race_2024_Seasonal!A:W, 15, FALSE), 0)</f>
        <v>-15708.333000000001</v>
      </c>
      <c r="M38" s="578">
        <f>IFERROR(VLOOKUP(A38, Race_2024_Seasonal!A:W, 16, FALSE), 0)</f>
        <v>-15708.333000000001</v>
      </c>
      <c r="N38" s="578">
        <f>IFERROR(VLOOKUP(A38, Race_2024_Seasonal!A:W, 17, FALSE), 0)</f>
        <v>-15708.333000000001</v>
      </c>
      <c r="O38" s="589">
        <f>IFERROR(VLOOKUP(A38, Race_2024_Seasonal!A:W, 18, FALSE), 0)</f>
        <v>-15708.333000000001</v>
      </c>
      <c r="P38" s="572"/>
      <c r="Q38" s="587">
        <f t="shared" si="7"/>
        <v>-188499.99600000004</v>
      </c>
      <c r="R38" s="671"/>
      <c r="S38" s="641">
        <f>Q38-KeyData!H38</f>
        <v>0</v>
      </c>
    </row>
    <row r="39" spans="1:19" ht="12.75" customHeight="1" x14ac:dyDescent="0.25">
      <c r="A39" s="544" t="s">
        <v>1367</v>
      </c>
      <c r="C39" s="630" t="s">
        <v>304</v>
      </c>
      <c r="D39" s="578">
        <f>IFERROR(VLOOKUP(A39, Race_2024_Seasonal!A:W, 7, FALSE), 0)</f>
        <v>-27705.281999999999</v>
      </c>
      <c r="E39" s="578">
        <f>IFERROR(VLOOKUP(A39, Race_2024_Seasonal!A:W, 8, FALSE), 0)</f>
        <v>-44906.260999999999</v>
      </c>
      <c r="F39" s="578">
        <f>IFERROR(VLOOKUP(A39, Race_2024_Seasonal!A:W, 9, FALSE), 0)</f>
        <v>-35680.697</v>
      </c>
      <c r="G39" s="578">
        <f>IFERROR(VLOOKUP(A39, Race_2024_Seasonal!A:W, 10, FALSE), 0)</f>
        <v>-34679.364000000001</v>
      </c>
      <c r="H39" s="578">
        <f>IFERROR(VLOOKUP(A39, Race_2024_Seasonal!A:W, 11, FALSE), 0)</f>
        <v>-30554.492999999999</v>
      </c>
      <c r="I39" s="578">
        <f>IFERROR(VLOOKUP(A39, Race_2024_Seasonal!A:W, 12, FALSE), 0)</f>
        <v>-32556.473000000002</v>
      </c>
      <c r="J39" s="578">
        <f>IFERROR(VLOOKUP(A39, Race_2024_Seasonal!A:W, 13, FALSE), 0)</f>
        <v>-32360.457999999999</v>
      </c>
      <c r="K39" s="578">
        <f>IFERROR(VLOOKUP(A39, Race_2024_Seasonal!A:W, 14, FALSE), 0)</f>
        <v>-58594.993999999999</v>
      </c>
      <c r="L39" s="578">
        <f>IFERROR(VLOOKUP(A39, Race_2024_Seasonal!A:W, 15, FALSE), 0)</f>
        <v>-32462.166000000001</v>
      </c>
      <c r="M39" s="578">
        <f>IFERROR(VLOOKUP(A39, Race_2024_Seasonal!A:W, 16, FALSE), 0)</f>
        <v>-44109.247000000003</v>
      </c>
      <c r="N39" s="578">
        <f>IFERROR(VLOOKUP(A39, Race_2024_Seasonal!A:W, 17, FALSE), 0)</f>
        <v>-28572.978999999999</v>
      </c>
      <c r="O39" s="589">
        <f>IFERROR(VLOOKUP(A39, Race_2024_Seasonal!A:W, 18, FALSE), 0)</f>
        <v>-26494.525000000001</v>
      </c>
      <c r="Q39" s="587">
        <f t="shared" si="7"/>
        <v>-428676.93900000007</v>
      </c>
      <c r="R39" s="671"/>
      <c r="S39" s="641">
        <f>Q39-KeyData!H39</f>
        <v>0</v>
      </c>
    </row>
    <row r="40" spans="1:19" ht="12.75" customHeight="1" x14ac:dyDescent="0.25">
      <c r="C40" s="628" t="s">
        <v>321</v>
      </c>
      <c r="D40" s="598">
        <f t="shared" ref="D40:O40" si="8">SUM(D33:D39)</f>
        <v>-637989.05799999996</v>
      </c>
      <c r="E40" s="598">
        <f t="shared" si="8"/>
        <v>-682291.32499999995</v>
      </c>
      <c r="F40" s="598">
        <f t="shared" si="8"/>
        <v>-627151.38800000004</v>
      </c>
      <c r="G40" s="598">
        <f t="shared" si="8"/>
        <v>-537070.79</v>
      </c>
      <c r="H40" s="598">
        <f t="shared" si="8"/>
        <v>-575671.91799999995</v>
      </c>
      <c r="I40" s="598">
        <f t="shared" si="8"/>
        <v>-560748.46200000006</v>
      </c>
      <c r="J40" s="598">
        <f t="shared" si="8"/>
        <v>-705935.91700000002</v>
      </c>
      <c r="K40" s="598">
        <f t="shared" si="8"/>
        <v>-721870.31599999999</v>
      </c>
      <c r="L40" s="598">
        <f t="shared" si="8"/>
        <v>-639256.527</v>
      </c>
      <c r="M40" s="598">
        <f t="shared" si="8"/>
        <v>-618768.30099999998</v>
      </c>
      <c r="N40" s="598">
        <f t="shared" si="8"/>
        <v>-609832.66300000006</v>
      </c>
      <c r="O40" s="597">
        <f t="shared" si="8"/>
        <v>-603987.52500000002</v>
      </c>
      <c r="Q40" s="596">
        <f t="shared" si="7"/>
        <v>-7520574.1899999995</v>
      </c>
      <c r="R40" s="671"/>
      <c r="S40" s="641">
        <f>Q40-KeyData!H40</f>
        <v>0</v>
      </c>
    </row>
    <row r="41" spans="1:19" ht="12.75" customHeight="1" x14ac:dyDescent="0.25">
      <c r="A41" s="544" t="s">
        <v>1368</v>
      </c>
      <c r="C41" s="630" t="s">
        <v>305</v>
      </c>
      <c r="D41" s="578">
        <f>IFERROR(VLOOKUP(A41, Race_2024_Seasonal!A:W, 7, FALSE), 0)</f>
        <v>-418700.84</v>
      </c>
      <c r="E41" s="578">
        <f>IFERROR(VLOOKUP(A41, Race_2024_Seasonal!A:W, 8, FALSE), 0)</f>
        <v>-418700.84</v>
      </c>
      <c r="F41" s="578">
        <f>IFERROR(VLOOKUP(A41, Race_2024_Seasonal!A:W, 9, FALSE), 0)</f>
        <v>-418700.84</v>
      </c>
      <c r="G41" s="578">
        <f>IFERROR(VLOOKUP(A41, Race_2024_Seasonal!A:W, 10, FALSE), 0)</f>
        <v>-418700.84</v>
      </c>
      <c r="H41" s="578">
        <f>IFERROR(VLOOKUP(A41, Race_2024_Seasonal!A:W, 11, FALSE), 0)</f>
        <v>-418700.84</v>
      </c>
      <c r="I41" s="578">
        <f>IFERROR(VLOOKUP(A41, Race_2024_Seasonal!A:W, 12, FALSE), 0)</f>
        <v>-418700.84</v>
      </c>
      <c r="J41" s="578">
        <f>IFERROR(VLOOKUP(A41, Race_2024_Seasonal!A:W, 13, FALSE), 0)</f>
        <v>-418700.84</v>
      </c>
      <c r="K41" s="578">
        <f>IFERROR(VLOOKUP(A41, Race_2024_Seasonal!A:W, 14, FALSE), 0)</f>
        <v>-418700.84</v>
      </c>
      <c r="L41" s="578">
        <f>IFERROR(VLOOKUP(A41, Race_2024_Seasonal!A:W, 15, FALSE), 0)</f>
        <v>-418700.84</v>
      </c>
      <c r="M41" s="578">
        <f>IFERROR(VLOOKUP(A41, Race_2024_Seasonal!A:W, 16, FALSE), 0)</f>
        <v>-418700.84</v>
      </c>
      <c r="N41" s="578">
        <f>IFERROR(VLOOKUP(A41, Race_2024_Seasonal!A:W, 17, FALSE), 0)</f>
        <v>-418700.84</v>
      </c>
      <c r="O41" s="589">
        <f>IFERROR(VLOOKUP(A41, Race_2024_Seasonal!A:W, 18, FALSE), 0)</f>
        <v>-418700.84</v>
      </c>
      <c r="Q41" s="587">
        <f t="shared" si="7"/>
        <v>-5024410.0799999991</v>
      </c>
      <c r="R41" s="671"/>
      <c r="S41" s="641">
        <f>Q41-KeyData!H41</f>
        <v>0</v>
      </c>
    </row>
    <row r="42" spans="1:19" ht="12.75" customHeight="1" x14ac:dyDescent="0.25">
      <c r="A42" s="544" t="s">
        <v>1369</v>
      </c>
      <c r="C42" s="630" t="s">
        <v>307</v>
      </c>
      <c r="D42" s="578">
        <f>IFERROR(VLOOKUP(A42, Race_2024_Seasonal!A:W, 7, FALSE), 0)</f>
        <v>-187800.26300000001</v>
      </c>
      <c r="E42" s="578">
        <f>IFERROR(VLOOKUP(A42, Race_2024_Seasonal!A:W, 8, FALSE), 0)</f>
        <v>-187800.26300000001</v>
      </c>
      <c r="F42" s="578">
        <f>IFERROR(VLOOKUP(A42, Race_2024_Seasonal!A:W, 9, FALSE), 0)</f>
        <v>-187800.26300000001</v>
      </c>
      <c r="G42" s="578">
        <f>IFERROR(VLOOKUP(A42, Race_2024_Seasonal!A:W, 10, FALSE), 0)</f>
        <v>-187800.26300000001</v>
      </c>
      <c r="H42" s="578">
        <f>IFERROR(VLOOKUP(A42, Race_2024_Seasonal!A:W, 11, FALSE), 0)</f>
        <v>-187800.26300000001</v>
      </c>
      <c r="I42" s="578">
        <f>IFERROR(VLOOKUP(A42, Race_2024_Seasonal!A:W, 12, FALSE), 0)</f>
        <v>-187800.26300000001</v>
      </c>
      <c r="J42" s="578">
        <f>IFERROR(VLOOKUP(A42, Race_2024_Seasonal!A:W, 13, FALSE), 0)</f>
        <v>-187800.26300000001</v>
      </c>
      <c r="K42" s="578">
        <f>IFERROR(VLOOKUP(A42, Race_2024_Seasonal!A:W, 14, FALSE), 0)</f>
        <v>-187800.26300000001</v>
      </c>
      <c r="L42" s="578">
        <f>IFERROR(VLOOKUP(A42, Race_2024_Seasonal!A:W, 15, FALSE), 0)</f>
        <v>-187800.26300000001</v>
      </c>
      <c r="M42" s="578">
        <f>IFERROR(VLOOKUP(A42, Race_2024_Seasonal!A:W, 16, FALSE), 0)</f>
        <v>-187800.26300000001</v>
      </c>
      <c r="N42" s="578">
        <f>IFERROR(VLOOKUP(A42, Race_2024_Seasonal!A:W, 17, FALSE), 0)</f>
        <v>-187800.26300000001</v>
      </c>
      <c r="O42" s="589">
        <f>IFERROR(VLOOKUP(A42, Race_2024_Seasonal!A:W, 18, FALSE), 0)</f>
        <v>-187800.26300000001</v>
      </c>
      <c r="Q42" s="587">
        <f t="shared" si="7"/>
        <v>-2253603.156</v>
      </c>
      <c r="R42" s="671"/>
      <c r="S42" s="641">
        <f>Q42-KeyData!H42</f>
        <v>0</v>
      </c>
    </row>
    <row r="43" spans="1:19" ht="12.75" customHeight="1" x14ac:dyDescent="0.25">
      <c r="A43" s="544" t="s">
        <v>1370</v>
      </c>
      <c r="C43" s="630" t="s">
        <v>320</v>
      </c>
      <c r="D43" s="578">
        <f>IFERROR(VLOOKUP(A43, Race_2024_Seasonal!A:W, 7, FALSE), 0)</f>
        <v>105649.02099999999</v>
      </c>
      <c r="E43" s="578">
        <f>IFERROR(VLOOKUP(A43, Race_2024_Seasonal!A:W, 8, FALSE), 0)</f>
        <v>105649.02099999999</v>
      </c>
      <c r="F43" s="578">
        <f>IFERROR(VLOOKUP(A43, Race_2024_Seasonal!A:W, 9, FALSE), 0)</f>
        <v>105649.02099999999</v>
      </c>
      <c r="G43" s="578">
        <f>IFERROR(VLOOKUP(A43, Race_2024_Seasonal!A:W, 10, FALSE), 0)</f>
        <v>105649.02099999999</v>
      </c>
      <c r="H43" s="578">
        <f>IFERROR(VLOOKUP(A43, Race_2024_Seasonal!A:W, 11, FALSE), 0)</f>
        <v>105649.02099999999</v>
      </c>
      <c r="I43" s="578">
        <f>IFERROR(VLOOKUP(A43, Race_2024_Seasonal!A:W, 12, FALSE), 0)</f>
        <v>1121635.442</v>
      </c>
      <c r="J43" s="578">
        <f>IFERROR(VLOOKUP(A43, Race_2024_Seasonal!A:W, 13, FALSE), 0)</f>
        <v>1089521.3640000001</v>
      </c>
      <c r="K43" s="578">
        <f>IFERROR(VLOOKUP(A43, Race_2024_Seasonal!A:W, 14, FALSE), 0)</f>
        <v>1003782.835</v>
      </c>
      <c r="L43" s="578">
        <f>IFERROR(VLOOKUP(A43, Race_2024_Seasonal!A:W, 15, FALSE), 0)</f>
        <v>875478.00399999996</v>
      </c>
      <c r="M43" s="578">
        <f>IFERROR(VLOOKUP(A43, Race_2024_Seasonal!A:W, 16, FALSE), 0)</f>
        <v>1003782.835</v>
      </c>
      <c r="N43" s="578">
        <f>IFERROR(VLOOKUP(A43, Race_2024_Seasonal!A:W, 17, FALSE), 0)</f>
        <v>1003782.835</v>
      </c>
      <c r="O43" s="589">
        <f>IFERROR(VLOOKUP(A43, Race_2024_Seasonal!A:W, 18, FALSE), 0)</f>
        <v>1306745.835</v>
      </c>
      <c r="Q43" s="587">
        <f t="shared" si="7"/>
        <v>7932974.2549999999</v>
      </c>
      <c r="R43" s="671"/>
      <c r="S43" s="641">
        <f>Q43-KeyData!H43</f>
        <v>0</v>
      </c>
    </row>
    <row r="44" spans="1:19" ht="12.75" customHeight="1" x14ac:dyDescent="0.25">
      <c r="A44" s="544" t="s">
        <v>1371</v>
      </c>
      <c r="C44" s="630" t="s">
        <v>319</v>
      </c>
      <c r="D44" s="578">
        <f>IFERROR(VLOOKUP(A44, Race_2024_Seasonal!A:W, 7, FALSE), 0)</f>
        <v>0</v>
      </c>
      <c r="E44" s="578">
        <f>IFERROR(VLOOKUP(A44, Race_2024_Seasonal!A:W, 8, FALSE), 0)</f>
        <v>0</v>
      </c>
      <c r="F44" s="578">
        <f>IFERROR(VLOOKUP(A44, Race_2024_Seasonal!A:W, 9, FALSE), 0)</f>
        <v>0</v>
      </c>
      <c r="G44" s="578">
        <f>IFERROR(VLOOKUP(A44, Race_2024_Seasonal!A:W, 10, FALSE), 0)</f>
        <v>0</v>
      </c>
      <c r="H44" s="578">
        <f>IFERROR(VLOOKUP(A44, Race_2024_Seasonal!A:W, 11, FALSE), 0)</f>
        <v>0</v>
      </c>
      <c r="I44" s="578">
        <f>IFERROR(VLOOKUP(A44, Race_2024_Seasonal!A:W, 12, FALSE), 0)</f>
        <v>0</v>
      </c>
      <c r="J44" s="578">
        <f>IFERROR(VLOOKUP(A44, Race_2024_Seasonal!A:W, 13, FALSE), 0)</f>
        <v>0</v>
      </c>
      <c r="K44" s="578">
        <f>IFERROR(VLOOKUP(A44, Race_2024_Seasonal!A:W, 14, FALSE), 0)</f>
        <v>0</v>
      </c>
      <c r="L44" s="578">
        <f>IFERROR(VLOOKUP(A44, Race_2024_Seasonal!A:W, 15, FALSE), 0)</f>
        <v>0</v>
      </c>
      <c r="M44" s="578">
        <f>IFERROR(VLOOKUP(A44, Race_2024_Seasonal!A:W, 16, FALSE), 0)</f>
        <v>0</v>
      </c>
      <c r="N44" s="578">
        <f>IFERROR(VLOOKUP(A44, Race_2024_Seasonal!A:W, 17, FALSE), 0)</f>
        <v>0</v>
      </c>
      <c r="O44" s="589">
        <f>IFERROR(VLOOKUP(A44, Race_2024_Seasonal!A:W, 18, FALSE), 0)</f>
        <v>0</v>
      </c>
      <c r="Q44" s="587">
        <f t="shared" si="7"/>
        <v>0</v>
      </c>
      <c r="R44" s="671"/>
      <c r="S44" s="641">
        <f>Q44-KeyData!H44</f>
        <v>0</v>
      </c>
    </row>
    <row r="45" spans="1:19" ht="12.75" customHeight="1" x14ac:dyDescent="0.25">
      <c r="A45" s="544" t="s">
        <v>1372</v>
      </c>
      <c r="C45" s="630" t="s">
        <v>317</v>
      </c>
      <c r="D45" s="578">
        <f>IFERROR(VLOOKUP(A45, Race_2024_Seasonal!A:W, 7, FALSE), 0)</f>
        <v>-504032.94</v>
      </c>
      <c r="E45" s="578">
        <f>IFERROR(VLOOKUP(A45, Race_2024_Seasonal!A:W, 8, FALSE), 0)</f>
        <v>-519620.43900000001</v>
      </c>
      <c r="F45" s="578">
        <f>IFERROR(VLOOKUP(A45, Race_2024_Seasonal!A:W, 9, FALSE), 0)</f>
        <v>-542488.14800000004</v>
      </c>
      <c r="G45" s="578">
        <f>IFERROR(VLOOKUP(A45, Race_2024_Seasonal!A:W, 10, FALSE), 0)</f>
        <v>-548273.04299999995</v>
      </c>
      <c r="H45" s="578">
        <f>IFERROR(VLOOKUP(A45, Race_2024_Seasonal!A:W, 11, FALSE), 0)</f>
        <v>-554088.147</v>
      </c>
      <c r="I45" s="578">
        <f>IFERROR(VLOOKUP(A45, Race_2024_Seasonal!A:W, 12, FALSE), 0)</f>
        <v>-555538.14800000004</v>
      </c>
      <c r="J45" s="578">
        <f>IFERROR(VLOOKUP(A45, Race_2024_Seasonal!A:W, 13, FALSE), 0)</f>
        <v>-555538.14800000004</v>
      </c>
      <c r="K45" s="578">
        <f>IFERROR(VLOOKUP(A45, Race_2024_Seasonal!A:W, 14, FALSE), 0)</f>
        <v>-556673.98100000003</v>
      </c>
      <c r="L45" s="578">
        <f>IFERROR(VLOOKUP(A45, Race_2024_Seasonal!A:W, 15, FALSE), 0)</f>
        <v>-557867.21100000001</v>
      </c>
      <c r="M45" s="578">
        <f>IFERROR(VLOOKUP(A45, Race_2024_Seasonal!A:W, 16, FALSE), 0)</f>
        <v>-557867.21100000001</v>
      </c>
      <c r="N45" s="578">
        <f>IFERROR(VLOOKUP(A45, Race_2024_Seasonal!A:W, 17, FALSE), 0)</f>
        <v>-557867.21100000001</v>
      </c>
      <c r="O45" s="589">
        <f>IFERROR(VLOOKUP(A45, Race_2024_Seasonal!A:W, 18, FALSE), 0)</f>
        <v>-566808.87699999998</v>
      </c>
      <c r="Q45" s="587">
        <f t="shared" si="7"/>
        <v>-6576663.5040000007</v>
      </c>
      <c r="R45" s="671"/>
      <c r="S45" s="641">
        <f>Q45-KeyData!H45</f>
        <v>0</v>
      </c>
    </row>
    <row r="46" spans="1:19" ht="12.75" customHeight="1" x14ac:dyDescent="0.25">
      <c r="C46" s="629" t="s">
        <v>316</v>
      </c>
      <c r="D46" s="602">
        <f t="shared" ref="D46:O46" si="9">SUM(D41:D45)</f>
        <v>-1004885.022</v>
      </c>
      <c r="E46" s="602">
        <f t="shared" si="9"/>
        <v>-1020472.5209999999</v>
      </c>
      <c r="F46" s="602">
        <f t="shared" si="9"/>
        <v>-1043340.23</v>
      </c>
      <c r="G46" s="602">
        <f t="shared" si="9"/>
        <v>-1049125.125</v>
      </c>
      <c r="H46" s="602">
        <f t="shared" si="9"/>
        <v>-1054940.2290000001</v>
      </c>
      <c r="I46" s="602">
        <f t="shared" si="9"/>
        <v>-40403.809000000008</v>
      </c>
      <c r="J46" s="602">
        <f t="shared" si="9"/>
        <v>-72517.886999999988</v>
      </c>
      <c r="K46" s="602">
        <f t="shared" si="9"/>
        <v>-159392.24900000007</v>
      </c>
      <c r="L46" s="602">
        <f t="shared" si="9"/>
        <v>-288890.31000000006</v>
      </c>
      <c r="M46" s="602">
        <f t="shared" si="9"/>
        <v>-160585.47900000005</v>
      </c>
      <c r="N46" s="602">
        <f t="shared" si="9"/>
        <v>-160585.47900000005</v>
      </c>
      <c r="O46" s="601">
        <f t="shared" si="9"/>
        <v>133435.85499999998</v>
      </c>
      <c r="Q46" s="599">
        <f t="shared" si="7"/>
        <v>-5921702.4850000013</v>
      </c>
      <c r="R46" s="671"/>
      <c r="S46" s="641">
        <f>Q46-KeyData!H46</f>
        <v>0</v>
      </c>
    </row>
    <row r="47" spans="1:19" ht="12.75" customHeight="1" x14ac:dyDescent="0.25">
      <c r="S47" s="641">
        <f>Q47-KeyData!H47</f>
        <v>0</v>
      </c>
    </row>
    <row r="48" spans="1:19" ht="12.75" customHeight="1" x14ac:dyDescent="0.25">
      <c r="A48" s="836"/>
      <c r="B48" s="836"/>
      <c r="C48" s="627" t="s">
        <v>1373</v>
      </c>
      <c r="D48" s="829"/>
      <c r="E48" s="829"/>
      <c r="F48" s="829"/>
      <c r="G48" s="829"/>
      <c r="H48" s="829"/>
      <c r="I48" s="829"/>
      <c r="J48" s="829"/>
      <c r="K48" s="829"/>
      <c r="L48" s="829"/>
      <c r="M48" s="829"/>
      <c r="N48" s="829"/>
      <c r="O48" s="830"/>
      <c r="Q48" s="848"/>
      <c r="S48" s="641">
        <f>Q48-KeyData!H48</f>
        <v>0</v>
      </c>
    </row>
    <row r="49" spans="1:19" ht="12.75" customHeight="1" x14ac:dyDescent="0.25">
      <c r="A49" s="836"/>
      <c r="B49" s="836"/>
      <c r="C49" s="838" t="s">
        <v>1374</v>
      </c>
      <c r="D49" s="598">
        <f>SUM(D50:D60)</f>
        <v>389920.56099999999</v>
      </c>
      <c r="E49" s="598">
        <f t="shared" ref="E49:O49" si="10">SUM(E50:E60)</f>
        <v>3012131.307</v>
      </c>
      <c r="F49" s="598">
        <f t="shared" si="10"/>
        <v>2716650.335</v>
      </c>
      <c r="G49" s="598">
        <f t="shared" si="10"/>
        <v>567196.09900000005</v>
      </c>
      <c r="H49" s="598">
        <f t="shared" si="10"/>
        <v>940106.33100000001</v>
      </c>
      <c r="I49" s="598">
        <f t="shared" si="10"/>
        <v>207948.28</v>
      </c>
      <c r="J49" s="598">
        <f t="shared" si="10"/>
        <v>154726.31399999998</v>
      </c>
      <c r="K49" s="598">
        <f t="shared" si="10"/>
        <v>1088925.3399999999</v>
      </c>
      <c r="L49" s="598">
        <f t="shared" si="10"/>
        <v>342447.29499999998</v>
      </c>
      <c r="M49" s="598">
        <f t="shared" si="10"/>
        <v>861149.89599999995</v>
      </c>
      <c r="N49" s="598">
        <f t="shared" si="10"/>
        <v>180896.823</v>
      </c>
      <c r="O49" s="597">
        <f t="shared" si="10"/>
        <v>519927.33500000002</v>
      </c>
      <c r="Q49" s="596">
        <f t="shared" ref="Q49:Q60" si="11">SUM(D49:O49)</f>
        <v>10982025.916000003</v>
      </c>
      <c r="S49" s="641">
        <f>Q49-KeyData!H49</f>
        <v>0</v>
      </c>
    </row>
    <row r="50" spans="1:19" ht="12.75" customHeight="1" x14ac:dyDescent="0.25">
      <c r="A50" s="836" t="s">
        <v>1375</v>
      </c>
      <c r="B50" s="836"/>
      <c r="C50" s="839" t="s">
        <v>1399</v>
      </c>
      <c r="D50" s="578">
        <f>IFERROR(VLOOKUP(A50, Race_2024_Seasonal!A:W, 7, FALSE), 0)</f>
        <v>0</v>
      </c>
      <c r="E50" s="578">
        <f>IFERROR(VLOOKUP(A50, Race_2024_Seasonal!A:W, 8, FALSE), 0)</f>
        <v>0</v>
      </c>
      <c r="F50" s="578">
        <f>IFERROR(VLOOKUP(A50, Race_2024_Seasonal!A:W, 9, FALSE), 0)</f>
        <v>0</v>
      </c>
      <c r="G50" s="578">
        <f>IFERROR(VLOOKUP(A50, Race_2024_Seasonal!A:W, 10, FALSE), 0)</f>
        <v>0</v>
      </c>
      <c r="H50" s="578">
        <f>IFERROR(VLOOKUP(A50, Race_2024_Seasonal!A:W, 11, FALSE), 0)</f>
        <v>0</v>
      </c>
      <c r="I50" s="578">
        <f>IFERROR(VLOOKUP(A50, Race_2024_Seasonal!A:W, 12, FALSE), 0)</f>
        <v>0</v>
      </c>
      <c r="J50" s="578">
        <f>IFERROR(VLOOKUP(A50, Race_2024_Seasonal!A:W, 13, FALSE), 0)</f>
        <v>0</v>
      </c>
      <c r="K50" s="578">
        <f>IFERROR(VLOOKUP(A50, Race_2024_Seasonal!A:W, 14, FALSE), 0)</f>
        <v>0</v>
      </c>
      <c r="L50" s="578">
        <f>IFERROR(VLOOKUP(A50, Race_2024_Seasonal!A:W, 15, FALSE), 0)</f>
        <v>0</v>
      </c>
      <c r="M50" s="578">
        <f>IFERROR(VLOOKUP(A50, Race_2024_Seasonal!A:W, 16, FALSE), 0)</f>
        <v>0</v>
      </c>
      <c r="N50" s="578">
        <f>IFERROR(VLOOKUP(A50, Race_2024_Seasonal!A:W, 17, FALSE), 0)</f>
        <v>0</v>
      </c>
      <c r="O50" s="589">
        <f>IFERROR(VLOOKUP(A50, Race_2024_Seasonal!A:W, 18, FALSE), 0)</f>
        <v>0</v>
      </c>
      <c r="Q50" s="587">
        <f t="shared" si="11"/>
        <v>0</v>
      </c>
      <c r="S50" s="641">
        <f>Q50-KeyData!H50</f>
        <v>0</v>
      </c>
    </row>
    <row r="51" spans="1:19" ht="12.75" customHeight="1" x14ac:dyDescent="0.25">
      <c r="A51" s="836" t="s">
        <v>1376</v>
      </c>
      <c r="B51" s="836"/>
      <c r="C51" s="839" t="s">
        <v>1400</v>
      </c>
      <c r="D51" s="578">
        <f>IFERROR(VLOOKUP(A51, Race_2024_Seasonal!A:W, 7, FALSE), 0)</f>
        <v>0</v>
      </c>
      <c r="E51" s="578">
        <f>IFERROR(VLOOKUP(A51, Race_2024_Seasonal!A:W, 8, FALSE), 0)</f>
        <v>0</v>
      </c>
      <c r="F51" s="578">
        <f>IFERROR(VLOOKUP(A51, Race_2024_Seasonal!A:W, 9, FALSE), 0)</f>
        <v>0</v>
      </c>
      <c r="G51" s="578">
        <f>IFERROR(VLOOKUP(A51, Race_2024_Seasonal!A:W, 10, FALSE), 0)</f>
        <v>0</v>
      </c>
      <c r="H51" s="578">
        <f>IFERROR(VLOOKUP(A51, Race_2024_Seasonal!A:W, 11, FALSE), 0)</f>
        <v>0</v>
      </c>
      <c r="I51" s="578">
        <f>IFERROR(VLOOKUP(A51, Race_2024_Seasonal!A:W, 12, FALSE), 0)</f>
        <v>0</v>
      </c>
      <c r="J51" s="578">
        <f>IFERROR(VLOOKUP(A51, Race_2024_Seasonal!A:W, 13, FALSE), 0)</f>
        <v>0</v>
      </c>
      <c r="K51" s="578">
        <f>IFERROR(VLOOKUP(A51, Race_2024_Seasonal!A:W, 14, FALSE), 0)</f>
        <v>11931.322</v>
      </c>
      <c r="L51" s="578">
        <f>IFERROR(VLOOKUP(A51, Race_2024_Seasonal!A:W, 15, FALSE), 0)</f>
        <v>0</v>
      </c>
      <c r="M51" s="578">
        <f>IFERROR(VLOOKUP(A51, Race_2024_Seasonal!A:W, 16, FALSE), 0)</f>
        <v>0</v>
      </c>
      <c r="N51" s="578">
        <f>IFERROR(VLOOKUP(A51, Race_2024_Seasonal!A:W, 17, FALSE), 0)</f>
        <v>0</v>
      </c>
      <c r="O51" s="589">
        <f>IFERROR(VLOOKUP(A51, Race_2024_Seasonal!A:W, 18, FALSE), 0)</f>
        <v>0</v>
      </c>
      <c r="Q51" s="587">
        <f t="shared" si="11"/>
        <v>11931.322</v>
      </c>
      <c r="S51" s="641">
        <f>Q51-KeyData!H52</f>
        <v>0</v>
      </c>
    </row>
    <row r="52" spans="1:19" ht="12.75" customHeight="1" x14ac:dyDescent="0.25">
      <c r="A52" s="836" t="s">
        <v>1390</v>
      </c>
      <c r="B52" s="836"/>
      <c r="C52" s="839" t="s">
        <v>1401</v>
      </c>
      <c r="D52" s="578">
        <f>IFERROR(VLOOKUP(A52, Race_2024_Seasonal!A:W, 7, FALSE), 0)</f>
        <v>0</v>
      </c>
      <c r="E52" s="578">
        <f>IFERROR(VLOOKUP(A52, Race_2024_Seasonal!A:W, 8, FALSE), 0)</f>
        <v>0</v>
      </c>
      <c r="F52" s="578">
        <f>IFERROR(VLOOKUP(A52, Race_2024_Seasonal!A:W, 9, FALSE), 0)</f>
        <v>0</v>
      </c>
      <c r="G52" s="578">
        <f>IFERROR(VLOOKUP(A52, Race_2024_Seasonal!A:W, 10, FALSE), 0)</f>
        <v>0</v>
      </c>
      <c r="H52" s="578">
        <f>IFERROR(VLOOKUP(A52, Race_2024_Seasonal!A:W, 11, FALSE), 0)</f>
        <v>0</v>
      </c>
      <c r="I52" s="578">
        <f>IFERROR(VLOOKUP(A52, Race_2024_Seasonal!A:W, 12, FALSE), 0)</f>
        <v>0</v>
      </c>
      <c r="J52" s="578">
        <f>IFERROR(VLOOKUP(A52, Race_2024_Seasonal!A:W, 13, FALSE), 0)</f>
        <v>0</v>
      </c>
      <c r="K52" s="578">
        <f>IFERROR(VLOOKUP(A52, Race_2024_Seasonal!A:W, 14, FALSE), 0)</f>
        <v>0</v>
      </c>
      <c r="L52" s="578">
        <f>IFERROR(VLOOKUP(A52, Race_2024_Seasonal!A:W, 15, FALSE), 0)</f>
        <v>0</v>
      </c>
      <c r="M52" s="578">
        <f>IFERROR(VLOOKUP(A52, Race_2024_Seasonal!A:W, 16, FALSE), 0)</f>
        <v>0</v>
      </c>
      <c r="N52" s="578">
        <f>IFERROR(VLOOKUP(A52, Race_2024_Seasonal!A:W, 17, FALSE), 0)</f>
        <v>0</v>
      </c>
      <c r="O52" s="589">
        <f>IFERROR(VLOOKUP(A52, Race_2024_Seasonal!A:W, 18, FALSE), 0)</f>
        <v>0</v>
      </c>
      <c r="Q52" s="587">
        <f t="shared" si="11"/>
        <v>0</v>
      </c>
      <c r="S52" s="641">
        <f>Q52-KeyData!H53</f>
        <v>0</v>
      </c>
    </row>
    <row r="53" spans="1:19" ht="12.75" customHeight="1" x14ac:dyDescent="0.25">
      <c r="A53" s="836" t="s">
        <v>1391</v>
      </c>
      <c r="B53" s="836"/>
      <c r="C53" s="839" t="s">
        <v>1402</v>
      </c>
      <c r="D53" s="578">
        <f>IFERROR(VLOOKUP(A53, Race_2024_Seasonal!A:W, 7, FALSE), 0)</f>
        <v>342195.27100000001</v>
      </c>
      <c r="E53" s="578">
        <f>IFERROR(VLOOKUP(A53, Race_2024_Seasonal!A:W, 8, FALSE), 0)</f>
        <v>56247.663</v>
      </c>
      <c r="F53" s="578">
        <f>IFERROR(VLOOKUP(A53, Race_2024_Seasonal!A:W, 9, FALSE), 0)</f>
        <v>260720.872</v>
      </c>
      <c r="G53" s="578">
        <f>IFERROR(VLOOKUP(A53, Race_2024_Seasonal!A:W, 10, FALSE), 0)</f>
        <v>0</v>
      </c>
      <c r="H53" s="578">
        <f>IFERROR(VLOOKUP(A53, Race_2024_Seasonal!A:W, 11, FALSE), 0)</f>
        <v>304420.53399999999</v>
      </c>
      <c r="I53" s="578">
        <f>IFERROR(VLOOKUP(A53, Race_2024_Seasonal!A:W, 12, FALSE), 0)</f>
        <v>0</v>
      </c>
      <c r="J53" s="578">
        <f>IFERROR(VLOOKUP(A53, Race_2024_Seasonal!A:W, 13, FALSE), 0)</f>
        <v>0</v>
      </c>
      <c r="K53" s="578">
        <f>IFERROR(VLOOKUP(A53, Race_2024_Seasonal!A:W, 14, FALSE), 0)</f>
        <v>375556.783</v>
      </c>
      <c r="L53" s="578">
        <f>IFERROR(VLOOKUP(A53, Race_2024_Seasonal!A:W, 15, FALSE), 0)</f>
        <v>0</v>
      </c>
      <c r="M53" s="578">
        <f>IFERROR(VLOOKUP(A53, Race_2024_Seasonal!A:W, 16, FALSE), 0)</f>
        <v>370784.25400000002</v>
      </c>
      <c r="N53" s="578">
        <f>IFERROR(VLOOKUP(A53, Race_2024_Seasonal!A:W, 17, FALSE), 0)</f>
        <v>0</v>
      </c>
      <c r="O53" s="589">
        <f>IFERROR(VLOOKUP(A53, Race_2024_Seasonal!A:W, 18, FALSE), 0)</f>
        <v>296627.33500000002</v>
      </c>
      <c r="Q53" s="587">
        <f t="shared" si="11"/>
        <v>2006552.7119999998</v>
      </c>
      <c r="S53" s="641">
        <f>Q53-KeyData!H54</f>
        <v>0</v>
      </c>
    </row>
    <row r="54" spans="1:19" ht="12.75" customHeight="1" x14ac:dyDescent="0.25">
      <c r="A54" s="836" t="s">
        <v>1392</v>
      </c>
      <c r="B54" s="836"/>
      <c r="C54" s="839" t="s">
        <v>1403</v>
      </c>
      <c r="D54" s="578">
        <f>IFERROR(VLOOKUP(A54, Race_2024_Seasonal!A:W, 7, FALSE), 0)</f>
        <v>47725.29</v>
      </c>
      <c r="E54" s="578">
        <f>IFERROR(VLOOKUP(A54, Race_2024_Seasonal!A:W, 8, FALSE), 0)</f>
        <v>1961183.6440000001</v>
      </c>
      <c r="F54" s="578">
        <f>IFERROR(VLOOKUP(A54, Race_2024_Seasonal!A:W, 9, FALSE), 0)</f>
        <v>2240918.9</v>
      </c>
      <c r="G54" s="578">
        <f>IFERROR(VLOOKUP(A54, Race_2024_Seasonal!A:W, 10, FALSE), 0)</f>
        <v>567196.09900000005</v>
      </c>
      <c r="H54" s="578">
        <f>IFERROR(VLOOKUP(A54, Race_2024_Seasonal!A:W, 11, FALSE), 0)</f>
        <v>571885.79700000002</v>
      </c>
      <c r="I54" s="578">
        <f>IFERROR(VLOOKUP(A54, Race_2024_Seasonal!A:W, 12, FALSE), 0)</f>
        <v>161988.826</v>
      </c>
      <c r="J54" s="578">
        <f>IFERROR(VLOOKUP(A54, Race_2024_Seasonal!A:W, 13, FALSE), 0)</f>
        <v>151027.60399999999</v>
      </c>
      <c r="K54" s="578">
        <f>IFERROR(VLOOKUP(A54, Race_2024_Seasonal!A:W, 14, FALSE), 0)</f>
        <v>550637.23499999999</v>
      </c>
      <c r="L54" s="578">
        <f>IFERROR(VLOOKUP(A54, Race_2024_Seasonal!A:W, 15, FALSE), 0)</f>
        <v>342447.29499999998</v>
      </c>
      <c r="M54" s="578">
        <f>IFERROR(VLOOKUP(A54, Race_2024_Seasonal!A:W, 16, FALSE), 0)</f>
        <v>490365.64199999999</v>
      </c>
      <c r="N54" s="578">
        <f>IFERROR(VLOOKUP(A54, Race_2024_Seasonal!A:W, 17, FALSE), 0)</f>
        <v>116000</v>
      </c>
      <c r="O54" s="589">
        <f>IFERROR(VLOOKUP(A54, Race_2024_Seasonal!A:W, 18, FALSE), 0)</f>
        <v>223300</v>
      </c>
      <c r="Q54" s="587">
        <f t="shared" si="11"/>
        <v>7424676.3320000013</v>
      </c>
      <c r="S54" s="641">
        <f>Q54-KeyData!H55</f>
        <v>0</v>
      </c>
    </row>
    <row r="55" spans="1:19" ht="12.75" customHeight="1" x14ac:dyDescent="0.25">
      <c r="A55" s="836" t="s">
        <v>1393</v>
      </c>
      <c r="B55" s="836"/>
      <c r="C55" s="839" t="s">
        <v>1404</v>
      </c>
      <c r="D55" s="578">
        <f>IFERROR(VLOOKUP(A55, Race_2024_Seasonal!A:W, 7, FALSE), 0)</f>
        <v>0</v>
      </c>
      <c r="E55" s="578">
        <f>IFERROR(VLOOKUP(A55, Race_2024_Seasonal!A:W, 8, FALSE), 0)</f>
        <v>0</v>
      </c>
      <c r="F55" s="578">
        <f>IFERROR(VLOOKUP(A55, Race_2024_Seasonal!A:W, 9, FALSE), 0)</f>
        <v>0</v>
      </c>
      <c r="G55" s="578">
        <f>IFERROR(VLOOKUP(A55, Race_2024_Seasonal!A:W, 10, FALSE), 0)</f>
        <v>0</v>
      </c>
      <c r="H55" s="578">
        <f>IFERROR(VLOOKUP(A55, Race_2024_Seasonal!A:W, 11, FALSE), 0)</f>
        <v>0</v>
      </c>
      <c r="I55" s="578">
        <f>IFERROR(VLOOKUP(A55, Race_2024_Seasonal!A:W, 12, FALSE), 0)</f>
        <v>0</v>
      </c>
      <c r="J55" s="578">
        <f>IFERROR(VLOOKUP(A55, Race_2024_Seasonal!A:W, 13, FALSE), 0)</f>
        <v>0</v>
      </c>
      <c r="K55" s="578">
        <f>IFERROR(VLOOKUP(A55, Race_2024_Seasonal!A:W, 14, FALSE), 0)</f>
        <v>0</v>
      </c>
      <c r="L55" s="578">
        <f>IFERROR(VLOOKUP(A55, Race_2024_Seasonal!A:W, 15, FALSE), 0)</f>
        <v>0</v>
      </c>
      <c r="M55" s="578">
        <f>IFERROR(VLOOKUP(A55, Race_2024_Seasonal!A:W, 16, FALSE), 0)</f>
        <v>0</v>
      </c>
      <c r="N55" s="578">
        <f>IFERROR(VLOOKUP(A55, Race_2024_Seasonal!A:W, 17, FALSE), 0)</f>
        <v>0</v>
      </c>
      <c r="O55" s="589">
        <f>IFERROR(VLOOKUP(A55, Race_2024_Seasonal!A:W, 18, FALSE), 0)</f>
        <v>0</v>
      </c>
      <c r="Q55" s="587">
        <f t="shared" si="11"/>
        <v>0</v>
      </c>
      <c r="S55" s="641">
        <f>Q55-KeyData!H56</f>
        <v>0</v>
      </c>
    </row>
    <row r="56" spans="1:19" ht="12.75" customHeight="1" x14ac:dyDescent="0.25">
      <c r="A56" s="451" t="s">
        <v>1394</v>
      </c>
      <c r="B56" s="451"/>
      <c r="C56" s="839" t="s">
        <v>1405</v>
      </c>
      <c r="D56" s="578">
        <f>IFERROR(VLOOKUP(A56, Race_2024_Seasonal!A:W, 7, FALSE), 0)</f>
        <v>0</v>
      </c>
      <c r="E56" s="578">
        <f>IFERROR(VLOOKUP(A56, Race_2024_Seasonal!A:W, 8, FALSE), 0)</f>
        <v>0</v>
      </c>
      <c r="F56" s="578">
        <f>IFERROR(VLOOKUP(A56, Race_2024_Seasonal!A:W, 9, FALSE), 0)</f>
        <v>0</v>
      </c>
      <c r="G56" s="578">
        <f>IFERROR(VLOOKUP(A56, Race_2024_Seasonal!A:W, 10, FALSE), 0)</f>
        <v>0</v>
      </c>
      <c r="H56" s="578">
        <f>IFERROR(VLOOKUP(A56, Race_2024_Seasonal!A:W, 11, FALSE), 0)</f>
        <v>0</v>
      </c>
      <c r="I56" s="578">
        <f>IFERROR(VLOOKUP(A56, Race_2024_Seasonal!A:W, 12, FALSE), 0)</f>
        <v>0</v>
      </c>
      <c r="J56" s="578">
        <f>IFERROR(VLOOKUP(A56, Race_2024_Seasonal!A:W, 13, FALSE), 0)</f>
        <v>0</v>
      </c>
      <c r="K56" s="578">
        <f>IFERROR(VLOOKUP(A56, Race_2024_Seasonal!A:W, 14, FALSE), 0)</f>
        <v>0</v>
      </c>
      <c r="L56" s="578">
        <f>IFERROR(VLOOKUP(A56, Race_2024_Seasonal!A:W, 15, FALSE), 0)</f>
        <v>0</v>
      </c>
      <c r="M56" s="578">
        <f>IFERROR(VLOOKUP(A56, Race_2024_Seasonal!A:W, 16, FALSE), 0)</f>
        <v>0</v>
      </c>
      <c r="N56" s="578">
        <f>IFERROR(VLOOKUP(A56, Race_2024_Seasonal!A:W, 17, FALSE), 0)</f>
        <v>0</v>
      </c>
      <c r="O56" s="589">
        <f>IFERROR(VLOOKUP(A56, Race_2024_Seasonal!A:W, 18, FALSE), 0)</f>
        <v>0</v>
      </c>
      <c r="Q56" s="587">
        <f t="shared" si="11"/>
        <v>0</v>
      </c>
      <c r="S56" s="641">
        <f>Q56-KeyData!H57</f>
        <v>0</v>
      </c>
    </row>
    <row r="57" spans="1:19" ht="12.75" customHeight="1" x14ac:dyDescent="0.25">
      <c r="A57" s="451" t="s">
        <v>1395</v>
      </c>
      <c r="B57" s="451"/>
      <c r="C57" s="839" t="s">
        <v>1406</v>
      </c>
      <c r="D57" s="578">
        <f>IFERROR(VLOOKUP(A57, Race_2024_Seasonal!A:W, 7, FALSE), 0)</f>
        <v>0</v>
      </c>
      <c r="E57" s="578">
        <f>IFERROR(VLOOKUP(A57, Race_2024_Seasonal!A:W, 8, FALSE), 0)</f>
        <v>0</v>
      </c>
      <c r="F57" s="578">
        <f>IFERROR(VLOOKUP(A57, Race_2024_Seasonal!A:W, 9, FALSE), 0)</f>
        <v>19260.562999999998</v>
      </c>
      <c r="G57" s="578">
        <f>IFERROR(VLOOKUP(A57, Race_2024_Seasonal!A:W, 10, FALSE), 0)</f>
        <v>0</v>
      </c>
      <c r="H57" s="578">
        <f>IFERROR(VLOOKUP(A57, Race_2024_Seasonal!A:W, 11, FALSE), 0)</f>
        <v>0</v>
      </c>
      <c r="I57" s="578">
        <f>IFERROR(VLOOKUP(A57, Race_2024_Seasonal!A:W, 12, FALSE), 0)</f>
        <v>45959.453999999998</v>
      </c>
      <c r="J57" s="578">
        <f>IFERROR(VLOOKUP(A57, Race_2024_Seasonal!A:W, 13, FALSE), 0)</f>
        <v>3698.71</v>
      </c>
      <c r="K57" s="578">
        <f>IFERROR(VLOOKUP(A57, Race_2024_Seasonal!A:W, 14, FALSE), 0)</f>
        <v>0</v>
      </c>
      <c r="L57" s="578">
        <f>IFERROR(VLOOKUP(A57, Race_2024_Seasonal!A:W, 15, FALSE), 0)</f>
        <v>0</v>
      </c>
      <c r="M57" s="578">
        <f>IFERROR(VLOOKUP(A57, Race_2024_Seasonal!A:W, 16, FALSE), 0)</f>
        <v>0</v>
      </c>
      <c r="N57" s="578">
        <f>IFERROR(VLOOKUP(A57, Race_2024_Seasonal!A:W, 17, FALSE), 0)</f>
        <v>3996.8229999999999</v>
      </c>
      <c r="O57" s="589">
        <f>IFERROR(VLOOKUP(A57, Race_2024_Seasonal!A:W, 18, FALSE), 0)</f>
        <v>0</v>
      </c>
      <c r="Q57" s="587">
        <f t="shared" si="11"/>
        <v>72915.55</v>
      </c>
      <c r="S57" s="641">
        <f>Q57-KeyData!H58</f>
        <v>0</v>
      </c>
    </row>
    <row r="58" spans="1:19" ht="12.75" customHeight="1" x14ac:dyDescent="0.25">
      <c r="A58" s="451" t="s">
        <v>1396</v>
      </c>
      <c r="B58" s="451"/>
      <c r="C58" s="839" t="s">
        <v>1407</v>
      </c>
      <c r="D58" s="578">
        <f>IFERROR(VLOOKUP(A58, Race_2024_Seasonal!A:W, 7, FALSE), 0)</f>
        <v>0</v>
      </c>
      <c r="E58" s="578">
        <f>IFERROR(VLOOKUP(A58, Race_2024_Seasonal!A:W, 8, FALSE), 0)</f>
        <v>0</v>
      </c>
      <c r="F58" s="578">
        <f>IFERROR(VLOOKUP(A58, Race_2024_Seasonal!A:W, 9, FALSE), 0)</f>
        <v>0</v>
      </c>
      <c r="G58" s="578">
        <f>IFERROR(VLOOKUP(A58, Race_2024_Seasonal!A:W, 10, FALSE), 0)</f>
        <v>0</v>
      </c>
      <c r="H58" s="578">
        <f>IFERROR(VLOOKUP(A58, Race_2024_Seasonal!A:W, 11, FALSE), 0)</f>
        <v>0</v>
      </c>
      <c r="I58" s="578">
        <f>IFERROR(VLOOKUP(A58, Race_2024_Seasonal!A:W, 12, FALSE), 0)</f>
        <v>0</v>
      </c>
      <c r="J58" s="578">
        <f>IFERROR(VLOOKUP(A58, Race_2024_Seasonal!A:W, 13, FALSE), 0)</f>
        <v>0</v>
      </c>
      <c r="K58" s="578">
        <f>IFERROR(VLOOKUP(A58, Race_2024_Seasonal!A:W, 14, FALSE), 0)</f>
        <v>0</v>
      </c>
      <c r="L58" s="578">
        <f>IFERROR(VLOOKUP(A58, Race_2024_Seasonal!A:W, 15, FALSE), 0)</f>
        <v>0</v>
      </c>
      <c r="M58" s="578">
        <f>IFERROR(VLOOKUP(A58, Race_2024_Seasonal!A:W, 16, FALSE), 0)</f>
        <v>0</v>
      </c>
      <c r="N58" s="578">
        <f>IFERROR(VLOOKUP(A58, Race_2024_Seasonal!A:W, 17, FALSE), 0)</f>
        <v>0</v>
      </c>
      <c r="O58" s="589">
        <f>IFERROR(VLOOKUP(A58, Race_2024_Seasonal!A:W, 18, FALSE), 0)</f>
        <v>0</v>
      </c>
      <c r="Q58" s="587">
        <f t="shared" si="11"/>
        <v>0</v>
      </c>
      <c r="S58" s="641">
        <f>Q58-KeyData!H59</f>
        <v>0</v>
      </c>
    </row>
    <row r="59" spans="1:19" ht="12.75" customHeight="1" x14ac:dyDescent="0.25">
      <c r="A59" s="451" t="s">
        <v>1397</v>
      </c>
      <c r="B59" s="451"/>
      <c r="C59" s="839" t="s">
        <v>1408</v>
      </c>
      <c r="D59" s="578">
        <f>IFERROR(VLOOKUP(A59, Race_2024_Seasonal!A:W, 7, FALSE), 0)</f>
        <v>0</v>
      </c>
      <c r="E59" s="578">
        <f>IFERROR(VLOOKUP(A59, Race_2024_Seasonal!A:W, 8, FALSE), 0)</f>
        <v>0</v>
      </c>
      <c r="F59" s="578">
        <f>IFERROR(VLOOKUP(A59, Race_2024_Seasonal!A:W, 9, FALSE), 0)</f>
        <v>0</v>
      </c>
      <c r="G59" s="578">
        <f>IFERROR(VLOOKUP(A59, Race_2024_Seasonal!A:W, 10, FALSE), 0)</f>
        <v>0</v>
      </c>
      <c r="H59" s="578">
        <f>IFERROR(VLOOKUP(A59, Race_2024_Seasonal!A:W, 11, FALSE), 0)</f>
        <v>0</v>
      </c>
      <c r="I59" s="578">
        <f>IFERROR(VLOOKUP(A59, Race_2024_Seasonal!A:W, 12, FALSE), 0)</f>
        <v>0</v>
      </c>
      <c r="J59" s="578">
        <f>IFERROR(VLOOKUP(A59, Race_2024_Seasonal!A:W, 13, FALSE), 0)</f>
        <v>0</v>
      </c>
      <c r="K59" s="578">
        <f>IFERROR(VLOOKUP(A59, Race_2024_Seasonal!A:W, 14, FALSE), 0)</f>
        <v>0</v>
      </c>
      <c r="L59" s="578">
        <f>IFERROR(VLOOKUP(A59, Race_2024_Seasonal!A:W, 15, FALSE), 0)</f>
        <v>0</v>
      </c>
      <c r="M59" s="578">
        <f>IFERROR(VLOOKUP(A59, Race_2024_Seasonal!A:W, 16, FALSE), 0)</f>
        <v>0</v>
      </c>
      <c r="N59" s="578">
        <f>IFERROR(VLOOKUP(A59, Race_2024_Seasonal!A:W, 17, FALSE), 0)</f>
        <v>0</v>
      </c>
      <c r="O59" s="589">
        <f>IFERROR(VLOOKUP(A59, Race_2024_Seasonal!A:W, 18, FALSE), 0)</f>
        <v>0</v>
      </c>
      <c r="Q59" s="587">
        <f t="shared" si="11"/>
        <v>0</v>
      </c>
      <c r="S59" s="641">
        <f>Q59-KeyData!H60</f>
        <v>0</v>
      </c>
    </row>
    <row r="60" spans="1:19" ht="12.75" customHeight="1" x14ac:dyDescent="0.25">
      <c r="A60" s="451" t="s">
        <v>1398</v>
      </c>
      <c r="B60" s="451"/>
      <c r="C60" s="847" t="s">
        <v>1409</v>
      </c>
      <c r="D60" s="585">
        <f>IFERROR(VLOOKUP(A60, Race_2024_Seasonal!A:W, 7, FALSE), 0)</f>
        <v>0</v>
      </c>
      <c r="E60" s="585">
        <f>IFERROR(VLOOKUP(A60, Race_2024_Seasonal!A:W, 8, FALSE), 0)</f>
        <v>994700</v>
      </c>
      <c r="F60" s="585">
        <f>IFERROR(VLOOKUP(A60, Race_2024_Seasonal!A:W, 9, FALSE), 0)</f>
        <v>195750</v>
      </c>
      <c r="G60" s="585">
        <f>IFERROR(VLOOKUP(A60, Race_2024_Seasonal!A:W, 10, FALSE), 0)</f>
        <v>0</v>
      </c>
      <c r="H60" s="585">
        <f>IFERROR(VLOOKUP(A60, Race_2024_Seasonal!A:W, 11, FALSE), 0)</f>
        <v>63800</v>
      </c>
      <c r="I60" s="585">
        <f>IFERROR(VLOOKUP(A60, Race_2024_Seasonal!A:W, 12, FALSE), 0)</f>
        <v>0</v>
      </c>
      <c r="J60" s="585">
        <f>IFERROR(VLOOKUP(A60, Race_2024_Seasonal!A:W, 13, FALSE), 0)</f>
        <v>0</v>
      </c>
      <c r="K60" s="585">
        <f>IFERROR(VLOOKUP(A60, Race_2024_Seasonal!A:W, 14, FALSE), 0)</f>
        <v>150800</v>
      </c>
      <c r="L60" s="585">
        <f>IFERROR(VLOOKUP(A60, Race_2024_Seasonal!A:W, 15, FALSE), 0)</f>
        <v>0</v>
      </c>
      <c r="M60" s="585">
        <f>IFERROR(VLOOKUP(A60, Race_2024_Seasonal!A:W, 16, FALSE), 0)</f>
        <v>0</v>
      </c>
      <c r="N60" s="585">
        <f>IFERROR(VLOOKUP(A60, Race_2024_Seasonal!A:W, 17, FALSE), 0)</f>
        <v>60900</v>
      </c>
      <c r="O60" s="584">
        <f>IFERROR(VLOOKUP(A60, Race_2024_Seasonal!A:W, 18, FALSE), 0)</f>
        <v>0</v>
      </c>
      <c r="Q60" s="583">
        <f t="shared" si="11"/>
        <v>1465950</v>
      </c>
      <c r="S60" s="641">
        <f>Q60-KeyData!H61</f>
        <v>0</v>
      </c>
    </row>
    <row r="61" spans="1:19" ht="12.75" customHeight="1" x14ac:dyDescent="0.25">
      <c r="S61" s="641">
        <f>Q61-KeyData!H62</f>
        <v>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>
      <selection activeCell="O1" sqref="O1"/>
    </sheetView>
  </sheetViews>
  <sheetFormatPr defaultRowHeight="15" x14ac:dyDescent="0.25"/>
  <cols>
    <col min="1" max="1" width="19.85546875" bestFit="1" customWidth="1"/>
    <col min="2" max="2" width="25" bestFit="1" customWidth="1"/>
    <col min="3" max="3" width="20.85546875" bestFit="1" customWidth="1"/>
    <col min="4" max="4" width="10.42578125" bestFit="1" customWidth="1"/>
    <col min="5" max="5" width="19.5703125" bestFit="1" customWidth="1"/>
    <col min="6" max="6" width="10.5703125" bestFit="1" customWidth="1"/>
    <col min="7" max="7" width="12.140625" bestFit="1" customWidth="1"/>
    <col min="8" max="8" width="15.42578125" bestFit="1" customWidth="1"/>
    <col min="9" max="12" width="13.42578125" bestFit="1" customWidth="1"/>
    <col min="13" max="13" width="8.28515625" bestFit="1" customWidth="1"/>
    <col min="14" max="14" width="9.7109375" bestFit="1" customWidth="1"/>
    <col min="15" max="16" width="8.28515625" bestFit="1" customWidth="1"/>
    <col min="17" max="18" width="8.28515625" style="613" bestFit="1" customWidth="1"/>
    <col min="19" max="21" width="8.28515625" bestFit="1" customWidth="1"/>
  </cols>
  <sheetData>
    <row r="1" spans="1:18" x14ac:dyDescent="0.25">
      <c r="B1" s="997" t="s">
        <v>797</v>
      </c>
      <c r="C1" s="998"/>
      <c r="D1" s="997" t="s">
        <v>1151</v>
      </c>
      <c r="E1" s="997" t="s">
        <v>700</v>
      </c>
      <c r="F1" s="805" t="s">
        <v>874</v>
      </c>
      <c r="G1" s="805" t="s">
        <v>1433</v>
      </c>
      <c r="H1" s="805" t="s">
        <v>1434</v>
      </c>
      <c r="I1" s="805" t="s">
        <v>821</v>
      </c>
      <c r="J1" s="805" t="s">
        <v>1435</v>
      </c>
      <c r="K1" s="805" t="s">
        <v>1436</v>
      </c>
      <c r="L1" s="805" t="s">
        <v>1437</v>
      </c>
      <c r="N1" s="675" t="s">
        <v>226</v>
      </c>
      <c r="O1" s="675" t="s">
        <v>226</v>
      </c>
      <c r="P1" t="s">
        <v>983</v>
      </c>
      <c r="Q1"/>
      <c r="R1"/>
    </row>
    <row r="2" spans="1:18" x14ac:dyDescent="0.25">
      <c r="A2" s="451" t="str">
        <f xml:space="preserve"> IFERROR(+B2*1,B2)&amp;"_"&amp;IFERROR(+D2*1,D2)</f>
        <v>122100000_100</v>
      </c>
      <c r="B2" s="1001" t="s">
        <v>1377</v>
      </c>
      <c r="C2" s="806" t="s">
        <v>1378</v>
      </c>
      <c r="D2" s="805" t="s">
        <v>1171</v>
      </c>
      <c r="E2" s="1016" t="s">
        <v>1153</v>
      </c>
      <c r="F2" s="612"/>
      <c r="G2" s="612">
        <v>4002384.3029999998</v>
      </c>
      <c r="H2" s="612">
        <v>23598.113000000001</v>
      </c>
      <c r="I2" s="612">
        <v>4001313.838</v>
      </c>
      <c r="J2" s="612">
        <v>23598.113000000001</v>
      </c>
      <c r="K2" s="612">
        <v>23598.113000000001</v>
      </c>
      <c r="L2" s="1017">
        <v>23598.113000000001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 x14ac:dyDescent="0.25">
      <c r="A3" s="451" t="str">
        <f t="shared" ref="A3:A66" si="0" xml:space="preserve"> IFERROR(+B3*1,B3)&amp;"_"&amp;IFERROR(+D3*1,D3)</f>
        <v>122100000_110</v>
      </c>
      <c r="B3" s="1001" t="s">
        <v>1377</v>
      </c>
      <c r="C3" s="806" t="s">
        <v>1378</v>
      </c>
      <c r="D3" s="805" t="s">
        <v>1172</v>
      </c>
      <c r="E3" s="1016" t="s">
        <v>1173</v>
      </c>
      <c r="F3" s="612"/>
      <c r="G3" s="612">
        <v>9754.7669999999998</v>
      </c>
      <c r="H3" s="612">
        <v>2630</v>
      </c>
      <c r="I3" s="612"/>
      <c r="J3" s="612"/>
      <c r="K3" s="612"/>
      <c r="L3" s="1017">
        <v>11931.322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 x14ac:dyDescent="0.25">
      <c r="A4" s="451" t="str">
        <f t="shared" si="0"/>
        <v>122100000_120</v>
      </c>
      <c r="B4" s="1001" t="s">
        <v>1377</v>
      </c>
      <c r="C4" s="806" t="s">
        <v>1378</v>
      </c>
      <c r="D4" s="805" t="s">
        <v>1174</v>
      </c>
      <c r="E4" s="1016" t="s">
        <v>1175</v>
      </c>
      <c r="F4" s="612"/>
      <c r="G4" s="612">
        <v>-9757.14</v>
      </c>
      <c r="H4" s="612"/>
      <c r="I4" s="612"/>
      <c r="J4" s="612"/>
      <c r="K4" s="612"/>
      <c r="L4" s="1017"/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 x14ac:dyDescent="0.25">
      <c r="A5" s="451" t="str">
        <f t="shared" si="0"/>
        <v>122100000_148</v>
      </c>
      <c r="B5" s="1001" t="s">
        <v>1377</v>
      </c>
      <c r="C5" s="806" t="s">
        <v>1378</v>
      </c>
      <c r="D5" s="805" t="s">
        <v>1483</v>
      </c>
      <c r="E5" s="1016" t="s">
        <v>1484</v>
      </c>
      <c r="F5" s="612"/>
      <c r="G5" s="612">
        <v>-1070.4649999999999</v>
      </c>
      <c r="H5" s="612"/>
      <c r="I5" s="612"/>
      <c r="J5" s="612"/>
      <c r="K5" s="612"/>
      <c r="L5" s="1017"/>
      <c r="N5" t="e">
        <f>VLOOKUP(A5, 'P&amp;L'!A:B,1,FALSE)</f>
        <v>#N/A</v>
      </c>
      <c r="O5" t="e">
        <f>VLOOKUP(A5, KeyData!A:C,1,FALSE)</f>
        <v>#N/A</v>
      </c>
      <c r="Q5"/>
      <c r="R5"/>
    </row>
    <row r="6" spans="1:18" x14ac:dyDescent="0.25">
      <c r="A6" s="451" t="str">
        <f t="shared" si="0"/>
        <v>122100000_160</v>
      </c>
      <c r="B6" s="1001" t="s">
        <v>1377</v>
      </c>
      <c r="C6" s="806" t="s">
        <v>1378</v>
      </c>
      <c r="D6" s="805" t="s">
        <v>1513</v>
      </c>
      <c r="E6" s="1016" t="s">
        <v>1514</v>
      </c>
      <c r="F6" s="612"/>
      <c r="G6" s="612">
        <v>0</v>
      </c>
      <c r="H6" s="612">
        <v>0</v>
      </c>
      <c r="I6" s="612"/>
      <c r="J6" s="612">
        <v>0</v>
      </c>
      <c r="K6" s="612">
        <v>0</v>
      </c>
      <c r="L6" s="1017"/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 x14ac:dyDescent="0.25">
      <c r="A7" s="451" t="str">
        <f t="shared" si="0"/>
        <v>122100000_200</v>
      </c>
      <c r="B7" s="1001" t="s">
        <v>1377</v>
      </c>
      <c r="C7" s="806" t="s">
        <v>1378</v>
      </c>
      <c r="D7" s="805" t="s">
        <v>1181</v>
      </c>
      <c r="E7" s="1016" t="s">
        <v>1153</v>
      </c>
      <c r="F7" s="612"/>
      <c r="G7" s="612">
        <v>-1941791.1640000001</v>
      </c>
      <c r="H7" s="612">
        <v>-13984.184999999999</v>
      </c>
      <c r="I7" s="612">
        <v>-2739073.9780000001</v>
      </c>
      <c r="J7" s="612">
        <v>-13984.184999999999</v>
      </c>
      <c r="K7" s="612">
        <v>-13984.184999999999</v>
      </c>
      <c r="L7" s="1017">
        <v>-20688.638999999999</v>
      </c>
      <c r="M7" s="451"/>
      <c r="N7" t="e">
        <f>VLOOKUP(A7, 'P&amp;L'!A:B,1,FALSE)</f>
        <v>#N/A</v>
      </c>
      <c r="O7" t="e">
        <f>VLOOKUP(A7, KeyData!A:C,1,FALSE)</f>
        <v>#N/A</v>
      </c>
      <c r="P7" s="451"/>
    </row>
    <row r="8" spans="1:18" x14ac:dyDescent="0.25">
      <c r="A8" s="451" t="str">
        <f t="shared" si="0"/>
        <v>122100000_210</v>
      </c>
      <c r="B8" s="1001" t="s">
        <v>1377</v>
      </c>
      <c r="C8" s="806" t="s">
        <v>1378</v>
      </c>
      <c r="D8" s="805" t="s">
        <v>1182</v>
      </c>
      <c r="E8" s="1016" t="s">
        <v>1183</v>
      </c>
      <c r="F8" s="612"/>
      <c r="G8" s="612">
        <v>-798872.53899999999</v>
      </c>
      <c r="H8" s="612">
        <v>-3072.4250000000002</v>
      </c>
      <c r="I8" s="612">
        <v>-6247.1279999999997</v>
      </c>
      <c r="J8" s="612">
        <v>-5681.6769999999997</v>
      </c>
      <c r="K8" s="612">
        <v>-6704.4539999999997</v>
      </c>
      <c r="L8" s="1017">
        <v>-8358.7469999999994</v>
      </c>
      <c r="M8" s="451"/>
      <c r="N8" t="e">
        <f>VLOOKUP(A8, 'P&amp;L'!A:B,1,FALSE)</f>
        <v>#N/A</v>
      </c>
      <c r="O8" t="e">
        <f>VLOOKUP(A8, KeyData!A:C,1,FALSE)</f>
        <v>#N/A</v>
      </c>
      <c r="P8" s="451"/>
    </row>
    <row r="9" spans="1:18" x14ac:dyDescent="0.25">
      <c r="A9" s="451" t="str">
        <f t="shared" si="0"/>
        <v>122100000_220</v>
      </c>
      <c r="B9" s="1001" t="s">
        <v>1377</v>
      </c>
      <c r="C9" s="806" t="s">
        <v>1378</v>
      </c>
      <c r="D9" s="805" t="s">
        <v>1186</v>
      </c>
      <c r="E9" s="1016" t="s">
        <v>1187</v>
      </c>
      <c r="F9" s="612"/>
      <c r="G9" s="612">
        <v>9757.14</v>
      </c>
      <c r="H9" s="612"/>
      <c r="I9" s="612"/>
      <c r="J9" s="612"/>
      <c r="K9" s="612"/>
      <c r="L9" s="1017"/>
      <c r="M9" s="451"/>
      <c r="N9" t="e">
        <f>VLOOKUP(A9, 'P&amp;L'!A:B,1,FALSE)</f>
        <v>#N/A</v>
      </c>
      <c r="O9" t="e">
        <f>VLOOKUP(A9, KeyData!A:C,1,FALSE)</f>
        <v>#N/A</v>
      </c>
      <c r="P9" s="451"/>
    </row>
    <row r="10" spans="1:18" x14ac:dyDescent="0.25">
      <c r="A10" s="451" t="str">
        <f t="shared" si="0"/>
        <v>122100000_248</v>
      </c>
      <c r="B10" s="1001" t="s">
        <v>1377</v>
      </c>
      <c r="C10" s="806" t="s">
        <v>1378</v>
      </c>
      <c r="D10" s="805" t="s">
        <v>1485</v>
      </c>
      <c r="E10" s="1016" t="s">
        <v>1484</v>
      </c>
      <c r="F10" s="612"/>
      <c r="G10" s="612">
        <v>1070.568</v>
      </c>
      <c r="H10" s="612"/>
      <c r="I10" s="612"/>
      <c r="J10" s="612"/>
      <c r="K10" s="612"/>
      <c r="L10" s="1017"/>
      <c r="M10" s="451"/>
      <c r="N10" t="e">
        <f>VLOOKUP(A10, 'P&amp;L'!A:B,1,FALSE)</f>
        <v>#N/A</v>
      </c>
      <c r="O10" t="e">
        <f>VLOOKUP(A10, KeyData!A:C,1,FALSE)</f>
        <v>#N/A</v>
      </c>
      <c r="P10" s="451"/>
    </row>
    <row r="11" spans="1:18" x14ac:dyDescent="0.25">
      <c r="A11" s="451" t="str">
        <f t="shared" si="0"/>
        <v>122100000_260</v>
      </c>
      <c r="B11" s="1001" t="s">
        <v>1377</v>
      </c>
      <c r="C11" s="806" t="s">
        <v>1378</v>
      </c>
      <c r="D11" s="805" t="s">
        <v>1515</v>
      </c>
      <c r="E11" s="1016" t="s">
        <v>1514</v>
      </c>
      <c r="F11" s="612"/>
      <c r="G11" s="612">
        <v>0</v>
      </c>
      <c r="H11" s="612">
        <v>0</v>
      </c>
      <c r="I11" s="612"/>
      <c r="J11" s="612">
        <v>0</v>
      </c>
      <c r="K11" s="612">
        <v>0</v>
      </c>
      <c r="L11" s="1017"/>
      <c r="M11" s="451"/>
      <c r="N11" t="e">
        <f>VLOOKUP(A11, 'P&amp;L'!A:B,1,FALSE)</f>
        <v>#N/A</v>
      </c>
      <c r="O11" t="e">
        <f>VLOOKUP(A11, KeyData!A:C,1,FALSE)</f>
        <v>#N/A</v>
      </c>
      <c r="P11" s="451"/>
    </row>
    <row r="12" spans="1:18" x14ac:dyDescent="0.25">
      <c r="A12" s="451" t="str">
        <f t="shared" si="0"/>
        <v>122100000_Result</v>
      </c>
      <c r="B12" s="1001" t="s">
        <v>1377</v>
      </c>
      <c r="C12" s="806" t="s">
        <v>1378</v>
      </c>
      <c r="D12" s="834" t="s">
        <v>1160</v>
      </c>
      <c r="E12" s="1020"/>
      <c r="F12" s="833"/>
      <c r="G12" s="833">
        <v>1271475.47</v>
      </c>
      <c r="H12" s="833">
        <v>9171.5030000000006</v>
      </c>
      <c r="I12" s="833">
        <v>1255992.7320000001</v>
      </c>
      <c r="J12" s="833">
        <v>3932.2510000000002</v>
      </c>
      <c r="K12" s="833">
        <v>2909.4740000000002</v>
      </c>
      <c r="L12" s="1018">
        <v>6482.049</v>
      </c>
      <c r="M12" s="451"/>
      <c r="N12" t="e">
        <f>VLOOKUP(A12, 'P&amp;L'!A:B,1,FALSE)</f>
        <v>#N/A</v>
      </c>
      <c r="O12" t="e">
        <f>VLOOKUP(A12, KeyData!A:C,1,FALSE)</f>
        <v>#N/A</v>
      </c>
      <c r="P12" s="451"/>
    </row>
    <row r="13" spans="1:18" x14ac:dyDescent="0.25">
      <c r="A13" s="451" t="str">
        <f t="shared" si="0"/>
        <v>122133000_100</v>
      </c>
      <c r="B13" s="1002" t="s">
        <v>1379</v>
      </c>
      <c r="C13" s="807" t="s">
        <v>1380</v>
      </c>
      <c r="D13" s="805" t="s">
        <v>1171</v>
      </c>
      <c r="E13" s="1016" t="s">
        <v>1153</v>
      </c>
      <c r="F13" s="612"/>
      <c r="G13" s="612">
        <v>3976425.3059999999</v>
      </c>
      <c r="H13" s="612"/>
      <c r="I13" s="612">
        <v>3976425.3059999999</v>
      </c>
      <c r="J13" s="612"/>
      <c r="K13" s="612"/>
      <c r="L13" s="1017"/>
      <c r="M13" s="451"/>
      <c r="N13" t="e">
        <f>VLOOKUP(A13, 'P&amp;L'!A:B,1,FALSE)</f>
        <v>#N/A</v>
      </c>
      <c r="O13" t="e">
        <f>VLOOKUP(A13, KeyData!A:C,1,FALSE)</f>
        <v>#N/A</v>
      </c>
      <c r="P13" s="451"/>
    </row>
    <row r="14" spans="1:18" x14ac:dyDescent="0.25">
      <c r="A14" s="451" t="str">
        <f t="shared" si="0"/>
        <v>122133000_160</v>
      </c>
      <c r="B14" s="1002" t="s">
        <v>1379</v>
      </c>
      <c r="C14" s="807" t="s">
        <v>1380</v>
      </c>
      <c r="D14" s="805" t="s">
        <v>1513</v>
      </c>
      <c r="E14" s="1016" t="s">
        <v>1514</v>
      </c>
      <c r="F14" s="612"/>
      <c r="G14" s="612">
        <v>0</v>
      </c>
      <c r="H14" s="612"/>
      <c r="I14" s="612"/>
      <c r="J14" s="612"/>
      <c r="K14" s="612"/>
      <c r="L14" s="1017"/>
      <c r="M14" s="451"/>
      <c r="N14" t="e">
        <f>VLOOKUP(A14, 'P&amp;L'!A:B,1,FALSE)</f>
        <v>#N/A</v>
      </c>
      <c r="O14" t="e">
        <f>VLOOKUP(A14, KeyData!A:C,1,FALSE)</f>
        <v>#N/A</v>
      </c>
      <c r="P14" s="451"/>
    </row>
    <row r="15" spans="1:18" x14ac:dyDescent="0.25">
      <c r="A15" s="451" t="str">
        <f t="shared" si="0"/>
        <v>122133000_200</v>
      </c>
      <c r="B15" s="1002" t="s">
        <v>1379</v>
      </c>
      <c r="C15" s="807" t="s">
        <v>1380</v>
      </c>
      <c r="D15" s="805" t="s">
        <v>1181</v>
      </c>
      <c r="E15" s="1016" t="s">
        <v>1153</v>
      </c>
      <c r="F15" s="612"/>
      <c r="G15" s="612">
        <v>-1921938.898</v>
      </c>
      <c r="H15" s="612"/>
      <c r="I15" s="612">
        <v>-2717223.9589999998</v>
      </c>
      <c r="J15" s="612"/>
      <c r="K15" s="612"/>
      <c r="L15" s="1017"/>
      <c r="M15" s="451"/>
      <c r="N15" t="e">
        <f>VLOOKUP(A15, 'P&amp;L'!A:B,1,FALSE)</f>
        <v>#N/A</v>
      </c>
      <c r="O15" t="e">
        <f>VLOOKUP(A15, KeyData!A:C,1,FALSE)</f>
        <v>#N/A</v>
      </c>
      <c r="P15" s="451"/>
    </row>
    <row r="16" spans="1:18" x14ac:dyDescent="0.25">
      <c r="A16" s="451" t="str">
        <f t="shared" si="0"/>
        <v>122133000_210</v>
      </c>
      <c r="B16" s="1002" t="s">
        <v>1379</v>
      </c>
      <c r="C16" s="807" t="s">
        <v>1380</v>
      </c>
      <c r="D16" s="805" t="s">
        <v>1182</v>
      </c>
      <c r="E16" s="1016" t="s">
        <v>1183</v>
      </c>
      <c r="F16" s="612"/>
      <c r="G16" s="612">
        <v>-795285.06099999999</v>
      </c>
      <c r="H16" s="612"/>
      <c r="I16" s="612"/>
      <c r="J16" s="612"/>
      <c r="K16" s="612"/>
      <c r="L16" s="1017"/>
      <c r="M16" s="451"/>
      <c r="N16" t="e">
        <f>VLOOKUP(A16, 'P&amp;L'!A:B,1,FALSE)</f>
        <v>#N/A</v>
      </c>
      <c r="O16" t="e">
        <f>VLOOKUP(A16, KeyData!A:C,1,FALSE)</f>
        <v>#N/A</v>
      </c>
      <c r="P16" s="451"/>
    </row>
    <row r="17" spans="1:16" x14ac:dyDescent="0.25">
      <c r="A17" s="451" t="str">
        <f t="shared" si="0"/>
        <v>122133000_260</v>
      </c>
      <c r="B17" s="1002" t="s">
        <v>1379</v>
      </c>
      <c r="C17" s="807" t="s">
        <v>1380</v>
      </c>
      <c r="D17" s="805" t="s">
        <v>1515</v>
      </c>
      <c r="E17" s="1016" t="s">
        <v>1514</v>
      </c>
      <c r="F17" s="612"/>
      <c r="G17" s="612">
        <v>0</v>
      </c>
      <c r="H17" s="612"/>
      <c r="I17" s="612"/>
      <c r="J17" s="612"/>
      <c r="K17" s="612"/>
      <c r="L17" s="1017"/>
      <c r="M17" s="451"/>
      <c r="N17" t="e">
        <f>VLOOKUP(A17, 'P&amp;L'!A:B,1,FALSE)</f>
        <v>#N/A</v>
      </c>
      <c r="O17" t="e">
        <f>VLOOKUP(A17, KeyData!A:C,1,FALSE)</f>
        <v>#N/A</v>
      </c>
      <c r="P17" s="451"/>
    </row>
    <row r="18" spans="1:16" x14ac:dyDescent="0.25">
      <c r="A18" s="451" t="str">
        <f t="shared" si="0"/>
        <v>122133000_Result</v>
      </c>
      <c r="B18" s="1002" t="s">
        <v>1379</v>
      </c>
      <c r="C18" s="807" t="s">
        <v>1380</v>
      </c>
      <c r="D18" s="834" t="s">
        <v>1160</v>
      </c>
      <c r="E18" s="1020"/>
      <c r="F18" s="833"/>
      <c r="G18" s="833">
        <v>1259201.3470000001</v>
      </c>
      <c r="H18" s="833"/>
      <c r="I18" s="833">
        <v>1259201.3470000001</v>
      </c>
      <c r="J18" s="833"/>
      <c r="K18" s="833"/>
      <c r="L18" s="1018"/>
      <c r="M18" s="451"/>
      <c r="N18" t="e">
        <f>VLOOKUP(A18, 'P&amp;L'!A:B,1,FALSE)</f>
        <v>#N/A</v>
      </c>
      <c r="O18" t="e">
        <f>VLOOKUP(A18, KeyData!A:C,1,FALSE)</f>
        <v>#N/A</v>
      </c>
      <c r="P18" s="451"/>
    </row>
    <row r="19" spans="1:16" x14ac:dyDescent="0.25">
      <c r="A19" s="451" t="str">
        <f t="shared" si="0"/>
        <v>122133100_100</v>
      </c>
      <c r="B19" s="1003" t="s">
        <v>1381</v>
      </c>
      <c r="C19" s="808" t="s">
        <v>1382</v>
      </c>
      <c r="D19" s="805" t="s">
        <v>1171</v>
      </c>
      <c r="E19" s="1016" t="s">
        <v>1153</v>
      </c>
      <c r="F19" s="612"/>
      <c r="G19" s="612">
        <v>3976425.3059999999</v>
      </c>
      <c r="H19" s="612"/>
      <c r="I19" s="612">
        <v>3976425.3059999999</v>
      </c>
      <c r="J19" s="612"/>
      <c r="K19" s="612"/>
      <c r="L19" s="1017"/>
      <c r="M19" s="451"/>
      <c r="N19" t="e">
        <f>VLOOKUP(A19, 'P&amp;L'!A:B,1,FALSE)</f>
        <v>#N/A</v>
      </c>
      <c r="O19" t="e">
        <f>VLOOKUP(A19, KeyData!A:C,1,FALSE)</f>
        <v>#N/A</v>
      </c>
      <c r="P19" s="451"/>
    </row>
    <row r="20" spans="1:16" x14ac:dyDescent="0.25">
      <c r="A20" s="451" t="str">
        <f t="shared" si="0"/>
        <v>122133100_160</v>
      </c>
      <c r="B20" s="1003" t="s">
        <v>1381</v>
      </c>
      <c r="C20" s="808" t="s">
        <v>1382</v>
      </c>
      <c r="D20" s="805" t="s">
        <v>1513</v>
      </c>
      <c r="E20" s="1016" t="s">
        <v>1514</v>
      </c>
      <c r="F20" s="612"/>
      <c r="G20" s="612">
        <v>0</v>
      </c>
      <c r="H20" s="612"/>
      <c r="I20" s="612"/>
      <c r="J20" s="612"/>
      <c r="K20" s="612"/>
      <c r="L20" s="1017"/>
      <c r="M20" s="451"/>
      <c r="N20" t="e">
        <f>VLOOKUP(A20, 'P&amp;L'!A:B,1,FALSE)</f>
        <v>#N/A</v>
      </c>
      <c r="O20" t="e">
        <f>VLOOKUP(A20, KeyData!A:C,1,FALSE)</f>
        <v>#N/A</v>
      </c>
      <c r="P20" s="451"/>
    </row>
    <row r="21" spans="1:16" x14ac:dyDescent="0.25">
      <c r="A21" s="451" t="str">
        <f t="shared" si="0"/>
        <v>122133100_200</v>
      </c>
      <c r="B21" s="1003" t="s">
        <v>1381</v>
      </c>
      <c r="C21" s="808" t="s">
        <v>1382</v>
      </c>
      <c r="D21" s="805" t="s">
        <v>1181</v>
      </c>
      <c r="E21" s="1016" t="s">
        <v>1153</v>
      </c>
      <c r="F21" s="612"/>
      <c r="G21" s="612">
        <v>-1921938.898</v>
      </c>
      <c r="H21" s="612"/>
      <c r="I21" s="612">
        <v>-2717223.9589999998</v>
      </c>
      <c r="J21" s="612"/>
      <c r="K21" s="612"/>
      <c r="L21" s="1017"/>
      <c r="M21" s="451"/>
      <c r="N21" t="e">
        <f>VLOOKUP(A21, 'P&amp;L'!A:B,1,FALSE)</f>
        <v>#N/A</v>
      </c>
      <c r="O21" t="e">
        <f>VLOOKUP(A21, KeyData!A:C,1,FALSE)</f>
        <v>#N/A</v>
      </c>
      <c r="P21" s="451"/>
    </row>
    <row r="22" spans="1:16" x14ac:dyDescent="0.25">
      <c r="A22" s="451" t="str">
        <f t="shared" si="0"/>
        <v>122133100_210</v>
      </c>
      <c r="B22" s="1003" t="s">
        <v>1381</v>
      </c>
      <c r="C22" s="808" t="s">
        <v>1382</v>
      </c>
      <c r="D22" s="805" t="s">
        <v>1182</v>
      </c>
      <c r="E22" s="1016" t="s">
        <v>1183</v>
      </c>
      <c r="F22" s="612"/>
      <c r="G22" s="612">
        <v>-795285.06099999999</v>
      </c>
      <c r="H22" s="612"/>
      <c r="I22" s="612"/>
      <c r="J22" s="612"/>
      <c r="K22" s="612"/>
      <c r="L22" s="1017"/>
      <c r="M22" s="451"/>
      <c r="N22" t="e">
        <f>VLOOKUP(A22, 'P&amp;L'!A:B,1,FALSE)</f>
        <v>#N/A</v>
      </c>
      <c r="O22" t="e">
        <f>VLOOKUP(A22, KeyData!A:C,1,FALSE)</f>
        <v>#N/A</v>
      </c>
      <c r="P22" s="451"/>
    </row>
    <row r="23" spans="1:16" x14ac:dyDescent="0.25">
      <c r="A23" s="451" t="str">
        <f t="shared" si="0"/>
        <v>122133100_260</v>
      </c>
      <c r="B23" s="1003" t="s">
        <v>1381</v>
      </c>
      <c r="C23" s="808" t="s">
        <v>1382</v>
      </c>
      <c r="D23" s="805" t="s">
        <v>1515</v>
      </c>
      <c r="E23" s="1016" t="s">
        <v>1514</v>
      </c>
      <c r="F23" s="612"/>
      <c r="G23" s="612">
        <v>0</v>
      </c>
      <c r="H23" s="612"/>
      <c r="I23" s="612"/>
      <c r="J23" s="612"/>
      <c r="K23" s="612"/>
      <c r="L23" s="1017"/>
      <c r="M23" s="451"/>
      <c r="N23" t="e">
        <f>VLOOKUP(A23, 'P&amp;L'!A:B,1,FALSE)</f>
        <v>#N/A</v>
      </c>
      <c r="O23" t="e">
        <f>VLOOKUP(A23, KeyData!A:C,1,FALSE)</f>
        <v>#N/A</v>
      </c>
      <c r="P23" s="451"/>
    </row>
    <row r="24" spans="1:16" x14ac:dyDescent="0.25">
      <c r="A24" s="451" t="str">
        <f t="shared" si="0"/>
        <v>122133100_Result</v>
      </c>
      <c r="B24" s="1003" t="s">
        <v>1381</v>
      </c>
      <c r="C24" s="808" t="s">
        <v>1382</v>
      </c>
      <c r="D24" s="834" t="s">
        <v>1160</v>
      </c>
      <c r="E24" s="1020"/>
      <c r="F24" s="833"/>
      <c r="G24" s="833">
        <v>1259201.3470000001</v>
      </c>
      <c r="H24" s="833"/>
      <c r="I24" s="833">
        <v>1259201.3470000001</v>
      </c>
      <c r="J24" s="833"/>
      <c r="K24" s="833"/>
      <c r="L24" s="1018"/>
      <c r="M24" s="451"/>
      <c r="N24" t="e">
        <f>VLOOKUP(A24, 'P&amp;L'!A:B,1,FALSE)</f>
        <v>#N/A</v>
      </c>
      <c r="O24" t="e">
        <f>VLOOKUP(A24, KeyData!A:C,1,FALSE)</f>
        <v>#N/A</v>
      </c>
      <c r="P24" s="451"/>
    </row>
    <row r="25" spans="1:16" x14ac:dyDescent="0.25">
      <c r="A25" s="451" t="str">
        <f t="shared" si="0"/>
        <v>122137000_110</v>
      </c>
      <c r="B25" s="1004" t="s">
        <v>1481</v>
      </c>
      <c r="C25" s="807" t="s">
        <v>1482</v>
      </c>
      <c r="D25" s="805" t="s">
        <v>1172</v>
      </c>
      <c r="E25" s="1016" t="s">
        <v>1173</v>
      </c>
      <c r="F25" s="612"/>
      <c r="G25" s="612"/>
      <c r="H25" s="612">
        <v>0</v>
      </c>
      <c r="I25" s="612"/>
      <c r="J25" s="612"/>
      <c r="K25" s="612"/>
      <c r="L25" s="1017"/>
      <c r="M25" s="451"/>
      <c r="N25" t="e">
        <f>VLOOKUP(A25, 'P&amp;L'!A:B,1,FALSE)</f>
        <v>#N/A</v>
      </c>
      <c r="O25" t="str">
        <f>VLOOKUP(A25, KeyData!A:C,1,FALSE)</f>
        <v>122137000_110</v>
      </c>
      <c r="P25" s="451"/>
    </row>
    <row r="26" spans="1:16" x14ac:dyDescent="0.25">
      <c r="A26" s="451" t="str">
        <f t="shared" si="0"/>
        <v>122137000_160</v>
      </c>
      <c r="B26" s="1004" t="s">
        <v>1481</v>
      </c>
      <c r="C26" s="807" t="s">
        <v>1482</v>
      </c>
      <c r="D26" s="805" t="s">
        <v>1513</v>
      </c>
      <c r="E26" s="1016" t="s">
        <v>1514</v>
      </c>
      <c r="F26" s="612"/>
      <c r="G26" s="612"/>
      <c r="H26" s="612">
        <v>0</v>
      </c>
      <c r="I26" s="612"/>
      <c r="J26" s="612"/>
      <c r="K26" s="612"/>
      <c r="L26" s="1017"/>
      <c r="M26" s="451"/>
      <c r="N26" t="e">
        <f>VLOOKUP(A26, 'P&amp;L'!A:B,1,FALSE)</f>
        <v>#N/A</v>
      </c>
      <c r="O26" t="e">
        <f>VLOOKUP(A26, KeyData!A:C,1,FALSE)</f>
        <v>#N/A</v>
      </c>
      <c r="P26" s="451"/>
    </row>
    <row r="27" spans="1:16" x14ac:dyDescent="0.25">
      <c r="A27" s="451" t="str">
        <f t="shared" si="0"/>
        <v>122137000_Result</v>
      </c>
      <c r="B27" s="1004" t="s">
        <v>1481</v>
      </c>
      <c r="C27" s="807" t="s">
        <v>1482</v>
      </c>
      <c r="D27" s="834" t="s">
        <v>1160</v>
      </c>
      <c r="E27" s="1020"/>
      <c r="F27" s="833"/>
      <c r="G27" s="833"/>
      <c r="H27" s="833">
        <v>0</v>
      </c>
      <c r="I27" s="833"/>
      <c r="J27" s="833"/>
      <c r="K27" s="833"/>
      <c r="L27" s="1018"/>
      <c r="M27" s="451"/>
      <c r="N27" t="e">
        <f>VLOOKUP(A27, 'P&amp;L'!A:B,1,FALSE)</f>
        <v>#N/A</v>
      </c>
      <c r="O27" t="e">
        <f>VLOOKUP(A27, KeyData!A:C,1,FALSE)</f>
        <v>#N/A</v>
      </c>
      <c r="P27" s="451"/>
    </row>
    <row r="28" spans="1:16" x14ac:dyDescent="0.25">
      <c r="A28" s="451" t="str">
        <f t="shared" si="0"/>
        <v>122142000_100</v>
      </c>
      <c r="B28" s="1004" t="s">
        <v>1383</v>
      </c>
      <c r="C28" s="807" t="s">
        <v>1384</v>
      </c>
      <c r="D28" s="805" t="s">
        <v>1171</v>
      </c>
      <c r="E28" s="1016" t="s">
        <v>1153</v>
      </c>
      <c r="F28" s="612"/>
      <c r="G28" s="612">
        <v>25958.996999999999</v>
      </c>
      <c r="H28" s="612">
        <v>23598.113000000001</v>
      </c>
      <c r="I28" s="612">
        <v>24888.531999999999</v>
      </c>
      <c r="J28" s="612">
        <v>23598.113000000001</v>
      </c>
      <c r="K28" s="612">
        <v>23598.113000000001</v>
      </c>
      <c r="L28" s="1017">
        <v>23598.113000000001</v>
      </c>
      <c r="M28" s="451"/>
      <c r="N28" t="e">
        <f>VLOOKUP(A28, 'P&amp;L'!A:B,1,FALSE)</f>
        <v>#N/A</v>
      </c>
      <c r="O28" t="e">
        <f>VLOOKUP(A28, KeyData!A:C,1,FALSE)</f>
        <v>#N/A</v>
      </c>
      <c r="P28" s="451"/>
    </row>
    <row r="29" spans="1:16" x14ac:dyDescent="0.25">
      <c r="A29" s="451" t="str">
        <f t="shared" si="0"/>
        <v>122142000_110</v>
      </c>
      <c r="B29" s="1004" t="s">
        <v>1383</v>
      </c>
      <c r="C29" s="807" t="s">
        <v>1384</v>
      </c>
      <c r="D29" s="805" t="s">
        <v>1172</v>
      </c>
      <c r="E29" s="1016" t="s">
        <v>1173</v>
      </c>
      <c r="F29" s="612"/>
      <c r="G29" s="612">
        <v>9754.7669999999998</v>
      </c>
      <c r="H29" s="612">
        <v>2630</v>
      </c>
      <c r="I29" s="612"/>
      <c r="J29" s="612"/>
      <c r="K29" s="612"/>
      <c r="L29" s="1017">
        <v>11931.322</v>
      </c>
      <c r="M29" s="451"/>
      <c r="N29" t="e">
        <f>VLOOKUP(A29, 'P&amp;L'!A:B,1,FALSE)</f>
        <v>#N/A</v>
      </c>
      <c r="O29" t="str">
        <f>VLOOKUP(A29, KeyData!A:C,1,FALSE)</f>
        <v>122142000_110</v>
      </c>
      <c r="P29" s="451"/>
    </row>
    <row r="30" spans="1:16" x14ac:dyDescent="0.25">
      <c r="A30" s="451" t="str">
        <f t="shared" si="0"/>
        <v>122142000_120</v>
      </c>
      <c r="B30" s="1004" t="s">
        <v>1383</v>
      </c>
      <c r="C30" s="807" t="s">
        <v>1384</v>
      </c>
      <c r="D30" s="805" t="s">
        <v>1174</v>
      </c>
      <c r="E30" s="1016" t="s">
        <v>1175</v>
      </c>
      <c r="F30" s="612"/>
      <c r="G30" s="612">
        <v>-9757.14</v>
      </c>
      <c r="H30" s="612"/>
      <c r="I30" s="612"/>
      <c r="J30" s="612"/>
      <c r="K30" s="612"/>
      <c r="L30" s="1017"/>
      <c r="M30" s="451"/>
      <c r="N30" t="e">
        <f>VLOOKUP(A30, 'P&amp;L'!A:B,1,FALSE)</f>
        <v>#N/A</v>
      </c>
      <c r="O30" t="e">
        <f>VLOOKUP(A30, KeyData!A:C,1,FALSE)</f>
        <v>#N/A</v>
      </c>
      <c r="P30" s="451"/>
    </row>
    <row r="31" spans="1:16" x14ac:dyDescent="0.25">
      <c r="A31" s="451" t="str">
        <f t="shared" si="0"/>
        <v>122142000_148</v>
      </c>
      <c r="B31" s="1004" t="s">
        <v>1383</v>
      </c>
      <c r="C31" s="807" t="s">
        <v>1384</v>
      </c>
      <c r="D31" s="805" t="s">
        <v>1483</v>
      </c>
      <c r="E31" s="1016" t="s">
        <v>1484</v>
      </c>
      <c r="F31" s="612"/>
      <c r="G31" s="612">
        <v>-1070.4649999999999</v>
      </c>
      <c r="H31" s="612"/>
      <c r="I31" s="612"/>
      <c r="J31" s="612"/>
      <c r="K31" s="612"/>
      <c r="L31" s="1017"/>
      <c r="M31" s="451"/>
      <c r="N31" t="e">
        <f>VLOOKUP(A31, 'P&amp;L'!A:B,1,FALSE)</f>
        <v>#N/A</v>
      </c>
      <c r="O31" t="e">
        <f>VLOOKUP(A31, KeyData!A:C,1,FALSE)</f>
        <v>#N/A</v>
      </c>
      <c r="P31" s="451"/>
    </row>
    <row r="32" spans="1:16" x14ac:dyDescent="0.25">
      <c r="A32" s="451" t="str">
        <f t="shared" si="0"/>
        <v>122142000_160</v>
      </c>
      <c r="B32" s="1004" t="s">
        <v>1383</v>
      </c>
      <c r="C32" s="807" t="s">
        <v>1384</v>
      </c>
      <c r="D32" s="805" t="s">
        <v>1513</v>
      </c>
      <c r="E32" s="1016" t="s">
        <v>1514</v>
      </c>
      <c r="F32" s="612"/>
      <c r="G32" s="612">
        <v>0</v>
      </c>
      <c r="H32" s="612">
        <v>0</v>
      </c>
      <c r="I32" s="612"/>
      <c r="J32" s="612">
        <v>0</v>
      </c>
      <c r="K32" s="612">
        <v>0</v>
      </c>
      <c r="L32" s="1017"/>
      <c r="M32" s="451"/>
      <c r="N32" t="e">
        <f>VLOOKUP(A32, 'P&amp;L'!A:B,1,FALSE)</f>
        <v>#N/A</v>
      </c>
      <c r="O32" t="e">
        <f>VLOOKUP(A32, KeyData!A:C,1,FALSE)</f>
        <v>#N/A</v>
      </c>
      <c r="P32" s="451"/>
    </row>
    <row r="33" spans="1:16" x14ac:dyDescent="0.25">
      <c r="A33" s="451" t="str">
        <f t="shared" si="0"/>
        <v>122142000_200</v>
      </c>
      <c r="B33" s="1004" t="s">
        <v>1383</v>
      </c>
      <c r="C33" s="807" t="s">
        <v>1384</v>
      </c>
      <c r="D33" s="805" t="s">
        <v>1181</v>
      </c>
      <c r="E33" s="1016" t="s">
        <v>1153</v>
      </c>
      <c r="F33" s="612"/>
      <c r="G33" s="612">
        <v>-19852.266</v>
      </c>
      <c r="H33" s="612">
        <v>-13984.184999999999</v>
      </c>
      <c r="I33" s="612">
        <v>-21850.019</v>
      </c>
      <c r="J33" s="612">
        <v>-13984.184999999999</v>
      </c>
      <c r="K33" s="612">
        <v>-13984.184999999999</v>
      </c>
      <c r="L33" s="1017">
        <v>-20688.638999999999</v>
      </c>
      <c r="M33" s="451"/>
      <c r="N33" t="e">
        <f>VLOOKUP(A33, 'P&amp;L'!A:B,1,FALSE)</f>
        <v>#N/A</v>
      </c>
      <c r="O33" t="e">
        <f>VLOOKUP(A33, KeyData!A:C,1,FALSE)</f>
        <v>#N/A</v>
      </c>
      <c r="P33" s="451"/>
    </row>
    <row r="34" spans="1:16" x14ac:dyDescent="0.25">
      <c r="A34" s="451" t="str">
        <f t="shared" si="0"/>
        <v>122142000_210</v>
      </c>
      <c r="B34" s="1004" t="s">
        <v>1383</v>
      </c>
      <c r="C34" s="807" t="s">
        <v>1384</v>
      </c>
      <c r="D34" s="805" t="s">
        <v>1182</v>
      </c>
      <c r="E34" s="1016" t="s">
        <v>1183</v>
      </c>
      <c r="F34" s="612"/>
      <c r="G34" s="612">
        <v>-3587.4780000000001</v>
      </c>
      <c r="H34" s="612">
        <v>-3072.4250000000002</v>
      </c>
      <c r="I34" s="612">
        <v>-6247.1279999999997</v>
      </c>
      <c r="J34" s="612">
        <v>-5681.6769999999997</v>
      </c>
      <c r="K34" s="612">
        <v>-6704.4539999999997</v>
      </c>
      <c r="L34" s="1017">
        <v>-8358.7469999999994</v>
      </c>
      <c r="M34" s="451"/>
      <c r="N34" t="e">
        <f>VLOOKUP(A34, 'P&amp;L'!A:B,1,FALSE)</f>
        <v>#N/A</v>
      </c>
      <c r="O34" t="e">
        <f>VLOOKUP(A34, KeyData!A:C,1,FALSE)</f>
        <v>#N/A</v>
      </c>
      <c r="P34" s="451"/>
    </row>
    <row r="35" spans="1:16" x14ac:dyDescent="0.25">
      <c r="A35" s="451" t="str">
        <f t="shared" si="0"/>
        <v>122142000_220</v>
      </c>
      <c r="B35" s="1004" t="s">
        <v>1383</v>
      </c>
      <c r="C35" s="807" t="s">
        <v>1384</v>
      </c>
      <c r="D35" s="805" t="s">
        <v>1186</v>
      </c>
      <c r="E35" s="1016" t="s">
        <v>1187</v>
      </c>
      <c r="F35" s="612"/>
      <c r="G35" s="612">
        <v>9757.14</v>
      </c>
      <c r="H35" s="612"/>
      <c r="I35" s="612"/>
      <c r="J35" s="612"/>
      <c r="K35" s="612"/>
      <c r="L35" s="1017"/>
      <c r="M35" s="451"/>
      <c r="N35" t="e">
        <f>VLOOKUP(A35, 'P&amp;L'!A:B,1,FALSE)</f>
        <v>#N/A</v>
      </c>
      <c r="O35" t="e">
        <f>VLOOKUP(A35, KeyData!A:C,1,FALSE)</f>
        <v>#N/A</v>
      </c>
      <c r="P35" s="451"/>
    </row>
    <row r="36" spans="1:16" x14ac:dyDescent="0.25">
      <c r="A36" s="451" t="str">
        <f t="shared" si="0"/>
        <v>122142000_248</v>
      </c>
      <c r="B36" s="1004" t="s">
        <v>1383</v>
      </c>
      <c r="C36" s="807" t="s">
        <v>1384</v>
      </c>
      <c r="D36" s="805" t="s">
        <v>1485</v>
      </c>
      <c r="E36" s="1016" t="s">
        <v>1484</v>
      </c>
      <c r="F36" s="612"/>
      <c r="G36" s="612">
        <v>1070.568</v>
      </c>
      <c r="H36" s="612"/>
      <c r="I36" s="612"/>
      <c r="J36" s="612"/>
      <c r="K36" s="612"/>
      <c r="L36" s="1017"/>
      <c r="M36" s="451"/>
      <c r="N36" t="e">
        <f>VLOOKUP(A36, 'P&amp;L'!A:B,1,FALSE)</f>
        <v>#N/A</v>
      </c>
      <c r="O36" t="e">
        <f>VLOOKUP(A36, KeyData!A:C,1,FALSE)</f>
        <v>#N/A</v>
      </c>
      <c r="P36" s="451"/>
    </row>
    <row r="37" spans="1:16" x14ac:dyDescent="0.25">
      <c r="A37" s="451" t="str">
        <f t="shared" si="0"/>
        <v>122142000_260</v>
      </c>
      <c r="B37" s="1004" t="s">
        <v>1383</v>
      </c>
      <c r="C37" s="807" t="s">
        <v>1384</v>
      </c>
      <c r="D37" s="805" t="s">
        <v>1515</v>
      </c>
      <c r="E37" s="1016" t="s">
        <v>1514</v>
      </c>
      <c r="F37" s="612"/>
      <c r="G37" s="612">
        <v>0</v>
      </c>
      <c r="H37" s="612">
        <v>0</v>
      </c>
      <c r="I37" s="612"/>
      <c r="J37" s="612">
        <v>0</v>
      </c>
      <c r="K37" s="612">
        <v>0</v>
      </c>
      <c r="L37" s="1017"/>
      <c r="M37" s="451"/>
      <c r="N37" t="e">
        <f>VLOOKUP(A37, 'P&amp;L'!A:B,1,FALSE)</f>
        <v>#N/A</v>
      </c>
      <c r="O37" t="e">
        <f>VLOOKUP(A37, KeyData!A:C,1,FALSE)</f>
        <v>#N/A</v>
      </c>
      <c r="P37" s="451"/>
    </row>
    <row r="38" spans="1:16" x14ac:dyDescent="0.25">
      <c r="A38" s="451" t="str">
        <f t="shared" si="0"/>
        <v>122142000_Result</v>
      </c>
      <c r="B38" s="1004" t="s">
        <v>1383</v>
      </c>
      <c r="C38" s="807" t="s">
        <v>1384</v>
      </c>
      <c r="D38" s="834" t="s">
        <v>1160</v>
      </c>
      <c r="E38" s="1020"/>
      <c r="F38" s="833"/>
      <c r="G38" s="833">
        <v>12274.123</v>
      </c>
      <c r="H38" s="833">
        <v>9171.5030000000006</v>
      </c>
      <c r="I38" s="833">
        <v>-3208.6149999999998</v>
      </c>
      <c r="J38" s="833">
        <v>3932.2510000000002</v>
      </c>
      <c r="K38" s="833">
        <v>2909.4740000000002</v>
      </c>
      <c r="L38" s="1018">
        <v>6482.049</v>
      </c>
      <c r="M38" s="451"/>
      <c r="N38" t="e">
        <f>VLOOKUP(A38, 'P&amp;L'!A:B,1,FALSE)</f>
        <v>#N/A</v>
      </c>
      <c r="O38" t="e">
        <f>VLOOKUP(A38, KeyData!A:C,1,FALSE)</f>
        <v>#N/A</v>
      </c>
      <c r="P38" s="451"/>
    </row>
    <row r="39" spans="1:16" x14ac:dyDescent="0.25">
      <c r="A39" s="451" t="str">
        <f t="shared" si="0"/>
        <v>122600000_100</v>
      </c>
      <c r="B39" s="1001" t="s">
        <v>1169</v>
      </c>
      <c r="C39" s="806" t="s">
        <v>1170</v>
      </c>
      <c r="D39" s="805" t="s">
        <v>1171</v>
      </c>
      <c r="E39" s="1016" t="s">
        <v>1153</v>
      </c>
      <c r="F39" s="612"/>
      <c r="G39" s="612">
        <v>24293928.618000001</v>
      </c>
      <c r="H39" s="612">
        <v>24619339.379000001</v>
      </c>
      <c r="I39" s="612">
        <v>32888438.829</v>
      </c>
      <c r="J39" s="612">
        <v>24619339.379000001</v>
      </c>
      <c r="K39" s="612">
        <v>24619339.379000001</v>
      </c>
      <c r="L39" s="1017">
        <v>63968662.454000004</v>
      </c>
      <c r="M39" s="451"/>
      <c r="N39" t="e">
        <f>VLOOKUP(A39, 'P&amp;L'!A:B,1,FALSE)</f>
        <v>#N/A</v>
      </c>
      <c r="O39" t="e">
        <f>VLOOKUP(A39, KeyData!A:C,1,FALSE)</f>
        <v>#N/A</v>
      </c>
      <c r="P39" s="451"/>
    </row>
    <row r="40" spans="1:16" x14ac:dyDescent="0.25">
      <c r="A40" s="451" t="str">
        <f t="shared" si="0"/>
        <v>122600000_110</v>
      </c>
      <c r="B40" s="1001" t="s">
        <v>1169</v>
      </c>
      <c r="C40" s="806" t="s">
        <v>1170</v>
      </c>
      <c r="D40" s="805" t="s">
        <v>1172</v>
      </c>
      <c r="E40" s="1016" t="s">
        <v>1173</v>
      </c>
      <c r="F40" s="612"/>
      <c r="G40" s="612">
        <v>17752817.342999998</v>
      </c>
      <c r="H40" s="612">
        <v>8843837.5920000002</v>
      </c>
      <c r="I40" s="612">
        <v>29197163.193</v>
      </c>
      <c r="J40" s="612">
        <v>25316784.445</v>
      </c>
      <c r="K40" s="612">
        <v>26080040.934</v>
      </c>
      <c r="L40" s="1017">
        <v>10990943.728</v>
      </c>
      <c r="M40" s="451"/>
      <c r="N40" t="e">
        <f>VLOOKUP(A40, 'P&amp;L'!A:B,1,FALSE)</f>
        <v>#N/A</v>
      </c>
      <c r="O40" t="e">
        <f>VLOOKUP(A40, KeyData!A:C,1,FALSE)</f>
        <v>#N/A</v>
      </c>
      <c r="P40" s="451"/>
    </row>
    <row r="41" spans="1:16" x14ac:dyDescent="0.25">
      <c r="A41" s="451" t="str">
        <f t="shared" si="0"/>
        <v>122600000_120</v>
      </c>
      <c r="B41" s="1001" t="s">
        <v>1169</v>
      </c>
      <c r="C41" s="806" t="s">
        <v>1170</v>
      </c>
      <c r="D41" s="805" t="s">
        <v>1174</v>
      </c>
      <c r="E41" s="1016" t="s">
        <v>1175</v>
      </c>
      <c r="F41" s="612"/>
      <c r="G41" s="612">
        <v>-121211.929</v>
      </c>
      <c r="H41" s="612"/>
      <c r="I41" s="612"/>
      <c r="J41" s="612"/>
      <c r="K41" s="612"/>
      <c r="L41" s="1017"/>
      <c r="M41" s="451"/>
      <c r="N41" t="e">
        <f>VLOOKUP(A41, 'P&amp;L'!A:B,1,FALSE)</f>
        <v>#N/A</v>
      </c>
      <c r="O41" t="e">
        <f>VLOOKUP(A41, KeyData!A:C,1,FALSE)</f>
        <v>#N/A</v>
      </c>
      <c r="P41" s="451"/>
    </row>
    <row r="42" spans="1:16" x14ac:dyDescent="0.25">
      <c r="A42" s="451" t="str">
        <f t="shared" si="0"/>
        <v>122600000_122</v>
      </c>
      <c r="B42" s="1001" t="s">
        <v>1169</v>
      </c>
      <c r="C42" s="806" t="s">
        <v>1170</v>
      </c>
      <c r="D42" s="805" t="s">
        <v>1176</v>
      </c>
      <c r="E42" s="1016" t="s">
        <v>1177</v>
      </c>
      <c r="F42" s="612"/>
      <c r="G42" s="612">
        <v>-1147953.4029999999</v>
      </c>
      <c r="H42" s="612">
        <v>-5671.5950000000003</v>
      </c>
      <c r="I42" s="612"/>
      <c r="J42" s="612">
        <v>-5671.5950000000003</v>
      </c>
      <c r="K42" s="612">
        <v>-5671.5950000000003</v>
      </c>
      <c r="L42" s="1017"/>
      <c r="M42" s="451"/>
      <c r="N42" t="e">
        <f>VLOOKUP(A42, 'P&amp;L'!A:B,1,FALSE)</f>
        <v>#N/A</v>
      </c>
      <c r="O42" t="e">
        <f>VLOOKUP(A42, KeyData!A:C,1,FALSE)</f>
        <v>#N/A</v>
      </c>
      <c r="P42" s="451"/>
    </row>
    <row r="43" spans="1:16" x14ac:dyDescent="0.25">
      <c r="A43" s="451" t="str">
        <f t="shared" si="0"/>
        <v>122600000_130</v>
      </c>
      <c r="B43" s="1001" t="s">
        <v>1169</v>
      </c>
      <c r="C43" s="806" t="s">
        <v>1170</v>
      </c>
      <c r="D43" s="805" t="s">
        <v>1178</v>
      </c>
      <c r="E43" s="1016" t="s">
        <v>1179</v>
      </c>
      <c r="F43" s="612"/>
      <c r="G43" s="612">
        <v>-18174.776000000002</v>
      </c>
      <c r="H43" s="612">
        <v>0</v>
      </c>
      <c r="I43" s="612"/>
      <c r="J43" s="612"/>
      <c r="K43" s="612"/>
      <c r="L43" s="1017"/>
      <c r="M43" s="451"/>
      <c r="N43" t="e">
        <f>VLOOKUP(A43, 'P&amp;L'!A:B,1,FALSE)</f>
        <v>#N/A</v>
      </c>
      <c r="O43" t="e">
        <f>VLOOKUP(A43, KeyData!A:C,1,FALSE)</f>
        <v>#N/A</v>
      </c>
      <c r="P43" s="451"/>
    </row>
    <row r="44" spans="1:16" x14ac:dyDescent="0.25">
      <c r="A44" s="451" t="str">
        <f t="shared" si="0"/>
        <v>122600000_135</v>
      </c>
      <c r="B44" s="1001" t="s">
        <v>1169</v>
      </c>
      <c r="C44" s="806" t="s">
        <v>1170</v>
      </c>
      <c r="D44" s="805" t="s">
        <v>1180</v>
      </c>
      <c r="E44" s="1016" t="s">
        <v>1156</v>
      </c>
      <c r="F44" s="612"/>
      <c r="G44" s="612">
        <v>578445.43799999997</v>
      </c>
      <c r="H44" s="612">
        <v>14411621.384</v>
      </c>
      <c r="I44" s="612"/>
      <c r="J44" s="612">
        <v>13896174.200999999</v>
      </c>
      <c r="K44" s="612">
        <v>13896174.200999999</v>
      </c>
      <c r="L44" s="1017"/>
      <c r="M44" s="451"/>
      <c r="N44" t="e">
        <f>VLOOKUP(A44, 'P&amp;L'!A:B,1,FALSE)</f>
        <v>#N/A</v>
      </c>
      <c r="O44" t="e">
        <f>VLOOKUP(A44, KeyData!A:C,1,FALSE)</f>
        <v>#N/A</v>
      </c>
      <c r="P44" s="451"/>
    </row>
    <row r="45" spans="1:16" x14ac:dyDescent="0.25">
      <c r="A45" s="451" t="str">
        <f t="shared" si="0"/>
        <v>122600000_140</v>
      </c>
      <c r="B45" s="1001" t="s">
        <v>1169</v>
      </c>
      <c r="C45" s="806" t="s">
        <v>1170</v>
      </c>
      <c r="D45" s="805" t="s">
        <v>1582</v>
      </c>
      <c r="E45" s="1016" t="s">
        <v>1583</v>
      </c>
      <c r="F45" s="612"/>
      <c r="G45" s="612"/>
      <c r="H45" s="612"/>
      <c r="I45" s="612"/>
      <c r="J45" s="612"/>
      <c r="K45" s="612"/>
      <c r="L45" s="1017">
        <v>0</v>
      </c>
      <c r="M45" s="451"/>
      <c r="N45" t="e">
        <f>VLOOKUP(A45, 'P&amp;L'!A:B,1,FALSE)</f>
        <v>#N/A</v>
      </c>
      <c r="O45" t="e">
        <f>VLOOKUP(A45, KeyData!A:C,1,FALSE)</f>
        <v>#N/A</v>
      </c>
      <c r="P45" s="451"/>
    </row>
    <row r="46" spans="1:16" x14ac:dyDescent="0.25">
      <c r="A46" s="451" t="str">
        <f t="shared" si="0"/>
        <v>122600000_148</v>
      </c>
      <c r="B46" s="1001" t="s">
        <v>1169</v>
      </c>
      <c r="C46" s="806" t="s">
        <v>1170</v>
      </c>
      <c r="D46" s="805" t="s">
        <v>1483</v>
      </c>
      <c r="E46" s="1016" t="s">
        <v>1484</v>
      </c>
      <c r="F46" s="612"/>
      <c r="G46" s="612">
        <v>-1.2729999999999999</v>
      </c>
      <c r="H46" s="612"/>
      <c r="I46" s="612"/>
      <c r="J46" s="612"/>
      <c r="K46" s="612"/>
      <c r="L46" s="1017"/>
      <c r="M46" s="451"/>
      <c r="N46" t="e">
        <f>VLOOKUP(A46, 'P&amp;L'!A:B,1,FALSE)</f>
        <v>#N/A</v>
      </c>
      <c r="O46" t="e">
        <f>VLOOKUP(A46, KeyData!A:C,1,FALSE)</f>
        <v>#N/A</v>
      </c>
      <c r="P46" s="451"/>
    </row>
    <row r="47" spans="1:16" x14ac:dyDescent="0.25">
      <c r="A47" s="451" t="str">
        <f t="shared" si="0"/>
        <v>122600000_160</v>
      </c>
      <c r="B47" s="1001" t="s">
        <v>1169</v>
      </c>
      <c r="C47" s="806" t="s">
        <v>1170</v>
      </c>
      <c r="D47" s="805" t="s">
        <v>1513</v>
      </c>
      <c r="E47" s="1016" t="s">
        <v>1514</v>
      </c>
      <c r="F47" s="612"/>
      <c r="G47" s="612">
        <v>0</v>
      </c>
      <c r="H47" s="612">
        <v>0</v>
      </c>
      <c r="I47" s="612"/>
      <c r="J47" s="612">
        <v>0</v>
      </c>
      <c r="K47" s="612">
        <v>0</v>
      </c>
      <c r="L47" s="1017"/>
      <c r="M47" s="451"/>
      <c r="N47" t="e">
        <f>VLOOKUP(A47, 'P&amp;L'!A:B,1,FALSE)</f>
        <v>#N/A</v>
      </c>
      <c r="O47" t="e">
        <f>VLOOKUP(A47, KeyData!A:C,1,FALSE)</f>
        <v>#N/A</v>
      </c>
      <c r="P47" s="451"/>
    </row>
    <row r="48" spans="1:16" x14ac:dyDescent="0.25">
      <c r="A48" s="451" t="str">
        <f t="shared" si="0"/>
        <v>122600000_200</v>
      </c>
      <c r="B48" s="1001" t="s">
        <v>1169</v>
      </c>
      <c r="C48" s="806" t="s">
        <v>1170</v>
      </c>
      <c r="D48" s="805" t="s">
        <v>1181</v>
      </c>
      <c r="E48" s="1016" t="s">
        <v>1153</v>
      </c>
      <c r="F48" s="612"/>
      <c r="G48" s="612">
        <v>-11711966.262</v>
      </c>
      <c r="H48" s="612">
        <v>-3084919.2349999999</v>
      </c>
      <c r="I48" s="612">
        <v>-12852011.811000001</v>
      </c>
      <c r="J48" s="612">
        <v>-3084919.2349999999</v>
      </c>
      <c r="K48" s="612">
        <v>-3084919.2349999999</v>
      </c>
      <c r="L48" s="1017">
        <v>-11088580.873</v>
      </c>
      <c r="M48" s="451"/>
      <c r="N48" t="e">
        <f>VLOOKUP(A48, 'P&amp;L'!A:B,1,FALSE)</f>
        <v>#N/A</v>
      </c>
      <c r="O48" t="e">
        <f>VLOOKUP(A48, KeyData!A:C,1,FALSE)</f>
        <v>#N/A</v>
      </c>
      <c r="P48" s="451"/>
    </row>
    <row r="49" spans="1:16" x14ac:dyDescent="0.25">
      <c r="A49" s="451" t="str">
        <f t="shared" si="0"/>
        <v>122600000_210</v>
      </c>
      <c r="B49" s="1001" t="s">
        <v>1169</v>
      </c>
      <c r="C49" s="806" t="s">
        <v>1170</v>
      </c>
      <c r="D49" s="805" t="s">
        <v>1182</v>
      </c>
      <c r="E49" s="1016" t="s">
        <v>1183</v>
      </c>
      <c r="F49" s="612"/>
      <c r="G49" s="612">
        <v>-1373574.108</v>
      </c>
      <c r="H49" s="612">
        <v>-1437435.459</v>
      </c>
      <c r="I49" s="612">
        <v>-5487340.3140000002</v>
      </c>
      <c r="J49" s="612">
        <v>-5106871.4939999999</v>
      </c>
      <c r="K49" s="612">
        <v>-4533501.4239999996</v>
      </c>
      <c r="L49" s="1017">
        <v>-7475361.824</v>
      </c>
      <c r="M49" s="451"/>
      <c r="N49" t="e">
        <f>VLOOKUP(A49, 'P&amp;L'!A:B,1,FALSE)</f>
        <v>#N/A</v>
      </c>
      <c r="O49" t="e">
        <f>VLOOKUP(A49, KeyData!A:C,1,FALSE)</f>
        <v>#N/A</v>
      </c>
      <c r="P49" s="451"/>
    </row>
    <row r="50" spans="1:16" x14ac:dyDescent="0.25">
      <c r="A50" s="451" t="str">
        <f t="shared" si="0"/>
        <v>122600000_211</v>
      </c>
      <c r="B50" s="1001" t="s">
        <v>1169</v>
      </c>
      <c r="C50" s="806" t="s">
        <v>1170</v>
      </c>
      <c r="D50" s="805" t="s">
        <v>1184</v>
      </c>
      <c r="E50" s="1016" t="s">
        <v>1185</v>
      </c>
      <c r="F50" s="612"/>
      <c r="G50" s="612">
        <v>-184808.378</v>
      </c>
      <c r="H50" s="612">
        <v>-126414.371</v>
      </c>
      <c r="I50" s="612">
        <v>-1180514.9210000001</v>
      </c>
      <c r="J50" s="612">
        <v>-465101.886</v>
      </c>
      <c r="K50" s="612">
        <v>-458846.565</v>
      </c>
      <c r="L50" s="1017">
        <v>-1390535.22</v>
      </c>
      <c r="M50" s="451"/>
      <c r="N50" t="e">
        <f>VLOOKUP(A50, 'P&amp;L'!A:B,1,FALSE)</f>
        <v>#N/A</v>
      </c>
      <c r="O50" t="e">
        <f>VLOOKUP(A50, KeyData!A:C,1,FALSE)</f>
        <v>#N/A</v>
      </c>
      <c r="P50" s="451"/>
    </row>
    <row r="51" spans="1:16" x14ac:dyDescent="0.25">
      <c r="A51" s="451" t="str">
        <f t="shared" si="0"/>
        <v>122600000_220</v>
      </c>
      <c r="B51" s="1001" t="s">
        <v>1169</v>
      </c>
      <c r="C51" s="806" t="s">
        <v>1170</v>
      </c>
      <c r="D51" s="805" t="s">
        <v>1186</v>
      </c>
      <c r="E51" s="1016" t="s">
        <v>1187</v>
      </c>
      <c r="F51" s="612"/>
      <c r="G51" s="612">
        <v>102944.969</v>
      </c>
      <c r="H51" s="612"/>
      <c r="I51" s="612"/>
      <c r="J51" s="612"/>
      <c r="K51" s="612"/>
      <c r="L51" s="1017"/>
      <c r="M51" s="451"/>
      <c r="N51" t="e">
        <f>VLOOKUP(A51, 'P&amp;L'!A:B,1,FALSE)</f>
        <v>#N/A</v>
      </c>
      <c r="O51" t="e">
        <f>VLOOKUP(A51, KeyData!A:C,1,FALSE)</f>
        <v>#N/A</v>
      </c>
      <c r="P51" s="451"/>
    </row>
    <row r="52" spans="1:16" x14ac:dyDescent="0.25">
      <c r="A52" s="451" t="str">
        <f t="shared" si="0"/>
        <v>122600000_222</v>
      </c>
      <c r="B52" s="1001" t="s">
        <v>1169</v>
      </c>
      <c r="C52" s="806" t="s">
        <v>1170</v>
      </c>
      <c r="D52" s="805" t="s">
        <v>1188</v>
      </c>
      <c r="E52" s="1016" t="s">
        <v>1189</v>
      </c>
      <c r="F52" s="612"/>
      <c r="G52" s="612">
        <v>1139321.334</v>
      </c>
      <c r="H52" s="612">
        <v>5671.5950000000003</v>
      </c>
      <c r="I52" s="612"/>
      <c r="J52" s="612">
        <v>5671.5950000000003</v>
      </c>
      <c r="K52" s="612">
        <v>5671.5950000000003</v>
      </c>
      <c r="L52" s="1017"/>
      <c r="M52" s="451"/>
      <c r="N52" t="e">
        <f>VLOOKUP(A52, 'P&amp;L'!A:B,1,FALSE)</f>
        <v>#N/A</v>
      </c>
      <c r="O52" t="e">
        <f>VLOOKUP(A52, KeyData!A:C,1,FALSE)</f>
        <v>#N/A</v>
      </c>
      <c r="P52" s="451"/>
    </row>
    <row r="53" spans="1:16" x14ac:dyDescent="0.25">
      <c r="A53" s="451" t="str">
        <f t="shared" si="0"/>
        <v>122600000_235</v>
      </c>
      <c r="B53" s="1001" t="s">
        <v>1169</v>
      </c>
      <c r="C53" s="806" t="s">
        <v>1170</v>
      </c>
      <c r="D53" s="805" t="s">
        <v>1190</v>
      </c>
      <c r="E53" s="1016" t="s">
        <v>1191</v>
      </c>
      <c r="F53" s="612"/>
      <c r="G53" s="612">
        <v>-849355.35100000002</v>
      </c>
      <c r="H53" s="612">
        <v>-3072896.9959999998</v>
      </c>
      <c r="I53" s="612"/>
      <c r="J53" s="612">
        <v>-3070878.023</v>
      </c>
      <c r="K53" s="612">
        <v>-3070878.023</v>
      </c>
      <c r="L53" s="1017"/>
      <c r="M53" s="451"/>
      <c r="N53" t="e">
        <f>VLOOKUP(A53, 'P&amp;L'!A:B,1,FALSE)</f>
        <v>#N/A</v>
      </c>
      <c r="O53" t="e">
        <f>VLOOKUP(A53, KeyData!A:C,1,FALSE)</f>
        <v>#N/A</v>
      </c>
      <c r="P53" s="451"/>
    </row>
    <row r="54" spans="1:16" x14ac:dyDescent="0.25">
      <c r="A54" s="451" t="str">
        <f t="shared" si="0"/>
        <v>122600000_248</v>
      </c>
      <c r="B54" s="1001" t="s">
        <v>1169</v>
      </c>
      <c r="C54" s="806" t="s">
        <v>1170</v>
      </c>
      <c r="D54" s="805" t="s">
        <v>1485</v>
      </c>
      <c r="E54" s="1016" t="s">
        <v>1484</v>
      </c>
      <c r="F54" s="612"/>
      <c r="G54" s="612">
        <v>0.128</v>
      </c>
      <c r="H54" s="612"/>
      <c r="I54" s="612"/>
      <c r="J54" s="612"/>
      <c r="K54" s="612"/>
      <c r="L54" s="1017"/>
      <c r="M54" s="451"/>
      <c r="N54" t="e">
        <f>VLOOKUP(A54, 'P&amp;L'!A:B,1,FALSE)</f>
        <v>#N/A</v>
      </c>
      <c r="O54" t="e">
        <f>VLOOKUP(A54, KeyData!A:C,1,FALSE)</f>
        <v>#N/A</v>
      </c>
      <c r="P54" s="451"/>
    </row>
    <row r="55" spans="1:16" x14ac:dyDescent="0.25">
      <c r="A55" s="451" t="str">
        <f t="shared" si="0"/>
        <v>122600000_260</v>
      </c>
      <c r="B55" s="1001" t="s">
        <v>1169</v>
      </c>
      <c r="C55" s="806" t="s">
        <v>1170</v>
      </c>
      <c r="D55" s="805" t="s">
        <v>1515</v>
      </c>
      <c r="E55" s="1016" t="s">
        <v>1514</v>
      </c>
      <c r="F55" s="612"/>
      <c r="G55" s="612">
        <v>0</v>
      </c>
      <c r="H55" s="612">
        <v>0</v>
      </c>
      <c r="I55" s="612"/>
      <c r="J55" s="612">
        <v>0</v>
      </c>
      <c r="K55" s="612">
        <v>0</v>
      </c>
      <c r="L55" s="1017"/>
      <c r="M55" s="451"/>
      <c r="N55" t="e">
        <f>VLOOKUP(A55, 'P&amp;L'!A:B,1,FALSE)</f>
        <v>#N/A</v>
      </c>
      <c r="O55" t="e">
        <f>VLOOKUP(A55, KeyData!A:C,1,FALSE)</f>
        <v>#N/A</v>
      </c>
      <c r="P55" s="451"/>
    </row>
    <row r="56" spans="1:16" x14ac:dyDescent="0.25">
      <c r="A56" s="451" t="str">
        <f t="shared" si="0"/>
        <v>122600000_Result</v>
      </c>
      <c r="B56" s="1001" t="s">
        <v>1169</v>
      </c>
      <c r="C56" s="806" t="s">
        <v>1170</v>
      </c>
      <c r="D56" s="834" t="s">
        <v>1160</v>
      </c>
      <c r="E56" s="1020"/>
      <c r="F56" s="833"/>
      <c r="G56" s="833">
        <v>28460412.350000001</v>
      </c>
      <c r="H56" s="833">
        <v>40153132.294</v>
      </c>
      <c r="I56" s="833">
        <v>42565734.976000004</v>
      </c>
      <c r="J56" s="833">
        <v>52104527.387000002</v>
      </c>
      <c r="K56" s="833">
        <v>53447409.266999997</v>
      </c>
      <c r="L56" s="1018">
        <v>55005128.265000001</v>
      </c>
      <c r="M56" s="451"/>
      <c r="N56" t="e">
        <f>VLOOKUP(A56, 'P&amp;L'!A:B,1,FALSE)</f>
        <v>#N/A</v>
      </c>
      <c r="O56" t="e">
        <f>VLOOKUP(A56, KeyData!A:C,1,FALSE)</f>
        <v>#N/A</v>
      </c>
      <c r="P56" s="451"/>
    </row>
    <row r="57" spans="1:16" x14ac:dyDescent="0.25">
      <c r="A57" s="451" t="str">
        <f t="shared" si="0"/>
        <v>122612000_100</v>
      </c>
      <c r="B57" s="1004" t="s">
        <v>1516</v>
      </c>
      <c r="C57" s="807" t="s">
        <v>1517</v>
      </c>
      <c r="D57" s="805" t="s">
        <v>1171</v>
      </c>
      <c r="E57" s="1016" t="s">
        <v>1153</v>
      </c>
      <c r="F57" s="612"/>
      <c r="G57" s="612">
        <v>678848.723</v>
      </c>
      <c r="H57" s="612">
        <v>1146889.436</v>
      </c>
      <c r="I57" s="612">
        <v>678848.723</v>
      </c>
      <c r="J57" s="612">
        <v>1146889.436</v>
      </c>
      <c r="K57" s="612">
        <v>1146889.436</v>
      </c>
      <c r="L57" s="1017">
        <v>1146889.436</v>
      </c>
      <c r="M57" s="451"/>
      <c r="N57" t="e">
        <f>VLOOKUP(A57, 'P&amp;L'!A:B,1,FALSE)</f>
        <v>#N/A</v>
      </c>
      <c r="O57" t="e">
        <f>VLOOKUP(A57, KeyData!A:C,1,FALSE)</f>
        <v>#N/A</v>
      </c>
      <c r="P57" s="451"/>
    </row>
    <row r="58" spans="1:16" x14ac:dyDescent="0.25">
      <c r="A58" s="451" t="str">
        <f t="shared" si="0"/>
        <v>122612000_110</v>
      </c>
      <c r="B58" s="1004" t="s">
        <v>1516</v>
      </c>
      <c r="C58" s="807" t="s">
        <v>1517</v>
      </c>
      <c r="D58" s="805" t="s">
        <v>1172</v>
      </c>
      <c r="E58" s="1016" t="s">
        <v>1173</v>
      </c>
      <c r="F58" s="612"/>
      <c r="G58" s="612">
        <v>64678.067999999999</v>
      </c>
      <c r="H58" s="612">
        <v>1972.5</v>
      </c>
      <c r="I58" s="612"/>
      <c r="J58" s="612"/>
      <c r="K58" s="612"/>
      <c r="L58" s="1017"/>
      <c r="M58" s="451"/>
      <c r="N58" t="e">
        <f>VLOOKUP(A58, 'P&amp;L'!A:B,1,FALSE)</f>
        <v>#N/A</v>
      </c>
      <c r="O58" t="str">
        <f>VLOOKUP(A58, KeyData!A:C,1,FALSE)</f>
        <v>122612000_110</v>
      </c>
      <c r="P58" s="451"/>
    </row>
    <row r="59" spans="1:16" x14ac:dyDescent="0.25">
      <c r="A59" s="451" t="str">
        <f t="shared" si="0"/>
        <v>122612000_120</v>
      </c>
      <c r="B59" s="1004" t="s">
        <v>1516</v>
      </c>
      <c r="C59" s="807" t="s">
        <v>1517</v>
      </c>
      <c r="D59" s="805" t="s">
        <v>1174</v>
      </c>
      <c r="E59" s="1016" t="s">
        <v>1175</v>
      </c>
      <c r="F59" s="612"/>
      <c r="G59" s="612">
        <v>-15180.708000000001</v>
      </c>
      <c r="H59" s="612"/>
      <c r="I59" s="612"/>
      <c r="J59" s="612"/>
      <c r="K59" s="612"/>
      <c r="L59" s="1017"/>
      <c r="M59" s="451"/>
      <c r="N59" t="e">
        <f>VLOOKUP(A59, 'P&amp;L'!A:B,1,FALSE)</f>
        <v>#N/A</v>
      </c>
      <c r="O59" t="e">
        <f>VLOOKUP(A59, KeyData!A:C,1,FALSE)</f>
        <v>#N/A</v>
      </c>
      <c r="P59" s="451"/>
    </row>
    <row r="60" spans="1:16" x14ac:dyDescent="0.25">
      <c r="A60" s="451" t="str">
        <f t="shared" si="0"/>
        <v>122612000_160</v>
      </c>
      <c r="B60" s="1004" t="s">
        <v>1516</v>
      </c>
      <c r="C60" s="807" t="s">
        <v>1517</v>
      </c>
      <c r="D60" s="805" t="s">
        <v>1513</v>
      </c>
      <c r="E60" s="1016" t="s">
        <v>1514</v>
      </c>
      <c r="F60" s="612"/>
      <c r="G60" s="612">
        <v>0</v>
      </c>
      <c r="H60" s="612">
        <v>0</v>
      </c>
      <c r="I60" s="612"/>
      <c r="J60" s="612">
        <v>0</v>
      </c>
      <c r="K60" s="612">
        <v>0</v>
      </c>
      <c r="L60" s="1017"/>
      <c r="M60" s="451"/>
      <c r="N60" t="e">
        <f>VLOOKUP(A60, 'P&amp;L'!A:B,1,FALSE)</f>
        <v>#N/A</v>
      </c>
      <c r="O60" t="e">
        <f>VLOOKUP(A60, KeyData!A:C,1,FALSE)</f>
        <v>#N/A</v>
      </c>
      <c r="P60" s="451"/>
    </row>
    <row r="61" spans="1:16" x14ac:dyDescent="0.25">
      <c r="A61" s="451" t="str">
        <f t="shared" si="0"/>
        <v>122612000_Result</v>
      </c>
      <c r="B61" s="1004" t="s">
        <v>1516</v>
      </c>
      <c r="C61" s="807" t="s">
        <v>1517</v>
      </c>
      <c r="D61" s="834" t="s">
        <v>1160</v>
      </c>
      <c r="E61" s="1020"/>
      <c r="F61" s="833"/>
      <c r="G61" s="833">
        <v>728346.08299999998</v>
      </c>
      <c r="H61" s="833">
        <v>1148861.936</v>
      </c>
      <c r="I61" s="833">
        <v>678848.723</v>
      </c>
      <c r="J61" s="833">
        <v>1146889.436</v>
      </c>
      <c r="K61" s="833">
        <v>1146889.436</v>
      </c>
      <c r="L61" s="1018">
        <v>1146889.436</v>
      </c>
      <c r="M61" s="451"/>
      <c r="N61" t="e">
        <f>VLOOKUP(A61, 'P&amp;L'!A:B,1,FALSE)</f>
        <v>#N/A</v>
      </c>
      <c r="O61" t="e">
        <f>VLOOKUP(A61, KeyData!A:C,1,FALSE)</f>
        <v>#N/A</v>
      </c>
      <c r="P61" s="451"/>
    </row>
    <row r="62" spans="1:16" x14ac:dyDescent="0.25">
      <c r="A62" s="451" t="str">
        <f t="shared" si="0"/>
        <v>122613000_100</v>
      </c>
      <c r="B62" s="1004" t="s">
        <v>1192</v>
      </c>
      <c r="C62" s="807" t="s">
        <v>1193</v>
      </c>
      <c r="D62" s="805" t="s">
        <v>1171</v>
      </c>
      <c r="E62" s="1016" t="s">
        <v>1153</v>
      </c>
      <c r="F62" s="612"/>
      <c r="G62" s="612">
        <v>48511.934999999998</v>
      </c>
      <c r="H62" s="612">
        <v>67086.634000000005</v>
      </c>
      <c r="I62" s="612">
        <v>48511.934999999998</v>
      </c>
      <c r="J62" s="612">
        <v>67086.634000000005</v>
      </c>
      <c r="K62" s="612">
        <v>67086.634000000005</v>
      </c>
      <c r="L62" s="1017">
        <v>67086.634000000005</v>
      </c>
      <c r="M62" s="451"/>
      <c r="N62" t="e">
        <f>VLOOKUP(A62, 'P&amp;L'!A:B,1,FALSE)</f>
        <v>#N/A</v>
      </c>
      <c r="O62" t="e">
        <f>VLOOKUP(A62, KeyData!A:C,1,FALSE)</f>
        <v>#N/A</v>
      </c>
      <c r="P62" s="451"/>
    </row>
    <row r="63" spans="1:16" x14ac:dyDescent="0.25">
      <c r="A63" s="451" t="str">
        <f t="shared" si="0"/>
        <v>122613000_110</v>
      </c>
      <c r="B63" s="1004" t="s">
        <v>1192</v>
      </c>
      <c r="C63" s="807" t="s">
        <v>1193</v>
      </c>
      <c r="D63" s="805" t="s">
        <v>1172</v>
      </c>
      <c r="E63" s="1016" t="s">
        <v>1173</v>
      </c>
      <c r="F63" s="612"/>
      <c r="G63" s="612">
        <v>1703.962</v>
      </c>
      <c r="H63" s="612">
        <v>2317.011</v>
      </c>
      <c r="I63" s="612"/>
      <c r="J63" s="612"/>
      <c r="K63" s="612"/>
      <c r="L63" s="1017"/>
      <c r="M63" s="451"/>
      <c r="N63" t="e">
        <f>VLOOKUP(A63, 'P&amp;L'!A:B,1,FALSE)</f>
        <v>#N/A</v>
      </c>
      <c r="O63" t="e">
        <f>VLOOKUP(A63, KeyData!A:C,1,FALSE)</f>
        <v>#N/A</v>
      </c>
      <c r="P63" s="451"/>
    </row>
    <row r="64" spans="1:16" x14ac:dyDescent="0.25">
      <c r="A64" s="451" t="str">
        <f t="shared" si="0"/>
        <v>122613000_120</v>
      </c>
      <c r="B64" s="1004" t="s">
        <v>1192</v>
      </c>
      <c r="C64" s="807" t="s">
        <v>1193</v>
      </c>
      <c r="D64" s="805" t="s">
        <v>1174</v>
      </c>
      <c r="E64" s="1016" t="s">
        <v>1175</v>
      </c>
      <c r="F64" s="612"/>
      <c r="G64" s="612">
        <v>-47391.142999999996</v>
      </c>
      <c r="H64" s="612"/>
      <c r="I64" s="612"/>
      <c r="J64" s="612"/>
      <c r="K64" s="612"/>
      <c r="L64" s="1017"/>
      <c r="M64" s="451"/>
      <c r="N64" t="e">
        <f>VLOOKUP(A64, 'P&amp;L'!A:B,1,FALSE)</f>
        <v>#N/A</v>
      </c>
      <c r="O64" t="e">
        <f>VLOOKUP(A64, KeyData!A:C,1,FALSE)</f>
        <v>#N/A</v>
      </c>
      <c r="P64" s="451"/>
    </row>
    <row r="65" spans="1:16" x14ac:dyDescent="0.25">
      <c r="A65" s="451" t="str">
        <f t="shared" si="0"/>
        <v>122613000_135</v>
      </c>
      <c r="B65" s="1004" t="s">
        <v>1192</v>
      </c>
      <c r="C65" s="807" t="s">
        <v>1193</v>
      </c>
      <c r="D65" s="805" t="s">
        <v>1180</v>
      </c>
      <c r="E65" s="1016" t="s">
        <v>1156</v>
      </c>
      <c r="F65" s="612"/>
      <c r="G65" s="612">
        <v>-1120.7929999999999</v>
      </c>
      <c r="H65" s="612"/>
      <c r="I65" s="612"/>
      <c r="J65" s="612"/>
      <c r="K65" s="612"/>
      <c r="L65" s="1017"/>
      <c r="M65" s="451"/>
      <c r="N65" t="e">
        <f>VLOOKUP(A65, 'P&amp;L'!A:B,1,FALSE)</f>
        <v>#N/A</v>
      </c>
      <c r="O65" t="e">
        <f>VLOOKUP(A65, KeyData!A:C,1,FALSE)</f>
        <v>#N/A</v>
      </c>
      <c r="P65" s="451"/>
    </row>
    <row r="66" spans="1:16" x14ac:dyDescent="0.25">
      <c r="A66" s="451" t="str">
        <f t="shared" si="0"/>
        <v>122613000_160</v>
      </c>
      <c r="B66" s="1004" t="s">
        <v>1192</v>
      </c>
      <c r="C66" s="807" t="s">
        <v>1193</v>
      </c>
      <c r="D66" s="805" t="s">
        <v>1513</v>
      </c>
      <c r="E66" s="1016" t="s">
        <v>1514</v>
      </c>
      <c r="F66" s="612"/>
      <c r="G66" s="612">
        <v>0</v>
      </c>
      <c r="H66" s="612">
        <v>0</v>
      </c>
      <c r="I66" s="612"/>
      <c r="J66" s="612">
        <v>0</v>
      </c>
      <c r="K66" s="612">
        <v>0</v>
      </c>
      <c r="L66" s="1017"/>
      <c r="M66" s="451"/>
      <c r="N66" t="e">
        <f>VLOOKUP(A66, 'P&amp;L'!A:B,1,FALSE)</f>
        <v>#N/A</v>
      </c>
      <c r="O66" t="e">
        <f>VLOOKUP(A66, KeyData!A:C,1,FALSE)</f>
        <v>#N/A</v>
      </c>
      <c r="P66" s="451"/>
    </row>
    <row r="67" spans="1:16" x14ac:dyDescent="0.25">
      <c r="A67" s="451" t="str">
        <f t="shared" ref="A67:A130" si="1" xml:space="preserve"> IFERROR(+B67*1,B67)&amp;"_"&amp;IFERROR(+D67*1,D67)</f>
        <v>122613000_200</v>
      </c>
      <c r="B67" s="1004" t="s">
        <v>1192</v>
      </c>
      <c r="C67" s="807" t="s">
        <v>1193</v>
      </c>
      <c r="D67" s="805" t="s">
        <v>1181</v>
      </c>
      <c r="E67" s="1016" t="s">
        <v>1153</v>
      </c>
      <c r="F67" s="612"/>
      <c r="G67" s="612">
        <v>-38825.713000000003</v>
      </c>
      <c r="H67" s="612">
        <v>-55480.652999999998</v>
      </c>
      <c r="I67" s="612">
        <v>-49682.101000000002</v>
      </c>
      <c r="J67" s="612">
        <v>-55480.652999999998</v>
      </c>
      <c r="K67" s="612">
        <v>-55480.652999999998</v>
      </c>
      <c r="L67" s="1017">
        <v>-55480.652999999998</v>
      </c>
      <c r="M67" s="451"/>
      <c r="N67" t="e">
        <f>VLOOKUP(A67, 'P&amp;L'!A:B,1,FALSE)</f>
        <v>#N/A</v>
      </c>
      <c r="O67" t="e">
        <f>VLOOKUP(A67, KeyData!A:C,1,FALSE)</f>
        <v>#N/A</v>
      </c>
      <c r="P67" s="451"/>
    </row>
    <row r="68" spans="1:16" x14ac:dyDescent="0.25">
      <c r="A68" s="451" t="str">
        <f t="shared" si="1"/>
        <v>122613000_210</v>
      </c>
      <c r="B68" s="1004" t="s">
        <v>1192</v>
      </c>
      <c r="C68" s="807" t="s">
        <v>1193</v>
      </c>
      <c r="D68" s="805" t="s">
        <v>1182</v>
      </c>
      <c r="E68" s="1016" t="s">
        <v>1183</v>
      </c>
      <c r="F68" s="612"/>
      <c r="G68" s="612">
        <v>-8708.2369999999992</v>
      </c>
      <c r="H68" s="612">
        <v>-1816.0070000000001</v>
      </c>
      <c r="I68" s="612"/>
      <c r="J68" s="612"/>
      <c r="K68" s="612"/>
      <c r="L68" s="1017"/>
      <c r="M68" s="451"/>
      <c r="N68" t="e">
        <f>VLOOKUP(A68, 'P&amp;L'!A:B,1,FALSE)</f>
        <v>#N/A</v>
      </c>
      <c r="O68" t="e">
        <f>VLOOKUP(A68, KeyData!A:C,1,FALSE)</f>
        <v>#N/A</v>
      </c>
      <c r="P68" s="451"/>
    </row>
    <row r="69" spans="1:16" x14ac:dyDescent="0.25">
      <c r="A69" s="451" t="str">
        <f t="shared" si="1"/>
        <v>122613000_220</v>
      </c>
      <c r="B69" s="1004" t="s">
        <v>1192</v>
      </c>
      <c r="C69" s="807" t="s">
        <v>1193</v>
      </c>
      <c r="D69" s="805" t="s">
        <v>1186</v>
      </c>
      <c r="E69" s="1016" t="s">
        <v>1187</v>
      </c>
      <c r="F69" s="612"/>
      <c r="G69" s="612">
        <v>47391.142999999996</v>
      </c>
      <c r="H69" s="612"/>
      <c r="I69" s="612"/>
      <c r="J69" s="612"/>
      <c r="K69" s="612"/>
      <c r="L69" s="1017"/>
      <c r="M69" s="451"/>
      <c r="N69" t="e">
        <f>VLOOKUP(A69, 'P&amp;L'!A:B,1,FALSE)</f>
        <v>#N/A</v>
      </c>
      <c r="O69" t="e">
        <f>VLOOKUP(A69, KeyData!A:C,1,FALSE)</f>
        <v>#N/A</v>
      </c>
      <c r="P69" s="451"/>
    </row>
    <row r="70" spans="1:16" x14ac:dyDescent="0.25">
      <c r="A70" s="451" t="str">
        <f t="shared" si="1"/>
        <v>122613000_260</v>
      </c>
      <c r="B70" s="1004" t="s">
        <v>1192</v>
      </c>
      <c r="C70" s="807" t="s">
        <v>1193</v>
      </c>
      <c r="D70" s="805" t="s">
        <v>1515</v>
      </c>
      <c r="E70" s="1016" t="s">
        <v>1514</v>
      </c>
      <c r="F70" s="612"/>
      <c r="G70" s="612">
        <v>0</v>
      </c>
      <c r="H70" s="612">
        <v>0</v>
      </c>
      <c r="I70" s="612"/>
      <c r="J70" s="612">
        <v>0</v>
      </c>
      <c r="K70" s="612">
        <v>0</v>
      </c>
      <c r="L70" s="1017"/>
      <c r="M70" s="451"/>
      <c r="N70" t="e">
        <f>VLOOKUP(A70, 'P&amp;L'!A:B,1,FALSE)</f>
        <v>#N/A</v>
      </c>
      <c r="O70" t="e">
        <f>VLOOKUP(A70, KeyData!A:C,1,FALSE)</f>
        <v>#N/A</v>
      </c>
      <c r="P70" s="451"/>
    </row>
    <row r="71" spans="1:16" x14ac:dyDescent="0.25">
      <c r="A71" s="451" t="str">
        <f t="shared" si="1"/>
        <v>122613000_Result</v>
      </c>
      <c r="B71" s="1004" t="s">
        <v>1192</v>
      </c>
      <c r="C71" s="807" t="s">
        <v>1193</v>
      </c>
      <c r="D71" s="834" t="s">
        <v>1160</v>
      </c>
      <c r="E71" s="1020"/>
      <c r="F71" s="833"/>
      <c r="G71" s="833">
        <v>1561.154</v>
      </c>
      <c r="H71" s="833">
        <v>12106.985000000001</v>
      </c>
      <c r="I71" s="833">
        <v>-1170.1659999999999</v>
      </c>
      <c r="J71" s="833">
        <v>11605.981</v>
      </c>
      <c r="K71" s="833">
        <v>11605.981</v>
      </c>
      <c r="L71" s="1018">
        <v>11605.981</v>
      </c>
      <c r="M71" s="451"/>
      <c r="N71" t="e">
        <f>VLOOKUP(A71, 'P&amp;L'!A:B,1,FALSE)</f>
        <v>#N/A</v>
      </c>
      <c r="O71" t="e">
        <f>VLOOKUP(A71, KeyData!A:C,1,FALSE)</f>
        <v>#N/A</v>
      </c>
      <c r="P71" s="451"/>
    </row>
    <row r="72" spans="1:16" x14ac:dyDescent="0.25">
      <c r="A72" s="451" t="str">
        <f t="shared" si="1"/>
        <v>122617100_100</v>
      </c>
      <c r="B72" s="1004" t="s">
        <v>1194</v>
      </c>
      <c r="C72" s="807" t="s">
        <v>1195</v>
      </c>
      <c r="D72" s="805" t="s">
        <v>1171</v>
      </c>
      <c r="E72" s="1016" t="s">
        <v>1153</v>
      </c>
      <c r="F72" s="612"/>
      <c r="G72" s="612">
        <v>2550822.713</v>
      </c>
      <c r="H72" s="612">
        <v>4013818.6669999999</v>
      </c>
      <c r="I72" s="612">
        <v>2820220.1349999998</v>
      </c>
      <c r="J72" s="612">
        <v>4013818.6669999999</v>
      </c>
      <c r="K72" s="612">
        <v>4013818.6669999999</v>
      </c>
      <c r="L72" s="1017">
        <v>5406747.54</v>
      </c>
      <c r="M72" s="451"/>
      <c r="N72" t="e">
        <f>VLOOKUP(A72, 'P&amp;L'!A:B,1,FALSE)</f>
        <v>#N/A</v>
      </c>
      <c r="O72" t="e">
        <f>VLOOKUP(A72, KeyData!A:C,1,FALSE)</f>
        <v>#N/A</v>
      </c>
      <c r="P72" s="451"/>
    </row>
    <row r="73" spans="1:16" x14ac:dyDescent="0.25">
      <c r="A73" s="451" t="str">
        <f t="shared" si="1"/>
        <v>122617100_110</v>
      </c>
      <c r="B73" s="1004" t="s">
        <v>1194</v>
      </c>
      <c r="C73" s="807" t="s">
        <v>1195</v>
      </c>
      <c r="D73" s="805" t="s">
        <v>1172</v>
      </c>
      <c r="E73" s="1016" t="s">
        <v>1173</v>
      </c>
      <c r="F73" s="612"/>
      <c r="G73" s="612">
        <v>33717.252</v>
      </c>
      <c r="H73" s="612">
        <v>104844.914</v>
      </c>
      <c r="I73" s="612">
        <v>1375191.4950000001</v>
      </c>
      <c r="J73" s="612">
        <v>1167722.2749999999</v>
      </c>
      <c r="K73" s="612">
        <v>1897218.656</v>
      </c>
      <c r="L73" s="1017">
        <v>2006552.7120000001</v>
      </c>
      <c r="M73" s="451"/>
      <c r="N73" t="e">
        <f>VLOOKUP(A73, 'P&amp;L'!A:B,1,FALSE)</f>
        <v>#N/A</v>
      </c>
      <c r="O73" t="str">
        <f>VLOOKUP(A73, KeyData!A:C,1,FALSE)</f>
        <v>122617100_110</v>
      </c>
      <c r="P73" s="451"/>
    </row>
    <row r="74" spans="1:16" x14ac:dyDescent="0.25">
      <c r="A74" s="451" t="str">
        <f t="shared" si="1"/>
        <v>122617100_130</v>
      </c>
      <c r="B74" s="1004" t="s">
        <v>1194</v>
      </c>
      <c r="C74" s="807" t="s">
        <v>1195</v>
      </c>
      <c r="D74" s="805" t="s">
        <v>1178</v>
      </c>
      <c r="E74" s="1016" t="s">
        <v>1179</v>
      </c>
      <c r="F74" s="612"/>
      <c r="G74" s="612"/>
      <c r="H74" s="612">
        <v>3567.2959999999998</v>
      </c>
      <c r="I74" s="612"/>
      <c r="J74" s="612"/>
      <c r="K74" s="612"/>
      <c r="L74" s="1017"/>
      <c r="M74" s="451"/>
      <c r="N74" t="e">
        <f>VLOOKUP(A74, 'P&amp;L'!A:B,1,FALSE)</f>
        <v>#N/A</v>
      </c>
      <c r="O74" t="e">
        <f>VLOOKUP(A74, KeyData!A:C,1,FALSE)</f>
        <v>#N/A</v>
      </c>
      <c r="P74" s="451"/>
    </row>
    <row r="75" spans="1:16" x14ac:dyDescent="0.25">
      <c r="A75" s="451" t="str">
        <f t="shared" si="1"/>
        <v>122617100_135</v>
      </c>
      <c r="B75" s="1004" t="s">
        <v>1194</v>
      </c>
      <c r="C75" s="807" t="s">
        <v>1195</v>
      </c>
      <c r="D75" s="805" t="s">
        <v>1180</v>
      </c>
      <c r="E75" s="1016" t="s">
        <v>1156</v>
      </c>
      <c r="F75" s="612"/>
      <c r="G75" s="612"/>
      <c r="H75" s="612">
        <v>23950</v>
      </c>
      <c r="I75" s="612"/>
      <c r="J75" s="612">
        <v>23950</v>
      </c>
      <c r="K75" s="612">
        <v>23950</v>
      </c>
      <c r="L75" s="1017"/>
      <c r="M75" s="451"/>
      <c r="N75" t="e">
        <f>VLOOKUP(A75, 'P&amp;L'!A:B,1,FALSE)</f>
        <v>#N/A</v>
      </c>
      <c r="O75" t="e">
        <f>VLOOKUP(A75, KeyData!A:C,1,FALSE)</f>
        <v>#N/A</v>
      </c>
      <c r="P75" s="451"/>
    </row>
    <row r="76" spans="1:16" x14ac:dyDescent="0.25">
      <c r="A76" s="451" t="str">
        <f t="shared" si="1"/>
        <v>122617100_148</v>
      </c>
      <c r="B76" s="1004" t="s">
        <v>1194</v>
      </c>
      <c r="C76" s="807" t="s">
        <v>1195</v>
      </c>
      <c r="D76" s="805" t="s">
        <v>1483</v>
      </c>
      <c r="E76" s="1016" t="s">
        <v>1484</v>
      </c>
      <c r="F76" s="612"/>
      <c r="G76" s="612">
        <v>4.8000000000000001E-2</v>
      </c>
      <c r="H76" s="612"/>
      <c r="I76" s="612"/>
      <c r="J76" s="612"/>
      <c r="K76" s="612"/>
      <c r="L76" s="1017"/>
      <c r="M76" s="451"/>
      <c r="N76" t="e">
        <f>VLOOKUP(A76, 'P&amp;L'!A:B,1,FALSE)</f>
        <v>#N/A</v>
      </c>
      <c r="O76" t="e">
        <f>VLOOKUP(A76, KeyData!A:C,1,FALSE)</f>
        <v>#N/A</v>
      </c>
      <c r="P76" s="451"/>
    </row>
    <row r="77" spans="1:16" x14ac:dyDescent="0.25">
      <c r="A77" s="451" t="str">
        <f t="shared" si="1"/>
        <v>122617100_160</v>
      </c>
      <c r="B77" s="1004" t="s">
        <v>1194</v>
      </c>
      <c r="C77" s="807" t="s">
        <v>1195</v>
      </c>
      <c r="D77" s="805" t="s">
        <v>1513</v>
      </c>
      <c r="E77" s="1016" t="s">
        <v>1514</v>
      </c>
      <c r="F77" s="612"/>
      <c r="G77" s="612">
        <v>0</v>
      </c>
      <c r="H77" s="612">
        <v>0</v>
      </c>
      <c r="I77" s="612"/>
      <c r="J77" s="612">
        <v>0</v>
      </c>
      <c r="K77" s="612">
        <v>0</v>
      </c>
      <c r="L77" s="1017"/>
      <c r="M77" s="451"/>
      <c r="N77" t="e">
        <f>VLOOKUP(A77, 'P&amp;L'!A:B,1,FALSE)</f>
        <v>#N/A</v>
      </c>
      <c r="O77" t="e">
        <f>VLOOKUP(A77, KeyData!A:C,1,FALSE)</f>
        <v>#N/A</v>
      </c>
      <c r="P77" s="451"/>
    </row>
    <row r="78" spans="1:16" x14ac:dyDescent="0.25">
      <c r="A78" s="451" t="str">
        <f t="shared" si="1"/>
        <v>122617100_200</v>
      </c>
      <c r="B78" s="1004" t="s">
        <v>1194</v>
      </c>
      <c r="C78" s="807" t="s">
        <v>1195</v>
      </c>
      <c r="D78" s="805" t="s">
        <v>1181</v>
      </c>
      <c r="E78" s="1016" t="s">
        <v>1153</v>
      </c>
      <c r="F78" s="612"/>
      <c r="G78" s="612">
        <v>-1266270.6839999999</v>
      </c>
      <c r="H78" s="612">
        <v>-2149397.6919999998</v>
      </c>
      <c r="I78" s="612">
        <v>-1359880.247</v>
      </c>
      <c r="J78" s="612">
        <v>-2149397.6919999998</v>
      </c>
      <c r="K78" s="612">
        <v>-2149397.6919999998</v>
      </c>
      <c r="L78" s="1017">
        <v>-2289340.3560000001</v>
      </c>
      <c r="M78" s="451"/>
      <c r="N78" t="e">
        <f>VLOOKUP(A78, 'P&amp;L'!A:B,1,FALSE)</f>
        <v>#N/A</v>
      </c>
      <c r="O78" t="e">
        <f>VLOOKUP(A78, KeyData!A:C,1,FALSE)</f>
        <v>#N/A</v>
      </c>
      <c r="P78" s="451"/>
    </row>
    <row r="79" spans="1:16" x14ac:dyDescent="0.25">
      <c r="A79" s="451" t="str">
        <f t="shared" si="1"/>
        <v>122617100_210</v>
      </c>
      <c r="B79" s="1004" t="s">
        <v>1194</v>
      </c>
      <c r="C79" s="807" t="s">
        <v>1195</v>
      </c>
      <c r="D79" s="805" t="s">
        <v>1182</v>
      </c>
      <c r="E79" s="1016" t="s">
        <v>1183</v>
      </c>
      <c r="F79" s="612"/>
      <c r="G79" s="612">
        <v>-126870.09299999999</v>
      </c>
      <c r="H79" s="612">
        <v>-97761.433000000005</v>
      </c>
      <c r="I79" s="612">
        <v>-224175.56400000001</v>
      </c>
      <c r="J79" s="612">
        <v>-145210.861</v>
      </c>
      <c r="K79" s="612">
        <v>-147371.103</v>
      </c>
      <c r="L79" s="1017">
        <v>-479890.56400000001</v>
      </c>
      <c r="M79" s="451"/>
      <c r="N79" t="e">
        <f>VLOOKUP(A79, 'P&amp;L'!A:B,1,FALSE)</f>
        <v>#N/A</v>
      </c>
      <c r="O79" t="e">
        <f>VLOOKUP(A79, KeyData!A:C,1,FALSE)</f>
        <v>#N/A</v>
      </c>
      <c r="P79" s="451"/>
    </row>
    <row r="80" spans="1:16" x14ac:dyDescent="0.25">
      <c r="A80" s="451" t="str">
        <f t="shared" si="1"/>
        <v>122617100_235</v>
      </c>
      <c r="B80" s="1004" t="s">
        <v>1194</v>
      </c>
      <c r="C80" s="807" t="s">
        <v>1195</v>
      </c>
      <c r="D80" s="805" t="s">
        <v>1190</v>
      </c>
      <c r="E80" s="1016" t="s">
        <v>1191</v>
      </c>
      <c r="F80" s="612"/>
      <c r="G80" s="612"/>
      <c r="H80" s="612">
        <v>-199.583</v>
      </c>
      <c r="I80" s="612"/>
      <c r="J80" s="612">
        <v>-199.583</v>
      </c>
      <c r="K80" s="612">
        <v>-199.583</v>
      </c>
      <c r="L80" s="1017"/>
      <c r="M80" s="451"/>
      <c r="N80" t="e">
        <f>VLOOKUP(A80, 'P&amp;L'!A:B,1,FALSE)</f>
        <v>#N/A</v>
      </c>
      <c r="O80" t="e">
        <f>VLOOKUP(A80, KeyData!A:C,1,FALSE)</f>
        <v>#N/A</v>
      </c>
      <c r="P80" s="451"/>
    </row>
    <row r="81" spans="1:16" x14ac:dyDescent="0.25">
      <c r="A81" s="451" t="str">
        <f t="shared" si="1"/>
        <v>122617100_248</v>
      </c>
      <c r="B81" s="1004" t="s">
        <v>1194</v>
      </c>
      <c r="C81" s="807" t="s">
        <v>1195</v>
      </c>
      <c r="D81" s="805" t="s">
        <v>1485</v>
      </c>
      <c r="E81" s="1016" t="s">
        <v>1484</v>
      </c>
      <c r="F81" s="612"/>
      <c r="G81" s="612">
        <v>0.128</v>
      </c>
      <c r="H81" s="612"/>
      <c r="I81" s="612"/>
      <c r="J81" s="612"/>
      <c r="K81" s="612"/>
      <c r="L81" s="1017"/>
      <c r="M81" s="451"/>
      <c r="N81" t="e">
        <f>VLOOKUP(A81, 'P&amp;L'!A:B,1,FALSE)</f>
        <v>#N/A</v>
      </c>
      <c r="O81" t="e">
        <f>VLOOKUP(A81, KeyData!A:C,1,FALSE)</f>
        <v>#N/A</v>
      </c>
      <c r="P81" s="451"/>
    </row>
    <row r="82" spans="1:16" x14ac:dyDescent="0.25">
      <c r="A82" s="451" t="str">
        <f t="shared" si="1"/>
        <v>122617100_260</v>
      </c>
      <c r="B82" s="1004" t="s">
        <v>1194</v>
      </c>
      <c r="C82" s="807" t="s">
        <v>1195</v>
      </c>
      <c r="D82" s="805" t="s">
        <v>1515</v>
      </c>
      <c r="E82" s="1016" t="s">
        <v>1514</v>
      </c>
      <c r="F82" s="612"/>
      <c r="G82" s="612">
        <v>0</v>
      </c>
      <c r="H82" s="612">
        <v>0</v>
      </c>
      <c r="I82" s="612"/>
      <c r="J82" s="612">
        <v>0</v>
      </c>
      <c r="K82" s="612">
        <v>0</v>
      </c>
      <c r="L82" s="1017"/>
      <c r="M82" s="451"/>
      <c r="N82" t="e">
        <f>VLOOKUP(A82, 'P&amp;L'!A:B,1,FALSE)</f>
        <v>#N/A</v>
      </c>
      <c r="O82" t="e">
        <f>VLOOKUP(A82, KeyData!A:C,1,FALSE)</f>
        <v>#N/A</v>
      </c>
      <c r="P82" s="451"/>
    </row>
    <row r="83" spans="1:16" x14ac:dyDescent="0.25">
      <c r="A83" s="451" t="str">
        <f t="shared" si="1"/>
        <v>122617100_Result</v>
      </c>
      <c r="B83" s="1004" t="s">
        <v>1194</v>
      </c>
      <c r="C83" s="807" t="s">
        <v>1195</v>
      </c>
      <c r="D83" s="834" t="s">
        <v>1160</v>
      </c>
      <c r="E83" s="1020"/>
      <c r="F83" s="833"/>
      <c r="G83" s="833">
        <v>1191399.3640000001</v>
      </c>
      <c r="H83" s="833">
        <v>1898822.169</v>
      </c>
      <c r="I83" s="833">
        <v>2611355.8190000001</v>
      </c>
      <c r="J83" s="833">
        <v>2910682.8059999999</v>
      </c>
      <c r="K83" s="833">
        <v>3638018.9449999998</v>
      </c>
      <c r="L83" s="1018">
        <v>4644069.3320000004</v>
      </c>
      <c r="M83" s="451"/>
      <c r="N83" t="e">
        <f>VLOOKUP(A83, 'P&amp;L'!A:B,1,FALSE)</f>
        <v>#N/A</v>
      </c>
      <c r="O83" t="e">
        <f>VLOOKUP(A83, KeyData!A:C,1,FALSE)</f>
        <v>#N/A</v>
      </c>
      <c r="P83" s="451"/>
    </row>
    <row r="84" spans="1:16" x14ac:dyDescent="0.25">
      <c r="A84" s="451" t="str">
        <f t="shared" si="1"/>
        <v>122617200_100</v>
      </c>
      <c r="B84" s="1004" t="s">
        <v>1196</v>
      </c>
      <c r="C84" s="807" t="s">
        <v>1197</v>
      </c>
      <c r="D84" s="805" t="s">
        <v>1171</v>
      </c>
      <c r="E84" s="1016" t="s">
        <v>1153</v>
      </c>
      <c r="F84" s="612"/>
      <c r="G84" s="612">
        <v>35881.108999999997</v>
      </c>
      <c r="H84" s="612">
        <v>479444.16399999999</v>
      </c>
      <c r="I84" s="612">
        <v>224263.54699999999</v>
      </c>
      <c r="J84" s="612">
        <v>479444.16399999999</v>
      </c>
      <c r="K84" s="612">
        <v>479444.16399999999</v>
      </c>
      <c r="L84" s="1017">
        <v>485443.18099999998</v>
      </c>
      <c r="M84" s="451"/>
      <c r="N84" t="e">
        <f>VLOOKUP(A84, 'P&amp;L'!A:B,1,FALSE)</f>
        <v>#N/A</v>
      </c>
      <c r="O84" t="e">
        <f>VLOOKUP(A84, KeyData!A:C,1,FALSE)</f>
        <v>#N/A</v>
      </c>
      <c r="P84" s="451"/>
    </row>
    <row r="85" spans="1:16" x14ac:dyDescent="0.25">
      <c r="A85" s="451" t="str">
        <f t="shared" si="1"/>
        <v>122617200_110</v>
      </c>
      <c r="B85" s="1004" t="s">
        <v>1196</v>
      </c>
      <c r="C85" s="807" t="s">
        <v>1197</v>
      </c>
      <c r="D85" s="805" t="s">
        <v>1172</v>
      </c>
      <c r="E85" s="1016" t="s">
        <v>1173</v>
      </c>
      <c r="F85" s="612"/>
      <c r="G85" s="612">
        <v>504362.60100000002</v>
      </c>
      <c r="H85" s="612"/>
      <c r="I85" s="612">
        <v>3682</v>
      </c>
      <c r="J85" s="612">
        <v>2317.0169999999998</v>
      </c>
      <c r="K85" s="612">
        <v>5999.0169999999998</v>
      </c>
      <c r="L85" s="1017"/>
      <c r="M85" s="451"/>
      <c r="N85" t="e">
        <f>VLOOKUP(A85, 'P&amp;L'!A:B,1,FALSE)</f>
        <v>#N/A</v>
      </c>
      <c r="O85" t="e">
        <f>VLOOKUP(A85, KeyData!A:C,1,FALSE)</f>
        <v>#N/A</v>
      </c>
      <c r="P85" s="451"/>
    </row>
    <row r="86" spans="1:16" x14ac:dyDescent="0.25">
      <c r="A86" s="451" t="str">
        <f t="shared" si="1"/>
        <v>122617200_120</v>
      </c>
      <c r="B86" s="1004" t="s">
        <v>1196</v>
      </c>
      <c r="C86" s="807" t="s">
        <v>1197</v>
      </c>
      <c r="D86" s="805" t="s">
        <v>1174</v>
      </c>
      <c r="E86" s="1016" t="s">
        <v>1175</v>
      </c>
      <c r="F86" s="612"/>
      <c r="G86" s="612">
        <v>-34772.135000000002</v>
      </c>
      <c r="H86" s="612"/>
      <c r="I86" s="612"/>
      <c r="J86" s="612"/>
      <c r="K86" s="612"/>
      <c r="L86" s="1017"/>
      <c r="M86" s="451"/>
      <c r="N86" t="e">
        <f>VLOOKUP(A86, 'P&amp;L'!A:B,1,FALSE)</f>
        <v>#N/A</v>
      </c>
      <c r="O86" t="e">
        <f>VLOOKUP(A86, KeyData!A:C,1,FALSE)</f>
        <v>#N/A</v>
      </c>
      <c r="P86" s="451"/>
    </row>
    <row r="87" spans="1:16" x14ac:dyDescent="0.25">
      <c r="A87" s="451" t="str">
        <f t="shared" si="1"/>
        <v>122617200_135</v>
      </c>
      <c r="B87" s="1004" t="s">
        <v>1196</v>
      </c>
      <c r="C87" s="807" t="s">
        <v>1197</v>
      </c>
      <c r="D87" s="805" t="s">
        <v>1180</v>
      </c>
      <c r="E87" s="1016" t="s">
        <v>1156</v>
      </c>
      <c r="F87" s="612"/>
      <c r="G87" s="612">
        <v>-1108.9760000000001</v>
      </c>
      <c r="H87" s="612"/>
      <c r="I87" s="612"/>
      <c r="J87" s="612"/>
      <c r="K87" s="612"/>
      <c r="L87" s="1017"/>
      <c r="M87" s="451"/>
      <c r="N87" t="e">
        <f>VLOOKUP(A87, 'P&amp;L'!A:B,1,FALSE)</f>
        <v>#N/A</v>
      </c>
      <c r="O87" t="e">
        <f>VLOOKUP(A87, KeyData!A:C,1,FALSE)</f>
        <v>#N/A</v>
      </c>
      <c r="P87" s="451"/>
    </row>
    <row r="88" spans="1:16" x14ac:dyDescent="0.25">
      <c r="A88" s="451" t="str">
        <f t="shared" si="1"/>
        <v>122617200_160</v>
      </c>
      <c r="B88" s="1004" t="s">
        <v>1196</v>
      </c>
      <c r="C88" s="807" t="s">
        <v>1197</v>
      </c>
      <c r="D88" s="805" t="s">
        <v>1513</v>
      </c>
      <c r="E88" s="1016" t="s">
        <v>1514</v>
      </c>
      <c r="F88" s="612"/>
      <c r="G88" s="612">
        <v>0</v>
      </c>
      <c r="H88" s="612">
        <v>0</v>
      </c>
      <c r="I88" s="612"/>
      <c r="J88" s="612">
        <v>0</v>
      </c>
      <c r="K88" s="612">
        <v>0</v>
      </c>
      <c r="L88" s="1017"/>
      <c r="M88" s="451"/>
      <c r="N88" t="e">
        <f>VLOOKUP(A88, 'P&amp;L'!A:B,1,FALSE)</f>
        <v>#N/A</v>
      </c>
      <c r="O88" t="e">
        <f>VLOOKUP(A88, KeyData!A:C,1,FALSE)</f>
        <v>#N/A</v>
      </c>
      <c r="P88" s="451"/>
    </row>
    <row r="89" spans="1:16" x14ac:dyDescent="0.25">
      <c r="A89" s="451" t="str">
        <f t="shared" si="1"/>
        <v>122617200_200</v>
      </c>
      <c r="B89" s="1004" t="s">
        <v>1196</v>
      </c>
      <c r="C89" s="807" t="s">
        <v>1197</v>
      </c>
      <c r="D89" s="805" t="s">
        <v>1181</v>
      </c>
      <c r="E89" s="1016" t="s">
        <v>1153</v>
      </c>
      <c r="F89" s="612"/>
      <c r="G89" s="612">
        <v>-23003.655999999999</v>
      </c>
      <c r="H89" s="612">
        <v>-118977.16800000001</v>
      </c>
      <c r="I89" s="612">
        <v>-43526.894999999997</v>
      </c>
      <c r="J89" s="612">
        <v>-118977.16800000001</v>
      </c>
      <c r="K89" s="612">
        <v>-118977.16800000001</v>
      </c>
      <c r="L89" s="1017">
        <v>-177040.326</v>
      </c>
      <c r="M89" s="451"/>
      <c r="N89" t="e">
        <f>VLOOKUP(A89, 'P&amp;L'!A:B,1,FALSE)</f>
        <v>#N/A</v>
      </c>
      <c r="O89" t="e">
        <f>VLOOKUP(A89, KeyData!A:C,1,FALSE)</f>
        <v>#N/A</v>
      </c>
      <c r="P89" s="451"/>
    </row>
    <row r="90" spans="1:16" x14ac:dyDescent="0.25">
      <c r="A90" s="451" t="str">
        <f t="shared" si="1"/>
        <v>122617200_210</v>
      </c>
      <c r="B90" s="1004" t="s">
        <v>1196</v>
      </c>
      <c r="C90" s="807" t="s">
        <v>1197</v>
      </c>
      <c r="D90" s="805" t="s">
        <v>1182</v>
      </c>
      <c r="E90" s="1016" t="s">
        <v>1183</v>
      </c>
      <c r="F90" s="612"/>
      <c r="G90" s="612">
        <v>-85928.573000000004</v>
      </c>
      <c r="H90" s="612">
        <v>-39062.442000000003</v>
      </c>
      <c r="I90" s="612">
        <v>-111046.32</v>
      </c>
      <c r="J90" s="612">
        <v>-56884.571000000004</v>
      </c>
      <c r="K90" s="612">
        <v>-58101.512000000002</v>
      </c>
      <c r="L90" s="1017"/>
      <c r="M90" s="451"/>
      <c r="N90" t="e">
        <f>VLOOKUP(A90, 'P&amp;L'!A:B,1,FALSE)</f>
        <v>#N/A</v>
      </c>
      <c r="O90" t="e">
        <f>VLOOKUP(A90, KeyData!A:C,1,FALSE)</f>
        <v>#N/A</v>
      </c>
      <c r="P90" s="451"/>
    </row>
    <row r="91" spans="1:16" x14ac:dyDescent="0.25">
      <c r="A91" s="451" t="str">
        <f t="shared" si="1"/>
        <v>122617200_220</v>
      </c>
      <c r="B91" s="1004" t="s">
        <v>1196</v>
      </c>
      <c r="C91" s="807" t="s">
        <v>1197</v>
      </c>
      <c r="D91" s="805" t="s">
        <v>1186</v>
      </c>
      <c r="E91" s="1016" t="s">
        <v>1187</v>
      </c>
      <c r="F91" s="612"/>
      <c r="G91" s="612">
        <v>34772.135000000002</v>
      </c>
      <c r="H91" s="612"/>
      <c r="I91" s="612"/>
      <c r="J91" s="612"/>
      <c r="K91" s="612"/>
      <c r="L91" s="1017"/>
      <c r="M91" s="451"/>
      <c r="N91" t="e">
        <f>VLOOKUP(A91, 'P&amp;L'!A:B,1,FALSE)</f>
        <v>#N/A</v>
      </c>
      <c r="O91" t="e">
        <f>VLOOKUP(A91, KeyData!A:C,1,FALSE)</f>
        <v>#N/A</v>
      </c>
      <c r="P91" s="451"/>
    </row>
    <row r="92" spans="1:16" x14ac:dyDescent="0.25">
      <c r="A92" s="451" t="str">
        <f t="shared" si="1"/>
        <v>122617200_235</v>
      </c>
      <c r="B92" s="1004" t="s">
        <v>1196</v>
      </c>
      <c r="C92" s="807" t="s">
        <v>1197</v>
      </c>
      <c r="D92" s="805" t="s">
        <v>1190</v>
      </c>
      <c r="E92" s="1016" t="s">
        <v>1191</v>
      </c>
      <c r="F92" s="612"/>
      <c r="G92" s="612">
        <v>1E-3</v>
      </c>
      <c r="H92" s="612"/>
      <c r="I92" s="612"/>
      <c r="J92" s="612"/>
      <c r="K92" s="612"/>
      <c r="L92" s="1017"/>
      <c r="M92" s="451"/>
      <c r="N92" t="e">
        <f>VLOOKUP(A92, 'P&amp;L'!A:B,1,FALSE)</f>
        <v>#N/A</v>
      </c>
      <c r="O92" t="e">
        <f>VLOOKUP(A92, KeyData!A:C,1,FALSE)</f>
        <v>#N/A</v>
      </c>
      <c r="P92" s="451"/>
    </row>
    <row r="93" spans="1:16" x14ac:dyDescent="0.25">
      <c r="A93" s="451" t="str">
        <f t="shared" si="1"/>
        <v>122617200_260</v>
      </c>
      <c r="B93" s="1004" t="s">
        <v>1196</v>
      </c>
      <c r="C93" s="807" t="s">
        <v>1197</v>
      </c>
      <c r="D93" s="805" t="s">
        <v>1515</v>
      </c>
      <c r="E93" s="1016" t="s">
        <v>1514</v>
      </c>
      <c r="F93" s="612"/>
      <c r="G93" s="612">
        <v>0</v>
      </c>
      <c r="H93" s="612">
        <v>0</v>
      </c>
      <c r="I93" s="612"/>
      <c r="J93" s="612">
        <v>0</v>
      </c>
      <c r="K93" s="612">
        <v>0</v>
      </c>
      <c r="L93" s="1017"/>
      <c r="M93" s="451"/>
      <c r="N93" t="e">
        <f>VLOOKUP(A93, 'P&amp;L'!A:B,1,FALSE)</f>
        <v>#N/A</v>
      </c>
      <c r="O93" t="e">
        <f>VLOOKUP(A93, KeyData!A:C,1,FALSE)</f>
        <v>#N/A</v>
      </c>
      <c r="P93" s="451"/>
    </row>
    <row r="94" spans="1:16" x14ac:dyDescent="0.25">
      <c r="A94" s="451" t="str">
        <f t="shared" si="1"/>
        <v>122617200_Result</v>
      </c>
      <c r="B94" s="1004" t="s">
        <v>1196</v>
      </c>
      <c r="C94" s="807" t="s">
        <v>1197</v>
      </c>
      <c r="D94" s="834" t="s">
        <v>1160</v>
      </c>
      <c r="E94" s="1020"/>
      <c r="F94" s="833"/>
      <c r="G94" s="833">
        <v>430202.50599999999</v>
      </c>
      <c r="H94" s="833">
        <v>321404.554</v>
      </c>
      <c r="I94" s="833">
        <v>73372.331999999995</v>
      </c>
      <c r="J94" s="833">
        <v>305899.44199999998</v>
      </c>
      <c r="K94" s="833">
        <v>308364.50099999999</v>
      </c>
      <c r="L94" s="1018">
        <v>308402.85499999998</v>
      </c>
      <c r="M94" s="451"/>
      <c r="N94" t="e">
        <f>VLOOKUP(A94, 'P&amp;L'!A:B,1,FALSE)</f>
        <v>#N/A</v>
      </c>
      <c r="O94" t="e">
        <f>VLOOKUP(A94, KeyData!A:C,1,FALSE)</f>
        <v>#N/A</v>
      </c>
      <c r="P94" s="451"/>
    </row>
    <row r="95" spans="1:16" x14ac:dyDescent="0.25">
      <c r="A95" s="451" t="str">
        <f t="shared" si="1"/>
        <v>122622000_100</v>
      </c>
      <c r="B95" s="1004" t="s">
        <v>1198</v>
      </c>
      <c r="C95" s="807" t="s">
        <v>1199</v>
      </c>
      <c r="D95" s="805" t="s">
        <v>1171</v>
      </c>
      <c r="E95" s="1016" t="s">
        <v>1153</v>
      </c>
      <c r="F95" s="612"/>
      <c r="G95" s="612">
        <v>13404659.318</v>
      </c>
      <c r="H95" s="612">
        <v>943294.87600000005</v>
      </c>
      <c r="I95" s="612">
        <v>21316526.636999998</v>
      </c>
      <c r="J95" s="612">
        <v>943294.87600000005</v>
      </c>
      <c r="K95" s="612">
        <v>943294.87600000005</v>
      </c>
      <c r="L95" s="1017">
        <v>35323623.670999996</v>
      </c>
      <c r="M95" s="451"/>
      <c r="N95" t="e">
        <f>VLOOKUP(A95, 'P&amp;L'!A:B,1,FALSE)</f>
        <v>#N/A</v>
      </c>
      <c r="O95" t="e">
        <f>VLOOKUP(A95, KeyData!A:C,1,FALSE)</f>
        <v>#N/A</v>
      </c>
      <c r="P95" s="451"/>
    </row>
    <row r="96" spans="1:16" x14ac:dyDescent="0.25">
      <c r="A96" s="451" t="str">
        <f t="shared" si="1"/>
        <v>122622000_110</v>
      </c>
      <c r="B96" s="1004" t="s">
        <v>1198</v>
      </c>
      <c r="C96" s="807" t="s">
        <v>1199</v>
      </c>
      <c r="D96" s="805" t="s">
        <v>1172</v>
      </c>
      <c r="E96" s="1016" t="s">
        <v>1173</v>
      </c>
      <c r="F96" s="612"/>
      <c r="G96" s="612">
        <v>1053466.862</v>
      </c>
      <c r="H96" s="612">
        <v>713513</v>
      </c>
      <c r="I96" s="612">
        <v>18502737.756999999</v>
      </c>
      <c r="J96" s="612">
        <v>19720724.853</v>
      </c>
      <c r="K96" s="612">
        <v>19749595.660999998</v>
      </c>
      <c r="L96" s="1017">
        <v>7424676.3320000004</v>
      </c>
      <c r="M96" s="451"/>
      <c r="N96" t="e">
        <f>VLOOKUP(A96, 'P&amp;L'!A:B,1,FALSE)</f>
        <v>#N/A</v>
      </c>
      <c r="O96" t="str">
        <f>VLOOKUP(A96, KeyData!A:C,1,FALSE)</f>
        <v>122622000_110</v>
      </c>
      <c r="P96" s="451"/>
    </row>
    <row r="97" spans="1:16" x14ac:dyDescent="0.25">
      <c r="A97" s="451" t="str">
        <f t="shared" si="1"/>
        <v>122622000_120</v>
      </c>
      <c r="B97" s="1004" t="s">
        <v>1198</v>
      </c>
      <c r="C97" s="807" t="s">
        <v>1199</v>
      </c>
      <c r="D97" s="805" t="s">
        <v>1174</v>
      </c>
      <c r="E97" s="1016" t="s">
        <v>1175</v>
      </c>
      <c r="F97" s="612"/>
      <c r="G97" s="612">
        <v>-5755.6840000000002</v>
      </c>
      <c r="H97" s="612"/>
      <c r="I97" s="612"/>
      <c r="J97" s="612"/>
      <c r="K97" s="612"/>
      <c r="L97" s="1017"/>
      <c r="M97" s="451"/>
      <c r="N97" t="e">
        <f>VLOOKUP(A97, 'P&amp;L'!A:B,1,FALSE)</f>
        <v>#N/A</v>
      </c>
      <c r="O97" t="e">
        <f>VLOOKUP(A97, KeyData!A:C,1,FALSE)</f>
        <v>#N/A</v>
      </c>
      <c r="P97" s="451"/>
    </row>
    <row r="98" spans="1:16" x14ac:dyDescent="0.25">
      <c r="A98" s="451" t="str">
        <f t="shared" si="1"/>
        <v>122622000_122</v>
      </c>
      <c r="B98" s="1004" t="s">
        <v>1198</v>
      </c>
      <c r="C98" s="807" t="s">
        <v>1199</v>
      </c>
      <c r="D98" s="805" t="s">
        <v>1176</v>
      </c>
      <c r="E98" s="1016" t="s">
        <v>1177</v>
      </c>
      <c r="F98" s="612"/>
      <c r="G98" s="612">
        <v>-1142471.0079999999</v>
      </c>
      <c r="H98" s="612">
        <v>-5671.5950000000003</v>
      </c>
      <c r="I98" s="612"/>
      <c r="J98" s="612">
        <v>-5671.5950000000003</v>
      </c>
      <c r="K98" s="612">
        <v>-5671.5950000000003</v>
      </c>
      <c r="L98" s="1017"/>
      <c r="M98" s="451"/>
      <c r="N98" t="e">
        <f>VLOOKUP(A98, 'P&amp;L'!A:B,1,FALSE)</f>
        <v>#N/A</v>
      </c>
      <c r="O98" t="e">
        <f>VLOOKUP(A98, KeyData!A:C,1,FALSE)</f>
        <v>#N/A</v>
      </c>
      <c r="P98" s="451"/>
    </row>
    <row r="99" spans="1:16" x14ac:dyDescent="0.25">
      <c r="A99" s="451" t="str">
        <f t="shared" si="1"/>
        <v>122622000_130</v>
      </c>
      <c r="B99" s="1004" t="s">
        <v>1198</v>
      </c>
      <c r="C99" s="807" t="s">
        <v>1199</v>
      </c>
      <c r="D99" s="805" t="s">
        <v>1178</v>
      </c>
      <c r="E99" s="1016" t="s">
        <v>1179</v>
      </c>
      <c r="F99" s="612"/>
      <c r="G99" s="612">
        <v>1624734.21</v>
      </c>
      <c r="H99" s="612">
        <v>9986226.6089999992</v>
      </c>
      <c r="I99" s="612"/>
      <c r="J99" s="612"/>
      <c r="K99" s="612"/>
      <c r="L99" s="1017"/>
      <c r="M99" s="451"/>
      <c r="N99" t="e">
        <f>VLOOKUP(A99, 'P&amp;L'!A:B,1,FALSE)</f>
        <v>#N/A</v>
      </c>
      <c r="O99" t="e">
        <f>VLOOKUP(A99, KeyData!A:C,1,FALSE)</f>
        <v>#N/A</v>
      </c>
      <c r="P99" s="451"/>
    </row>
    <row r="100" spans="1:16" x14ac:dyDescent="0.25">
      <c r="A100" s="451" t="str">
        <f t="shared" si="1"/>
        <v>122622000_135</v>
      </c>
      <c r="B100" s="1004" t="s">
        <v>1198</v>
      </c>
      <c r="C100" s="807" t="s">
        <v>1199</v>
      </c>
      <c r="D100" s="805" t="s">
        <v>1180</v>
      </c>
      <c r="E100" s="1016" t="s">
        <v>1156</v>
      </c>
      <c r="F100" s="612"/>
      <c r="G100" s="612">
        <v>1018889.485</v>
      </c>
      <c r="H100" s="612">
        <v>14518398.722999999</v>
      </c>
      <c r="I100" s="612"/>
      <c r="J100" s="612">
        <v>13987974.99</v>
      </c>
      <c r="K100" s="612">
        <v>13987974.99</v>
      </c>
      <c r="L100" s="1017"/>
      <c r="M100" s="451"/>
      <c r="N100" t="e">
        <f>VLOOKUP(A100, 'P&amp;L'!A:B,1,FALSE)</f>
        <v>#N/A</v>
      </c>
      <c r="O100" t="e">
        <f>VLOOKUP(A100, KeyData!A:C,1,FALSE)</f>
        <v>#N/A</v>
      </c>
      <c r="P100" s="451"/>
    </row>
    <row r="101" spans="1:16" x14ac:dyDescent="0.25">
      <c r="A101" s="451" t="str">
        <f t="shared" si="1"/>
        <v>122622000_148</v>
      </c>
      <c r="B101" s="1004" t="s">
        <v>1198</v>
      </c>
      <c r="C101" s="807" t="s">
        <v>1199</v>
      </c>
      <c r="D101" s="805" t="s">
        <v>1483</v>
      </c>
      <c r="E101" s="1016" t="s">
        <v>1484</v>
      </c>
      <c r="F101" s="612"/>
      <c r="G101" s="612">
        <v>-1.9E-2</v>
      </c>
      <c r="H101" s="612"/>
      <c r="I101" s="612"/>
      <c r="J101" s="612"/>
      <c r="K101" s="612"/>
      <c r="L101" s="1017"/>
      <c r="M101" s="451"/>
      <c r="N101" t="e">
        <f>VLOOKUP(A101, 'P&amp;L'!A:B,1,FALSE)</f>
        <v>#N/A</v>
      </c>
      <c r="O101" t="e">
        <f>VLOOKUP(A101, KeyData!A:C,1,FALSE)</f>
        <v>#N/A</v>
      </c>
      <c r="P101" s="451"/>
    </row>
    <row r="102" spans="1:16" x14ac:dyDescent="0.25">
      <c r="A102" s="451" t="str">
        <f t="shared" si="1"/>
        <v>122622000_160</v>
      </c>
      <c r="B102" s="1004" t="s">
        <v>1198</v>
      </c>
      <c r="C102" s="807" t="s">
        <v>1199</v>
      </c>
      <c r="D102" s="805" t="s">
        <v>1513</v>
      </c>
      <c r="E102" s="1016" t="s">
        <v>1514</v>
      </c>
      <c r="F102" s="612"/>
      <c r="G102" s="612">
        <v>0</v>
      </c>
      <c r="H102" s="612">
        <v>0</v>
      </c>
      <c r="I102" s="612"/>
      <c r="J102" s="612">
        <v>0</v>
      </c>
      <c r="K102" s="612">
        <v>0</v>
      </c>
      <c r="L102" s="1017"/>
      <c r="M102" s="451"/>
      <c r="N102" t="e">
        <f>VLOOKUP(A102, 'P&amp;L'!A:B,1,FALSE)</f>
        <v>#N/A</v>
      </c>
      <c r="O102" t="e">
        <f>VLOOKUP(A102, KeyData!A:C,1,FALSE)</f>
        <v>#N/A</v>
      </c>
      <c r="P102" s="451"/>
    </row>
    <row r="103" spans="1:16" x14ac:dyDescent="0.25">
      <c r="A103" s="451" t="str">
        <f t="shared" si="1"/>
        <v>122622000_200</v>
      </c>
      <c r="B103" s="1004" t="s">
        <v>1198</v>
      </c>
      <c r="C103" s="807" t="s">
        <v>1199</v>
      </c>
      <c r="D103" s="805" t="s">
        <v>1181</v>
      </c>
      <c r="E103" s="1016" t="s">
        <v>1153</v>
      </c>
      <c r="F103" s="612"/>
      <c r="G103" s="612">
        <v>-8818080.5779999997</v>
      </c>
      <c r="H103" s="612">
        <v>-407902.27</v>
      </c>
      <c r="I103" s="612">
        <v>-9419370.9110000003</v>
      </c>
      <c r="J103" s="612">
        <v>-407902.27</v>
      </c>
      <c r="K103" s="612">
        <v>-407902.27</v>
      </c>
      <c r="L103" s="1017">
        <v>-7647866.7309999997</v>
      </c>
      <c r="M103" s="451"/>
      <c r="N103" t="e">
        <f>VLOOKUP(A103, 'P&amp;L'!A:B,1,FALSE)</f>
        <v>#N/A</v>
      </c>
      <c r="O103" t="e">
        <f>VLOOKUP(A103, KeyData!A:C,1,FALSE)</f>
        <v>#N/A</v>
      </c>
      <c r="P103" s="451"/>
    </row>
    <row r="104" spans="1:16" x14ac:dyDescent="0.25">
      <c r="A104" s="451" t="str">
        <f t="shared" si="1"/>
        <v>122622000_210</v>
      </c>
      <c r="B104" s="1004" t="s">
        <v>1198</v>
      </c>
      <c r="C104" s="807" t="s">
        <v>1199</v>
      </c>
      <c r="D104" s="805" t="s">
        <v>1182</v>
      </c>
      <c r="E104" s="1016" t="s">
        <v>1183</v>
      </c>
      <c r="F104" s="612"/>
      <c r="G104" s="612">
        <v>-1039645.624</v>
      </c>
      <c r="H104" s="612">
        <v>-1236144.7</v>
      </c>
      <c r="I104" s="612">
        <v>-5057237.8140000002</v>
      </c>
      <c r="J104" s="612">
        <v>-4779298.5590000004</v>
      </c>
      <c r="K104" s="612">
        <v>-4201967.6399999997</v>
      </c>
      <c r="L104" s="1017">
        <v>-6807113.4529999997</v>
      </c>
      <c r="M104" s="451"/>
      <c r="N104" t="e">
        <f>VLOOKUP(A104, 'P&amp;L'!A:B,1,FALSE)</f>
        <v>#N/A</v>
      </c>
      <c r="O104" t="e">
        <f>VLOOKUP(A104, KeyData!A:C,1,FALSE)</f>
        <v>#N/A</v>
      </c>
      <c r="P104" s="451"/>
    </row>
    <row r="105" spans="1:16" x14ac:dyDescent="0.25">
      <c r="A105" s="451" t="str">
        <f t="shared" si="1"/>
        <v>122622000_220</v>
      </c>
      <c r="B105" s="1004" t="s">
        <v>1198</v>
      </c>
      <c r="C105" s="807" t="s">
        <v>1199</v>
      </c>
      <c r="D105" s="805" t="s">
        <v>1186</v>
      </c>
      <c r="E105" s="1016" t="s">
        <v>1187</v>
      </c>
      <c r="F105" s="612"/>
      <c r="G105" s="612">
        <v>5755.6840000000002</v>
      </c>
      <c r="H105" s="612"/>
      <c r="I105" s="612"/>
      <c r="J105" s="612"/>
      <c r="K105" s="612"/>
      <c r="L105" s="1017"/>
      <c r="M105" s="451"/>
      <c r="N105" t="e">
        <f>VLOOKUP(A105, 'P&amp;L'!A:B,1,FALSE)</f>
        <v>#N/A</v>
      </c>
      <c r="O105" t="e">
        <f>VLOOKUP(A105, KeyData!A:C,1,FALSE)</f>
        <v>#N/A</v>
      </c>
      <c r="P105" s="451"/>
    </row>
    <row r="106" spans="1:16" x14ac:dyDescent="0.25">
      <c r="A106" s="451" t="str">
        <f t="shared" si="1"/>
        <v>122622000_222</v>
      </c>
      <c r="B106" s="1004" t="s">
        <v>1198</v>
      </c>
      <c r="C106" s="807" t="s">
        <v>1199</v>
      </c>
      <c r="D106" s="805" t="s">
        <v>1188</v>
      </c>
      <c r="E106" s="1016" t="s">
        <v>1189</v>
      </c>
      <c r="F106" s="612"/>
      <c r="G106" s="612">
        <v>1133838.939</v>
      </c>
      <c r="H106" s="612">
        <v>5671.5950000000003</v>
      </c>
      <c r="I106" s="612"/>
      <c r="J106" s="612">
        <v>5671.5950000000003</v>
      </c>
      <c r="K106" s="612">
        <v>5671.5950000000003</v>
      </c>
      <c r="L106" s="1017"/>
      <c r="M106" s="451"/>
      <c r="N106" t="e">
        <f>VLOOKUP(A106, 'P&amp;L'!A:B,1,FALSE)</f>
        <v>#N/A</v>
      </c>
      <c r="O106" t="e">
        <f>VLOOKUP(A106, KeyData!A:C,1,FALSE)</f>
        <v>#N/A</v>
      </c>
      <c r="P106" s="451"/>
    </row>
    <row r="107" spans="1:16" x14ac:dyDescent="0.25">
      <c r="A107" s="451" t="str">
        <f t="shared" si="1"/>
        <v>122622000_235</v>
      </c>
      <c r="B107" s="1004" t="s">
        <v>1198</v>
      </c>
      <c r="C107" s="807" t="s">
        <v>1199</v>
      </c>
      <c r="D107" s="805" t="s">
        <v>1190</v>
      </c>
      <c r="E107" s="1016" t="s">
        <v>1191</v>
      </c>
      <c r="F107" s="612"/>
      <c r="G107" s="612">
        <v>-838206.799</v>
      </c>
      <c r="H107" s="612">
        <v>-3089575.44</v>
      </c>
      <c r="I107" s="612"/>
      <c r="J107" s="612">
        <v>-3078099.9169999999</v>
      </c>
      <c r="K107" s="612">
        <v>-3078099.9169999999</v>
      </c>
      <c r="L107" s="1017"/>
      <c r="M107" s="451"/>
      <c r="N107" t="e">
        <f>VLOOKUP(A107, 'P&amp;L'!A:B,1,FALSE)</f>
        <v>#N/A</v>
      </c>
      <c r="O107" t="e">
        <f>VLOOKUP(A107, KeyData!A:C,1,FALSE)</f>
        <v>#N/A</v>
      </c>
      <c r="P107" s="451"/>
    </row>
    <row r="108" spans="1:16" x14ac:dyDescent="0.25">
      <c r="A108" s="451" t="str">
        <f t="shared" si="1"/>
        <v>122622000_260</v>
      </c>
      <c r="B108" s="1004" t="s">
        <v>1198</v>
      </c>
      <c r="C108" s="807" t="s">
        <v>1199</v>
      </c>
      <c r="D108" s="805" t="s">
        <v>1515</v>
      </c>
      <c r="E108" s="1016" t="s">
        <v>1514</v>
      </c>
      <c r="F108" s="612"/>
      <c r="G108" s="612">
        <v>0</v>
      </c>
      <c r="H108" s="612">
        <v>0</v>
      </c>
      <c r="I108" s="612"/>
      <c r="J108" s="612">
        <v>0</v>
      </c>
      <c r="K108" s="612">
        <v>0</v>
      </c>
      <c r="L108" s="1017"/>
      <c r="M108" s="451"/>
      <c r="N108" t="e">
        <f>VLOOKUP(A108, 'P&amp;L'!A:B,1,FALSE)</f>
        <v>#N/A</v>
      </c>
      <c r="O108" t="e">
        <f>VLOOKUP(A108, KeyData!A:C,1,FALSE)</f>
        <v>#N/A</v>
      </c>
      <c r="P108" s="451"/>
    </row>
    <row r="109" spans="1:16" x14ac:dyDescent="0.25">
      <c r="A109" s="451" t="str">
        <f t="shared" si="1"/>
        <v>122622000_Result</v>
      </c>
      <c r="B109" s="1004" t="s">
        <v>1198</v>
      </c>
      <c r="C109" s="807" t="s">
        <v>1199</v>
      </c>
      <c r="D109" s="834" t="s">
        <v>1160</v>
      </c>
      <c r="E109" s="1020"/>
      <c r="F109" s="833"/>
      <c r="G109" s="833">
        <v>6397184.7860000003</v>
      </c>
      <c r="H109" s="833">
        <v>21427810.798</v>
      </c>
      <c r="I109" s="833">
        <v>25342655.669</v>
      </c>
      <c r="J109" s="833">
        <v>26386693.973000001</v>
      </c>
      <c r="K109" s="833">
        <v>26992895.699999999</v>
      </c>
      <c r="L109" s="1018">
        <v>28293319.818999998</v>
      </c>
      <c r="M109" s="451"/>
      <c r="N109" t="e">
        <f>VLOOKUP(A109, 'P&amp;L'!A:B,1,FALSE)</f>
        <v>#N/A</v>
      </c>
      <c r="O109" t="e">
        <f>VLOOKUP(A109, KeyData!A:C,1,FALSE)</f>
        <v>#N/A</v>
      </c>
      <c r="P109" s="451"/>
    </row>
    <row r="110" spans="1:16" x14ac:dyDescent="0.25">
      <c r="A110" s="451" t="str">
        <f t="shared" si="1"/>
        <v>122627000_100</v>
      </c>
      <c r="B110" s="1004" t="s">
        <v>1200</v>
      </c>
      <c r="C110" s="807" t="s">
        <v>1201</v>
      </c>
      <c r="D110" s="805" t="s">
        <v>1171</v>
      </c>
      <c r="E110" s="1016" t="s">
        <v>1153</v>
      </c>
      <c r="F110" s="612"/>
      <c r="G110" s="612">
        <v>874858.45600000001</v>
      </c>
      <c r="H110" s="612">
        <v>651018.47499999998</v>
      </c>
      <c r="I110" s="612">
        <v>894464.54</v>
      </c>
      <c r="J110" s="612">
        <v>651018.47499999998</v>
      </c>
      <c r="K110" s="612">
        <v>651018.47499999998</v>
      </c>
      <c r="L110" s="1017">
        <v>939870.38</v>
      </c>
      <c r="M110" s="451"/>
      <c r="N110" t="e">
        <f>VLOOKUP(A110, 'P&amp;L'!A:B,1,FALSE)</f>
        <v>#N/A</v>
      </c>
      <c r="O110" t="e">
        <f>VLOOKUP(A110, KeyData!A:C,1,FALSE)</f>
        <v>#N/A</v>
      </c>
      <c r="P110" s="451"/>
    </row>
    <row r="111" spans="1:16" x14ac:dyDescent="0.25">
      <c r="A111" s="451" t="str">
        <f t="shared" si="1"/>
        <v>122627000_110</v>
      </c>
      <c r="B111" s="1004" t="s">
        <v>1200</v>
      </c>
      <c r="C111" s="807" t="s">
        <v>1201</v>
      </c>
      <c r="D111" s="805" t="s">
        <v>1172</v>
      </c>
      <c r="E111" s="1016" t="s">
        <v>1173</v>
      </c>
      <c r="F111" s="612"/>
      <c r="G111" s="612">
        <v>200484.89600000001</v>
      </c>
      <c r="H111" s="612">
        <v>101263.935</v>
      </c>
      <c r="I111" s="612">
        <v>267719.141</v>
      </c>
      <c r="J111" s="612">
        <v>28141</v>
      </c>
      <c r="K111" s="612">
        <v>29456</v>
      </c>
      <c r="L111" s="1017">
        <v>72915.55</v>
      </c>
      <c r="M111" s="451"/>
      <c r="N111" t="e">
        <f>VLOOKUP(A111, 'P&amp;L'!A:B,1,FALSE)</f>
        <v>#N/A</v>
      </c>
      <c r="O111" t="str">
        <f>VLOOKUP(A111, KeyData!A:C,1,FALSE)</f>
        <v>122627000_110</v>
      </c>
      <c r="P111" s="451"/>
    </row>
    <row r="112" spans="1:16" x14ac:dyDescent="0.25">
      <c r="A112" s="451" t="str">
        <f t="shared" si="1"/>
        <v>122627000_122</v>
      </c>
      <c r="B112" s="1004" t="s">
        <v>1200</v>
      </c>
      <c r="C112" s="807" t="s">
        <v>1201</v>
      </c>
      <c r="D112" s="805" t="s">
        <v>1176</v>
      </c>
      <c r="E112" s="1016" t="s">
        <v>1177</v>
      </c>
      <c r="F112" s="612"/>
      <c r="G112" s="612">
        <v>-5482.3950000000004</v>
      </c>
      <c r="H112" s="612"/>
      <c r="I112" s="612"/>
      <c r="J112" s="612"/>
      <c r="K112" s="612"/>
      <c r="L112" s="1017"/>
      <c r="M112" s="451"/>
      <c r="N112" t="e">
        <f>VLOOKUP(A112, 'P&amp;L'!A:B,1,FALSE)</f>
        <v>#N/A</v>
      </c>
      <c r="O112" t="e">
        <f>VLOOKUP(A112, KeyData!A:C,1,FALSE)</f>
        <v>#N/A</v>
      </c>
      <c r="P112" s="451"/>
    </row>
    <row r="113" spans="1:16" x14ac:dyDescent="0.25">
      <c r="A113" s="451" t="str">
        <f t="shared" si="1"/>
        <v>122627000_130</v>
      </c>
      <c r="B113" s="1004" t="s">
        <v>1200</v>
      </c>
      <c r="C113" s="807" t="s">
        <v>1201</v>
      </c>
      <c r="D113" s="805" t="s">
        <v>1178</v>
      </c>
      <c r="E113" s="1016" t="s">
        <v>1179</v>
      </c>
      <c r="F113" s="612"/>
      <c r="G113" s="612">
        <v>58576.642</v>
      </c>
      <c r="H113" s="612">
        <v>382296.42300000001</v>
      </c>
      <c r="I113" s="612"/>
      <c r="J113" s="612"/>
      <c r="K113" s="612"/>
      <c r="L113" s="1017"/>
      <c r="M113" s="451"/>
      <c r="N113" t="e">
        <f>VLOOKUP(A113, 'P&amp;L'!A:B,1,FALSE)</f>
        <v>#N/A</v>
      </c>
      <c r="O113" t="e">
        <f>VLOOKUP(A113, KeyData!A:C,1,FALSE)</f>
        <v>#N/A</v>
      </c>
      <c r="P113" s="451"/>
    </row>
    <row r="114" spans="1:16" x14ac:dyDescent="0.25">
      <c r="A114" s="451" t="str">
        <f t="shared" si="1"/>
        <v>122627000_135</v>
      </c>
      <c r="B114" s="1004" t="s">
        <v>1200</v>
      </c>
      <c r="C114" s="807" t="s">
        <v>1201</v>
      </c>
      <c r="D114" s="805" t="s">
        <v>1180</v>
      </c>
      <c r="E114" s="1016" t="s">
        <v>1156</v>
      </c>
      <c r="F114" s="612"/>
      <c r="G114" s="612">
        <v>-480513.554</v>
      </c>
      <c r="H114" s="612">
        <v>-139192.068</v>
      </c>
      <c r="I114" s="612"/>
      <c r="J114" s="612">
        <v>-124215.518</v>
      </c>
      <c r="K114" s="612">
        <v>-124215.518</v>
      </c>
      <c r="L114" s="1017"/>
      <c r="M114" s="451"/>
      <c r="N114" t="e">
        <f>VLOOKUP(A114, 'P&amp;L'!A:B,1,FALSE)</f>
        <v>#N/A</v>
      </c>
      <c r="O114" t="e">
        <f>VLOOKUP(A114, KeyData!A:C,1,FALSE)</f>
        <v>#N/A</v>
      </c>
      <c r="P114" s="451"/>
    </row>
    <row r="115" spans="1:16" x14ac:dyDescent="0.25">
      <c r="A115" s="451" t="str">
        <f t="shared" si="1"/>
        <v>122627000_148</v>
      </c>
      <c r="B115" s="1004" t="s">
        <v>1200</v>
      </c>
      <c r="C115" s="807" t="s">
        <v>1201</v>
      </c>
      <c r="D115" s="805" t="s">
        <v>1483</v>
      </c>
      <c r="E115" s="1016" t="s">
        <v>1484</v>
      </c>
      <c r="F115" s="612"/>
      <c r="G115" s="612">
        <v>5.0999999999999997E-2</v>
      </c>
      <c r="H115" s="612"/>
      <c r="I115" s="612"/>
      <c r="J115" s="612"/>
      <c r="K115" s="612"/>
      <c r="L115" s="1017"/>
      <c r="M115" s="451"/>
      <c r="N115" t="e">
        <f>VLOOKUP(A115, 'P&amp;L'!A:B,1,FALSE)</f>
        <v>#N/A</v>
      </c>
      <c r="O115" t="e">
        <f>VLOOKUP(A115, KeyData!A:C,1,FALSE)</f>
        <v>#N/A</v>
      </c>
      <c r="P115" s="451"/>
    </row>
    <row r="116" spans="1:16" x14ac:dyDescent="0.25">
      <c r="A116" s="451" t="str">
        <f t="shared" si="1"/>
        <v>122627000_160</v>
      </c>
      <c r="B116" s="1004" t="s">
        <v>1200</v>
      </c>
      <c r="C116" s="807" t="s">
        <v>1201</v>
      </c>
      <c r="D116" s="805" t="s">
        <v>1513</v>
      </c>
      <c r="E116" s="1016" t="s">
        <v>1514</v>
      </c>
      <c r="F116" s="612"/>
      <c r="G116" s="612">
        <v>0</v>
      </c>
      <c r="H116" s="612">
        <v>0</v>
      </c>
      <c r="I116" s="612"/>
      <c r="J116" s="612">
        <v>0</v>
      </c>
      <c r="K116" s="612">
        <v>0</v>
      </c>
      <c r="L116" s="1017"/>
      <c r="M116" s="451"/>
      <c r="N116" t="e">
        <f>VLOOKUP(A116, 'P&amp;L'!A:B,1,FALSE)</f>
        <v>#N/A</v>
      </c>
      <c r="O116" t="e">
        <f>VLOOKUP(A116, KeyData!A:C,1,FALSE)</f>
        <v>#N/A</v>
      </c>
      <c r="P116" s="451"/>
    </row>
    <row r="117" spans="1:16" x14ac:dyDescent="0.25">
      <c r="A117" s="451" t="str">
        <f t="shared" si="1"/>
        <v>122627000_200</v>
      </c>
      <c r="B117" s="1004" t="s">
        <v>1200</v>
      </c>
      <c r="C117" s="807" t="s">
        <v>1201</v>
      </c>
      <c r="D117" s="805" t="s">
        <v>1181</v>
      </c>
      <c r="E117" s="1016" t="s">
        <v>1153</v>
      </c>
      <c r="F117" s="612"/>
      <c r="G117" s="612">
        <v>-228685.49400000001</v>
      </c>
      <c r="H117" s="612">
        <v>-284256.40899999999</v>
      </c>
      <c r="I117" s="612">
        <v>-314485.49300000002</v>
      </c>
      <c r="J117" s="612">
        <v>-284256.40899999999</v>
      </c>
      <c r="K117" s="612">
        <v>-284256.40899999999</v>
      </c>
      <c r="L117" s="1017">
        <v>-381523.84700000001</v>
      </c>
      <c r="M117" s="451"/>
      <c r="N117" t="e">
        <f>VLOOKUP(A117, 'P&amp;L'!A:B,1,FALSE)</f>
        <v>#N/A</v>
      </c>
      <c r="O117" t="e">
        <f>VLOOKUP(A117, KeyData!A:C,1,FALSE)</f>
        <v>#N/A</v>
      </c>
      <c r="P117" s="451"/>
    </row>
    <row r="118" spans="1:16" x14ac:dyDescent="0.25">
      <c r="A118" s="451" t="str">
        <f t="shared" si="1"/>
        <v>122627000_210</v>
      </c>
      <c r="B118" s="1004" t="s">
        <v>1200</v>
      </c>
      <c r="C118" s="807" t="s">
        <v>1201</v>
      </c>
      <c r="D118" s="805" t="s">
        <v>1182</v>
      </c>
      <c r="E118" s="1016" t="s">
        <v>1183</v>
      </c>
      <c r="F118" s="612"/>
      <c r="G118" s="612">
        <v>-92720.918000000005</v>
      </c>
      <c r="H118" s="612">
        <v>-56083.277000000002</v>
      </c>
      <c r="I118" s="612">
        <v>-80343.288</v>
      </c>
      <c r="J118" s="612">
        <v>-104580.11500000001</v>
      </c>
      <c r="K118" s="612">
        <v>-104755.448</v>
      </c>
      <c r="L118" s="1017">
        <v>-168583.17499999999</v>
      </c>
      <c r="M118" s="451"/>
      <c r="N118" t="e">
        <f>VLOOKUP(A118, 'P&amp;L'!A:B,1,FALSE)</f>
        <v>#N/A</v>
      </c>
      <c r="O118" t="e">
        <f>VLOOKUP(A118, KeyData!A:C,1,FALSE)</f>
        <v>#N/A</v>
      </c>
      <c r="P118" s="451"/>
    </row>
    <row r="119" spans="1:16" x14ac:dyDescent="0.25">
      <c r="A119" s="451" t="str">
        <f t="shared" si="1"/>
        <v>122627000_222</v>
      </c>
      <c r="B119" s="1004" t="s">
        <v>1200</v>
      </c>
      <c r="C119" s="807" t="s">
        <v>1201</v>
      </c>
      <c r="D119" s="805" t="s">
        <v>1188</v>
      </c>
      <c r="E119" s="1016" t="s">
        <v>1189</v>
      </c>
      <c r="F119" s="612"/>
      <c r="G119" s="612">
        <v>5482.3950000000004</v>
      </c>
      <c r="H119" s="612"/>
      <c r="I119" s="612"/>
      <c r="J119" s="612"/>
      <c r="K119" s="612"/>
      <c r="L119" s="1017"/>
      <c r="M119" s="451"/>
      <c r="N119" t="e">
        <f>VLOOKUP(A119, 'P&amp;L'!A:B,1,FALSE)</f>
        <v>#N/A</v>
      </c>
      <c r="O119" t="e">
        <f>VLOOKUP(A119, KeyData!A:C,1,FALSE)</f>
        <v>#N/A</v>
      </c>
      <c r="P119" s="451"/>
    </row>
    <row r="120" spans="1:16" x14ac:dyDescent="0.25">
      <c r="A120" s="451" t="str">
        <f t="shared" si="1"/>
        <v>122627000_235</v>
      </c>
      <c r="B120" s="1004" t="s">
        <v>1200</v>
      </c>
      <c r="C120" s="807" t="s">
        <v>1201</v>
      </c>
      <c r="D120" s="805" t="s">
        <v>1190</v>
      </c>
      <c r="E120" s="1016" t="s">
        <v>1191</v>
      </c>
      <c r="F120" s="612"/>
      <c r="G120" s="612">
        <v>3812.297</v>
      </c>
      <c r="H120" s="612">
        <v>16878.026999999998</v>
      </c>
      <c r="I120" s="612"/>
      <c r="J120" s="612">
        <v>7421.4769999999999</v>
      </c>
      <c r="K120" s="612">
        <v>7421.4769999999999</v>
      </c>
      <c r="L120" s="1017"/>
      <c r="M120" s="451"/>
      <c r="N120" t="e">
        <f>VLOOKUP(A120, 'P&amp;L'!A:B,1,FALSE)</f>
        <v>#N/A</v>
      </c>
      <c r="O120" t="e">
        <f>VLOOKUP(A120, KeyData!A:C,1,FALSE)</f>
        <v>#N/A</v>
      </c>
      <c r="P120" s="451"/>
    </row>
    <row r="121" spans="1:16" x14ac:dyDescent="0.25">
      <c r="A121" s="451" t="str">
        <f t="shared" si="1"/>
        <v>122627000_260</v>
      </c>
      <c r="B121" s="1004" t="s">
        <v>1200</v>
      </c>
      <c r="C121" s="807" t="s">
        <v>1201</v>
      </c>
      <c r="D121" s="805" t="s">
        <v>1515</v>
      </c>
      <c r="E121" s="1016" t="s">
        <v>1514</v>
      </c>
      <c r="F121" s="612"/>
      <c r="G121" s="612">
        <v>0</v>
      </c>
      <c r="H121" s="612">
        <v>0</v>
      </c>
      <c r="I121" s="612"/>
      <c r="J121" s="612">
        <v>0</v>
      </c>
      <c r="K121" s="612">
        <v>0</v>
      </c>
      <c r="L121" s="1017"/>
      <c r="M121" s="451"/>
      <c r="N121" t="e">
        <f>VLOOKUP(A121, 'P&amp;L'!A:B,1,FALSE)</f>
        <v>#N/A</v>
      </c>
      <c r="O121" t="e">
        <f>VLOOKUP(A121, KeyData!A:C,1,FALSE)</f>
        <v>#N/A</v>
      </c>
      <c r="P121" s="451"/>
    </row>
    <row r="122" spans="1:16" x14ac:dyDescent="0.25">
      <c r="A122" s="451" t="str">
        <f t="shared" si="1"/>
        <v>122627000_Result</v>
      </c>
      <c r="B122" s="1004" t="s">
        <v>1200</v>
      </c>
      <c r="C122" s="807" t="s">
        <v>1201</v>
      </c>
      <c r="D122" s="834" t="s">
        <v>1160</v>
      </c>
      <c r="E122" s="1020"/>
      <c r="F122" s="833"/>
      <c r="G122" s="833">
        <v>335812.37599999999</v>
      </c>
      <c r="H122" s="833">
        <v>671925.10600000003</v>
      </c>
      <c r="I122" s="833">
        <v>767354.9</v>
      </c>
      <c r="J122" s="833">
        <v>173528.91</v>
      </c>
      <c r="K122" s="833">
        <v>174668.57699999999</v>
      </c>
      <c r="L122" s="1018">
        <v>462678.908</v>
      </c>
      <c r="M122" s="451"/>
      <c r="N122" t="e">
        <f>VLOOKUP(A122, 'P&amp;L'!A:B,1,FALSE)</f>
        <v>#N/A</v>
      </c>
      <c r="O122" t="e">
        <f>VLOOKUP(A122, KeyData!A:C,1,FALSE)</f>
        <v>#N/A</v>
      </c>
      <c r="P122" s="451"/>
    </row>
    <row r="123" spans="1:16" x14ac:dyDescent="0.25">
      <c r="A123" s="451" t="str">
        <f t="shared" si="1"/>
        <v>122628000_100</v>
      </c>
      <c r="B123" s="1004" t="s">
        <v>1202</v>
      </c>
      <c r="C123" s="807" t="s">
        <v>1203</v>
      </c>
      <c r="D123" s="805" t="s">
        <v>1171</v>
      </c>
      <c r="E123" s="1016" t="s">
        <v>1153</v>
      </c>
      <c r="F123" s="612"/>
      <c r="G123" s="612">
        <v>24976.445</v>
      </c>
      <c r="H123" s="612">
        <v>155783.215</v>
      </c>
      <c r="I123" s="612">
        <v>39318.845000000001</v>
      </c>
      <c r="J123" s="612">
        <v>155783.215</v>
      </c>
      <c r="K123" s="612">
        <v>155783.215</v>
      </c>
      <c r="L123" s="1017">
        <v>155783.215</v>
      </c>
      <c r="M123" s="451"/>
      <c r="N123" t="e">
        <f>VLOOKUP(A123, 'P&amp;L'!A:B,1,FALSE)</f>
        <v>#N/A</v>
      </c>
      <c r="O123" t="e">
        <f>VLOOKUP(A123, KeyData!A:C,1,FALSE)</f>
        <v>#N/A</v>
      </c>
      <c r="P123" s="451"/>
    </row>
    <row r="124" spans="1:16" x14ac:dyDescent="0.25">
      <c r="A124" s="451" t="str">
        <f t="shared" si="1"/>
        <v>122628000_110</v>
      </c>
      <c r="B124" s="1004" t="s">
        <v>1202</v>
      </c>
      <c r="C124" s="807" t="s">
        <v>1203</v>
      </c>
      <c r="D124" s="805" t="s">
        <v>1172</v>
      </c>
      <c r="E124" s="1016" t="s">
        <v>1173</v>
      </c>
      <c r="F124" s="612"/>
      <c r="G124" s="612">
        <v>18465.332999999999</v>
      </c>
      <c r="H124" s="612"/>
      <c r="I124" s="612"/>
      <c r="J124" s="612"/>
      <c r="K124" s="612"/>
      <c r="L124" s="1017">
        <v>20849.133999999998</v>
      </c>
      <c r="M124" s="451"/>
      <c r="N124" t="e">
        <f>VLOOKUP(A124, 'P&amp;L'!A:B,1,FALSE)</f>
        <v>#N/A</v>
      </c>
      <c r="O124" t="e">
        <f>VLOOKUP(A124, KeyData!A:C,1,FALSE)</f>
        <v>#N/A</v>
      </c>
      <c r="P124" s="451"/>
    </row>
    <row r="125" spans="1:16" x14ac:dyDescent="0.25">
      <c r="A125" s="451" t="str">
        <f t="shared" si="1"/>
        <v>122628000_120</v>
      </c>
      <c r="B125" s="1004" t="s">
        <v>1202</v>
      </c>
      <c r="C125" s="807" t="s">
        <v>1203</v>
      </c>
      <c r="D125" s="805" t="s">
        <v>1174</v>
      </c>
      <c r="E125" s="1016" t="s">
        <v>1175</v>
      </c>
      <c r="F125" s="612"/>
      <c r="G125" s="612">
        <v>-18112.258999999998</v>
      </c>
      <c r="H125" s="612"/>
      <c r="I125" s="612"/>
      <c r="J125" s="612"/>
      <c r="K125" s="612"/>
      <c r="L125" s="1017"/>
      <c r="M125" s="451"/>
      <c r="N125" t="e">
        <f>VLOOKUP(A125, 'P&amp;L'!A:B,1,FALSE)</f>
        <v>#N/A</v>
      </c>
      <c r="O125" t="e">
        <f>VLOOKUP(A125, KeyData!A:C,1,FALSE)</f>
        <v>#N/A</v>
      </c>
      <c r="P125" s="451"/>
    </row>
    <row r="126" spans="1:16" x14ac:dyDescent="0.25">
      <c r="A126" s="451" t="str">
        <f t="shared" si="1"/>
        <v>122628000_135</v>
      </c>
      <c r="B126" s="1004" t="s">
        <v>1202</v>
      </c>
      <c r="C126" s="807" t="s">
        <v>1203</v>
      </c>
      <c r="D126" s="805" t="s">
        <v>1180</v>
      </c>
      <c r="E126" s="1016" t="s">
        <v>1156</v>
      </c>
      <c r="F126" s="612"/>
      <c r="G126" s="612">
        <v>42299.275999999998</v>
      </c>
      <c r="H126" s="612"/>
      <c r="I126" s="612"/>
      <c r="J126" s="612"/>
      <c r="K126" s="612"/>
      <c r="L126" s="1017"/>
      <c r="M126" s="451"/>
      <c r="N126" t="e">
        <f>VLOOKUP(A126, 'P&amp;L'!A:B,1,FALSE)</f>
        <v>#N/A</v>
      </c>
      <c r="O126" t="e">
        <f>VLOOKUP(A126, KeyData!A:C,1,FALSE)</f>
        <v>#N/A</v>
      </c>
      <c r="P126" s="451"/>
    </row>
    <row r="127" spans="1:16" x14ac:dyDescent="0.25">
      <c r="A127" s="451" t="str">
        <f t="shared" si="1"/>
        <v>122628000_140</v>
      </c>
      <c r="B127" s="1004" t="s">
        <v>1202</v>
      </c>
      <c r="C127" s="807" t="s">
        <v>1203</v>
      </c>
      <c r="D127" s="805" t="s">
        <v>1582</v>
      </c>
      <c r="E127" s="1016" t="s">
        <v>1583</v>
      </c>
      <c r="F127" s="612"/>
      <c r="G127" s="612"/>
      <c r="H127" s="612"/>
      <c r="I127" s="612"/>
      <c r="J127" s="612"/>
      <c r="K127" s="612"/>
      <c r="L127" s="1017">
        <v>0</v>
      </c>
      <c r="M127" s="451"/>
      <c r="N127" t="e">
        <f>VLOOKUP(A127, 'P&amp;L'!A:B,1,FALSE)</f>
        <v>#N/A</v>
      </c>
      <c r="O127" t="e">
        <f>VLOOKUP(A127, KeyData!A:C,1,FALSE)</f>
        <v>#N/A</v>
      </c>
      <c r="P127" s="451"/>
    </row>
    <row r="128" spans="1:16" x14ac:dyDescent="0.25">
      <c r="A128" s="451" t="str">
        <f t="shared" si="1"/>
        <v>122628000_160</v>
      </c>
      <c r="B128" s="1004" t="s">
        <v>1202</v>
      </c>
      <c r="C128" s="807" t="s">
        <v>1203</v>
      </c>
      <c r="D128" s="805" t="s">
        <v>1513</v>
      </c>
      <c r="E128" s="1016" t="s">
        <v>1514</v>
      </c>
      <c r="F128" s="612"/>
      <c r="G128" s="612">
        <v>0</v>
      </c>
      <c r="H128" s="612">
        <v>0</v>
      </c>
      <c r="I128" s="612"/>
      <c r="J128" s="612">
        <v>0</v>
      </c>
      <c r="K128" s="612">
        <v>0</v>
      </c>
      <c r="L128" s="1017"/>
      <c r="M128" s="451"/>
      <c r="N128" t="e">
        <f>VLOOKUP(A128, 'P&amp;L'!A:B,1,FALSE)</f>
        <v>#N/A</v>
      </c>
      <c r="O128" t="e">
        <f>VLOOKUP(A128, KeyData!A:C,1,FALSE)</f>
        <v>#N/A</v>
      </c>
      <c r="P128" s="451"/>
    </row>
    <row r="129" spans="1:16" x14ac:dyDescent="0.25">
      <c r="A129" s="451" t="str">
        <f t="shared" si="1"/>
        <v>122628000_200</v>
      </c>
      <c r="B129" s="1004" t="s">
        <v>1202</v>
      </c>
      <c r="C129" s="807" t="s">
        <v>1203</v>
      </c>
      <c r="D129" s="805" t="s">
        <v>1181</v>
      </c>
      <c r="E129" s="1016" t="s">
        <v>1153</v>
      </c>
      <c r="F129" s="612"/>
      <c r="G129" s="612">
        <v>-13363.522000000001</v>
      </c>
      <c r="H129" s="612">
        <v>-68905.043000000005</v>
      </c>
      <c r="I129" s="612">
        <v>-16230.983</v>
      </c>
      <c r="J129" s="612">
        <v>-68905.043000000005</v>
      </c>
      <c r="K129" s="612">
        <v>-68905.043000000005</v>
      </c>
      <c r="L129" s="1017">
        <v>-90210.763999999996</v>
      </c>
      <c r="M129" s="451"/>
      <c r="N129" t="e">
        <f>VLOOKUP(A129, 'P&amp;L'!A:B,1,FALSE)</f>
        <v>#N/A</v>
      </c>
      <c r="O129" t="e">
        <f>VLOOKUP(A129, KeyData!A:C,1,FALSE)</f>
        <v>#N/A</v>
      </c>
      <c r="P129" s="451"/>
    </row>
    <row r="130" spans="1:16" x14ac:dyDescent="0.25">
      <c r="A130" s="451" t="str">
        <f t="shared" si="1"/>
        <v>122628000_210</v>
      </c>
      <c r="B130" s="1004" t="s">
        <v>1202</v>
      </c>
      <c r="C130" s="807" t="s">
        <v>1203</v>
      </c>
      <c r="D130" s="805" t="s">
        <v>1182</v>
      </c>
      <c r="E130" s="1016" t="s">
        <v>1183</v>
      </c>
      <c r="F130" s="612"/>
      <c r="G130" s="612">
        <v>-22009.565999999999</v>
      </c>
      <c r="H130" s="612">
        <v>-6567.6</v>
      </c>
      <c r="I130" s="612">
        <v>-14537.328</v>
      </c>
      <c r="J130" s="612">
        <v>-20897.387999999999</v>
      </c>
      <c r="K130" s="612">
        <v>-21305.721000000001</v>
      </c>
      <c r="L130" s="1017">
        <v>-19774.632000000001</v>
      </c>
      <c r="M130" s="451"/>
      <c r="N130" t="e">
        <f>VLOOKUP(A130, 'P&amp;L'!A:B,1,FALSE)</f>
        <v>#N/A</v>
      </c>
      <c r="O130" t="e">
        <f>VLOOKUP(A130, KeyData!A:C,1,FALSE)</f>
        <v>#N/A</v>
      </c>
      <c r="P130" s="451"/>
    </row>
    <row r="131" spans="1:16" x14ac:dyDescent="0.25">
      <c r="A131" s="451" t="str">
        <f t="shared" ref="A131:A194" si="2" xml:space="preserve"> IFERROR(+B131*1,B131)&amp;"_"&amp;IFERROR(+D131*1,D131)</f>
        <v>122628000_220</v>
      </c>
      <c r="B131" s="1004" t="s">
        <v>1202</v>
      </c>
      <c r="C131" s="807" t="s">
        <v>1203</v>
      </c>
      <c r="D131" s="805" t="s">
        <v>1186</v>
      </c>
      <c r="E131" s="1016" t="s">
        <v>1187</v>
      </c>
      <c r="F131" s="612"/>
      <c r="G131" s="612">
        <v>15026.007</v>
      </c>
      <c r="H131" s="612"/>
      <c r="I131" s="612"/>
      <c r="J131" s="612"/>
      <c r="K131" s="612"/>
      <c r="L131" s="1017"/>
      <c r="M131" s="451"/>
      <c r="N131" t="e">
        <f>VLOOKUP(A131, 'P&amp;L'!A:B,1,FALSE)</f>
        <v>#N/A</v>
      </c>
      <c r="O131" t="e">
        <f>VLOOKUP(A131, KeyData!A:C,1,FALSE)</f>
        <v>#N/A</v>
      </c>
      <c r="P131" s="451"/>
    </row>
    <row r="132" spans="1:16" x14ac:dyDescent="0.25">
      <c r="A132" s="451" t="str">
        <f t="shared" si="2"/>
        <v>122628000_235</v>
      </c>
      <c r="B132" s="1004" t="s">
        <v>1202</v>
      </c>
      <c r="C132" s="807" t="s">
        <v>1203</v>
      </c>
      <c r="D132" s="805" t="s">
        <v>1190</v>
      </c>
      <c r="E132" s="1016" t="s">
        <v>1191</v>
      </c>
      <c r="F132" s="612"/>
      <c r="G132" s="612">
        <v>-14960.85</v>
      </c>
      <c r="H132" s="612"/>
      <c r="I132" s="612"/>
      <c r="J132" s="612"/>
      <c r="K132" s="612"/>
      <c r="L132" s="1017"/>
      <c r="M132" s="451"/>
      <c r="N132" t="e">
        <f>VLOOKUP(A132, 'P&amp;L'!A:B,1,FALSE)</f>
        <v>#N/A</v>
      </c>
      <c r="O132" t="e">
        <f>VLOOKUP(A132, KeyData!A:C,1,FALSE)</f>
        <v>#N/A</v>
      </c>
      <c r="P132" s="451"/>
    </row>
    <row r="133" spans="1:16" x14ac:dyDescent="0.25">
      <c r="A133" s="451" t="str">
        <f t="shared" si="2"/>
        <v>122628000_260</v>
      </c>
      <c r="B133" s="1004" t="s">
        <v>1202</v>
      </c>
      <c r="C133" s="807" t="s">
        <v>1203</v>
      </c>
      <c r="D133" s="805" t="s">
        <v>1515</v>
      </c>
      <c r="E133" s="1016" t="s">
        <v>1514</v>
      </c>
      <c r="F133" s="612"/>
      <c r="G133" s="612">
        <v>0</v>
      </c>
      <c r="H133" s="612">
        <v>0</v>
      </c>
      <c r="I133" s="612"/>
      <c r="J133" s="612">
        <v>0</v>
      </c>
      <c r="K133" s="612">
        <v>0</v>
      </c>
      <c r="L133" s="1017"/>
      <c r="M133" s="451"/>
      <c r="N133" t="e">
        <f>VLOOKUP(A133, 'P&amp;L'!A:B,1,FALSE)</f>
        <v>#N/A</v>
      </c>
      <c r="O133" t="e">
        <f>VLOOKUP(A133, KeyData!A:C,1,FALSE)</f>
        <v>#N/A</v>
      </c>
      <c r="P133" s="451"/>
    </row>
    <row r="134" spans="1:16" x14ac:dyDescent="0.25">
      <c r="A134" s="451" t="str">
        <f t="shared" si="2"/>
        <v>122628000_Result</v>
      </c>
      <c r="B134" s="1004" t="s">
        <v>1202</v>
      </c>
      <c r="C134" s="807" t="s">
        <v>1203</v>
      </c>
      <c r="D134" s="834" t="s">
        <v>1160</v>
      </c>
      <c r="E134" s="1020"/>
      <c r="F134" s="833"/>
      <c r="G134" s="833">
        <v>32320.864000000001</v>
      </c>
      <c r="H134" s="833">
        <v>80310.572</v>
      </c>
      <c r="I134" s="833">
        <v>8550.5339999999997</v>
      </c>
      <c r="J134" s="833">
        <v>65980.784</v>
      </c>
      <c r="K134" s="833">
        <v>65572.451000000001</v>
      </c>
      <c r="L134" s="1018">
        <v>66646.952999999994</v>
      </c>
      <c r="M134" s="451"/>
      <c r="N134" t="e">
        <f>VLOOKUP(A134, 'P&amp;L'!A:B,1,FALSE)</f>
        <v>#N/A</v>
      </c>
      <c r="O134" t="e">
        <f>VLOOKUP(A134, KeyData!A:C,1,FALSE)</f>
        <v>#N/A</v>
      </c>
      <c r="P134" s="451"/>
    </row>
    <row r="135" spans="1:16" x14ac:dyDescent="0.25">
      <c r="A135" s="451" t="str">
        <f t="shared" si="2"/>
        <v>122632000_100</v>
      </c>
      <c r="B135" s="1004" t="s">
        <v>1204</v>
      </c>
      <c r="C135" s="807" t="s">
        <v>1205</v>
      </c>
      <c r="D135" s="805" t="s">
        <v>1171</v>
      </c>
      <c r="E135" s="1016" t="s">
        <v>1153</v>
      </c>
      <c r="F135" s="612"/>
      <c r="G135" s="612">
        <v>4950984.2350000003</v>
      </c>
      <c r="H135" s="612">
        <v>17162003.912</v>
      </c>
      <c r="I135" s="612">
        <v>4950984.2489999998</v>
      </c>
      <c r="J135" s="612">
        <v>17162003.912</v>
      </c>
      <c r="K135" s="612">
        <v>17162003.912</v>
      </c>
      <c r="L135" s="1017">
        <v>16688835.497</v>
      </c>
      <c r="M135" s="451"/>
      <c r="N135" t="e">
        <f>VLOOKUP(A135, 'P&amp;L'!A:B,1,FALSE)</f>
        <v>#N/A</v>
      </c>
      <c r="O135" t="e">
        <f>VLOOKUP(A135, KeyData!A:C,1,FALSE)</f>
        <v>#N/A</v>
      </c>
      <c r="P135" s="451"/>
    </row>
    <row r="136" spans="1:16" x14ac:dyDescent="0.25">
      <c r="A136" s="451" t="str">
        <f t="shared" si="2"/>
        <v>122632000_110</v>
      </c>
      <c r="B136" s="1004" t="s">
        <v>1204</v>
      </c>
      <c r="C136" s="807" t="s">
        <v>1205</v>
      </c>
      <c r="D136" s="805" t="s">
        <v>1172</v>
      </c>
      <c r="E136" s="1016" t="s">
        <v>1173</v>
      </c>
      <c r="F136" s="612"/>
      <c r="G136" s="612">
        <v>15875938.369000001</v>
      </c>
      <c r="H136" s="612">
        <v>5825429.6310000001</v>
      </c>
      <c r="I136" s="612"/>
      <c r="J136" s="612"/>
      <c r="K136" s="612"/>
      <c r="L136" s="1017"/>
      <c r="M136" s="451"/>
      <c r="N136" t="e">
        <f>VLOOKUP(A136, 'P&amp;L'!A:B,1,FALSE)</f>
        <v>#N/A</v>
      </c>
      <c r="O136" t="str">
        <f>VLOOKUP(A136, KeyData!A:C,1,FALSE)</f>
        <v>122632000_110</v>
      </c>
      <c r="P136" s="451"/>
    </row>
    <row r="137" spans="1:16" x14ac:dyDescent="0.25">
      <c r="A137" s="451" t="str">
        <f t="shared" si="2"/>
        <v>122632000_130</v>
      </c>
      <c r="B137" s="1004" t="s">
        <v>1204</v>
      </c>
      <c r="C137" s="807" t="s">
        <v>1205</v>
      </c>
      <c r="D137" s="805" t="s">
        <v>1178</v>
      </c>
      <c r="E137" s="1016" t="s">
        <v>1179</v>
      </c>
      <c r="F137" s="612"/>
      <c r="G137" s="612">
        <v>-1701485.628</v>
      </c>
      <c r="H137" s="612">
        <v>-10398890.328</v>
      </c>
      <c r="I137" s="612"/>
      <c r="J137" s="612"/>
      <c r="K137" s="612"/>
      <c r="L137" s="1017"/>
      <c r="M137" s="451"/>
      <c r="N137" t="e">
        <f>VLOOKUP(A137, 'P&amp;L'!A:B,1,FALSE)</f>
        <v>#N/A</v>
      </c>
      <c r="O137" t="e">
        <f>VLOOKUP(A137, KeyData!A:C,1,FALSE)</f>
        <v>#N/A</v>
      </c>
      <c r="P137" s="451"/>
    </row>
    <row r="138" spans="1:16" x14ac:dyDescent="0.25">
      <c r="A138" s="451" t="str">
        <f t="shared" si="2"/>
        <v>122632000_135</v>
      </c>
      <c r="B138" s="1004" t="s">
        <v>1204</v>
      </c>
      <c r="C138" s="807" t="s">
        <v>1205</v>
      </c>
      <c r="D138" s="805" t="s">
        <v>1180</v>
      </c>
      <c r="E138" s="1016" t="s">
        <v>1156</v>
      </c>
      <c r="F138" s="612"/>
      <c r="G138" s="612"/>
      <c r="H138" s="612">
        <v>8464.7289999999994</v>
      </c>
      <c r="I138" s="612"/>
      <c r="J138" s="612">
        <v>8464.7289999999994</v>
      </c>
      <c r="K138" s="612">
        <v>8464.7289999999994</v>
      </c>
      <c r="L138" s="1017"/>
      <c r="M138" s="451"/>
      <c r="N138" t="e">
        <f>VLOOKUP(A138, 'P&amp;L'!A:B,1,FALSE)</f>
        <v>#N/A</v>
      </c>
      <c r="O138" t="e">
        <f>VLOOKUP(A138, KeyData!A:C,1,FALSE)</f>
        <v>#N/A</v>
      </c>
      <c r="P138" s="451"/>
    </row>
    <row r="139" spans="1:16" x14ac:dyDescent="0.25">
      <c r="A139" s="451" t="str">
        <f t="shared" si="2"/>
        <v>122632000_148</v>
      </c>
      <c r="B139" s="1004" t="s">
        <v>1204</v>
      </c>
      <c r="C139" s="807" t="s">
        <v>1205</v>
      </c>
      <c r="D139" s="805" t="s">
        <v>1483</v>
      </c>
      <c r="E139" s="1016" t="s">
        <v>1484</v>
      </c>
      <c r="F139" s="612"/>
      <c r="G139" s="612">
        <v>1.4E-2</v>
      </c>
      <c r="H139" s="612"/>
      <c r="I139" s="612"/>
      <c r="J139" s="612"/>
      <c r="K139" s="612"/>
      <c r="L139" s="1017"/>
      <c r="M139" s="451"/>
      <c r="N139" t="e">
        <f>VLOOKUP(A139, 'P&amp;L'!A:B,1,FALSE)</f>
        <v>#N/A</v>
      </c>
      <c r="O139" t="e">
        <f>VLOOKUP(A139, KeyData!A:C,1,FALSE)</f>
        <v>#N/A</v>
      </c>
      <c r="P139" s="451"/>
    </row>
    <row r="140" spans="1:16" x14ac:dyDescent="0.25">
      <c r="A140" s="451" t="str">
        <f t="shared" si="2"/>
        <v>122632000_160</v>
      </c>
      <c r="B140" s="1004" t="s">
        <v>1204</v>
      </c>
      <c r="C140" s="807" t="s">
        <v>1205</v>
      </c>
      <c r="D140" s="805" t="s">
        <v>1513</v>
      </c>
      <c r="E140" s="1016" t="s">
        <v>1514</v>
      </c>
      <c r="F140" s="612"/>
      <c r="G140" s="612">
        <v>0</v>
      </c>
      <c r="H140" s="612">
        <v>0</v>
      </c>
      <c r="I140" s="612"/>
      <c r="J140" s="612">
        <v>0</v>
      </c>
      <c r="K140" s="612">
        <v>0</v>
      </c>
      <c r="L140" s="1017"/>
      <c r="M140" s="451"/>
      <c r="N140" t="e">
        <f>VLOOKUP(A140, 'P&amp;L'!A:B,1,FALSE)</f>
        <v>#N/A</v>
      </c>
      <c r="O140" t="e">
        <f>VLOOKUP(A140, KeyData!A:C,1,FALSE)</f>
        <v>#N/A</v>
      </c>
      <c r="P140" s="451"/>
    </row>
    <row r="141" spans="1:16" x14ac:dyDescent="0.25">
      <c r="A141" s="451" t="str">
        <f t="shared" si="2"/>
        <v>122632000_Result</v>
      </c>
      <c r="B141" s="1004" t="s">
        <v>1204</v>
      </c>
      <c r="C141" s="807" t="s">
        <v>1205</v>
      </c>
      <c r="D141" s="834" t="s">
        <v>1160</v>
      </c>
      <c r="E141" s="1020"/>
      <c r="F141" s="833"/>
      <c r="G141" s="833">
        <v>19125436.989999998</v>
      </c>
      <c r="H141" s="833">
        <v>12597007.944</v>
      </c>
      <c r="I141" s="833">
        <v>4950984.2489999998</v>
      </c>
      <c r="J141" s="833">
        <v>17170468.640999999</v>
      </c>
      <c r="K141" s="833">
        <v>17170468.640999999</v>
      </c>
      <c r="L141" s="1018">
        <v>16688835.497</v>
      </c>
      <c r="M141" s="451"/>
      <c r="N141" t="e">
        <f>VLOOKUP(A141, 'P&amp;L'!A:B,1,FALSE)</f>
        <v>#N/A</v>
      </c>
      <c r="O141" t="e">
        <f>VLOOKUP(A141, KeyData!A:C,1,FALSE)</f>
        <v>#N/A</v>
      </c>
      <c r="P141" s="451"/>
    </row>
    <row r="142" spans="1:16" x14ac:dyDescent="0.25">
      <c r="A142" s="451" t="str">
        <f t="shared" si="2"/>
        <v>122637000_100</v>
      </c>
      <c r="B142" s="1004" t="s">
        <v>1206</v>
      </c>
      <c r="C142" s="807" t="s">
        <v>1207</v>
      </c>
      <c r="D142" s="805" t="s">
        <v>1171</v>
      </c>
      <c r="E142" s="1016" t="s">
        <v>1153</v>
      </c>
      <c r="F142" s="612"/>
      <c r="G142" s="612">
        <v>1724385.6839999999</v>
      </c>
      <c r="H142" s="612"/>
      <c r="I142" s="612">
        <v>1915300.2180000001</v>
      </c>
      <c r="J142" s="612"/>
      <c r="K142" s="612"/>
      <c r="L142" s="1017">
        <v>3754382.9</v>
      </c>
      <c r="M142" s="451"/>
      <c r="N142" t="e">
        <f>VLOOKUP(A142, 'P&amp;L'!A:B,1,FALSE)</f>
        <v>#N/A</v>
      </c>
      <c r="O142" t="e">
        <f>VLOOKUP(A142, KeyData!A:C,1,FALSE)</f>
        <v>#N/A</v>
      </c>
      <c r="P142" s="451"/>
    </row>
    <row r="143" spans="1:16" x14ac:dyDescent="0.25">
      <c r="A143" s="451" t="str">
        <f t="shared" si="2"/>
        <v>122637000_110</v>
      </c>
      <c r="B143" s="1004" t="s">
        <v>1206</v>
      </c>
      <c r="C143" s="807" t="s">
        <v>1207</v>
      </c>
      <c r="D143" s="805" t="s">
        <v>1172</v>
      </c>
      <c r="E143" s="1016" t="s">
        <v>1173</v>
      </c>
      <c r="F143" s="612"/>
      <c r="G143" s="612">
        <v>0</v>
      </c>
      <c r="H143" s="612">
        <v>2094496.601</v>
      </c>
      <c r="I143" s="612">
        <v>9047832.8000000007</v>
      </c>
      <c r="J143" s="612">
        <v>4397879.3</v>
      </c>
      <c r="K143" s="612">
        <v>4397771.5999999996</v>
      </c>
      <c r="L143" s="1017">
        <v>1465950</v>
      </c>
      <c r="M143" s="451"/>
      <c r="N143" t="e">
        <f>VLOOKUP(A143, 'P&amp;L'!A:B,1,FALSE)</f>
        <v>#N/A</v>
      </c>
      <c r="O143" t="str">
        <f>VLOOKUP(A143, KeyData!A:C,1,FALSE)</f>
        <v>122637000_110</v>
      </c>
      <c r="P143" s="451"/>
    </row>
    <row r="144" spans="1:16" x14ac:dyDescent="0.25">
      <c r="A144" s="451" t="str">
        <f t="shared" si="2"/>
        <v>122637000_130</v>
      </c>
      <c r="B144" s="1004" t="s">
        <v>1206</v>
      </c>
      <c r="C144" s="807" t="s">
        <v>1207</v>
      </c>
      <c r="D144" s="805" t="s">
        <v>1178</v>
      </c>
      <c r="E144" s="1016" t="s">
        <v>1179</v>
      </c>
      <c r="F144" s="612"/>
      <c r="G144" s="612"/>
      <c r="H144" s="612">
        <v>26800</v>
      </c>
      <c r="I144" s="612"/>
      <c r="J144" s="612"/>
      <c r="K144" s="612"/>
      <c r="L144" s="1017"/>
      <c r="M144" s="451"/>
      <c r="N144" t="e">
        <f>VLOOKUP(A144, 'P&amp;L'!A:B,1,FALSE)</f>
        <v>#N/A</v>
      </c>
      <c r="O144" t="e">
        <f>VLOOKUP(A144, KeyData!A:C,1,FALSE)</f>
        <v>#N/A</v>
      </c>
      <c r="P144" s="451"/>
    </row>
    <row r="145" spans="1:16" x14ac:dyDescent="0.25">
      <c r="A145" s="451" t="str">
        <f t="shared" si="2"/>
        <v>122637000_148</v>
      </c>
      <c r="B145" s="1004" t="s">
        <v>1206</v>
      </c>
      <c r="C145" s="807" t="s">
        <v>1207</v>
      </c>
      <c r="D145" s="805" t="s">
        <v>1483</v>
      </c>
      <c r="E145" s="1016" t="s">
        <v>1484</v>
      </c>
      <c r="F145" s="612"/>
      <c r="G145" s="612">
        <v>-1.367</v>
      </c>
      <c r="H145" s="612"/>
      <c r="I145" s="612"/>
      <c r="J145" s="612"/>
      <c r="K145" s="612"/>
      <c r="L145" s="1017"/>
      <c r="M145" s="451"/>
      <c r="N145" t="e">
        <f>VLOOKUP(A145, 'P&amp;L'!A:B,1,FALSE)</f>
        <v>#N/A</v>
      </c>
      <c r="O145" t="e">
        <f>VLOOKUP(A145, KeyData!A:C,1,FALSE)</f>
        <v>#N/A</v>
      </c>
      <c r="P145" s="451"/>
    </row>
    <row r="146" spans="1:16" x14ac:dyDescent="0.25">
      <c r="A146" s="451" t="str">
        <f t="shared" si="2"/>
        <v>122637000_160</v>
      </c>
      <c r="B146" s="1004" t="s">
        <v>1206</v>
      </c>
      <c r="C146" s="807" t="s">
        <v>1207</v>
      </c>
      <c r="D146" s="805" t="s">
        <v>1513</v>
      </c>
      <c r="E146" s="1016" t="s">
        <v>1514</v>
      </c>
      <c r="F146" s="612"/>
      <c r="G146" s="612">
        <v>0</v>
      </c>
      <c r="H146" s="612">
        <v>0</v>
      </c>
      <c r="I146" s="612"/>
      <c r="J146" s="612">
        <v>0</v>
      </c>
      <c r="K146" s="612">
        <v>0</v>
      </c>
      <c r="L146" s="1017"/>
      <c r="M146" s="451"/>
      <c r="N146" t="e">
        <f>VLOOKUP(A146, 'P&amp;L'!A:B,1,FALSE)</f>
        <v>#N/A</v>
      </c>
      <c r="O146" t="e">
        <f>VLOOKUP(A146, KeyData!A:C,1,FALSE)</f>
        <v>#N/A</v>
      </c>
      <c r="P146" s="451"/>
    </row>
    <row r="147" spans="1:16" x14ac:dyDescent="0.25">
      <c r="A147" s="451" t="str">
        <f t="shared" si="2"/>
        <v>122637000_200</v>
      </c>
      <c r="B147" s="1004" t="s">
        <v>1206</v>
      </c>
      <c r="C147" s="807" t="s">
        <v>1207</v>
      </c>
      <c r="D147" s="805" t="s">
        <v>1181</v>
      </c>
      <c r="E147" s="1016" t="s">
        <v>1153</v>
      </c>
      <c r="F147" s="612"/>
      <c r="G147" s="612">
        <v>-1323736.615</v>
      </c>
      <c r="H147" s="612"/>
      <c r="I147" s="612">
        <v>-1648835.1810000001</v>
      </c>
      <c r="J147" s="612"/>
      <c r="K147" s="612"/>
      <c r="L147" s="1017">
        <v>-447118.196</v>
      </c>
      <c r="M147" s="451"/>
      <c r="N147" t="e">
        <f>VLOOKUP(A147, 'P&amp;L'!A:B,1,FALSE)</f>
        <v>#N/A</v>
      </c>
      <c r="O147" t="e">
        <f>VLOOKUP(A147, KeyData!A:C,1,FALSE)</f>
        <v>#N/A</v>
      </c>
      <c r="P147" s="451"/>
    </row>
    <row r="148" spans="1:16" x14ac:dyDescent="0.25">
      <c r="A148" s="451" t="str">
        <f t="shared" si="2"/>
        <v>122637000_210</v>
      </c>
      <c r="B148" s="1004" t="s">
        <v>1206</v>
      </c>
      <c r="C148" s="807" t="s">
        <v>1207</v>
      </c>
      <c r="D148" s="805" t="s">
        <v>1182</v>
      </c>
      <c r="E148" s="1016" t="s">
        <v>1183</v>
      </c>
      <c r="F148" s="612"/>
      <c r="G148" s="612">
        <v>2308.9029999999998</v>
      </c>
      <c r="H148" s="612"/>
      <c r="I148" s="612"/>
      <c r="J148" s="612"/>
      <c r="K148" s="612"/>
      <c r="L148" s="1017"/>
      <c r="M148" s="451"/>
      <c r="N148" t="e">
        <f>VLOOKUP(A148, 'P&amp;L'!A:B,1,FALSE)</f>
        <v>#N/A</v>
      </c>
      <c r="O148" t="e">
        <f>VLOOKUP(A148, KeyData!A:C,1,FALSE)</f>
        <v>#N/A</v>
      </c>
      <c r="P148" s="451"/>
    </row>
    <row r="149" spans="1:16" x14ac:dyDescent="0.25">
      <c r="A149" s="451" t="str">
        <f t="shared" si="2"/>
        <v>122637000_211</v>
      </c>
      <c r="B149" s="1004" t="s">
        <v>1206</v>
      </c>
      <c r="C149" s="807" t="s">
        <v>1207</v>
      </c>
      <c r="D149" s="805" t="s">
        <v>1184</v>
      </c>
      <c r="E149" s="1016" t="s">
        <v>1185</v>
      </c>
      <c r="F149" s="612"/>
      <c r="G149" s="612">
        <v>-184808.378</v>
      </c>
      <c r="H149" s="612">
        <v>-126414.371</v>
      </c>
      <c r="I149" s="612">
        <v>-1180514.9210000001</v>
      </c>
      <c r="J149" s="612">
        <v>-465101.886</v>
      </c>
      <c r="K149" s="612">
        <v>-458846.565</v>
      </c>
      <c r="L149" s="1017">
        <v>-1390535.22</v>
      </c>
      <c r="M149" s="451"/>
      <c r="N149" t="e">
        <f>VLOOKUP(A149, 'P&amp;L'!A:B,1,FALSE)</f>
        <v>#N/A</v>
      </c>
      <c r="O149" t="e">
        <f>VLOOKUP(A149, KeyData!A:C,1,FALSE)</f>
        <v>#N/A</v>
      </c>
      <c r="P149" s="451"/>
    </row>
    <row r="150" spans="1:16" x14ac:dyDescent="0.25">
      <c r="A150" s="451" t="str">
        <f t="shared" si="2"/>
        <v>122637000_260</v>
      </c>
      <c r="B150" s="1004" t="s">
        <v>1206</v>
      </c>
      <c r="C150" s="807" t="s">
        <v>1207</v>
      </c>
      <c r="D150" s="805" t="s">
        <v>1515</v>
      </c>
      <c r="E150" s="1016" t="s">
        <v>1514</v>
      </c>
      <c r="F150" s="612"/>
      <c r="G150" s="612">
        <v>0</v>
      </c>
      <c r="H150" s="612">
        <v>0</v>
      </c>
      <c r="I150" s="612"/>
      <c r="J150" s="612">
        <v>0</v>
      </c>
      <c r="K150" s="612">
        <v>0</v>
      </c>
      <c r="L150" s="1017"/>
      <c r="M150" s="451"/>
      <c r="N150" t="e">
        <f>VLOOKUP(A150, 'P&amp;L'!A:B,1,FALSE)</f>
        <v>#N/A</v>
      </c>
      <c r="O150" t="e">
        <f>VLOOKUP(A150, KeyData!A:C,1,FALSE)</f>
        <v>#N/A</v>
      </c>
      <c r="P150" s="451"/>
    </row>
    <row r="151" spans="1:16" x14ac:dyDescent="0.25">
      <c r="A151" s="451" t="str">
        <f t="shared" si="2"/>
        <v>122637000_Result</v>
      </c>
      <c r="B151" s="1004" t="s">
        <v>1206</v>
      </c>
      <c r="C151" s="807" t="s">
        <v>1207</v>
      </c>
      <c r="D151" s="834" t="s">
        <v>1160</v>
      </c>
      <c r="E151" s="1020"/>
      <c r="F151" s="833"/>
      <c r="G151" s="833">
        <v>218148.22700000001</v>
      </c>
      <c r="H151" s="833">
        <v>1994882.23</v>
      </c>
      <c r="I151" s="833">
        <v>8133782.9160000002</v>
      </c>
      <c r="J151" s="833">
        <v>3932777.4139999999</v>
      </c>
      <c r="K151" s="833">
        <v>3938925.0350000001</v>
      </c>
      <c r="L151" s="1018">
        <v>3382679.4840000002</v>
      </c>
      <c r="M151" s="451"/>
      <c r="N151" t="e">
        <f>VLOOKUP(A151, 'P&amp;L'!A:B,1,FALSE)</f>
        <v>#N/A</v>
      </c>
      <c r="O151" t="e">
        <f>VLOOKUP(A151, KeyData!A:C,1,FALSE)</f>
        <v>#N/A</v>
      </c>
      <c r="P151" s="451"/>
    </row>
    <row r="152" spans="1:16" x14ac:dyDescent="0.25">
      <c r="A152" s="451" t="str">
        <f t="shared" si="2"/>
        <v>131100000_300</v>
      </c>
      <c r="B152" s="1001" t="s">
        <v>873</v>
      </c>
      <c r="C152" s="806" t="s">
        <v>431</v>
      </c>
      <c r="D152" s="805" t="s">
        <v>1152</v>
      </c>
      <c r="E152" s="1016" t="s">
        <v>1153</v>
      </c>
      <c r="F152" s="612"/>
      <c r="G152" s="612">
        <v>3003177.1529999999</v>
      </c>
      <c r="H152" s="612">
        <v>18406.631000000001</v>
      </c>
      <c r="I152" s="612">
        <v>2693659.5580000002</v>
      </c>
      <c r="J152" s="612">
        <v>18406.631000000001</v>
      </c>
      <c r="K152" s="612">
        <v>18406.631000000001</v>
      </c>
      <c r="L152" s="1017">
        <v>6035063.9309999999</v>
      </c>
      <c r="M152" s="451"/>
      <c r="N152" t="e">
        <f>VLOOKUP(A152, 'P&amp;L'!A:B,1,FALSE)</f>
        <v>#N/A</v>
      </c>
      <c r="O152" t="e">
        <f>VLOOKUP(A152, KeyData!A:C,1,FALSE)</f>
        <v>#N/A</v>
      </c>
      <c r="P152" s="451"/>
    </row>
    <row r="153" spans="1:16" x14ac:dyDescent="0.25">
      <c r="A153" s="451" t="str">
        <f t="shared" si="2"/>
        <v>131100000_310</v>
      </c>
      <c r="B153" s="1001" t="s">
        <v>873</v>
      </c>
      <c r="C153" s="806" t="s">
        <v>431</v>
      </c>
      <c r="D153" s="805" t="s">
        <v>1154</v>
      </c>
      <c r="E153" s="1016" t="s">
        <v>1155</v>
      </c>
      <c r="F153" s="612"/>
      <c r="G153" s="612">
        <v>1313689.439</v>
      </c>
      <c r="H153" s="612">
        <v>5394610.1720000003</v>
      </c>
      <c r="I153" s="612">
        <v>2697139.9369999999</v>
      </c>
      <c r="J153" s="612">
        <v>5809590.324</v>
      </c>
      <c r="K153" s="612">
        <v>6016657.2999999998</v>
      </c>
      <c r="L153" s="1017">
        <v>3064089.1290000002</v>
      </c>
      <c r="M153" s="451"/>
      <c r="N153" t="e">
        <f>VLOOKUP(A153, 'P&amp;L'!A:B,1,FALSE)</f>
        <v>#N/A</v>
      </c>
      <c r="O153" t="e">
        <f>VLOOKUP(A153, KeyData!A:C,1,FALSE)</f>
        <v>#N/A</v>
      </c>
      <c r="P153" s="451"/>
    </row>
    <row r="154" spans="1:16" x14ac:dyDescent="0.25">
      <c r="A154" s="451" t="str">
        <f t="shared" si="2"/>
        <v>131100000_348</v>
      </c>
      <c r="B154" s="1001" t="s">
        <v>873</v>
      </c>
      <c r="C154" s="806" t="s">
        <v>431</v>
      </c>
      <c r="D154" s="805" t="s">
        <v>1518</v>
      </c>
      <c r="E154" s="1016" t="s">
        <v>1484</v>
      </c>
      <c r="F154" s="612"/>
      <c r="G154" s="612">
        <v>-0.35</v>
      </c>
      <c r="H154" s="612"/>
      <c r="I154" s="612"/>
      <c r="J154" s="612"/>
      <c r="K154" s="612"/>
      <c r="L154" s="1017"/>
      <c r="M154" s="451"/>
      <c r="N154" t="e">
        <f>VLOOKUP(A154, 'P&amp;L'!A:B,1,FALSE)</f>
        <v>#N/A</v>
      </c>
      <c r="O154" t="e">
        <f>VLOOKUP(A154, KeyData!A:C,1,FALSE)</f>
        <v>#N/A</v>
      </c>
      <c r="P154" s="451"/>
    </row>
    <row r="155" spans="1:16" x14ac:dyDescent="0.25">
      <c r="A155" s="451" t="str">
        <f t="shared" si="2"/>
        <v>131100000_360</v>
      </c>
      <c r="B155" s="1001" t="s">
        <v>873</v>
      </c>
      <c r="C155" s="806" t="s">
        <v>431</v>
      </c>
      <c r="D155" s="805" t="s">
        <v>1519</v>
      </c>
      <c r="E155" s="1016" t="s">
        <v>1514</v>
      </c>
      <c r="F155" s="612"/>
      <c r="G155" s="612">
        <v>0</v>
      </c>
      <c r="H155" s="612">
        <v>0</v>
      </c>
      <c r="I155" s="612"/>
      <c r="J155" s="612">
        <v>0</v>
      </c>
      <c r="K155" s="612">
        <v>0</v>
      </c>
      <c r="L155" s="1017"/>
      <c r="M155" s="451"/>
      <c r="N155" t="e">
        <f>VLOOKUP(A155, 'P&amp;L'!A:B,1,FALSE)</f>
        <v>#N/A</v>
      </c>
      <c r="O155" t="e">
        <f>VLOOKUP(A155, KeyData!A:C,1,FALSE)</f>
        <v>#N/A</v>
      </c>
      <c r="P155" s="451"/>
    </row>
    <row r="156" spans="1:16" x14ac:dyDescent="0.25">
      <c r="A156" s="451" t="str">
        <f t="shared" si="2"/>
        <v>131100000_400</v>
      </c>
      <c r="B156" s="1001" t="s">
        <v>873</v>
      </c>
      <c r="C156" s="806" t="s">
        <v>431</v>
      </c>
      <c r="D156" s="805" t="s">
        <v>1157</v>
      </c>
      <c r="E156" s="1016" t="s">
        <v>1153</v>
      </c>
      <c r="F156" s="612"/>
      <c r="G156" s="612">
        <v>-568892.88600000006</v>
      </c>
      <c r="H156" s="612">
        <v>43.776000000000003</v>
      </c>
      <c r="I156" s="612">
        <v>-568892.88600000006</v>
      </c>
      <c r="J156" s="612">
        <v>43.776000000000003</v>
      </c>
      <c r="K156" s="612">
        <v>43.776000000000003</v>
      </c>
      <c r="L156" s="1017">
        <v>-369990.54599999997</v>
      </c>
      <c r="M156" s="451"/>
      <c r="N156" t="e">
        <f>VLOOKUP(A156, 'P&amp;L'!A:B,1,FALSE)</f>
        <v>#N/A</v>
      </c>
      <c r="O156" t="e">
        <f>VLOOKUP(A156, KeyData!A:C,1,FALSE)</f>
        <v>#N/A</v>
      </c>
      <c r="P156" s="451"/>
    </row>
    <row r="157" spans="1:16" x14ac:dyDescent="0.25">
      <c r="A157" s="451" t="str">
        <f t="shared" si="2"/>
        <v>131100000_410</v>
      </c>
      <c r="B157" s="1001" t="s">
        <v>873</v>
      </c>
      <c r="C157" s="806" t="s">
        <v>431</v>
      </c>
      <c r="D157" s="805" t="s">
        <v>1158</v>
      </c>
      <c r="E157" s="1016" t="s">
        <v>1159</v>
      </c>
      <c r="F157" s="612"/>
      <c r="G157" s="612">
        <v>-162668.769</v>
      </c>
      <c r="H157" s="612">
        <v>-370034.32199999999</v>
      </c>
      <c r="I157" s="612"/>
      <c r="J157" s="612"/>
      <c r="K157" s="612">
        <v>-370034.32199999999</v>
      </c>
      <c r="L157" s="1017"/>
      <c r="M157" s="451"/>
      <c r="N157" t="e">
        <f>VLOOKUP(A157, 'P&amp;L'!A:B,1,FALSE)</f>
        <v>#N/A</v>
      </c>
      <c r="O157" t="e">
        <f>VLOOKUP(A157, KeyData!A:C,1,FALSE)</f>
        <v>#N/A</v>
      </c>
      <c r="P157" s="451"/>
    </row>
    <row r="158" spans="1:16" x14ac:dyDescent="0.25">
      <c r="A158" s="451" t="str">
        <f t="shared" si="2"/>
        <v>131100000_440</v>
      </c>
      <c r="B158" s="1001" t="s">
        <v>873</v>
      </c>
      <c r="C158" s="806" t="s">
        <v>431</v>
      </c>
      <c r="D158" s="805" t="s">
        <v>1486</v>
      </c>
      <c r="E158" s="1016" t="s">
        <v>1487</v>
      </c>
      <c r="F158" s="612"/>
      <c r="G158" s="612">
        <v>-2.7160000000000002</v>
      </c>
      <c r="H158" s="612"/>
      <c r="I158" s="612"/>
      <c r="J158" s="612"/>
      <c r="K158" s="612"/>
      <c r="L158" s="1017"/>
      <c r="M158" s="451"/>
      <c r="N158" t="e">
        <f>VLOOKUP(A158, 'P&amp;L'!A:B,1,FALSE)</f>
        <v>#N/A</v>
      </c>
      <c r="O158" t="e">
        <f>VLOOKUP(A158, KeyData!A:C,1,FALSE)</f>
        <v>#N/A</v>
      </c>
      <c r="P158" s="451"/>
    </row>
    <row r="159" spans="1:16" x14ac:dyDescent="0.25">
      <c r="A159" s="451" t="str">
        <f t="shared" si="2"/>
        <v>131100000_460</v>
      </c>
      <c r="B159" s="1001" t="s">
        <v>873</v>
      </c>
      <c r="C159" s="806" t="s">
        <v>431</v>
      </c>
      <c r="D159" s="805" t="s">
        <v>1520</v>
      </c>
      <c r="E159" s="1016" t="s">
        <v>1514</v>
      </c>
      <c r="F159" s="612"/>
      <c r="G159" s="612">
        <v>0</v>
      </c>
      <c r="H159" s="612">
        <v>0</v>
      </c>
      <c r="I159" s="612"/>
      <c r="J159" s="612">
        <v>0</v>
      </c>
      <c r="K159" s="612">
        <v>0</v>
      </c>
      <c r="L159" s="1017"/>
      <c r="M159" s="451"/>
      <c r="N159" t="e">
        <f>VLOOKUP(A159, 'P&amp;L'!A:B,1,FALSE)</f>
        <v>#N/A</v>
      </c>
      <c r="O159" t="e">
        <f>VLOOKUP(A159, KeyData!A:C,1,FALSE)</f>
        <v>#N/A</v>
      </c>
      <c r="P159" s="451"/>
    </row>
    <row r="160" spans="1:16" x14ac:dyDescent="0.25">
      <c r="A160" s="451" t="str">
        <f t="shared" si="2"/>
        <v>131100000_Result</v>
      </c>
      <c r="B160" s="1001" t="s">
        <v>873</v>
      </c>
      <c r="C160" s="806" t="s">
        <v>431</v>
      </c>
      <c r="D160" s="834" t="s">
        <v>1160</v>
      </c>
      <c r="E160" s="1020"/>
      <c r="F160" s="833"/>
      <c r="G160" s="833">
        <v>3585301.8709999998</v>
      </c>
      <c r="H160" s="833">
        <v>5043026.2570000002</v>
      </c>
      <c r="I160" s="833">
        <v>4821906.6090000002</v>
      </c>
      <c r="J160" s="833">
        <v>5828040.7309999997</v>
      </c>
      <c r="K160" s="833">
        <v>5665073.3849999998</v>
      </c>
      <c r="L160" s="1018">
        <v>8729162.5140000004</v>
      </c>
      <c r="M160" s="451"/>
      <c r="N160" t="e">
        <f>VLOOKUP(A160, 'P&amp;L'!A:B,1,FALSE)</f>
        <v>#N/A</v>
      </c>
      <c r="O160" t="str">
        <f>VLOOKUP(A160, KeyData!A:C,1,FALSE)</f>
        <v>131100000_Result</v>
      </c>
      <c r="P160" s="451"/>
    </row>
    <row r="161" spans="1:16" x14ac:dyDescent="0.25">
      <c r="A161" s="451" t="str">
        <f t="shared" si="2"/>
        <v>131111000_300</v>
      </c>
      <c r="B161" s="1002" t="s">
        <v>872</v>
      </c>
      <c r="C161" s="807" t="s">
        <v>871</v>
      </c>
      <c r="D161" s="805" t="s">
        <v>1152</v>
      </c>
      <c r="E161" s="1016" t="s">
        <v>1153</v>
      </c>
      <c r="F161" s="612"/>
      <c r="G161" s="612">
        <v>2309927.2960000001</v>
      </c>
      <c r="H161" s="612">
        <v>18406.631000000001</v>
      </c>
      <c r="I161" s="612">
        <v>2083348.969</v>
      </c>
      <c r="J161" s="612">
        <v>18406.631000000001</v>
      </c>
      <c r="K161" s="612">
        <v>18406.631000000001</v>
      </c>
      <c r="L161" s="1017">
        <v>3238757.1809999999</v>
      </c>
      <c r="M161" s="451"/>
      <c r="N161" t="e">
        <f>VLOOKUP(A161, 'P&amp;L'!A:B,1,FALSE)</f>
        <v>#N/A</v>
      </c>
      <c r="O161" t="e">
        <f>VLOOKUP(A161, KeyData!A:C,1,FALSE)</f>
        <v>#N/A</v>
      </c>
      <c r="P161" s="451"/>
    </row>
    <row r="162" spans="1:16" x14ac:dyDescent="0.25">
      <c r="A162" s="451" t="str">
        <f t="shared" si="2"/>
        <v>131111000_310</v>
      </c>
      <c r="B162" s="1002" t="s">
        <v>872</v>
      </c>
      <c r="C162" s="807" t="s">
        <v>871</v>
      </c>
      <c r="D162" s="805" t="s">
        <v>1154</v>
      </c>
      <c r="E162" s="1016" t="s">
        <v>1155</v>
      </c>
      <c r="F162" s="612"/>
      <c r="G162" s="612">
        <v>1154804.804</v>
      </c>
      <c r="H162" s="612">
        <v>3827817.5350000001</v>
      </c>
      <c r="I162" s="612">
        <v>937038.978</v>
      </c>
      <c r="J162" s="612">
        <v>3922220.091</v>
      </c>
      <c r="K162" s="612">
        <v>3220350.55</v>
      </c>
      <c r="L162" s="1017">
        <v>-77400.521999999997</v>
      </c>
      <c r="M162" s="451"/>
      <c r="N162" t="e">
        <f>VLOOKUP(A162, 'P&amp;L'!A:B,1,FALSE)</f>
        <v>#N/A</v>
      </c>
      <c r="O162" t="e">
        <f>VLOOKUP(A162, KeyData!A:C,1,FALSE)</f>
        <v>#N/A</v>
      </c>
      <c r="P162" s="451"/>
    </row>
    <row r="163" spans="1:16" x14ac:dyDescent="0.25">
      <c r="A163" s="451" t="str">
        <f t="shared" si="2"/>
        <v>131111000_348</v>
      </c>
      <c r="B163" s="1002" t="s">
        <v>872</v>
      </c>
      <c r="C163" s="807" t="s">
        <v>871</v>
      </c>
      <c r="D163" s="805" t="s">
        <v>1518</v>
      </c>
      <c r="E163" s="1016" t="s">
        <v>1484</v>
      </c>
      <c r="F163" s="612"/>
      <c r="G163" s="612">
        <v>-0.35</v>
      </c>
      <c r="H163" s="612"/>
      <c r="I163" s="612"/>
      <c r="J163" s="612"/>
      <c r="K163" s="612"/>
      <c r="L163" s="1017"/>
      <c r="M163" s="451"/>
      <c r="N163" t="e">
        <f>VLOOKUP(A163, 'P&amp;L'!A:B,1,FALSE)</f>
        <v>#N/A</v>
      </c>
      <c r="O163" t="e">
        <f>VLOOKUP(A163, KeyData!A:C,1,FALSE)</f>
        <v>#N/A</v>
      </c>
      <c r="P163" s="451"/>
    </row>
    <row r="164" spans="1:16" x14ac:dyDescent="0.25">
      <c r="A164" s="451" t="str">
        <f t="shared" si="2"/>
        <v>131111000_360</v>
      </c>
      <c r="B164" s="1002" t="s">
        <v>872</v>
      </c>
      <c r="C164" s="807" t="s">
        <v>871</v>
      </c>
      <c r="D164" s="805" t="s">
        <v>1519</v>
      </c>
      <c r="E164" s="1016" t="s">
        <v>1514</v>
      </c>
      <c r="F164" s="612"/>
      <c r="G164" s="612">
        <v>0</v>
      </c>
      <c r="H164" s="612">
        <v>0</v>
      </c>
      <c r="I164" s="612"/>
      <c r="J164" s="612">
        <v>0</v>
      </c>
      <c r="K164" s="612">
        <v>0</v>
      </c>
      <c r="L164" s="1017"/>
      <c r="M164" s="451"/>
      <c r="N164" t="e">
        <f>VLOOKUP(A164, 'P&amp;L'!A:B,1,FALSE)</f>
        <v>#N/A</v>
      </c>
      <c r="O164" t="e">
        <f>VLOOKUP(A164, KeyData!A:C,1,FALSE)</f>
        <v>#N/A</v>
      </c>
      <c r="P164" s="451"/>
    </row>
    <row r="165" spans="1:16" x14ac:dyDescent="0.25">
      <c r="A165" s="451" t="str">
        <f t="shared" si="2"/>
        <v>131111000_400</v>
      </c>
      <c r="B165" s="1002" t="s">
        <v>872</v>
      </c>
      <c r="C165" s="807" t="s">
        <v>871</v>
      </c>
      <c r="D165" s="805" t="s">
        <v>1157</v>
      </c>
      <c r="E165" s="1016" t="s">
        <v>1153</v>
      </c>
      <c r="F165" s="612"/>
      <c r="G165" s="612">
        <v>-449861.40700000001</v>
      </c>
      <c r="H165" s="612"/>
      <c r="I165" s="612">
        <v>-449861.40700000001</v>
      </c>
      <c r="J165" s="612"/>
      <c r="K165" s="612"/>
      <c r="L165" s="1017">
        <v>-94530.796000000002</v>
      </c>
      <c r="M165" s="451"/>
      <c r="N165" t="e">
        <f>VLOOKUP(A165, 'P&amp;L'!A:B,1,FALSE)</f>
        <v>#N/A</v>
      </c>
      <c r="O165" t="e">
        <f>VLOOKUP(A165, KeyData!A:C,1,FALSE)</f>
        <v>#N/A</v>
      </c>
      <c r="P165" s="451"/>
    </row>
    <row r="166" spans="1:16" x14ac:dyDescent="0.25">
      <c r="A166" s="451" t="str">
        <f t="shared" si="2"/>
        <v>131111000_410</v>
      </c>
      <c r="B166" s="1002" t="s">
        <v>872</v>
      </c>
      <c r="C166" s="807" t="s">
        <v>871</v>
      </c>
      <c r="D166" s="805" t="s">
        <v>1158</v>
      </c>
      <c r="E166" s="1016" t="s">
        <v>1159</v>
      </c>
      <c r="F166" s="612"/>
      <c r="G166" s="612">
        <v>-158062.853</v>
      </c>
      <c r="H166" s="612">
        <v>-94530.796000000002</v>
      </c>
      <c r="I166" s="612"/>
      <c r="J166" s="612"/>
      <c r="K166" s="612">
        <v>-94530.796000000002</v>
      </c>
      <c r="L166" s="1017"/>
      <c r="M166" s="451"/>
      <c r="N166" t="e">
        <f>VLOOKUP(A166, 'P&amp;L'!A:B,1,FALSE)</f>
        <v>#N/A</v>
      </c>
      <c r="O166" t="e">
        <f>VLOOKUP(A166, KeyData!A:C,1,FALSE)</f>
        <v>#N/A</v>
      </c>
      <c r="P166" s="451"/>
    </row>
    <row r="167" spans="1:16" x14ac:dyDescent="0.25">
      <c r="A167" s="451" t="str">
        <f t="shared" si="2"/>
        <v>131111000_460</v>
      </c>
      <c r="B167" s="1002" t="s">
        <v>872</v>
      </c>
      <c r="C167" s="807" t="s">
        <v>871</v>
      </c>
      <c r="D167" s="805" t="s">
        <v>1520</v>
      </c>
      <c r="E167" s="1016" t="s">
        <v>1514</v>
      </c>
      <c r="F167" s="612"/>
      <c r="G167" s="612">
        <v>0</v>
      </c>
      <c r="H167" s="612">
        <v>0</v>
      </c>
      <c r="I167" s="612"/>
      <c r="J167" s="612"/>
      <c r="K167" s="612">
        <v>0</v>
      </c>
      <c r="L167" s="1017"/>
      <c r="M167" s="451"/>
      <c r="N167" t="e">
        <f>VLOOKUP(A167, 'P&amp;L'!A:B,1,FALSE)</f>
        <v>#N/A</v>
      </c>
      <c r="O167" t="e">
        <f>VLOOKUP(A167, KeyData!A:C,1,FALSE)</f>
        <v>#N/A</v>
      </c>
      <c r="P167" s="451"/>
    </row>
    <row r="168" spans="1:16" x14ac:dyDescent="0.25">
      <c r="A168" s="451" t="str">
        <f t="shared" si="2"/>
        <v>131111000_Result</v>
      </c>
      <c r="B168" s="1002" t="s">
        <v>872</v>
      </c>
      <c r="C168" s="807" t="s">
        <v>871</v>
      </c>
      <c r="D168" s="834" t="s">
        <v>1160</v>
      </c>
      <c r="E168" s="1020"/>
      <c r="F168" s="833"/>
      <c r="G168" s="833">
        <v>2856807.49</v>
      </c>
      <c r="H168" s="833">
        <v>3751693.37</v>
      </c>
      <c r="I168" s="833">
        <v>2570526.54</v>
      </c>
      <c r="J168" s="833">
        <v>3940626.7220000001</v>
      </c>
      <c r="K168" s="833">
        <v>3144226.3849999998</v>
      </c>
      <c r="L168" s="1018">
        <v>3066825.8629999999</v>
      </c>
      <c r="M168" s="451"/>
      <c r="N168" t="e">
        <f>VLOOKUP(A168, 'P&amp;L'!A:B,1,FALSE)</f>
        <v>#N/A</v>
      </c>
      <c r="O168" t="str">
        <f>VLOOKUP(A168, KeyData!A:C,1,FALSE)</f>
        <v>131111000_Result</v>
      </c>
      <c r="P168" s="451"/>
    </row>
    <row r="169" spans="1:16" x14ac:dyDescent="0.25">
      <c r="A169" s="451" t="str">
        <f t="shared" si="2"/>
        <v>131111100_300</v>
      </c>
      <c r="B169" s="1003" t="s">
        <v>870</v>
      </c>
      <c r="C169" s="808" t="s">
        <v>869</v>
      </c>
      <c r="D169" s="805" t="s">
        <v>1152</v>
      </c>
      <c r="E169" s="1016" t="s">
        <v>1153</v>
      </c>
      <c r="F169" s="612"/>
      <c r="G169" s="612">
        <v>2309927.2960000001</v>
      </c>
      <c r="H169" s="612">
        <v>18406.631000000001</v>
      </c>
      <c r="I169" s="612">
        <v>2083348.969</v>
      </c>
      <c r="J169" s="612">
        <v>18406.631000000001</v>
      </c>
      <c r="K169" s="612">
        <v>18406.631000000001</v>
      </c>
      <c r="L169" s="1017">
        <v>3238757.1809999999</v>
      </c>
      <c r="M169" s="451"/>
      <c r="N169" t="e">
        <f>VLOOKUP(A169, 'P&amp;L'!A:B,1,FALSE)</f>
        <v>#N/A</v>
      </c>
      <c r="O169" t="e">
        <f>VLOOKUP(A169, KeyData!A:C,1,FALSE)</f>
        <v>#N/A</v>
      </c>
      <c r="P169" s="451"/>
    </row>
    <row r="170" spans="1:16" x14ac:dyDescent="0.25">
      <c r="A170" s="451" t="str">
        <f t="shared" si="2"/>
        <v>131111100_310</v>
      </c>
      <c r="B170" s="1003" t="s">
        <v>870</v>
      </c>
      <c r="C170" s="808" t="s">
        <v>869</v>
      </c>
      <c r="D170" s="805" t="s">
        <v>1154</v>
      </c>
      <c r="E170" s="1016" t="s">
        <v>1155</v>
      </c>
      <c r="F170" s="612"/>
      <c r="G170" s="612">
        <v>1154804.804</v>
      </c>
      <c r="H170" s="612">
        <v>3827817.5350000001</v>
      </c>
      <c r="I170" s="612">
        <v>937038.978</v>
      </c>
      <c r="J170" s="612">
        <v>3922220.091</v>
      </c>
      <c r="K170" s="612">
        <v>3220350.55</v>
      </c>
      <c r="L170" s="1017">
        <v>-77400.521999999997</v>
      </c>
      <c r="M170" s="451"/>
      <c r="N170" t="e">
        <f>VLOOKUP(A170, 'P&amp;L'!A:B,1,FALSE)</f>
        <v>#N/A</v>
      </c>
      <c r="O170" t="e">
        <f>VLOOKUP(A170, KeyData!A:C,1,FALSE)</f>
        <v>#N/A</v>
      </c>
      <c r="P170" s="451"/>
    </row>
    <row r="171" spans="1:16" x14ac:dyDescent="0.25">
      <c r="A171" s="451" t="str">
        <f t="shared" si="2"/>
        <v>131111100_348</v>
      </c>
      <c r="B171" s="1003" t="s">
        <v>870</v>
      </c>
      <c r="C171" s="808" t="s">
        <v>869</v>
      </c>
      <c r="D171" s="805" t="s">
        <v>1518</v>
      </c>
      <c r="E171" s="1016" t="s">
        <v>1484</v>
      </c>
      <c r="F171" s="612"/>
      <c r="G171" s="612">
        <v>-0.35</v>
      </c>
      <c r="H171" s="612"/>
      <c r="I171" s="612"/>
      <c r="J171" s="612"/>
      <c r="K171" s="612"/>
      <c r="L171" s="1017"/>
      <c r="M171" s="451"/>
      <c r="N171" t="e">
        <f>VLOOKUP(A171, 'P&amp;L'!A:B,1,FALSE)</f>
        <v>#N/A</v>
      </c>
      <c r="O171" t="e">
        <f>VLOOKUP(A171, KeyData!A:C,1,FALSE)</f>
        <v>#N/A</v>
      </c>
      <c r="P171" s="451"/>
    </row>
    <row r="172" spans="1:16" x14ac:dyDescent="0.25">
      <c r="A172" s="451" t="str">
        <f t="shared" si="2"/>
        <v>131111100_360</v>
      </c>
      <c r="B172" s="1003" t="s">
        <v>870</v>
      </c>
      <c r="C172" s="808" t="s">
        <v>869</v>
      </c>
      <c r="D172" s="805" t="s">
        <v>1519</v>
      </c>
      <c r="E172" s="1016" t="s">
        <v>1514</v>
      </c>
      <c r="F172" s="612"/>
      <c r="G172" s="612">
        <v>0</v>
      </c>
      <c r="H172" s="612">
        <v>0</v>
      </c>
      <c r="I172" s="612"/>
      <c r="J172" s="612">
        <v>0</v>
      </c>
      <c r="K172" s="612">
        <v>0</v>
      </c>
      <c r="L172" s="1017"/>
      <c r="M172" s="451"/>
      <c r="N172" t="e">
        <f>VLOOKUP(A172, 'P&amp;L'!A:B,1,FALSE)</f>
        <v>#N/A</v>
      </c>
      <c r="O172" t="e">
        <f>VLOOKUP(A172, KeyData!A:C,1,FALSE)</f>
        <v>#N/A</v>
      </c>
      <c r="P172" s="451"/>
    </row>
    <row r="173" spans="1:16" x14ac:dyDescent="0.25">
      <c r="A173" s="451" t="str">
        <f t="shared" si="2"/>
        <v>131111100_400</v>
      </c>
      <c r="B173" s="1003" t="s">
        <v>870</v>
      </c>
      <c r="C173" s="808" t="s">
        <v>869</v>
      </c>
      <c r="D173" s="805" t="s">
        <v>1157</v>
      </c>
      <c r="E173" s="1016" t="s">
        <v>1153</v>
      </c>
      <c r="F173" s="612"/>
      <c r="G173" s="612">
        <v>-449861.40700000001</v>
      </c>
      <c r="H173" s="612"/>
      <c r="I173" s="612">
        <v>-449861.40700000001</v>
      </c>
      <c r="J173" s="612"/>
      <c r="K173" s="612"/>
      <c r="L173" s="1017">
        <v>-94530.796000000002</v>
      </c>
      <c r="M173" s="451"/>
      <c r="N173" t="e">
        <f>VLOOKUP(A173, 'P&amp;L'!A:B,1,FALSE)</f>
        <v>#N/A</v>
      </c>
      <c r="O173" t="e">
        <f>VLOOKUP(A173, KeyData!A:C,1,FALSE)</f>
        <v>#N/A</v>
      </c>
      <c r="P173" s="451"/>
    </row>
    <row r="174" spans="1:16" x14ac:dyDescent="0.25">
      <c r="A174" s="451" t="str">
        <f t="shared" si="2"/>
        <v>131111100_410</v>
      </c>
      <c r="B174" s="1003" t="s">
        <v>870</v>
      </c>
      <c r="C174" s="808" t="s">
        <v>869</v>
      </c>
      <c r="D174" s="805" t="s">
        <v>1158</v>
      </c>
      <c r="E174" s="1016" t="s">
        <v>1159</v>
      </c>
      <c r="F174" s="612"/>
      <c r="G174" s="612">
        <v>-158062.853</v>
      </c>
      <c r="H174" s="612">
        <v>-94530.796000000002</v>
      </c>
      <c r="I174" s="612"/>
      <c r="J174" s="612"/>
      <c r="K174" s="612">
        <v>-94530.796000000002</v>
      </c>
      <c r="L174" s="1017"/>
      <c r="M174" s="451"/>
      <c r="N174" t="e">
        <f>VLOOKUP(A174, 'P&amp;L'!A:B,1,FALSE)</f>
        <v>#N/A</v>
      </c>
      <c r="O174" t="e">
        <f>VLOOKUP(A174, KeyData!A:C,1,FALSE)</f>
        <v>#N/A</v>
      </c>
      <c r="P174" s="451"/>
    </row>
    <row r="175" spans="1:16" x14ac:dyDescent="0.25">
      <c r="A175" s="451" t="str">
        <f t="shared" si="2"/>
        <v>131111100_460</v>
      </c>
      <c r="B175" s="1003" t="s">
        <v>870</v>
      </c>
      <c r="C175" s="808" t="s">
        <v>869</v>
      </c>
      <c r="D175" s="805" t="s">
        <v>1520</v>
      </c>
      <c r="E175" s="1016" t="s">
        <v>1514</v>
      </c>
      <c r="F175" s="612"/>
      <c r="G175" s="612">
        <v>0</v>
      </c>
      <c r="H175" s="612">
        <v>0</v>
      </c>
      <c r="I175" s="612"/>
      <c r="J175" s="612"/>
      <c r="K175" s="612">
        <v>0</v>
      </c>
      <c r="L175" s="1017"/>
      <c r="M175" s="451"/>
      <c r="N175" t="e">
        <f>VLOOKUP(A175, 'P&amp;L'!A:B,1,FALSE)</f>
        <v>#N/A</v>
      </c>
      <c r="O175" t="e">
        <f>VLOOKUP(A175, KeyData!A:C,1,FALSE)</f>
        <v>#N/A</v>
      </c>
      <c r="P175" s="451"/>
    </row>
    <row r="176" spans="1:16" x14ac:dyDescent="0.25">
      <c r="A176" s="451" t="str">
        <f t="shared" si="2"/>
        <v>131111100_Result</v>
      </c>
      <c r="B176" s="1003" t="s">
        <v>870</v>
      </c>
      <c r="C176" s="808" t="s">
        <v>869</v>
      </c>
      <c r="D176" s="834" t="s">
        <v>1160</v>
      </c>
      <c r="E176" s="1020"/>
      <c r="F176" s="833"/>
      <c r="G176" s="833">
        <v>2856807.49</v>
      </c>
      <c r="H176" s="833">
        <v>3751693.37</v>
      </c>
      <c r="I176" s="833">
        <v>2570526.54</v>
      </c>
      <c r="J176" s="833">
        <v>3940626.7220000001</v>
      </c>
      <c r="K176" s="833">
        <v>3144226.3849999998</v>
      </c>
      <c r="L176" s="1018">
        <v>3066825.8629999999</v>
      </c>
      <c r="M176" s="451"/>
      <c r="N176" t="e">
        <f>VLOOKUP(A176, 'P&amp;L'!A:B,1,FALSE)</f>
        <v>#N/A</v>
      </c>
      <c r="O176" t="e">
        <f>VLOOKUP(A176, KeyData!A:C,1,FALSE)</f>
        <v>#N/A</v>
      </c>
      <c r="P176" s="451"/>
    </row>
    <row r="177" spans="1:16" x14ac:dyDescent="0.25">
      <c r="A177" s="451" t="str">
        <f t="shared" si="2"/>
        <v>131111300_310</v>
      </c>
      <c r="B177" s="1005" t="s">
        <v>1090</v>
      </c>
      <c r="C177" s="808" t="s">
        <v>1091</v>
      </c>
      <c r="D177" s="805" t="s">
        <v>1154</v>
      </c>
      <c r="E177" s="1016" t="s">
        <v>1155</v>
      </c>
      <c r="F177" s="612"/>
      <c r="G177" s="612">
        <v>0</v>
      </c>
      <c r="H177" s="612"/>
      <c r="I177" s="612"/>
      <c r="J177" s="612"/>
      <c r="K177" s="612"/>
      <c r="L177" s="1017"/>
      <c r="M177" s="451"/>
      <c r="N177" t="e">
        <f>VLOOKUP(A177, 'P&amp;L'!A:B,1,FALSE)</f>
        <v>#N/A</v>
      </c>
      <c r="O177" t="e">
        <f>VLOOKUP(A177, KeyData!A:C,1,FALSE)</f>
        <v>#N/A</v>
      </c>
      <c r="P177" s="451"/>
    </row>
    <row r="178" spans="1:16" x14ac:dyDescent="0.25">
      <c r="A178" s="451" t="str">
        <f t="shared" si="2"/>
        <v>131111300_360</v>
      </c>
      <c r="B178" s="1005" t="s">
        <v>1090</v>
      </c>
      <c r="C178" s="808" t="s">
        <v>1091</v>
      </c>
      <c r="D178" s="805" t="s">
        <v>1519</v>
      </c>
      <c r="E178" s="1016" t="s">
        <v>1514</v>
      </c>
      <c r="F178" s="612"/>
      <c r="G178" s="612">
        <v>0</v>
      </c>
      <c r="H178" s="612"/>
      <c r="I178" s="612"/>
      <c r="J178" s="612"/>
      <c r="K178" s="612"/>
      <c r="L178" s="1017"/>
      <c r="M178" s="451"/>
      <c r="N178" t="e">
        <f>VLOOKUP(A178, 'P&amp;L'!A:B,1,FALSE)</f>
        <v>#N/A</v>
      </c>
      <c r="O178" t="e">
        <f>VLOOKUP(A178, KeyData!A:C,1,FALSE)</f>
        <v>#N/A</v>
      </c>
      <c r="P178" s="451"/>
    </row>
    <row r="179" spans="1:16" x14ac:dyDescent="0.25">
      <c r="A179" s="451" t="str">
        <f t="shared" si="2"/>
        <v>131111300_Result</v>
      </c>
      <c r="B179" s="1005" t="s">
        <v>1090</v>
      </c>
      <c r="C179" s="808" t="s">
        <v>1091</v>
      </c>
      <c r="D179" s="834" t="s">
        <v>1160</v>
      </c>
      <c r="E179" s="1020"/>
      <c r="F179" s="833"/>
      <c r="G179" s="833">
        <v>0</v>
      </c>
      <c r="H179" s="833"/>
      <c r="I179" s="833"/>
      <c r="J179" s="833"/>
      <c r="K179" s="833"/>
      <c r="L179" s="1018"/>
      <c r="M179" s="451"/>
      <c r="N179" t="e">
        <f>VLOOKUP(A179, 'P&amp;L'!A:B,1,FALSE)</f>
        <v>#N/A</v>
      </c>
      <c r="O179" t="e">
        <f>VLOOKUP(A179, KeyData!A:C,1,FALSE)</f>
        <v>#N/A</v>
      </c>
      <c r="P179" s="451"/>
    </row>
    <row r="180" spans="1:16" x14ac:dyDescent="0.25">
      <c r="A180" s="451" t="str">
        <f t="shared" si="2"/>
        <v>131111320_310</v>
      </c>
      <c r="B180" s="1006" t="s">
        <v>1092</v>
      </c>
      <c r="C180" s="809" t="s">
        <v>1093</v>
      </c>
      <c r="D180" s="805" t="s">
        <v>1154</v>
      </c>
      <c r="E180" s="1016" t="s">
        <v>1155</v>
      </c>
      <c r="F180" s="612"/>
      <c r="G180" s="612">
        <v>0</v>
      </c>
      <c r="H180" s="612"/>
      <c r="I180" s="612"/>
      <c r="J180" s="612"/>
      <c r="K180" s="612"/>
      <c r="L180" s="1017"/>
      <c r="M180" s="451"/>
      <c r="N180" t="e">
        <f>VLOOKUP(A180, 'P&amp;L'!A:B,1,FALSE)</f>
        <v>#N/A</v>
      </c>
      <c r="O180" t="e">
        <f>VLOOKUP(A180, KeyData!A:C,1,FALSE)</f>
        <v>#N/A</v>
      </c>
      <c r="P180" s="451"/>
    </row>
    <row r="181" spans="1:16" x14ac:dyDescent="0.25">
      <c r="A181" s="451" t="str">
        <f t="shared" si="2"/>
        <v>131111320_360</v>
      </c>
      <c r="B181" s="1006" t="s">
        <v>1092</v>
      </c>
      <c r="C181" s="809" t="s">
        <v>1093</v>
      </c>
      <c r="D181" s="805" t="s">
        <v>1519</v>
      </c>
      <c r="E181" s="1016" t="s">
        <v>1514</v>
      </c>
      <c r="F181" s="612"/>
      <c r="G181" s="612">
        <v>0</v>
      </c>
      <c r="H181" s="612"/>
      <c r="I181" s="612"/>
      <c r="J181" s="612"/>
      <c r="K181" s="612"/>
      <c r="L181" s="1017"/>
      <c r="M181" s="451"/>
      <c r="N181" t="e">
        <f>VLOOKUP(A181, 'P&amp;L'!A:B,1,FALSE)</f>
        <v>#N/A</v>
      </c>
      <c r="O181" t="e">
        <f>VLOOKUP(A181, KeyData!A:C,1,FALSE)</f>
        <v>#N/A</v>
      </c>
      <c r="P181" s="451"/>
    </row>
    <row r="182" spans="1:16" x14ac:dyDescent="0.25">
      <c r="A182" s="451" t="str">
        <f t="shared" si="2"/>
        <v>131111320_Result</v>
      </c>
      <c r="B182" s="1006" t="s">
        <v>1092</v>
      </c>
      <c r="C182" s="809" t="s">
        <v>1093</v>
      </c>
      <c r="D182" s="834" t="s">
        <v>1160</v>
      </c>
      <c r="E182" s="1020"/>
      <c r="F182" s="833"/>
      <c r="G182" s="833">
        <v>0</v>
      </c>
      <c r="H182" s="833"/>
      <c r="I182" s="833"/>
      <c r="J182" s="833"/>
      <c r="K182" s="833"/>
      <c r="L182" s="1018"/>
      <c r="M182" s="451"/>
      <c r="N182" t="e">
        <f>VLOOKUP(A182, 'P&amp;L'!A:B,1,FALSE)</f>
        <v>#N/A</v>
      </c>
      <c r="O182" t="e">
        <f>VLOOKUP(A182, KeyData!A:C,1,FALSE)</f>
        <v>#N/A</v>
      </c>
      <c r="P182" s="451"/>
    </row>
    <row r="183" spans="1:16" x14ac:dyDescent="0.25">
      <c r="A183" s="451" t="str">
        <f t="shared" si="2"/>
        <v>131116000_300</v>
      </c>
      <c r="B183" s="1004" t="s">
        <v>868</v>
      </c>
      <c r="C183" s="807" t="s">
        <v>867</v>
      </c>
      <c r="D183" s="805" t="s">
        <v>1152</v>
      </c>
      <c r="E183" s="1016" t="s">
        <v>1153</v>
      </c>
      <c r="F183" s="612"/>
      <c r="G183" s="612">
        <v>357241.66899999999</v>
      </c>
      <c r="H183" s="612"/>
      <c r="I183" s="612">
        <v>327887.22700000001</v>
      </c>
      <c r="J183" s="612"/>
      <c r="K183" s="612"/>
      <c r="L183" s="1017">
        <v>1229971</v>
      </c>
      <c r="M183" s="451"/>
      <c r="N183" t="e">
        <f>VLOOKUP(A183, 'P&amp;L'!A:B,1,FALSE)</f>
        <v>#N/A</v>
      </c>
      <c r="O183" t="e">
        <f>VLOOKUP(A183, KeyData!A:C,1,FALSE)</f>
        <v>#N/A</v>
      </c>
      <c r="P183" s="451"/>
    </row>
    <row r="184" spans="1:16" x14ac:dyDescent="0.25">
      <c r="A184" s="451" t="str">
        <f t="shared" si="2"/>
        <v>131116000_310</v>
      </c>
      <c r="B184" s="1004" t="s">
        <v>868</v>
      </c>
      <c r="C184" s="807" t="s">
        <v>867</v>
      </c>
      <c r="D184" s="805" t="s">
        <v>1154</v>
      </c>
      <c r="E184" s="1016" t="s">
        <v>1155</v>
      </c>
      <c r="F184" s="612"/>
      <c r="G184" s="612">
        <v>80326.938999999998</v>
      </c>
      <c r="H184" s="612">
        <v>979827.995</v>
      </c>
      <c r="I184" s="612">
        <v>752331.17099999997</v>
      </c>
      <c r="J184" s="612">
        <v>878597.68</v>
      </c>
      <c r="K184" s="612">
        <v>1229971</v>
      </c>
      <c r="L184" s="1017">
        <v>3161146.0359999998</v>
      </c>
      <c r="M184" s="451"/>
      <c r="N184" t="e">
        <f>VLOOKUP(A184, 'P&amp;L'!A:B,1,FALSE)</f>
        <v>#N/A</v>
      </c>
      <c r="O184" t="e">
        <f>VLOOKUP(A184, KeyData!A:C,1,FALSE)</f>
        <v>#N/A</v>
      </c>
      <c r="P184" s="451"/>
    </row>
    <row r="185" spans="1:16" x14ac:dyDescent="0.25">
      <c r="A185" s="451" t="str">
        <f t="shared" si="2"/>
        <v>131116000_348</v>
      </c>
      <c r="B185" s="1004" t="s">
        <v>868</v>
      </c>
      <c r="C185" s="807" t="s">
        <v>867</v>
      </c>
      <c r="D185" s="805" t="s">
        <v>1518</v>
      </c>
      <c r="E185" s="1016" t="s">
        <v>1484</v>
      </c>
      <c r="F185" s="612"/>
      <c r="G185" s="612">
        <v>4.4999999999999998E-2</v>
      </c>
      <c r="H185" s="612"/>
      <c r="I185" s="612"/>
      <c r="J185" s="612"/>
      <c r="K185" s="612"/>
      <c r="L185" s="1017"/>
      <c r="M185" s="451"/>
      <c r="N185" t="e">
        <f>VLOOKUP(A185, 'P&amp;L'!A:B,1,FALSE)</f>
        <v>#N/A</v>
      </c>
      <c r="O185" t="e">
        <f>VLOOKUP(A185, KeyData!A:C,1,FALSE)</f>
        <v>#N/A</v>
      </c>
      <c r="P185" s="451"/>
    </row>
    <row r="186" spans="1:16" x14ac:dyDescent="0.25">
      <c r="A186" s="451" t="str">
        <f t="shared" si="2"/>
        <v>131116000_360</v>
      </c>
      <c r="B186" s="1004" t="s">
        <v>868</v>
      </c>
      <c r="C186" s="807" t="s">
        <v>867</v>
      </c>
      <c r="D186" s="805" t="s">
        <v>1519</v>
      </c>
      <c r="E186" s="1016" t="s">
        <v>1514</v>
      </c>
      <c r="F186" s="612"/>
      <c r="G186" s="612">
        <v>0</v>
      </c>
      <c r="H186" s="612">
        <v>0</v>
      </c>
      <c r="I186" s="612"/>
      <c r="J186" s="612">
        <v>0</v>
      </c>
      <c r="K186" s="612">
        <v>0</v>
      </c>
      <c r="L186" s="1017"/>
      <c r="M186" s="451"/>
      <c r="N186" t="e">
        <f>VLOOKUP(A186, 'P&amp;L'!A:B,1,FALSE)</f>
        <v>#N/A</v>
      </c>
      <c r="O186" t="e">
        <f>VLOOKUP(A186, KeyData!A:C,1,FALSE)</f>
        <v>#N/A</v>
      </c>
      <c r="P186" s="451"/>
    </row>
    <row r="187" spans="1:16" x14ac:dyDescent="0.25">
      <c r="A187" s="451" t="str">
        <f t="shared" si="2"/>
        <v>131116000_400</v>
      </c>
      <c r="B187" s="1004" t="s">
        <v>868</v>
      </c>
      <c r="C187" s="807" t="s">
        <v>867</v>
      </c>
      <c r="D187" s="805" t="s">
        <v>1157</v>
      </c>
      <c r="E187" s="1016" t="s">
        <v>1153</v>
      </c>
      <c r="F187" s="612"/>
      <c r="G187" s="612">
        <v>-32141.054</v>
      </c>
      <c r="H187" s="612">
        <v>43.776000000000003</v>
      </c>
      <c r="I187" s="612">
        <v>-32141.054</v>
      </c>
      <c r="J187" s="612">
        <v>43.776000000000003</v>
      </c>
      <c r="K187" s="612">
        <v>43.776000000000003</v>
      </c>
      <c r="L187" s="1017"/>
      <c r="M187" s="451"/>
      <c r="N187" t="e">
        <f>VLOOKUP(A187, 'P&amp;L'!A:B,1,FALSE)</f>
        <v>#N/A</v>
      </c>
      <c r="O187" t="e">
        <f>VLOOKUP(A187, KeyData!A:C,1,FALSE)</f>
        <v>#N/A</v>
      </c>
      <c r="P187" s="451"/>
    </row>
    <row r="188" spans="1:16" x14ac:dyDescent="0.25">
      <c r="A188" s="451" t="str">
        <f t="shared" si="2"/>
        <v>131116000_410</v>
      </c>
      <c r="B188" s="1004" t="s">
        <v>868</v>
      </c>
      <c r="C188" s="807" t="s">
        <v>867</v>
      </c>
      <c r="D188" s="805" t="s">
        <v>1158</v>
      </c>
      <c r="E188" s="1016" t="s">
        <v>1159</v>
      </c>
      <c r="F188" s="612"/>
      <c r="G188" s="612">
        <v>4938.7179999999998</v>
      </c>
      <c r="H188" s="612">
        <v>-43.776000000000003</v>
      </c>
      <c r="I188" s="612"/>
      <c r="J188" s="612"/>
      <c r="K188" s="612">
        <v>-43.776000000000003</v>
      </c>
      <c r="L188" s="1017"/>
      <c r="M188" s="451"/>
      <c r="N188" t="e">
        <f>VLOOKUP(A188, 'P&amp;L'!A:B,1,FALSE)</f>
        <v>#N/A</v>
      </c>
      <c r="O188" t="e">
        <f>VLOOKUP(A188, KeyData!A:C,1,FALSE)</f>
        <v>#N/A</v>
      </c>
      <c r="P188" s="451"/>
    </row>
    <row r="189" spans="1:16" x14ac:dyDescent="0.25">
      <c r="A189" s="451" t="str">
        <f t="shared" si="2"/>
        <v>131116000_440</v>
      </c>
      <c r="B189" s="1004" t="s">
        <v>868</v>
      </c>
      <c r="C189" s="807" t="s">
        <v>867</v>
      </c>
      <c r="D189" s="805" t="s">
        <v>1486</v>
      </c>
      <c r="E189" s="1016" t="s">
        <v>1487</v>
      </c>
      <c r="F189" s="612"/>
      <c r="G189" s="612">
        <v>-2.7160000000000002</v>
      </c>
      <c r="H189" s="612"/>
      <c r="I189" s="612"/>
      <c r="J189" s="612"/>
      <c r="K189" s="612"/>
      <c r="L189" s="1017"/>
      <c r="M189" s="451"/>
      <c r="N189" t="e">
        <f>VLOOKUP(A189, 'P&amp;L'!A:B,1,FALSE)</f>
        <v>#N/A</v>
      </c>
      <c r="O189" t="e">
        <f>VLOOKUP(A189, KeyData!A:C,1,FALSE)</f>
        <v>#N/A</v>
      </c>
      <c r="P189" s="451"/>
    </row>
    <row r="190" spans="1:16" x14ac:dyDescent="0.25">
      <c r="A190" s="451" t="str">
        <f t="shared" si="2"/>
        <v>131116000_460</v>
      </c>
      <c r="B190" s="1004" t="s">
        <v>868</v>
      </c>
      <c r="C190" s="807" t="s">
        <v>867</v>
      </c>
      <c r="D190" s="805" t="s">
        <v>1520</v>
      </c>
      <c r="E190" s="1016" t="s">
        <v>1514</v>
      </c>
      <c r="F190" s="612"/>
      <c r="G190" s="612">
        <v>0</v>
      </c>
      <c r="H190" s="612">
        <v>0</v>
      </c>
      <c r="I190" s="612"/>
      <c r="J190" s="612">
        <v>0</v>
      </c>
      <c r="K190" s="612">
        <v>0</v>
      </c>
      <c r="L190" s="1017"/>
      <c r="M190" s="451"/>
      <c r="N190" t="e">
        <f>VLOOKUP(A190, 'P&amp;L'!A:B,1,FALSE)</f>
        <v>#N/A</v>
      </c>
      <c r="O190" t="e">
        <f>VLOOKUP(A190, KeyData!A:C,1,FALSE)</f>
        <v>#N/A</v>
      </c>
      <c r="P190" s="451"/>
    </row>
    <row r="191" spans="1:16" x14ac:dyDescent="0.25">
      <c r="A191" s="451" t="str">
        <f t="shared" si="2"/>
        <v>131116000_Result</v>
      </c>
      <c r="B191" s="1004" t="s">
        <v>868</v>
      </c>
      <c r="C191" s="807" t="s">
        <v>867</v>
      </c>
      <c r="D191" s="834" t="s">
        <v>1160</v>
      </c>
      <c r="E191" s="1020"/>
      <c r="F191" s="833"/>
      <c r="G191" s="833">
        <v>410363.60100000002</v>
      </c>
      <c r="H191" s="833">
        <v>979827.995</v>
      </c>
      <c r="I191" s="833">
        <v>1048077.344</v>
      </c>
      <c r="J191" s="833">
        <v>878641.45600000001</v>
      </c>
      <c r="K191" s="833">
        <v>1229971</v>
      </c>
      <c r="L191" s="1018">
        <v>4391117.0360000003</v>
      </c>
      <c r="M191" s="451"/>
      <c r="N191" t="e">
        <f>VLOOKUP(A191, 'P&amp;L'!A:B,1,FALSE)</f>
        <v>#N/A</v>
      </c>
      <c r="O191" t="str">
        <f>VLOOKUP(A191, KeyData!A:C,1,FALSE)</f>
        <v>131116000_Result</v>
      </c>
      <c r="P191" s="451"/>
    </row>
    <row r="192" spans="1:16" x14ac:dyDescent="0.25">
      <c r="A192" s="451" t="str">
        <f t="shared" si="2"/>
        <v>131121000_300</v>
      </c>
      <c r="B192" s="1002" t="s">
        <v>866</v>
      </c>
      <c r="C192" s="807" t="s">
        <v>728</v>
      </c>
      <c r="D192" s="805" t="s">
        <v>1152</v>
      </c>
      <c r="E192" s="1016" t="s">
        <v>1153</v>
      </c>
      <c r="F192" s="612"/>
      <c r="G192" s="612">
        <v>336008.18800000002</v>
      </c>
      <c r="H192" s="612"/>
      <c r="I192" s="612">
        <v>282423.36200000002</v>
      </c>
      <c r="J192" s="612"/>
      <c r="K192" s="612"/>
      <c r="L192" s="1017">
        <v>1566335.75</v>
      </c>
      <c r="M192" s="451"/>
      <c r="N192" t="e">
        <f>VLOOKUP(A192, 'P&amp;L'!A:B,1,FALSE)</f>
        <v>#N/A</v>
      </c>
      <c r="O192" t="e">
        <f>VLOOKUP(A192, KeyData!A:C,1,FALSE)</f>
        <v>#N/A</v>
      </c>
      <c r="P192" s="451"/>
    </row>
    <row r="193" spans="1:16" x14ac:dyDescent="0.25">
      <c r="A193" s="451" t="str">
        <f t="shared" si="2"/>
        <v>131121000_310</v>
      </c>
      <c r="B193" s="1002" t="s">
        <v>866</v>
      </c>
      <c r="C193" s="807" t="s">
        <v>728</v>
      </c>
      <c r="D193" s="805" t="s">
        <v>1154</v>
      </c>
      <c r="E193" s="1016" t="s">
        <v>1155</v>
      </c>
      <c r="F193" s="612"/>
      <c r="G193" s="612">
        <v>78557.695999999996</v>
      </c>
      <c r="H193" s="612">
        <v>586964.64199999999</v>
      </c>
      <c r="I193" s="612">
        <v>1007769.7879999999</v>
      </c>
      <c r="J193" s="612">
        <v>1008772.553</v>
      </c>
      <c r="K193" s="612">
        <v>1566335.75</v>
      </c>
      <c r="L193" s="1017">
        <v>-19656.384999999998</v>
      </c>
      <c r="M193" s="451"/>
      <c r="N193" t="e">
        <f>VLOOKUP(A193, 'P&amp;L'!A:B,1,FALSE)</f>
        <v>#N/A</v>
      </c>
      <c r="O193" t="e">
        <f>VLOOKUP(A193, KeyData!A:C,1,FALSE)</f>
        <v>#N/A</v>
      </c>
      <c r="P193" s="451"/>
    </row>
    <row r="194" spans="1:16" x14ac:dyDescent="0.25">
      <c r="A194" s="451" t="str">
        <f t="shared" si="2"/>
        <v>131121000_348</v>
      </c>
      <c r="B194" s="1002" t="s">
        <v>866</v>
      </c>
      <c r="C194" s="807" t="s">
        <v>728</v>
      </c>
      <c r="D194" s="805" t="s">
        <v>1518</v>
      </c>
      <c r="E194" s="1016" t="s">
        <v>1484</v>
      </c>
      <c r="F194" s="612"/>
      <c r="G194" s="612">
        <v>-4.4999999999999998E-2</v>
      </c>
      <c r="H194" s="612"/>
      <c r="I194" s="612"/>
      <c r="J194" s="612"/>
      <c r="K194" s="612"/>
      <c r="L194" s="1017"/>
      <c r="M194" s="451"/>
      <c r="N194" t="e">
        <f>VLOOKUP(A194, 'P&amp;L'!A:B,1,FALSE)</f>
        <v>#N/A</v>
      </c>
      <c r="O194" t="e">
        <f>VLOOKUP(A194, KeyData!A:C,1,FALSE)</f>
        <v>#N/A</v>
      </c>
      <c r="P194" s="451"/>
    </row>
    <row r="195" spans="1:16" x14ac:dyDescent="0.25">
      <c r="A195" s="451" t="str">
        <f t="shared" ref="A195:A258" si="3" xml:space="preserve"> IFERROR(+B195*1,B195)&amp;"_"&amp;IFERROR(+D195*1,D195)</f>
        <v>131121000_360</v>
      </c>
      <c r="B195" s="1002" t="s">
        <v>866</v>
      </c>
      <c r="C195" s="807" t="s">
        <v>728</v>
      </c>
      <c r="D195" s="805" t="s">
        <v>1519</v>
      </c>
      <c r="E195" s="1016" t="s">
        <v>1514</v>
      </c>
      <c r="F195" s="612"/>
      <c r="G195" s="612">
        <v>0</v>
      </c>
      <c r="H195" s="612">
        <v>0</v>
      </c>
      <c r="I195" s="612"/>
      <c r="J195" s="612">
        <v>0</v>
      </c>
      <c r="K195" s="612">
        <v>0</v>
      </c>
      <c r="L195" s="1017"/>
      <c r="M195" s="451"/>
      <c r="N195" t="e">
        <f>VLOOKUP(A195, 'P&amp;L'!A:B,1,FALSE)</f>
        <v>#N/A</v>
      </c>
      <c r="O195" t="e">
        <f>VLOOKUP(A195, KeyData!A:C,1,FALSE)</f>
        <v>#N/A</v>
      </c>
      <c r="P195" s="451"/>
    </row>
    <row r="196" spans="1:16" x14ac:dyDescent="0.25">
      <c r="A196" s="451" t="str">
        <f t="shared" si="3"/>
        <v>131121000_400</v>
      </c>
      <c r="B196" s="1002" t="s">
        <v>866</v>
      </c>
      <c r="C196" s="807" t="s">
        <v>728</v>
      </c>
      <c r="D196" s="805" t="s">
        <v>1157</v>
      </c>
      <c r="E196" s="1016" t="s">
        <v>1153</v>
      </c>
      <c r="F196" s="612"/>
      <c r="G196" s="612">
        <v>-86890.425000000003</v>
      </c>
      <c r="H196" s="612"/>
      <c r="I196" s="612">
        <v>-86890.425000000003</v>
      </c>
      <c r="J196" s="612"/>
      <c r="K196" s="612"/>
      <c r="L196" s="1017">
        <v>-275459.75</v>
      </c>
      <c r="M196" s="451"/>
      <c r="N196" t="e">
        <f>VLOOKUP(A196, 'P&amp;L'!A:B,1,FALSE)</f>
        <v>#N/A</v>
      </c>
      <c r="O196" t="e">
        <f>VLOOKUP(A196, KeyData!A:C,1,FALSE)</f>
        <v>#N/A</v>
      </c>
      <c r="P196" s="451"/>
    </row>
    <row r="197" spans="1:16" x14ac:dyDescent="0.25">
      <c r="A197" s="451" t="str">
        <f t="shared" si="3"/>
        <v>131121000_410</v>
      </c>
      <c r="B197" s="1002" t="s">
        <v>866</v>
      </c>
      <c r="C197" s="807" t="s">
        <v>728</v>
      </c>
      <c r="D197" s="805" t="s">
        <v>1158</v>
      </c>
      <c r="E197" s="1016" t="s">
        <v>1159</v>
      </c>
      <c r="F197" s="612"/>
      <c r="G197" s="612">
        <v>-9544.634</v>
      </c>
      <c r="H197" s="612">
        <v>-275459.75</v>
      </c>
      <c r="I197" s="612"/>
      <c r="J197" s="612"/>
      <c r="K197" s="612">
        <v>-275459.75</v>
      </c>
      <c r="L197" s="1017"/>
      <c r="M197" s="451"/>
      <c r="N197" t="e">
        <f>VLOOKUP(A197, 'P&amp;L'!A:B,1,FALSE)</f>
        <v>#N/A</v>
      </c>
      <c r="O197" t="e">
        <f>VLOOKUP(A197, KeyData!A:C,1,FALSE)</f>
        <v>#N/A</v>
      </c>
      <c r="P197" s="451"/>
    </row>
    <row r="198" spans="1:16" x14ac:dyDescent="0.25">
      <c r="A198" s="451" t="str">
        <f t="shared" si="3"/>
        <v>131121000_460</v>
      </c>
      <c r="B198" s="1002" t="s">
        <v>866</v>
      </c>
      <c r="C198" s="807" t="s">
        <v>728</v>
      </c>
      <c r="D198" s="805" t="s">
        <v>1520</v>
      </c>
      <c r="E198" s="1016" t="s">
        <v>1514</v>
      </c>
      <c r="F198" s="612"/>
      <c r="G198" s="612">
        <v>0</v>
      </c>
      <c r="H198" s="612">
        <v>0</v>
      </c>
      <c r="I198" s="612"/>
      <c r="J198" s="612"/>
      <c r="K198" s="612">
        <v>0</v>
      </c>
      <c r="L198" s="1017"/>
      <c r="M198" s="451"/>
      <c r="N198" t="e">
        <f>VLOOKUP(A198, 'P&amp;L'!A:B,1,FALSE)</f>
        <v>#N/A</v>
      </c>
      <c r="O198" t="e">
        <f>VLOOKUP(A198, KeyData!A:C,1,FALSE)</f>
        <v>#N/A</v>
      </c>
      <c r="P198" s="451"/>
    </row>
    <row r="199" spans="1:16" x14ac:dyDescent="0.25">
      <c r="A199" s="451" t="str">
        <f t="shared" si="3"/>
        <v>131121000_Result</v>
      </c>
      <c r="B199" s="1002" t="s">
        <v>866</v>
      </c>
      <c r="C199" s="807" t="s">
        <v>728</v>
      </c>
      <c r="D199" s="834" t="s">
        <v>1160</v>
      </c>
      <c r="E199" s="1020"/>
      <c r="F199" s="833"/>
      <c r="G199" s="833">
        <v>318130.78000000003</v>
      </c>
      <c r="H199" s="833">
        <v>311504.89199999999</v>
      </c>
      <c r="I199" s="833">
        <v>1203302.7250000001</v>
      </c>
      <c r="J199" s="833">
        <v>1008772.553</v>
      </c>
      <c r="K199" s="833">
        <v>1290876</v>
      </c>
      <c r="L199" s="1018">
        <v>1271219.615</v>
      </c>
      <c r="M199" s="451"/>
      <c r="N199" t="e">
        <f>VLOOKUP(A199, 'P&amp;L'!A:B,1,FALSE)</f>
        <v>#N/A</v>
      </c>
      <c r="O199" t="str">
        <f>VLOOKUP(A199, KeyData!A:C,1,FALSE)</f>
        <v>131121000_Result</v>
      </c>
      <c r="P199" s="451"/>
    </row>
    <row r="200" spans="1:16" x14ac:dyDescent="0.25">
      <c r="A200" s="451" t="str">
        <f t="shared" si="3"/>
        <v>131121100_300</v>
      </c>
      <c r="B200" s="1003" t="s">
        <v>865</v>
      </c>
      <c r="C200" s="808" t="s">
        <v>864</v>
      </c>
      <c r="D200" s="805" t="s">
        <v>1152</v>
      </c>
      <c r="E200" s="1016" t="s">
        <v>1153</v>
      </c>
      <c r="F200" s="612"/>
      <c r="G200" s="612">
        <v>335929.08100000001</v>
      </c>
      <c r="H200" s="612"/>
      <c r="I200" s="612">
        <v>282348.98</v>
      </c>
      <c r="J200" s="612"/>
      <c r="K200" s="612"/>
      <c r="L200" s="1017">
        <v>1566335.75</v>
      </c>
      <c r="M200" s="451"/>
      <c r="N200" t="e">
        <f>VLOOKUP(A200, 'P&amp;L'!A:B,1,FALSE)</f>
        <v>#N/A</v>
      </c>
      <c r="O200" t="e">
        <f>VLOOKUP(A200, KeyData!A:C,1,FALSE)</f>
        <v>#N/A</v>
      </c>
      <c r="P200" s="451"/>
    </row>
    <row r="201" spans="1:16" x14ac:dyDescent="0.25">
      <c r="A201" s="451" t="str">
        <f t="shared" si="3"/>
        <v>131121100_310</v>
      </c>
      <c r="B201" s="1003" t="s">
        <v>865</v>
      </c>
      <c r="C201" s="808" t="s">
        <v>864</v>
      </c>
      <c r="D201" s="805" t="s">
        <v>1154</v>
      </c>
      <c r="E201" s="1016" t="s">
        <v>1155</v>
      </c>
      <c r="F201" s="612"/>
      <c r="G201" s="612">
        <v>78544.493000000002</v>
      </c>
      <c r="H201" s="612">
        <v>586964.64199999999</v>
      </c>
      <c r="I201" s="612">
        <v>1007769.758</v>
      </c>
      <c r="J201" s="612">
        <v>1008772.553</v>
      </c>
      <c r="K201" s="612">
        <v>1566335.75</v>
      </c>
      <c r="L201" s="1017">
        <v>-19656.384999999998</v>
      </c>
      <c r="M201" s="451"/>
      <c r="N201" t="e">
        <f>VLOOKUP(A201, 'P&amp;L'!A:B,1,FALSE)</f>
        <v>#N/A</v>
      </c>
      <c r="O201" t="e">
        <f>VLOOKUP(A201, KeyData!A:C,1,FALSE)</f>
        <v>#N/A</v>
      </c>
      <c r="P201" s="451"/>
    </row>
    <row r="202" spans="1:16" x14ac:dyDescent="0.25">
      <c r="A202" s="451" t="str">
        <f t="shared" si="3"/>
        <v>131121100_348</v>
      </c>
      <c r="B202" s="1003" t="s">
        <v>865</v>
      </c>
      <c r="C202" s="808" t="s">
        <v>864</v>
      </c>
      <c r="D202" s="805" t="s">
        <v>1518</v>
      </c>
      <c r="E202" s="1016" t="s">
        <v>1484</v>
      </c>
      <c r="F202" s="612"/>
      <c r="G202" s="612">
        <v>-1.4E-2</v>
      </c>
      <c r="H202" s="612"/>
      <c r="I202" s="612"/>
      <c r="J202" s="612"/>
      <c r="K202" s="612"/>
      <c r="L202" s="1017"/>
      <c r="M202" s="451"/>
      <c r="N202" t="e">
        <f>VLOOKUP(A202, 'P&amp;L'!A:B,1,FALSE)</f>
        <v>#N/A</v>
      </c>
      <c r="O202" t="e">
        <f>VLOOKUP(A202, KeyData!A:C,1,FALSE)</f>
        <v>#N/A</v>
      </c>
      <c r="P202" s="451"/>
    </row>
    <row r="203" spans="1:16" x14ac:dyDescent="0.25">
      <c r="A203" s="451" t="str">
        <f t="shared" si="3"/>
        <v>131121100_360</v>
      </c>
      <c r="B203" s="1003" t="s">
        <v>865</v>
      </c>
      <c r="C203" s="808" t="s">
        <v>864</v>
      </c>
      <c r="D203" s="805" t="s">
        <v>1519</v>
      </c>
      <c r="E203" s="1016" t="s">
        <v>1514</v>
      </c>
      <c r="F203" s="612"/>
      <c r="G203" s="612">
        <v>0</v>
      </c>
      <c r="H203" s="612">
        <v>0</v>
      </c>
      <c r="I203" s="612"/>
      <c r="J203" s="612">
        <v>0</v>
      </c>
      <c r="K203" s="612">
        <v>0</v>
      </c>
      <c r="L203" s="1017"/>
      <c r="M203" s="451"/>
      <c r="N203" t="e">
        <f>VLOOKUP(A203, 'P&amp;L'!A:B,1,FALSE)</f>
        <v>#N/A</v>
      </c>
      <c r="O203" t="e">
        <f>VLOOKUP(A203, KeyData!A:C,1,FALSE)</f>
        <v>#N/A</v>
      </c>
      <c r="P203" s="451"/>
    </row>
    <row r="204" spans="1:16" x14ac:dyDescent="0.25">
      <c r="A204" s="451" t="str">
        <f t="shared" si="3"/>
        <v>131121100_400</v>
      </c>
      <c r="B204" s="1003" t="s">
        <v>865</v>
      </c>
      <c r="C204" s="808" t="s">
        <v>864</v>
      </c>
      <c r="D204" s="805" t="s">
        <v>1157</v>
      </c>
      <c r="E204" s="1016" t="s">
        <v>1153</v>
      </c>
      <c r="F204" s="612"/>
      <c r="G204" s="612">
        <v>-86816.013000000006</v>
      </c>
      <c r="H204" s="612"/>
      <c r="I204" s="612">
        <v>-86816.013000000006</v>
      </c>
      <c r="J204" s="612"/>
      <c r="K204" s="612"/>
      <c r="L204" s="1017">
        <v>-275459.75</v>
      </c>
      <c r="M204" s="451"/>
      <c r="N204" t="e">
        <f>VLOOKUP(A204, 'P&amp;L'!A:B,1,FALSE)</f>
        <v>#N/A</v>
      </c>
      <c r="O204" t="e">
        <f>VLOOKUP(A204, KeyData!A:C,1,FALSE)</f>
        <v>#N/A</v>
      </c>
      <c r="P204" s="451"/>
    </row>
    <row r="205" spans="1:16" x14ac:dyDescent="0.25">
      <c r="A205" s="451" t="str">
        <f t="shared" si="3"/>
        <v>131121100_410</v>
      </c>
      <c r="B205" s="1003" t="s">
        <v>865</v>
      </c>
      <c r="C205" s="808" t="s">
        <v>864</v>
      </c>
      <c r="D205" s="805" t="s">
        <v>1158</v>
      </c>
      <c r="E205" s="1016" t="s">
        <v>1159</v>
      </c>
      <c r="F205" s="612"/>
      <c r="G205" s="612">
        <v>-9544.634</v>
      </c>
      <c r="H205" s="612">
        <v>-275459.75</v>
      </c>
      <c r="I205" s="612"/>
      <c r="J205" s="612"/>
      <c r="K205" s="612">
        <v>-275459.75</v>
      </c>
      <c r="L205" s="1017"/>
      <c r="M205" s="451"/>
      <c r="N205" t="e">
        <f>VLOOKUP(A205, 'P&amp;L'!A:B,1,FALSE)</f>
        <v>#N/A</v>
      </c>
      <c r="O205" t="e">
        <f>VLOOKUP(A205, KeyData!A:C,1,FALSE)</f>
        <v>#N/A</v>
      </c>
      <c r="P205" s="451"/>
    </row>
    <row r="206" spans="1:16" x14ac:dyDescent="0.25">
      <c r="A206" s="451" t="str">
        <f t="shared" si="3"/>
        <v>131121100_460</v>
      </c>
      <c r="B206" s="1003" t="s">
        <v>865</v>
      </c>
      <c r="C206" s="808" t="s">
        <v>864</v>
      </c>
      <c r="D206" s="805" t="s">
        <v>1520</v>
      </c>
      <c r="E206" s="1016" t="s">
        <v>1514</v>
      </c>
      <c r="F206" s="612"/>
      <c r="G206" s="612">
        <v>0</v>
      </c>
      <c r="H206" s="612">
        <v>0</v>
      </c>
      <c r="I206" s="612"/>
      <c r="J206" s="612"/>
      <c r="K206" s="612">
        <v>0</v>
      </c>
      <c r="L206" s="1017"/>
      <c r="M206" s="451"/>
      <c r="N206" t="e">
        <f>VLOOKUP(A206, 'P&amp;L'!A:B,1,FALSE)</f>
        <v>#N/A</v>
      </c>
      <c r="O206" t="e">
        <f>VLOOKUP(A206, KeyData!A:C,1,FALSE)</f>
        <v>#N/A</v>
      </c>
      <c r="P206" s="451"/>
    </row>
    <row r="207" spans="1:16" x14ac:dyDescent="0.25">
      <c r="A207" s="451" t="str">
        <f t="shared" si="3"/>
        <v>131121100_Result</v>
      </c>
      <c r="B207" s="1003" t="s">
        <v>865</v>
      </c>
      <c r="C207" s="808" t="s">
        <v>864</v>
      </c>
      <c r="D207" s="834" t="s">
        <v>1160</v>
      </c>
      <c r="E207" s="1020"/>
      <c r="F207" s="833"/>
      <c r="G207" s="833">
        <v>318112.913</v>
      </c>
      <c r="H207" s="833">
        <v>311504.89199999999</v>
      </c>
      <c r="I207" s="833">
        <v>1203302.7250000001</v>
      </c>
      <c r="J207" s="833">
        <v>1008772.553</v>
      </c>
      <c r="K207" s="833">
        <v>1290876</v>
      </c>
      <c r="L207" s="1018">
        <v>1271219.615</v>
      </c>
      <c r="M207" s="451"/>
      <c r="N207" t="e">
        <f>VLOOKUP(A207, 'P&amp;L'!A:B,1,FALSE)</f>
        <v>#N/A</v>
      </c>
      <c r="O207" t="e">
        <f>VLOOKUP(A207, KeyData!A:C,1,FALSE)</f>
        <v>#N/A</v>
      </c>
      <c r="P207" s="451"/>
    </row>
    <row r="208" spans="1:16" x14ac:dyDescent="0.25">
      <c r="A208" s="451" t="str">
        <f t="shared" si="3"/>
        <v>131121300_300</v>
      </c>
      <c r="B208" s="1003" t="s">
        <v>1094</v>
      </c>
      <c r="C208" s="808" t="s">
        <v>1095</v>
      </c>
      <c r="D208" s="805" t="s">
        <v>1152</v>
      </c>
      <c r="E208" s="1016" t="s">
        <v>1153</v>
      </c>
      <c r="F208" s="612"/>
      <c r="G208" s="612">
        <v>79.106999999999999</v>
      </c>
      <c r="H208" s="612"/>
      <c r="I208" s="612">
        <v>74.382000000000005</v>
      </c>
      <c r="J208" s="612"/>
      <c r="K208" s="612"/>
      <c r="L208" s="1017"/>
      <c r="M208" s="451"/>
      <c r="N208" t="e">
        <f>VLOOKUP(A208, 'P&amp;L'!A:B,1,FALSE)</f>
        <v>#N/A</v>
      </c>
      <c r="O208" t="e">
        <f>VLOOKUP(A208, KeyData!A:C,1,FALSE)</f>
        <v>#N/A</v>
      </c>
      <c r="P208" s="451"/>
    </row>
    <row r="209" spans="1:16" x14ac:dyDescent="0.25">
      <c r="A209" s="451" t="str">
        <f t="shared" si="3"/>
        <v>131121300_310</v>
      </c>
      <c r="B209" s="1003" t="s">
        <v>1094</v>
      </c>
      <c r="C209" s="808" t="s">
        <v>1095</v>
      </c>
      <c r="D209" s="805" t="s">
        <v>1154</v>
      </c>
      <c r="E209" s="1016" t="s">
        <v>1155</v>
      </c>
      <c r="F209" s="612"/>
      <c r="G209" s="612">
        <v>13.202999999999999</v>
      </c>
      <c r="H209" s="612">
        <v>0</v>
      </c>
      <c r="I209" s="612">
        <v>0.03</v>
      </c>
      <c r="J209" s="612"/>
      <c r="K209" s="612"/>
      <c r="L209" s="1017"/>
      <c r="M209" s="451"/>
      <c r="N209" t="e">
        <f>VLOOKUP(A209, 'P&amp;L'!A:B,1,FALSE)</f>
        <v>#N/A</v>
      </c>
      <c r="O209" t="e">
        <f>VLOOKUP(A209, KeyData!A:C,1,FALSE)</f>
        <v>#N/A</v>
      </c>
      <c r="P209" s="451"/>
    </row>
    <row r="210" spans="1:16" x14ac:dyDescent="0.25">
      <c r="A210" s="451" t="str">
        <f t="shared" si="3"/>
        <v>131121300_348</v>
      </c>
      <c r="B210" s="1003" t="s">
        <v>1094</v>
      </c>
      <c r="C210" s="808" t="s">
        <v>1095</v>
      </c>
      <c r="D210" s="805" t="s">
        <v>1518</v>
      </c>
      <c r="E210" s="1016" t="s">
        <v>1484</v>
      </c>
      <c r="F210" s="612"/>
      <c r="G210" s="612">
        <v>-3.1E-2</v>
      </c>
      <c r="H210" s="612"/>
      <c r="I210" s="612"/>
      <c r="J210" s="612"/>
      <c r="K210" s="612"/>
      <c r="L210" s="1017"/>
      <c r="M210" s="451"/>
      <c r="N210" t="e">
        <f>VLOOKUP(A210, 'P&amp;L'!A:B,1,FALSE)</f>
        <v>#N/A</v>
      </c>
      <c r="O210" t="e">
        <f>VLOOKUP(A210, KeyData!A:C,1,FALSE)</f>
        <v>#N/A</v>
      </c>
      <c r="P210" s="451"/>
    </row>
    <row r="211" spans="1:16" x14ac:dyDescent="0.25">
      <c r="A211" s="451" t="str">
        <f t="shared" si="3"/>
        <v>131121300_360</v>
      </c>
      <c r="B211" s="1003" t="s">
        <v>1094</v>
      </c>
      <c r="C211" s="808" t="s">
        <v>1095</v>
      </c>
      <c r="D211" s="805" t="s">
        <v>1519</v>
      </c>
      <c r="E211" s="1016" t="s">
        <v>1514</v>
      </c>
      <c r="F211" s="612"/>
      <c r="G211" s="612">
        <v>0</v>
      </c>
      <c r="H211" s="612">
        <v>0</v>
      </c>
      <c r="I211" s="612"/>
      <c r="J211" s="612"/>
      <c r="K211" s="612"/>
      <c r="L211" s="1017"/>
      <c r="M211" s="451"/>
      <c r="N211" t="e">
        <f>VLOOKUP(A211, 'P&amp;L'!A:B,1,FALSE)</f>
        <v>#N/A</v>
      </c>
      <c r="O211" t="e">
        <f>VLOOKUP(A211, KeyData!A:C,1,FALSE)</f>
        <v>#N/A</v>
      </c>
      <c r="P211" s="451"/>
    </row>
    <row r="212" spans="1:16" x14ac:dyDescent="0.25">
      <c r="A212" s="451" t="str">
        <f t="shared" si="3"/>
        <v>131121300_400</v>
      </c>
      <c r="B212" s="1003" t="s">
        <v>1094</v>
      </c>
      <c r="C212" s="808" t="s">
        <v>1095</v>
      </c>
      <c r="D212" s="805" t="s">
        <v>1157</v>
      </c>
      <c r="E212" s="1016" t="s">
        <v>1153</v>
      </c>
      <c r="F212" s="612"/>
      <c r="G212" s="612">
        <v>-74.412000000000006</v>
      </c>
      <c r="H212" s="612"/>
      <c r="I212" s="612">
        <v>-74.412000000000006</v>
      </c>
      <c r="J212" s="612"/>
      <c r="K212" s="612"/>
      <c r="L212" s="1017"/>
      <c r="M212" s="451"/>
      <c r="N212" t="e">
        <f>VLOOKUP(A212, 'P&amp;L'!A:B,1,FALSE)</f>
        <v>#N/A</v>
      </c>
      <c r="O212" t="e">
        <f>VLOOKUP(A212, KeyData!A:C,1,FALSE)</f>
        <v>#N/A</v>
      </c>
      <c r="P212" s="451"/>
    </row>
    <row r="213" spans="1:16" x14ac:dyDescent="0.25">
      <c r="A213" s="451" t="str">
        <f t="shared" si="3"/>
        <v>131121300_460</v>
      </c>
      <c r="B213" s="1003" t="s">
        <v>1094</v>
      </c>
      <c r="C213" s="808" t="s">
        <v>1095</v>
      </c>
      <c r="D213" s="805" t="s">
        <v>1520</v>
      </c>
      <c r="E213" s="1016" t="s">
        <v>1514</v>
      </c>
      <c r="F213" s="612"/>
      <c r="G213" s="612">
        <v>0</v>
      </c>
      <c r="H213" s="612"/>
      <c r="I213" s="612"/>
      <c r="J213" s="612"/>
      <c r="K213" s="612"/>
      <c r="L213" s="1017"/>
      <c r="M213" s="451"/>
      <c r="N213" t="e">
        <f>VLOOKUP(A213, 'P&amp;L'!A:B,1,FALSE)</f>
        <v>#N/A</v>
      </c>
      <c r="O213" t="e">
        <f>VLOOKUP(A213, KeyData!A:C,1,FALSE)</f>
        <v>#N/A</v>
      </c>
      <c r="P213" s="451"/>
    </row>
    <row r="214" spans="1:16" x14ac:dyDescent="0.25">
      <c r="A214" s="451" t="str">
        <f t="shared" si="3"/>
        <v>131121300_Result</v>
      </c>
      <c r="B214" s="1003" t="s">
        <v>1094</v>
      </c>
      <c r="C214" s="808" t="s">
        <v>1095</v>
      </c>
      <c r="D214" s="834" t="s">
        <v>1160</v>
      </c>
      <c r="E214" s="1020"/>
      <c r="F214" s="833"/>
      <c r="G214" s="833">
        <v>17.867000000000001</v>
      </c>
      <c r="H214" s="833">
        <v>0</v>
      </c>
      <c r="I214" s="833">
        <v>0</v>
      </c>
      <c r="J214" s="833"/>
      <c r="K214" s="833"/>
      <c r="L214" s="1018"/>
      <c r="M214" s="451"/>
      <c r="N214" t="e">
        <f>VLOOKUP(A214, 'P&amp;L'!A:B,1,FALSE)</f>
        <v>#N/A</v>
      </c>
      <c r="O214" t="e">
        <f>VLOOKUP(A214, KeyData!A:C,1,FALSE)</f>
        <v>#N/A</v>
      </c>
      <c r="P214" s="451"/>
    </row>
    <row r="215" spans="1:16" x14ac:dyDescent="0.25">
      <c r="A215" s="451" t="str">
        <f t="shared" si="3"/>
        <v>131600000_300</v>
      </c>
      <c r="B215" s="1001" t="s">
        <v>863</v>
      </c>
      <c r="C215" s="806" t="s">
        <v>727</v>
      </c>
      <c r="D215" s="805" t="s">
        <v>1152</v>
      </c>
      <c r="E215" s="1016" t="s">
        <v>1153</v>
      </c>
      <c r="F215" s="612"/>
      <c r="G215" s="612">
        <v>8569487.4639999997</v>
      </c>
      <c r="H215" s="612">
        <v>31985.541000000001</v>
      </c>
      <c r="I215" s="612">
        <v>9396888.6260000002</v>
      </c>
      <c r="J215" s="612">
        <v>31985.541000000001</v>
      </c>
      <c r="K215" s="612">
        <v>31985.541000000001</v>
      </c>
      <c r="L215" s="1017">
        <v>19604347.820999999</v>
      </c>
      <c r="M215" s="451"/>
      <c r="N215" t="e">
        <f>VLOOKUP(A215, 'P&amp;L'!A:B,1,FALSE)</f>
        <v>#N/A</v>
      </c>
      <c r="O215" t="e">
        <f>VLOOKUP(A215, KeyData!A:C,1,FALSE)</f>
        <v>#N/A</v>
      </c>
      <c r="P215" s="451"/>
    </row>
    <row r="216" spans="1:16" x14ac:dyDescent="0.25">
      <c r="A216" s="451" t="str">
        <f t="shared" si="3"/>
        <v>131600000_310</v>
      </c>
      <c r="B216" s="1001" t="s">
        <v>863</v>
      </c>
      <c r="C216" s="806" t="s">
        <v>727</v>
      </c>
      <c r="D216" s="805" t="s">
        <v>1154</v>
      </c>
      <c r="E216" s="1016" t="s">
        <v>1155</v>
      </c>
      <c r="F216" s="612"/>
      <c r="G216" s="612">
        <v>5007937.2</v>
      </c>
      <c r="H216" s="612">
        <v>18010662.636</v>
      </c>
      <c r="I216" s="612">
        <v>16427462.478</v>
      </c>
      <c r="J216" s="612">
        <v>20123419.780000001</v>
      </c>
      <c r="K216" s="612">
        <v>19572362.280000001</v>
      </c>
      <c r="L216" s="1017">
        <v>6259540.3269999996</v>
      </c>
      <c r="M216" s="451"/>
      <c r="N216" t="e">
        <f>VLOOKUP(A216, 'P&amp;L'!A:B,1,FALSE)</f>
        <v>#N/A</v>
      </c>
      <c r="O216" t="e">
        <f>VLOOKUP(A216, KeyData!A:C,1,FALSE)</f>
        <v>#N/A</v>
      </c>
      <c r="P216" s="451"/>
    </row>
    <row r="217" spans="1:16" x14ac:dyDescent="0.25">
      <c r="A217" s="451" t="str">
        <f t="shared" si="3"/>
        <v>131600000_348</v>
      </c>
      <c r="B217" s="1001" t="s">
        <v>863</v>
      </c>
      <c r="C217" s="806" t="s">
        <v>727</v>
      </c>
      <c r="D217" s="805" t="s">
        <v>1518</v>
      </c>
      <c r="E217" s="1016" t="s">
        <v>1484</v>
      </c>
      <c r="F217" s="612"/>
      <c r="G217" s="612">
        <v>0.156</v>
      </c>
      <c r="H217" s="612"/>
      <c r="I217" s="612"/>
      <c r="J217" s="612"/>
      <c r="K217" s="612"/>
      <c r="L217" s="1017"/>
      <c r="M217" s="451"/>
      <c r="N217" t="e">
        <f>VLOOKUP(A217, 'P&amp;L'!A:B,1,FALSE)</f>
        <v>#N/A</v>
      </c>
      <c r="O217" t="e">
        <f>VLOOKUP(A217, KeyData!A:C,1,FALSE)</f>
        <v>#N/A</v>
      </c>
      <c r="P217" s="451"/>
    </row>
    <row r="218" spans="1:16" x14ac:dyDescent="0.25">
      <c r="A218" s="451" t="str">
        <f t="shared" si="3"/>
        <v>131600000_360</v>
      </c>
      <c r="B218" s="1001" t="s">
        <v>863</v>
      </c>
      <c r="C218" s="806" t="s">
        <v>727</v>
      </c>
      <c r="D218" s="805" t="s">
        <v>1519</v>
      </c>
      <c r="E218" s="1016" t="s">
        <v>1514</v>
      </c>
      <c r="F218" s="612"/>
      <c r="G218" s="612">
        <v>0</v>
      </c>
      <c r="H218" s="612">
        <v>0</v>
      </c>
      <c r="I218" s="612"/>
      <c r="J218" s="612">
        <v>0</v>
      </c>
      <c r="K218" s="612">
        <v>0</v>
      </c>
      <c r="L218" s="1017"/>
      <c r="M218" s="451"/>
      <c r="N218" t="e">
        <f>VLOOKUP(A218, 'P&amp;L'!A:B,1,FALSE)</f>
        <v>#N/A</v>
      </c>
      <c r="O218" t="e">
        <f>VLOOKUP(A218, KeyData!A:C,1,FALSE)</f>
        <v>#N/A</v>
      </c>
      <c r="P218" s="451"/>
    </row>
    <row r="219" spans="1:16" x14ac:dyDescent="0.25">
      <c r="A219" s="451" t="str">
        <f t="shared" si="3"/>
        <v>131600000_400</v>
      </c>
      <c r="B219" s="1001" t="s">
        <v>863</v>
      </c>
      <c r="C219" s="806" t="s">
        <v>727</v>
      </c>
      <c r="D219" s="805" t="s">
        <v>1157</v>
      </c>
      <c r="E219" s="1016" t="s">
        <v>1153</v>
      </c>
      <c r="F219" s="612"/>
      <c r="G219" s="612">
        <v>-707940.70700000005</v>
      </c>
      <c r="H219" s="612">
        <v>-24180.572</v>
      </c>
      <c r="I219" s="612">
        <v>-646055.83400000003</v>
      </c>
      <c r="J219" s="612">
        <v>-24180.572</v>
      </c>
      <c r="K219" s="612">
        <v>-24180.572</v>
      </c>
      <c r="L219" s="1017">
        <v>-33784.42</v>
      </c>
      <c r="M219" s="451"/>
      <c r="N219" t="e">
        <f>VLOOKUP(A219, 'P&amp;L'!A:B,1,FALSE)</f>
        <v>#N/A</v>
      </c>
      <c r="O219" t="e">
        <f>VLOOKUP(A219, KeyData!A:C,1,FALSE)</f>
        <v>#N/A</v>
      </c>
      <c r="P219" s="451"/>
    </row>
    <row r="220" spans="1:16" x14ac:dyDescent="0.25">
      <c r="A220" s="451" t="str">
        <f t="shared" si="3"/>
        <v>131600000_410</v>
      </c>
      <c r="B220" s="1001" t="s">
        <v>863</v>
      </c>
      <c r="C220" s="806" t="s">
        <v>727</v>
      </c>
      <c r="D220" s="805" t="s">
        <v>1158</v>
      </c>
      <c r="E220" s="1016" t="s">
        <v>1159</v>
      </c>
      <c r="F220" s="612"/>
      <c r="G220" s="612"/>
      <c r="H220" s="612"/>
      <c r="I220" s="612"/>
      <c r="J220" s="612">
        <v>-2396.7860000000001</v>
      </c>
      <c r="K220" s="612">
        <v>-2396.7860000000001</v>
      </c>
      <c r="L220" s="1017"/>
      <c r="M220" s="451"/>
      <c r="N220" t="e">
        <f>VLOOKUP(A220, 'P&amp;L'!A:B,1,FALSE)</f>
        <v>#N/A</v>
      </c>
      <c r="O220" t="e">
        <f>VLOOKUP(A220, KeyData!A:C,1,FALSE)</f>
        <v>#N/A</v>
      </c>
      <c r="P220" s="451"/>
    </row>
    <row r="221" spans="1:16" x14ac:dyDescent="0.25">
      <c r="A221" s="451" t="str">
        <f t="shared" si="3"/>
        <v>131600000_420</v>
      </c>
      <c r="B221" s="1001" t="s">
        <v>863</v>
      </c>
      <c r="C221" s="806" t="s">
        <v>727</v>
      </c>
      <c r="D221" s="805" t="s">
        <v>1521</v>
      </c>
      <c r="E221" s="1016" t="s">
        <v>1522</v>
      </c>
      <c r="F221" s="612"/>
      <c r="G221" s="612">
        <v>-21512.782999999999</v>
      </c>
      <c r="H221" s="612"/>
      <c r="I221" s="612"/>
      <c r="J221" s="612"/>
      <c r="K221" s="612"/>
      <c r="L221" s="1017"/>
      <c r="M221" s="451"/>
      <c r="N221" t="e">
        <f>VLOOKUP(A221, 'P&amp;L'!A:B,1,FALSE)</f>
        <v>#N/A</v>
      </c>
      <c r="O221" t="e">
        <f>VLOOKUP(A221, KeyData!A:C,1,FALSE)</f>
        <v>#N/A</v>
      </c>
      <c r="P221" s="451"/>
    </row>
    <row r="222" spans="1:16" x14ac:dyDescent="0.25">
      <c r="A222" s="451" t="str">
        <f t="shared" si="3"/>
        <v>131600000_430</v>
      </c>
      <c r="B222" s="1001" t="s">
        <v>863</v>
      </c>
      <c r="C222" s="806" t="s">
        <v>727</v>
      </c>
      <c r="D222" s="805" t="s">
        <v>1161</v>
      </c>
      <c r="E222" s="1016" t="s">
        <v>1162</v>
      </c>
      <c r="F222" s="612"/>
      <c r="G222" s="612">
        <v>-112237.93799999999</v>
      </c>
      <c r="H222" s="612">
        <v>-19322.154999999999</v>
      </c>
      <c r="I222" s="612"/>
      <c r="J222" s="612">
        <v>-18238.215</v>
      </c>
      <c r="K222" s="612">
        <v>-19322.154999999999</v>
      </c>
      <c r="L222" s="1017"/>
      <c r="M222" s="451"/>
      <c r="N222" t="e">
        <f>VLOOKUP(A222, 'P&amp;L'!A:B,1,FALSE)</f>
        <v>#N/A</v>
      </c>
      <c r="O222" t="e">
        <f>VLOOKUP(A222, KeyData!A:C,1,FALSE)</f>
        <v>#N/A</v>
      </c>
      <c r="P222" s="451"/>
    </row>
    <row r="223" spans="1:16" x14ac:dyDescent="0.25">
      <c r="A223" s="451" t="str">
        <f t="shared" si="3"/>
        <v>131600000_435</v>
      </c>
      <c r="B223" s="1001" t="s">
        <v>863</v>
      </c>
      <c r="C223" s="806" t="s">
        <v>727</v>
      </c>
      <c r="D223" s="805" t="s">
        <v>1163</v>
      </c>
      <c r="E223" s="1016" t="s">
        <v>1164</v>
      </c>
      <c r="F223" s="612"/>
      <c r="G223" s="612">
        <v>159792.46400000001</v>
      </c>
      <c r="H223" s="612">
        <v>12115.093000000001</v>
      </c>
      <c r="I223" s="612"/>
      <c r="J223" s="612">
        <v>3.8420000000000001</v>
      </c>
      <c r="K223" s="612">
        <v>12115.093000000001</v>
      </c>
      <c r="L223" s="1017"/>
      <c r="M223" s="451"/>
      <c r="N223" t="e">
        <f>VLOOKUP(A223, 'P&amp;L'!A:B,1,FALSE)</f>
        <v>#N/A</v>
      </c>
      <c r="O223" t="e">
        <f>VLOOKUP(A223, KeyData!A:C,1,FALSE)</f>
        <v>#N/A</v>
      </c>
      <c r="P223" s="451"/>
    </row>
    <row r="224" spans="1:16" x14ac:dyDescent="0.25">
      <c r="A224" s="451" t="str">
        <f t="shared" si="3"/>
        <v>131600000_460</v>
      </c>
      <c r="B224" s="1001" t="s">
        <v>863</v>
      </c>
      <c r="C224" s="806" t="s">
        <v>727</v>
      </c>
      <c r="D224" s="805" t="s">
        <v>1520</v>
      </c>
      <c r="E224" s="1016" t="s">
        <v>1514</v>
      </c>
      <c r="F224" s="612"/>
      <c r="G224" s="612">
        <v>0</v>
      </c>
      <c r="H224" s="612">
        <v>0</v>
      </c>
      <c r="I224" s="612"/>
      <c r="J224" s="612">
        <v>0</v>
      </c>
      <c r="K224" s="612">
        <v>0</v>
      </c>
      <c r="L224" s="1017"/>
      <c r="M224" s="451"/>
      <c r="N224" t="e">
        <f>VLOOKUP(A224, 'P&amp;L'!A:B,1,FALSE)</f>
        <v>#N/A</v>
      </c>
      <c r="O224" t="e">
        <f>VLOOKUP(A224, KeyData!A:C,1,FALSE)</f>
        <v>#N/A</v>
      </c>
      <c r="P224" s="451"/>
    </row>
    <row r="225" spans="1:16" x14ac:dyDescent="0.25">
      <c r="A225" s="451" t="str">
        <f t="shared" si="3"/>
        <v>131600000_Result</v>
      </c>
      <c r="B225" s="1001" t="s">
        <v>863</v>
      </c>
      <c r="C225" s="806" t="s">
        <v>727</v>
      </c>
      <c r="D225" s="834" t="s">
        <v>1160</v>
      </c>
      <c r="E225" s="1020"/>
      <c r="F225" s="833"/>
      <c r="G225" s="833">
        <v>12895525.856000001</v>
      </c>
      <c r="H225" s="833">
        <v>18011260.543000001</v>
      </c>
      <c r="I225" s="833">
        <v>25178295.27</v>
      </c>
      <c r="J225" s="833">
        <v>20110593.59</v>
      </c>
      <c r="K225" s="833">
        <v>19570563.401000001</v>
      </c>
      <c r="L225" s="1018">
        <v>25830103.728</v>
      </c>
      <c r="M225" s="451"/>
      <c r="N225" t="e">
        <f>VLOOKUP(A225, 'P&amp;L'!A:B,1,FALSE)</f>
        <v>#N/A</v>
      </c>
      <c r="O225" t="str">
        <f>VLOOKUP(A225, KeyData!A:C,1,FALSE)</f>
        <v>131600000_Result</v>
      </c>
      <c r="P225" s="451"/>
    </row>
    <row r="226" spans="1:16" x14ac:dyDescent="0.25">
      <c r="A226" s="451" t="str">
        <f t="shared" si="3"/>
        <v>131611000_300</v>
      </c>
      <c r="B226" s="1002" t="s">
        <v>862</v>
      </c>
      <c r="C226" s="807" t="s">
        <v>860</v>
      </c>
      <c r="D226" s="805" t="s">
        <v>1152</v>
      </c>
      <c r="E226" s="1016" t="s">
        <v>1153</v>
      </c>
      <c r="F226" s="612"/>
      <c r="G226" s="612">
        <v>8569487.4639999997</v>
      </c>
      <c r="H226" s="612">
        <v>31985.541000000001</v>
      </c>
      <c r="I226" s="612">
        <v>9396888.6260000002</v>
      </c>
      <c r="J226" s="612">
        <v>31985.541000000001</v>
      </c>
      <c r="K226" s="612">
        <v>31985.541000000001</v>
      </c>
      <c r="L226" s="1017">
        <v>19604347.820999999</v>
      </c>
      <c r="M226" s="451"/>
      <c r="N226" t="e">
        <f>VLOOKUP(A226, 'P&amp;L'!A:B,1,FALSE)</f>
        <v>#N/A</v>
      </c>
      <c r="O226" t="e">
        <f>VLOOKUP(A226, KeyData!A:C,1,FALSE)</f>
        <v>#N/A</v>
      </c>
      <c r="P226" s="451"/>
    </row>
    <row r="227" spans="1:16" x14ac:dyDescent="0.25">
      <c r="A227" s="451" t="str">
        <f t="shared" si="3"/>
        <v>131611000_310</v>
      </c>
      <c r="B227" s="1002" t="s">
        <v>862</v>
      </c>
      <c r="C227" s="807" t="s">
        <v>860</v>
      </c>
      <c r="D227" s="805" t="s">
        <v>1154</v>
      </c>
      <c r="E227" s="1016" t="s">
        <v>1155</v>
      </c>
      <c r="F227" s="612"/>
      <c r="G227" s="612">
        <v>5007937.2</v>
      </c>
      <c r="H227" s="612">
        <v>18010662.636</v>
      </c>
      <c r="I227" s="612">
        <v>16427462.478</v>
      </c>
      <c r="J227" s="612">
        <v>20123419.780000001</v>
      </c>
      <c r="K227" s="612">
        <v>19572362.280000001</v>
      </c>
      <c r="L227" s="1017">
        <v>6259540.3269999996</v>
      </c>
      <c r="M227" s="451"/>
      <c r="N227" t="e">
        <f>VLOOKUP(A227, 'P&amp;L'!A:B,1,FALSE)</f>
        <v>#N/A</v>
      </c>
      <c r="O227" t="e">
        <f>VLOOKUP(A227, KeyData!A:C,1,FALSE)</f>
        <v>#N/A</v>
      </c>
      <c r="P227" s="451"/>
    </row>
    <row r="228" spans="1:16" x14ac:dyDescent="0.25">
      <c r="A228" s="451" t="str">
        <f t="shared" si="3"/>
        <v>131611000_348</v>
      </c>
      <c r="B228" s="1002" t="s">
        <v>862</v>
      </c>
      <c r="C228" s="807" t="s">
        <v>860</v>
      </c>
      <c r="D228" s="805" t="s">
        <v>1518</v>
      </c>
      <c r="E228" s="1016" t="s">
        <v>1484</v>
      </c>
      <c r="F228" s="612"/>
      <c r="G228" s="612">
        <v>0.156</v>
      </c>
      <c r="H228" s="612"/>
      <c r="I228" s="612"/>
      <c r="J228" s="612"/>
      <c r="K228" s="612"/>
      <c r="L228" s="1017"/>
      <c r="M228" s="451"/>
      <c r="N228" t="e">
        <f>VLOOKUP(A228, 'P&amp;L'!A:B,1,FALSE)</f>
        <v>#N/A</v>
      </c>
      <c r="O228" t="e">
        <f>VLOOKUP(A228, KeyData!A:C,1,FALSE)</f>
        <v>#N/A</v>
      </c>
      <c r="P228" s="451"/>
    </row>
    <row r="229" spans="1:16" x14ac:dyDescent="0.25">
      <c r="A229" s="451" t="str">
        <f t="shared" si="3"/>
        <v>131611000_360</v>
      </c>
      <c r="B229" s="1002" t="s">
        <v>862</v>
      </c>
      <c r="C229" s="807" t="s">
        <v>860</v>
      </c>
      <c r="D229" s="805" t="s">
        <v>1519</v>
      </c>
      <c r="E229" s="1016" t="s">
        <v>1514</v>
      </c>
      <c r="F229" s="612"/>
      <c r="G229" s="612">
        <v>0</v>
      </c>
      <c r="H229" s="612">
        <v>0</v>
      </c>
      <c r="I229" s="612"/>
      <c r="J229" s="612">
        <v>0</v>
      </c>
      <c r="K229" s="612">
        <v>0</v>
      </c>
      <c r="L229" s="1017"/>
      <c r="M229" s="451"/>
      <c r="N229" t="e">
        <f>VLOOKUP(A229, 'P&amp;L'!A:B,1,FALSE)</f>
        <v>#N/A</v>
      </c>
      <c r="O229" t="e">
        <f>VLOOKUP(A229, KeyData!A:C,1,FALSE)</f>
        <v>#N/A</v>
      </c>
      <c r="P229" s="451"/>
    </row>
    <row r="230" spans="1:16" x14ac:dyDescent="0.25">
      <c r="A230" s="451" t="str">
        <f t="shared" si="3"/>
        <v>131611000_400</v>
      </c>
      <c r="B230" s="1002" t="s">
        <v>862</v>
      </c>
      <c r="C230" s="807" t="s">
        <v>860</v>
      </c>
      <c r="D230" s="805" t="s">
        <v>1157</v>
      </c>
      <c r="E230" s="1016" t="s">
        <v>1153</v>
      </c>
      <c r="F230" s="612"/>
      <c r="G230" s="612">
        <v>-707940.70700000005</v>
      </c>
      <c r="H230" s="612">
        <v>-24180.572</v>
      </c>
      <c r="I230" s="612">
        <v>-646055.83400000003</v>
      </c>
      <c r="J230" s="612">
        <v>-24180.572</v>
      </c>
      <c r="K230" s="612">
        <v>-24180.572</v>
      </c>
      <c r="L230" s="1017">
        <v>-33784.42</v>
      </c>
      <c r="M230" s="451"/>
      <c r="N230" t="e">
        <f>VLOOKUP(A230, 'P&amp;L'!A:B,1,FALSE)</f>
        <v>#N/A</v>
      </c>
      <c r="O230" t="e">
        <f>VLOOKUP(A230, KeyData!A:C,1,FALSE)</f>
        <v>#N/A</v>
      </c>
      <c r="P230" s="451"/>
    </row>
    <row r="231" spans="1:16" x14ac:dyDescent="0.25">
      <c r="A231" s="451" t="str">
        <f t="shared" si="3"/>
        <v>131611000_410</v>
      </c>
      <c r="B231" s="1002" t="s">
        <v>862</v>
      </c>
      <c r="C231" s="807" t="s">
        <v>860</v>
      </c>
      <c r="D231" s="805" t="s">
        <v>1158</v>
      </c>
      <c r="E231" s="1016" t="s">
        <v>1159</v>
      </c>
      <c r="F231" s="612"/>
      <c r="G231" s="612"/>
      <c r="H231" s="612"/>
      <c r="I231" s="612"/>
      <c r="J231" s="612">
        <v>-2396.7860000000001</v>
      </c>
      <c r="K231" s="612">
        <v>-2396.7860000000001</v>
      </c>
      <c r="L231" s="1017"/>
      <c r="M231" s="451"/>
      <c r="N231" t="e">
        <f>VLOOKUP(A231, 'P&amp;L'!A:B,1,FALSE)</f>
        <v>#N/A</v>
      </c>
      <c r="O231" t="e">
        <f>VLOOKUP(A231, KeyData!A:C,1,FALSE)</f>
        <v>#N/A</v>
      </c>
      <c r="P231" s="451"/>
    </row>
    <row r="232" spans="1:16" x14ac:dyDescent="0.25">
      <c r="A232" s="451" t="str">
        <f t="shared" si="3"/>
        <v>131611000_420</v>
      </c>
      <c r="B232" s="1002" t="s">
        <v>862</v>
      </c>
      <c r="C232" s="807" t="s">
        <v>860</v>
      </c>
      <c r="D232" s="805" t="s">
        <v>1521</v>
      </c>
      <c r="E232" s="1016" t="s">
        <v>1522</v>
      </c>
      <c r="F232" s="612"/>
      <c r="G232" s="612">
        <v>-21512.782999999999</v>
      </c>
      <c r="H232" s="612"/>
      <c r="I232" s="612"/>
      <c r="J232" s="612"/>
      <c r="K232" s="612"/>
      <c r="L232" s="1017"/>
      <c r="M232" s="451"/>
      <c r="N232" t="e">
        <f>VLOOKUP(A232, 'P&amp;L'!A:B,1,FALSE)</f>
        <v>#N/A</v>
      </c>
      <c r="O232" t="e">
        <f>VLOOKUP(A232, KeyData!A:C,1,FALSE)</f>
        <v>#N/A</v>
      </c>
      <c r="P232" s="451"/>
    </row>
    <row r="233" spans="1:16" x14ac:dyDescent="0.25">
      <c r="A233" s="451" t="str">
        <f t="shared" si="3"/>
        <v>131611000_430</v>
      </c>
      <c r="B233" s="1002" t="s">
        <v>862</v>
      </c>
      <c r="C233" s="807" t="s">
        <v>860</v>
      </c>
      <c r="D233" s="805" t="s">
        <v>1161</v>
      </c>
      <c r="E233" s="1016" t="s">
        <v>1162</v>
      </c>
      <c r="F233" s="612"/>
      <c r="G233" s="612">
        <v>-112237.93799999999</v>
      </c>
      <c r="H233" s="612">
        <v>-19322.154999999999</v>
      </c>
      <c r="I233" s="612"/>
      <c r="J233" s="612">
        <v>-18238.215</v>
      </c>
      <c r="K233" s="612">
        <v>-19322.154999999999</v>
      </c>
      <c r="L233" s="1017"/>
      <c r="M233" s="451"/>
      <c r="N233" t="e">
        <f>VLOOKUP(A233, 'P&amp;L'!A:B,1,FALSE)</f>
        <v>#N/A</v>
      </c>
      <c r="O233" t="e">
        <f>VLOOKUP(A233, KeyData!A:C,1,FALSE)</f>
        <v>#N/A</v>
      </c>
      <c r="P233" s="451"/>
    </row>
    <row r="234" spans="1:16" x14ac:dyDescent="0.25">
      <c r="A234" s="451" t="str">
        <f t="shared" si="3"/>
        <v>131611000_435</v>
      </c>
      <c r="B234" s="1002" t="s">
        <v>862</v>
      </c>
      <c r="C234" s="807" t="s">
        <v>860</v>
      </c>
      <c r="D234" s="805" t="s">
        <v>1163</v>
      </c>
      <c r="E234" s="1016" t="s">
        <v>1164</v>
      </c>
      <c r="F234" s="612"/>
      <c r="G234" s="612">
        <v>159792.46400000001</v>
      </c>
      <c r="H234" s="612">
        <v>12115.093000000001</v>
      </c>
      <c r="I234" s="612"/>
      <c r="J234" s="612">
        <v>3.8420000000000001</v>
      </c>
      <c r="K234" s="612">
        <v>12115.093000000001</v>
      </c>
      <c r="L234" s="1017"/>
      <c r="M234" s="451"/>
      <c r="N234" t="e">
        <f>VLOOKUP(A234, 'P&amp;L'!A:B,1,FALSE)</f>
        <v>#N/A</v>
      </c>
      <c r="O234" t="e">
        <f>VLOOKUP(A234, KeyData!A:C,1,FALSE)</f>
        <v>#N/A</v>
      </c>
      <c r="P234" s="451"/>
    </row>
    <row r="235" spans="1:16" x14ac:dyDescent="0.25">
      <c r="A235" s="451" t="str">
        <f t="shared" si="3"/>
        <v>131611000_460</v>
      </c>
      <c r="B235" s="1002" t="s">
        <v>862</v>
      </c>
      <c r="C235" s="807" t="s">
        <v>860</v>
      </c>
      <c r="D235" s="805" t="s">
        <v>1520</v>
      </c>
      <c r="E235" s="1016" t="s">
        <v>1514</v>
      </c>
      <c r="F235" s="612"/>
      <c r="G235" s="612">
        <v>0</v>
      </c>
      <c r="H235" s="612">
        <v>0</v>
      </c>
      <c r="I235" s="612"/>
      <c r="J235" s="612">
        <v>0</v>
      </c>
      <c r="K235" s="612">
        <v>0</v>
      </c>
      <c r="L235" s="1017"/>
      <c r="M235" s="451"/>
      <c r="N235" t="e">
        <f>VLOOKUP(A235, 'P&amp;L'!A:B,1,FALSE)</f>
        <v>#N/A</v>
      </c>
      <c r="O235" t="e">
        <f>VLOOKUP(A235, KeyData!A:C,1,FALSE)</f>
        <v>#N/A</v>
      </c>
      <c r="P235" s="451"/>
    </row>
    <row r="236" spans="1:16" x14ac:dyDescent="0.25">
      <c r="A236" s="451" t="str">
        <f t="shared" si="3"/>
        <v>131611000_Result</v>
      </c>
      <c r="B236" s="1002" t="s">
        <v>862</v>
      </c>
      <c r="C236" s="807" t="s">
        <v>860</v>
      </c>
      <c r="D236" s="834" t="s">
        <v>1160</v>
      </c>
      <c r="E236" s="1020"/>
      <c r="F236" s="833"/>
      <c r="G236" s="833">
        <v>12895525.856000001</v>
      </c>
      <c r="H236" s="833">
        <v>18011260.543000001</v>
      </c>
      <c r="I236" s="833">
        <v>25178295.27</v>
      </c>
      <c r="J236" s="833">
        <v>20110593.59</v>
      </c>
      <c r="K236" s="833">
        <v>19570563.401000001</v>
      </c>
      <c r="L236" s="1018">
        <v>25830103.728</v>
      </c>
      <c r="M236" s="451"/>
      <c r="N236" t="e">
        <f>VLOOKUP(A236, 'P&amp;L'!A:B,1,FALSE)</f>
        <v>#N/A</v>
      </c>
      <c r="O236" t="e">
        <f>VLOOKUP(A236, KeyData!A:C,1,FALSE)</f>
        <v>#N/A</v>
      </c>
      <c r="P236" s="451"/>
    </row>
    <row r="237" spans="1:16" x14ac:dyDescent="0.25">
      <c r="A237" s="451" t="str">
        <f t="shared" si="3"/>
        <v>131611110_300</v>
      </c>
      <c r="B237" s="1003" t="s">
        <v>861</v>
      </c>
      <c r="C237" s="808" t="s">
        <v>860</v>
      </c>
      <c r="D237" s="805" t="s">
        <v>1152</v>
      </c>
      <c r="E237" s="1016" t="s">
        <v>1153</v>
      </c>
      <c r="F237" s="612"/>
      <c r="G237" s="612">
        <v>8449299.4059999995</v>
      </c>
      <c r="H237" s="612">
        <v>-85.534000000000006</v>
      </c>
      <c r="I237" s="612">
        <v>9394491.8080000002</v>
      </c>
      <c r="J237" s="612">
        <v>-85.534000000000006</v>
      </c>
      <c r="K237" s="612">
        <v>-85.534000000000006</v>
      </c>
      <c r="L237" s="1017">
        <v>19577770.502</v>
      </c>
      <c r="M237" s="451"/>
      <c r="N237" t="e">
        <f>VLOOKUP(A237, 'P&amp;L'!A:B,1,FALSE)</f>
        <v>#N/A</v>
      </c>
      <c r="O237" t="e">
        <f>VLOOKUP(A237, KeyData!A:C,1,FALSE)</f>
        <v>#N/A</v>
      </c>
      <c r="P237" s="451"/>
    </row>
    <row r="238" spans="1:16" x14ac:dyDescent="0.25">
      <c r="A238" s="451" t="str">
        <f t="shared" si="3"/>
        <v>131611110_310</v>
      </c>
      <c r="B238" s="1003" t="s">
        <v>861</v>
      </c>
      <c r="C238" s="808" t="s">
        <v>860</v>
      </c>
      <c r="D238" s="805" t="s">
        <v>1154</v>
      </c>
      <c r="E238" s="1016" t="s">
        <v>1155</v>
      </c>
      <c r="F238" s="612"/>
      <c r="G238" s="612">
        <v>4953668.4230000004</v>
      </c>
      <c r="H238" s="612">
        <v>18011699.201000001</v>
      </c>
      <c r="I238" s="612">
        <v>16427462.478</v>
      </c>
      <c r="J238" s="612">
        <v>20128913.497000001</v>
      </c>
      <c r="K238" s="612">
        <v>19577856.035999998</v>
      </c>
      <c r="L238" s="1017">
        <v>6259540.3269999996</v>
      </c>
      <c r="M238" s="451"/>
      <c r="N238" t="e">
        <f>VLOOKUP(A238, 'P&amp;L'!A:B,1,FALSE)</f>
        <v>#N/A</v>
      </c>
      <c r="O238" t="e">
        <f>VLOOKUP(A238, KeyData!A:C,1,FALSE)</f>
        <v>#N/A</v>
      </c>
      <c r="P238" s="451"/>
    </row>
    <row r="239" spans="1:16" x14ac:dyDescent="0.25">
      <c r="A239" s="451" t="str">
        <f t="shared" si="3"/>
        <v>131611110_348</v>
      </c>
      <c r="B239" s="1003" t="s">
        <v>861</v>
      </c>
      <c r="C239" s="808" t="s">
        <v>860</v>
      </c>
      <c r="D239" s="805" t="s">
        <v>1518</v>
      </c>
      <c r="E239" s="1016" t="s">
        <v>1484</v>
      </c>
      <c r="F239" s="612"/>
      <c r="G239" s="612">
        <v>0.248</v>
      </c>
      <c r="H239" s="612"/>
      <c r="I239" s="612"/>
      <c r="J239" s="612"/>
      <c r="K239" s="612"/>
      <c r="L239" s="1017"/>
      <c r="M239" s="451"/>
      <c r="N239" t="e">
        <f>VLOOKUP(A239, 'P&amp;L'!A:B,1,FALSE)</f>
        <v>#N/A</v>
      </c>
      <c r="O239" t="e">
        <f>VLOOKUP(A239, KeyData!A:C,1,FALSE)</f>
        <v>#N/A</v>
      </c>
      <c r="P239" s="451"/>
    </row>
    <row r="240" spans="1:16" x14ac:dyDescent="0.25">
      <c r="A240" s="451" t="str">
        <f t="shared" si="3"/>
        <v>131611110_360</v>
      </c>
      <c r="B240" s="1003" t="s">
        <v>861</v>
      </c>
      <c r="C240" s="808" t="s">
        <v>860</v>
      </c>
      <c r="D240" s="805" t="s">
        <v>1519</v>
      </c>
      <c r="E240" s="1016" t="s">
        <v>1514</v>
      </c>
      <c r="F240" s="612"/>
      <c r="G240" s="612">
        <v>0</v>
      </c>
      <c r="H240" s="612">
        <v>0</v>
      </c>
      <c r="I240" s="612"/>
      <c r="J240" s="612">
        <v>0</v>
      </c>
      <c r="K240" s="612">
        <v>0</v>
      </c>
      <c r="L240" s="1017"/>
      <c r="M240" s="451"/>
      <c r="N240" t="e">
        <f>VLOOKUP(A240, 'P&amp;L'!A:B,1,FALSE)</f>
        <v>#N/A</v>
      </c>
      <c r="O240" t="e">
        <f>VLOOKUP(A240, KeyData!A:C,1,FALSE)</f>
        <v>#N/A</v>
      </c>
      <c r="P240" s="451"/>
    </row>
    <row r="241" spans="1:16" x14ac:dyDescent="0.25">
      <c r="A241" s="451" t="str">
        <f t="shared" si="3"/>
        <v>131611110_400</v>
      </c>
      <c r="B241" s="1003" t="s">
        <v>861</v>
      </c>
      <c r="C241" s="808" t="s">
        <v>860</v>
      </c>
      <c r="D241" s="805" t="s">
        <v>1157</v>
      </c>
      <c r="E241" s="1016" t="s">
        <v>1153</v>
      </c>
      <c r="F241" s="612"/>
      <c r="G241" s="612">
        <v>-705543.88899999997</v>
      </c>
      <c r="H241" s="612"/>
      <c r="I241" s="612">
        <v>-643659.01599999995</v>
      </c>
      <c r="J241" s="612"/>
      <c r="K241" s="612"/>
      <c r="L241" s="1017">
        <v>-7207.1009999999997</v>
      </c>
      <c r="M241" s="451"/>
      <c r="N241" t="e">
        <f>VLOOKUP(A241, 'P&amp;L'!A:B,1,FALSE)</f>
        <v>#N/A</v>
      </c>
      <c r="O241" t="e">
        <f>VLOOKUP(A241, KeyData!A:C,1,FALSE)</f>
        <v>#N/A</v>
      </c>
      <c r="P241" s="451"/>
    </row>
    <row r="242" spans="1:16" x14ac:dyDescent="0.25">
      <c r="A242" s="451" t="str">
        <f t="shared" si="3"/>
        <v>131611110_420</v>
      </c>
      <c r="B242" s="1003" t="s">
        <v>861</v>
      </c>
      <c r="C242" s="808" t="s">
        <v>860</v>
      </c>
      <c r="D242" s="805" t="s">
        <v>1521</v>
      </c>
      <c r="E242" s="1016" t="s">
        <v>1522</v>
      </c>
      <c r="F242" s="612"/>
      <c r="G242" s="612">
        <v>-21512.782999999999</v>
      </c>
      <c r="H242" s="612"/>
      <c r="I242" s="612"/>
      <c r="J242" s="612"/>
      <c r="K242" s="612"/>
      <c r="L242" s="1017"/>
      <c r="M242" s="451"/>
      <c r="N242" t="e">
        <f>VLOOKUP(A242, 'P&amp;L'!A:B,1,FALSE)</f>
        <v>#N/A</v>
      </c>
      <c r="O242" t="e">
        <f>VLOOKUP(A242, KeyData!A:C,1,FALSE)</f>
        <v>#N/A</v>
      </c>
      <c r="P242" s="451"/>
    </row>
    <row r="243" spans="1:16" x14ac:dyDescent="0.25">
      <c r="A243" s="451" t="str">
        <f t="shared" si="3"/>
        <v>131611110_430</v>
      </c>
      <c r="B243" s="1003" t="s">
        <v>861</v>
      </c>
      <c r="C243" s="808" t="s">
        <v>860</v>
      </c>
      <c r="D243" s="805" t="s">
        <v>1161</v>
      </c>
      <c r="E243" s="1016" t="s">
        <v>1162</v>
      </c>
      <c r="F243" s="612"/>
      <c r="G243" s="612">
        <v>-96818.671000000002</v>
      </c>
      <c r="H243" s="612">
        <v>-19315.931</v>
      </c>
      <c r="I243" s="612"/>
      <c r="J243" s="612">
        <v>-18234.412</v>
      </c>
      <c r="K243" s="612">
        <v>-19318.351999999999</v>
      </c>
      <c r="L243" s="1017"/>
      <c r="M243" s="451"/>
      <c r="N243" t="e">
        <f>VLOOKUP(A243, 'P&amp;L'!A:B,1,FALSE)</f>
        <v>#N/A</v>
      </c>
      <c r="O243" t="e">
        <f>VLOOKUP(A243, KeyData!A:C,1,FALSE)</f>
        <v>#N/A</v>
      </c>
      <c r="P243" s="451"/>
    </row>
    <row r="244" spans="1:16" x14ac:dyDescent="0.25">
      <c r="A244" s="451" t="str">
        <f t="shared" si="3"/>
        <v>131611110_435</v>
      </c>
      <c r="B244" s="1003" t="s">
        <v>861</v>
      </c>
      <c r="C244" s="808" t="s">
        <v>860</v>
      </c>
      <c r="D244" s="805" t="s">
        <v>1163</v>
      </c>
      <c r="E244" s="1016" t="s">
        <v>1164</v>
      </c>
      <c r="F244" s="612"/>
      <c r="G244" s="612">
        <v>159755.73800000001</v>
      </c>
      <c r="H244" s="612">
        <v>12111.251</v>
      </c>
      <c r="I244" s="612"/>
      <c r="J244" s="612"/>
      <c r="K244" s="612">
        <v>12111.251</v>
      </c>
      <c r="L244" s="1017"/>
      <c r="M244" s="451"/>
      <c r="N244" t="e">
        <f>VLOOKUP(A244, 'P&amp;L'!A:B,1,FALSE)</f>
        <v>#N/A</v>
      </c>
      <c r="O244" t="e">
        <f>VLOOKUP(A244, KeyData!A:C,1,FALSE)</f>
        <v>#N/A</v>
      </c>
      <c r="P244" s="451"/>
    </row>
    <row r="245" spans="1:16" x14ac:dyDescent="0.25">
      <c r="A245" s="451" t="str">
        <f t="shared" si="3"/>
        <v>131611110_460</v>
      </c>
      <c r="B245" s="1003" t="s">
        <v>861</v>
      </c>
      <c r="C245" s="808" t="s">
        <v>860</v>
      </c>
      <c r="D245" s="805" t="s">
        <v>1520</v>
      </c>
      <c r="E245" s="1016" t="s">
        <v>1514</v>
      </c>
      <c r="F245" s="612"/>
      <c r="G245" s="612">
        <v>0</v>
      </c>
      <c r="H245" s="612">
        <v>0</v>
      </c>
      <c r="I245" s="612"/>
      <c r="J245" s="612">
        <v>0</v>
      </c>
      <c r="K245" s="612">
        <v>0</v>
      </c>
      <c r="L245" s="1017"/>
      <c r="M245" s="451"/>
      <c r="N245" t="e">
        <f>VLOOKUP(A245, 'P&amp;L'!A:B,1,FALSE)</f>
        <v>#N/A</v>
      </c>
      <c r="O245" t="e">
        <f>VLOOKUP(A245, KeyData!A:C,1,FALSE)</f>
        <v>#N/A</v>
      </c>
      <c r="P245" s="451"/>
    </row>
    <row r="246" spans="1:16" x14ac:dyDescent="0.25">
      <c r="A246" s="451" t="str">
        <f t="shared" si="3"/>
        <v>131611110_Result</v>
      </c>
      <c r="B246" s="1003" t="s">
        <v>861</v>
      </c>
      <c r="C246" s="808" t="s">
        <v>860</v>
      </c>
      <c r="D246" s="834" t="s">
        <v>1160</v>
      </c>
      <c r="E246" s="1020"/>
      <c r="F246" s="833"/>
      <c r="G246" s="833">
        <v>12738848.471999999</v>
      </c>
      <c r="H246" s="833">
        <v>18004408.987</v>
      </c>
      <c r="I246" s="833">
        <v>25178295.27</v>
      </c>
      <c r="J246" s="833">
        <v>20110593.550999999</v>
      </c>
      <c r="K246" s="833">
        <v>19570563.401000001</v>
      </c>
      <c r="L246" s="1018">
        <v>25830103.728</v>
      </c>
      <c r="M246" s="451"/>
      <c r="N246" t="e">
        <f>VLOOKUP(A246, 'P&amp;L'!A:B,1,FALSE)</f>
        <v>#N/A</v>
      </c>
      <c r="O246" t="e">
        <f>VLOOKUP(A246, KeyData!A:C,1,FALSE)</f>
        <v>#N/A</v>
      </c>
      <c r="P246" s="451"/>
    </row>
    <row r="247" spans="1:16" x14ac:dyDescent="0.25">
      <c r="A247" s="451" t="str">
        <f t="shared" si="3"/>
        <v>131611500_300</v>
      </c>
      <c r="B247" s="1003" t="s">
        <v>1096</v>
      </c>
      <c r="C247" s="808" t="s">
        <v>1097</v>
      </c>
      <c r="D247" s="805" t="s">
        <v>1152</v>
      </c>
      <c r="E247" s="1016" t="s">
        <v>1153</v>
      </c>
      <c r="F247" s="612"/>
      <c r="G247" s="612">
        <v>113672.072</v>
      </c>
      <c r="H247" s="612">
        <v>636.053</v>
      </c>
      <c r="I247" s="612">
        <v>2396.8180000000002</v>
      </c>
      <c r="J247" s="612">
        <v>636.053</v>
      </c>
      <c r="K247" s="612">
        <v>636.053</v>
      </c>
      <c r="L247" s="1017">
        <v>2396.779</v>
      </c>
      <c r="M247" s="451"/>
      <c r="N247" t="e">
        <f>VLOOKUP(A247, 'P&amp;L'!A:B,1,FALSE)</f>
        <v>#N/A</v>
      </c>
      <c r="O247" t="e">
        <f>VLOOKUP(A247, KeyData!A:C,1,FALSE)</f>
        <v>#N/A</v>
      </c>
      <c r="P247" s="451"/>
    </row>
    <row r="248" spans="1:16" x14ac:dyDescent="0.25">
      <c r="A248" s="451" t="str">
        <f t="shared" si="3"/>
        <v>131611500_310</v>
      </c>
      <c r="B248" s="1003" t="s">
        <v>1096</v>
      </c>
      <c r="C248" s="808" t="s">
        <v>1097</v>
      </c>
      <c r="D248" s="805" t="s">
        <v>1154</v>
      </c>
      <c r="E248" s="1016" t="s">
        <v>1155</v>
      </c>
      <c r="F248" s="612"/>
      <c r="G248" s="612">
        <v>38162.353999999999</v>
      </c>
      <c r="H248" s="612">
        <v>5953.0789999999997</v>
      </c>
      <c r="I248" s="612"/>
      <c r="J248" s="612">
        <v>1760.7650000000001</v>
      </c>
      <c r="K248" s="612">
        <v>1760.7260000000001</v>
      </c>
      <c r="L248" s="1017"/>
      <c r="M248" s="451"/>
      <c r="N248" t="e">
        <f>VLOOKUP(A248, 'P&amp;L'!A:B,1,FALSE)</f>
        <v>#N/A</v>
      </c>
      <c r="O248" t="e">
        <f>VLOOKUP(A248, KeyData!A:C,1,FALSE)</f>
        <v>#N/A</v>
      </c>
      <c r="P248" s="451"/>
    </row>
    <row r="249" spans="1:16" x14ac:dyDescent="0.25">
      <c r="A249" s="451" t="str">
        <f t="shared" si="3"/>
        <v>131611500_360</v>
      </c>
      <c r="B249" s="1003" t="s">
        <v>1096</v>
      </c>
      <c r="C249" s="808" t="s">
        <v>1097</v>
      </c>
      <c r="D249" s="805" t="s">
        <v>1519</v>
      </c>
      <c r="E249" s="1016" t="s">
        <v>1514</v>
      </c>
      <c r="F249" s="612"/>
      <c r="G249" s="612">
        <v>0</v>
      </c>
      <c r="H249" s="612">
        <v>0</v>
      </c>
      <c r="I249" s="612"/>
      <c r="J249" s="612">
        <v>0</v>
      </c>
      <c r="K249" s="612">
        <v>0</v>
      </c>
      <c r="L249" s="1017"/>
      <c r="M249" s="451"/>
      <c r="N249" t="e">
        <f>VLOOKUP(A249, 'P&amp;L'!A:B,1,FALSE)</f>
        <v>#N/A</v>
      </c>
      <c r="O249" t="e">
        <f>VLOOKUP(A249, KeyData!A:C,1,FALSE)</f>
        <v>#N/A</v>
      </c>
      <c r="P249" s="451"/>
    </row>
    <row r="250" spans="1:16" x14ac:dyDescent="0.25">
      <c r="A250" s="451" t="str">
        <f t="shared" si="3"/>
        <v>131611500_400</v>
      </c>
      <c r="B250" s="1003" t="s">
        <v>1096</v>
      </c>
      <c r="C250" s="808" t="s">
        <v>1097</v>
      </c>
      <c r="D250" s="805" t="s">
        <v>1157</v>
      </c>
      <c r="E250" s="1016" t="s">
        <v>1153</v>
      </c>
      <c r="F250" s="612"/>
      <c r="G250" s="612">
        <v>-2396.8180000000002</v>
      </c>
      <c r="H250" s="612">
        <v>-3.2000000000000001E-2</v>
      </c>
      <c r="I250" s="612">
        <v>-2396.8180000000002</v>
      </c>
      <c r="J250" s="612">
        <v>-3.2000000000000001E-2</v>
      </c>
      <c r="K250" s="612">
        <v>-3.2000000000000001E-2</v>
      </c>
      <c r="L250" s="1017">
        <v>-2396.779</v>
      </c>
      <c r="M250" s="451"/>
      <c r="N250" t="e">
        <f>VLOOKUP(A250, 'P&amp;L'!A:B,1,FALSE)</f>
        <v>#N/A</v>
      </c>
      <c r="O250" t="e">
        <f>VLOOKUP(A250, KeyData!A:C,1,FALSE)</f>
        <v>#N/A</v>
      </c>
      <c r="P250" s="451"/>
    </row>
    <row r="251" spans="1:16" x14ac:dyDescent="0.25">
      <c r="A251" s="451" t="str">
        <f t="shared" si="3"/>
        <v>131611500_410</v>
      </c>
      <c r="B251" s="1003" t="s">
        <v>1096</v>
      </c>
      <c r="C251" s="808" t="s">
        <v>1097</v>
      </c>
      <c r="D251" s="805" t="s">
        <v>1158</v>
      </c>
      <c r="E251" s="1016" t="s">
        <v>1159</v>
      </c>
      <c r="F251" s="612"/>
      <c r="G251" s="612"/>
      <c r="H251" s="612"/>
      <c r="I251" s="612"/>
      <c r="J251" s="612">
        <v>-2396.7860000000001</v>
      </c>
      <c r="K251" s="612">
        <v>-2396.7860000000001</v>
      </c>
      <c r="L251" s="1017"/>
      <c r="M251" s="451"/>
      <c r="N251" t="e">
        <f>VLOOKUP(A251, 'P&amp;L'!A:B,1,FALSE)</f>
        <v>#N/A</v>
      </c>
      <c r="O251" t="e">
        <f>VLOOKUP(A251, KeyData!A:C,1,FALSE)</f>
        <v>#N/A</v>
      </c>
      <c r="P251" s="451"/>
    </row>
    <row r="252" spans="1:16" x14ac:dyDescent="0.25">
      <c r="A252" s="451" t="str">
        <f t="shared" si="3"/>
        <v>131611500_430</v>
      </c>
      <c r="B252" s="1003" t="s">
        <v>1096</v>
      </c>
      <c r="C252" s="808" t="s">
        <v>1097</v>
      </c>
      <c r="D252" s="805" t="s">
        <v>1161</v>
      </c>
      <c r="E252" s="1016" t="s">
        <v>1162</v>
      </c>
      <c r="F252" s="612"/>
      <c r="G252" s="612">
        <v>-63.121000000000002</v>
      </c>
      <c r="H252" s="612">
        <v>-6.2240000000000002</v>
      </c>
      <c r="I252" s="612"/>
      <c r="J252" s="612">
        <v>-3.8029999999999999</v>
      </c>
      <c r="K252" s="612">
        <v>-3.8029999999999999</v>
      </c>
      <c r="L252" s="1017"/>
      <c r="M252" s="451"/>
      <c r="N252" t="e">
        <f>VLOOKUP(A252, 'P&amp;L'!A:B,1,FALSE)</f>
        <v>#N/A</v>
      </c>
      <c r="O252" t="e">
        <f>VLOOKUP(A252, KeyData!A:C,1,FALSE)</f>
        <v>#N/A</v>
      </c>
      <c r="P252" s="451"/>
    </row>
    <row r="253" spans="1:16" x14ac:dyDescent="0.25">
      <c r="A253" s="451" t="str">
        <f t="shared" si="3"/>
        <v>131611500_435</v>
      </c>
      <c r="B253" s="1003" t="s">
        <v>1096</v>
      </c>
      <c r="C253" s="808" t="s">
        <v>1097</v>
      </c>
      <c r="D253" s="805" t="s">
        <v>1163</v>
      </c>
      <c r="E253" s="1016" t="s">
        <v>1164</v>
      </c>
      <c r="F253" s="612"/>
      <c r="G253" s="612">
        <v>36.725999999999999</v>
      </c>
      <c r="H253" s="612">
        <v>3.8420000000000001</v>
      </c>
      <c r="I253" s="612"/>
      <c r="J253" s="612">
        <v>3.8420000000000001</v>
      </c>
      <c r="K253" s="612">
        <v>3.8420000000000001</v>
      </c>
      <c r="L253" s="1017"/>
      <c r="M253" s="451"/>
      <c r="N253" t="e">
        <f>VLOOKUP(A253, 'P&amp;L'!A:B,1,FALSE)</f>
        <v>#N/A</v>
      </c>
      <c r="O253" t="e">
        <f>VLOOKUP(A253, KeyData!A:C,1,FALSE)</f>
        <v>#N/A</v>
      </c>
      <c r="P253" s="451"/>
    </row>
    <row r="254" spans="1:16" x14ac:dyDescent="0.25">
      <c r="A254" s="451" t="str">
        <f t="shared" si="3"/>
        <v>131611500_460</v>
      </c>
      <c r="B254" s="1003" t="s">
        <v>1096</v>
      </c>
      <c r="C254" s="808" t="s">
        <v>1097</v>
      </c>
      <c r="D254" s="805" t="s">
        <v>1520</v>
      </c>
      <c r="E254" s="1016" t="s">
        <v>1514</v>
      </c>
      <c r="F254" s="612"/>
      <c r="G254" s="612">
        <v>0</v>
      </c>
      <c r="H254" s="612">
        <v>0</v>
      </c>
      <c r="I254" s="612"/>
      <c r="J254" s="612">
        <v>0</v>
      </c>
      <c r="K254" s="612">
        <v>0</v>
      </c>
      <c r="L254" s="1017"/>
      <c r="M254" s="451"/>
      <c r="N254" t="e">
        <f>VLOOKUP(A254, 'P&amp;L'!A:B,1,FALSE)</f>
        <v>#N/A</v>
      </c>
      <c r="O254" t="e">
        <f>VLOOKUP(A254, KeyData!A:C,1,FALSE)</f>
        <v>#N/A</v>
      </c>
      <c r="P254" s="451"/>
    </row>
    <row r="255" spans="1:16" x14ac:dyDescent="0.25">
      <c r="A255" s="451" t="str">
        <f t="shared" si="3"/>
        <v>131611500_Result</v>
      </c>
      <c r="B255" s="1003" t="s">
        <v>1096</v>
      </c>
      <c r="C255" s="808" t="s">
        <v>1097</v>
      </c>
      <c r="D255" s="834" t="s">
        <v>1160</v>
      </c>
      <c r="E255" s="1020"/>
      <c r="F255" s="833"/>
      <c r="G255" s="833">
        <v>149411.21299999999</v>
      </c>
      <c r="H255" s="833">
        <v>6586.7179999999998</v>
      </c>
      <c r="I255" s="833">
        <v>0</v>
      </c>
      <c r="J255" s="833">
        <v>3.9E-2</v>
      </c>
      <c r="K255" s="833">
        <v>0</v>
      </c>
      <c r="L255" s="1018">
        <v>0</v>
      </c>
      <c r="M255" s="451"/>
      <c r="N255" t="e">
        <f>VLOOKUP(A255, 'P&amp;L'!A:B,1,FALSE)</f>
        <v>#N/A</v>
      </c>
      <c r="O255" t="e">
        <f>VLOOKUP(A255, KeyData!A:C,1,FALSE)</f>
        <v>#N/A</v>
      </c>
      <c r="P255" s="451"/>
    </row>
    <row r="256" spans="1:16" x14ac:dyDescent="0.25">
      <c r="A256" s="451" t="str">
        <f t="shared" si="3"/>
        <v>131611900_300</v>
      </c>
      <c r="B256" s="1003" t="s">
        <v>859</v>
      </c>
      <c r="C256" s="808" t="s">
        <v>858</v>
      </c>
      <c r="D256" s="805" t="s">
        <v>1152</v>
      </c>
      <c r="E256" s="1016" t="s">
        <v>1153</v>
      </c>
      <c r="F256" s="612"/>
      <c r="G256" s="612">
        <v>6515.9859999999999</v>
      </c>
      <c r="H256" s="612">
        <v>31435.022000000001</v>
      </c>
      <c r="I256" s="612"/>
      <c r="J256" s="612">
        <v>31435.022000000001</v>
      </c>
      <c r="K256" s="612">
        <v>31435.022000000001</v>
      </c>
      <c r="L256" s="1017">
        <v>24180.54</v>
      </c>
      <c r="M256" s="451"/>
      <c r="N256" t="e">
        <f>VLOOKUP(A256, 'P&amp;L'!A:B,1,FALSE)</f>
        <v>#N/A</v>
      </c>
      <c r="O256" t="e">
        <f>VLOOKUP(A256, KeyData!A:C,1,FALSE)</f>
        <v>#N/A</v>
      </c>
      <c r="P256" s="451"/>
    </row>
    <row r="257" spans="1:16" x14ac:dyDescent="0.25">
      <c r="A257" s="451" t="str">
        <f t="shared" si="3"/>
        <v>131611900_310</v>
      </c>
      <c r="B257" s="1003" t="s">
        <v>859</v>
      </c>
      <c r="C257" s="808" t="s">
        <v>858</v>
      </c>
      <c r="D257" s="805" t="s">
        <v>1154</v>
      </c>
      <c r="E257" s="1016" t="s">
        <v>1155</v>
      </c>
      <c r="F257" s="612"/>
      <c r="G257" s="612">
        <v>16106.423000000001</v>
      </c>
      <c r="H257" s="612">
        <v>-6989.6440000000002</v>
      </c>
      <c r="I257" s="612"/>
      <c r="J257" s="612">
        <v>-7254.482</v>
      </c>
      <c r="K257" s="612">
        <v>-7254.482</v>
      </c>
      <c r="L257" s="1017"/>
      <c r="M257" s="451"/>
      <c r="N257" t="e">
        <f>VLOOKUP(A257, 'P&amp;L'!A:B,1,FALSE)</f>
        <v>#N/A</v>
      </c>
      <c r="O257" t="e">
        <f>VLOOKUP(A257, KeyData!A:C,1,FALSE)</f>
        <v>#N/A</v>
      </c>
      <c r="P257" s="451"/>
    </row>
    <row r="258" spans="1:16" x14ac:dyDescent="0.25">
      <c r="A258" s="451" t="str">
        <f t="shared" si="3"/>
        <v>131611900_348</v>
      </c>
      <c r="B258" s="1003" t="s">
        <v>859</v>
      </c>
      <c r="C258" s="808" t="s">
        <v>858</v>
      </c>
      <c r="D258" s="805" t="s">
        <v>1518</v>
      </c>
      <c r="E258" s="1016" t="s">
        <v>1484</v>
      </c>
      <c r="F258" s="612"/>
      <c r="G258" s="612">
        <v>-9.1999999999999998E-2</v>
      </c>
      <c r="H258" s="612"/>
      <c r="I258" s="612"/>
      <c r="J258" s="612"/>
      <c r="K258" s="612"/>
      <c r="L258" s="1017"/>
      <c r="M258" s="451"/>
      <c r="N258" t="e">
        <f>VLOOKUP(A258, 'P&amp;L'!A:B,1,FALSE)</f>
        <v>#N/A</v>
      </c>
      <c r="O258" t="e">
        <f>VLOOKUP(A258, KeyData!A:C,1,FALSE)</f>
        <v>#N/A</v>
      </c>
      <c r="P258" s="451"/>
    </row>
    <row r="259" spans="1:16" x14ac:dyDescent="0.25">
      <c r="A259" s="451" t="str">
        <f t="shared" ref="A259:A322" si="4" xml:space="preserve"> IFERROR(+B259*1,B259)&amp;"_"&amp;IFERROR(+D259*1,D259)</f>
        <v>131611900_360</v>
      </c>
      <c r="B259" s="1003" t="s">
        <v>859</v>
      </c>
      <c r="C259" s="808" t="s">
        <v>858</v>
      </c>
      <c r="D259" s="805" t="s">
        <v>1519</v>
      </c>
      <c r="E259" s="1016" t="s">
        <v>1514</v>
      </c>
      <c r="F259" s="612"/>
      <c r="G259" s="612">
        <v>0</v>
      </c>
      <c r="H259" s="612">
        <v>0</v>
      </c>
      <c r="I259" s="612"/>
      <c r="J259" s="612">
        <v>0</v>
      </c>
      <c r="K259" s="612">
        <v>0</v>
      </c>
      <c r="L259" s="1017"/>
      <c r="M259" s="451"/>
      <c r="N259" t="e">
        <f>VLOOKUP(A259, 'P&amp;L'!A:B,1,FALSE)</f>
        <v>#N/A</v>
      </c>
      <c r="O259" t="e">
        <f>VLOOKUP(A259, KeyData!A:C,1,FALSE)</f>
        <v>#N/A</v>
      </c>
      <c r="P259" s="451"/>
    </row>
    <row r="260" spans="1:16" x14ac:dyDescent="0.25">
      <c r="A260" s="451" t="str">
        <f t="shared" si="4"/>
        <v>131611900_400</v>
      </c>
      <c r="B260" s="1003" t="s">
        <v>859</v>
      </c>
      <c r="C260" s="808" t="s">
        <v>858</v>
      </c>
      <c r="D260" s="805" t="s">
        <v>1157</v>
      </c>
      <c r="E260" s="1016" t="s">
        <v>1153</v>
      </c>
      <c r="F260" s="612"/>
      <c r="G260" s="612"/>
      <c r="H260" s="612">
        <v>-24180.54</v>
      </c>
      <c r="I260" s="612"/>
      <c r="J260" s="612">
        <v>-24180.54</v>
      </c>
      <c r="K260" s="612">
        <v>-24180.54</v>
      </c>
      <c r="L260" s="1017">
        <v>-24180.54</v>
      </c>
      <c r="M260" s="451"/>
      <c r="N260" t="e">
        <f>VLOOKUP(A260, 'P&amp;L'!A:B,1,FALSE)</f>
        <v>#N/A</v>
      </c>
      <c r="O260" t="e">
        <f>VLOOKUP(A260, KeyData!A:C,1,FALSE)</f>
        <v>#N/A</v>
      </c>
      <c r="P260" s="451"/>
    </row>
    <row r="261" spans="1:16" x14ac:dyDescent="0.25">
      <c r="A261" s="451" t="str">
        <f t="shared" si="4"/>
        <v>131611900_430</v>
      </c>
      <c r="B261" s="1003" t="s">
        <v>859</v>
      </c>
      <c r="C261" s="808" t="s">
        <v>858</v>
      </c>
      <c r="D261" s="805" t="s">
        <v>1161</v>
      </c>
      <c r="E261" s="1016" t="s">
        <v>1162</v>
      </c>
      <c r="F261" s="612"/>
      <c r="G261" s="612">
        <v>-15356.146000000001</v>
      </c>
      <c r="H261" s="612"/>
      <c r="I261" s="612"/>
      <c r="J261" s="612"/>
      <c r="K261" s="612"/>
      <c r="L261" s="1017"/>
      <c r="M261" s="451"/>
      <c r="N261" t="e">
        <f>VLOOKUP(A261, 'P&amp;L'!A:B,1,FALSE)</f>
        <v>#N/A</v>
      </c>
      <c r="O261" t="e">
        <f>VLOOKUP(A261, KeyData!A:C,1,FALSE)</f>
        <v>#N/A</v>
      </c>
      <c r="P261" s="451"/>
    </row>
    <row r="262" spans="1:16" x14ac:dyDescent="0.25">
      <c r="A262" s="451" t="str">
        <f t="shared" si="4"/>
        <v>131611900_460</v>
      </c>
      <c r="B262" s="1003" t="s">
        <v>859</v>
      </c>
      <c r="C262" s="808" t="s">
        <v>858</v>
      </c>
      <c r="D262" s="805" t="s">
        <v>1520</v>
      </c>
      <c r="E262" s="1016" t="s">
        <v>1514</v>
      </c>
      <c r="F262" s="612"/>
      <c r="G262" s="612">
        <v>0</v>
      </c>
      <c r="H262" s="612">
        <v>0</v>
      </c>
      <c r="I262" s="612"/>
      <c r="J262" s="612">
        <v>0</v>
      </c>
      <c r="K262" s="612">
        <v>0</v>
      </c>
      <c r="L262" s="1017"/>
      <c r="M262" s="451"/>
      <c r="N262" t="e">
        <f>VLOOKUP(A262, 'P&amp;L'!A:B,1,FALSE)</f>
        <v>#N/A</v>
      </c>
      <c r="O262" t="e">
        <f>VLOOKUP(A262, KeyData!A:C,1,FALSE)</f>
        <v>#N/A</v>
      </c>
      <c r="P262" s="451"/>
    </row>
    <row r="263" spans="1:16" x14ac:dyDescent="0.25">
      <c r="A263" s="451" t="str">
        <f t="shared" si="4"/>
        <v>131611900_Result</v>
      </c>
      <c r="B263" s="1003" t="s">
        <v>859</v>
      </c>
      <c r="C263" s="808" t="s">
        <v>858</v>
      </c>
      <c r="D263" s="834" t="s">
        <v>1160</v>
      </c>
      <c r="E263" s="1020"/>
      <c r="F263" s="833"/>
      <c r="G263" s="833">
        <v>7266.1710000000003</v>
      </c>
      <c r="H263" s="833">
        <v>264.83800000000002</v>
      </c>
      <c r="I263" s="833"/>
      <c r="J263" s="833">
        <v>0</v>
      </c>
      <c r="K263" s="833">
        <v>0</v>
      </c>
      <c r="L263" s="1018">
        <v>0</v>
      </c>
      <c r="M263" s="451"/>
      <c r="N263" t="e">
        <f>VLOOKUP(A263, 'P&amp;L'!A:B,1,FALSE)</f>
        <v>#N/A</v>
      </c>
      <c r="O263" t="e">
        <f>VLOOKUP(A263, KeyData!A:C,1,FALSE)</f>
        <v>#N/A</v>
      </c>
      <c r="P263" s="451"/>
    </row>
    <row r="264" spans="1:16" x14ac:dyDescent="0.25">
      <c r="A264" s="451" t="str">
        <f t="shared" si="4"/>
        <v>231100000_700</v>
      </c>
      <c r="B264" s="1001" t="s">
        <v>857</v>
      </c>
      <c r="C264" s="806" t="s">
        <v>856</v>
      </c>
      <c r="D264" s="805" t="s">
        <v>1165</v>
      </c>
      <c r="E264" s="1016" t="s">
        <v>1153</v>
      </c>
      <c r="F264" s="612"/>
      <c r="G264" s="612">
        <v>14061863.617000001</v>
      </c>
      <c r="H264" s="612">
        <v>7271514.335</v>
      </c>
      <c r="I264" s="612">
        <v>13734270.99</v>
      </c>
      <c r="J264" s="612">
        <v>7271514.335</v>
      </c>
      <c r="K264" s="612">
        <v>7271514.335</v>
      </c>
      <c r="L264" s="1017">
        <v>26697199.857999999</v>
      </c>
      <c r="M264" s="451"/>
      <c r="N264" t="e">
        <f>VLOOKUP(A264, 'P&amp;L'!A:B,1,FALSE)</f>
        <v>#N/A</v>
      </c>
      <c r="O264" t="e">
        <f>VLOOKUP(A264, KeyData!A:C,1,FALSE)</f>
        <v>#N/A</v>
      </c>
      <c r="P264" s="451"/>
    </row>
    <row r="265" spans="1:16" x14ac:dyDescent="0.25">
      <c r="A265" s="451" t="str">
        <f t="shared" si="4"/>
        <v>231100000_710</v>
      </c>
      <c r="B265" s="1001" t="s">
        <v>857</v>
      </c>
      <c r="C265" s="806" t="s">
        <v>856</v>
      </c>
      <c r="D265" s="805" t="s">
        <v>1166</v>
      </c>
      <c r="E265" s="1016" t="s">
        <v>1155</v>
      </c>
      <c r="F265" s="612"/>
      <c r="G265" s="612">
        <v>4374238.4689999996</v>
      </c>
      <c r="H265" s="612">
        <v>17327719.188000001</v>
      </c>
      <c r="I265" s="612">
        <v>13957409.84</v>
      </c>
      <c r="J265" s="612">
        <v>20712122.883000001</v>
      </c>
      <c r="K265" s="612">
        <v>20358097.388999999</v>
      </c>
      <c r="L265" s="1017">
        <v>8035567.1330000004</v>
      </c>
      <c r="M265" s="451"/>
      <c r="N265" t="e">
        <f>VLOOKUP(A265, 'P&amp;L'!A:B,1,FALSE)</f>
        <v>#N/A</v>
      </c>
      <c r="O265" t="e">
        <f>VLOOKUP(A265, KeyData!A:C,1,FALSE)</f>
        <v>#N/A</v>
      </c>
      <c r="P265" s="451"/>
    </row>
    <row r="266" spans="1:16" x14ac:dyDescent="0.25">
      <c r="A266" s="451" t="str">
        <f t="shared" si="4"/>
        <v>231100000_740</v>
      </c>
      <c r="B266" s="1001" t="s">
        <v>857</v>
      </c>
      <c r="C266" s="806" t="s">
        <v>856</v>
      </c>
      <c r="D266" s="805" t="s">
        <v>1488</v>
      </c>
      <c r="E266" s="1016" t="s">
        <v>1156</v>
      </c>
      <c r="F266" s="612"/>
      <c r="G266" s="612">
        <v>-17888.298999999999</v>
      </c>
      <c r="H266" s="612">
        <v>-932411.86600000004</v>
      </c>
      <c r="I266" s="612"/>
      <c r="J266" s="612">
        <v>-932411.86600000004</v>
      </c>
      <c r="K266" s="612">
        <v>-932411.86600000004</v>
      </c>
      <c r="L266" s="1017"/>
      <c r="M266" s="451"/>
      <c r="N266" t="e">
        <f>VLOOKUP(A266, 'P&amp;L'!A:B,1,FALSE)</f>
        <v>#N/A</v>
      </c>
      <c r="O266" t="e">
        <f>VLOOKUP(A266, KeyData!A:C,1,FALSE)</f>
        <v>#N/A</v>
      </c>
      <c r="P266" s="451"/>
    </row>
    <row r="267" spans="1:16" x14ac:dyDescent="0.25">
      <c r="A267" s="451" t="str">
        <f t="shared" si="4"/>
        <v>231100000_748</v>
      </c>
      <c r="B267" s="1001" t="s">
        <v>857</v>
      </c>
      <c r="C267" s="806" t="s">
        <v>856</v>
      </c>
      <c r="D267" s="805" t="s">
        <v>1523</v>
      </c>
      <c r="E267" s="1016" t="s">
        <v>1484</v>
      </c>
      <c r="F267" s="612"/>
      <c r="G267" s="612">
        <v>68.403999999999996</v>
      </c>
      <c r="H267" s="612"/>
      <c r="I267" s="612"/>
      <c r="J267" s="612"/>
      <c r="K267" s="612"/>
      <c r="L267" s="1017"/>
      <c r="M267" s="451"/>
      <c r="N267" t="e">
        <f>VLOOKUP(A267, 'P&amp;L'!A:B,1,FALSE)</f>
        <v>#N/A</v>
      </c>
      <c r="O267" t="e">
        <f>VLOOKUP(A267, KeyData!A:C,1,FALSE)</f>
        <v>#N/A</v>
      </c>
      <c r="P267" s="451"/>
    </row>
    <row r="268" spans="1:16" x14ac:dyDescent="0.25">
      <c r="A268" s="451" t="str">
        <f t="shared" si="4"/>
        <v>231100000_760</v>
      </c>
      <c r="B268" s="1001" t="s">
        <v>857</v>
      </c>
      <c r="C268" s="806" t="s">
        <v>856</v>
      </c>
      <c r="D268" s="805" t="s">
        <v>1524</v>
      </c>
      <c r="E268" s="1016" t="s">
        <v>1514</v>
      </c>
      <c r="F268" s="612"/>
      <c r="G268" s="612">
        <v>0</v>
      </c>
      <c r="H268" s="612">
        <v>0</v>
      </c>
      <c r="I268" s="612"/>
      <c r="J268" s="612">
        <v>0</v>
      </c>
      <c r="K268" s="612">
        <v>0</v>
      </c>
      <c r="L268" s="1017"/>
      <c r="M268" s="451"/>
      <c r="N268" t="e">
        <f>VLOOKUP(A268, 'P&amp;L'!A:B,1,FALSE)</f>
        <v>#N/A</v>
      </c>
      <c r="O268" t="e">
        <f>VLOOKUP(A268, KeyData!A:C,1,FALSE)</f>
        <v>#N/A</v>
      </c>
      <c r="P268" s="451"/>
    </row>
    <row r="269" spans="1:16" x14ac:dyDescent="0.25">
      <c r="A269" s="451" t="str">
        <f t="shared" si="4"/>
        <v>231100000_Result</v>
      </c>
      <c r="B269" s="1001" t="s">
        <v>857</v>
      </c>
      <c r="C269" s="806" t="s">
        <v>856</v>
      </c>
      <c r="D269" s="834" t="s">
        <v>1160</v>
      </c>
      <c r="E269" s="1020"/>
      <c r="F269" s="833"/>
      <c r="G269" s="833">
        <v>18418282.191</v>
      </c>
      <c r="H269" s="833">
        <v>23666821.657000002</v>
      </c>
      <c r="I269" s="833">
        <v>27691680.829999998</v>
      </c>
      <c r="J269" s="833">
        <v>27051225.352000002</v>
      </c>
      <c r="K269" s="833">
        <v>26697199.857999999</v>
      </c>
      <c r="L269" s="1018">
        <v>34732766.990999997</v>
      </c>
      <c r="M269" s="451"/>
      <c r="N269" t="e">
        <f>VLOOKUP(A269, 'P&amp;L'!A:B,1,FALSE)</f>
        <v>#N/A</v>
      </c>
      <c r="O269" t="str">
        <f>VLOOKUP(A269, KeyData!A:C,1,FALSE)</f>
        <v>231100000_Result</v>
      </c>
      <c r="P269" s="451"/>
    </row>
    <row r="270" spans="1:16" x14ac:dyDescent="0.25">
      <c r="A270" s="451" t="str">
        <f t="shared" si="4"/>
        <v>231111000_700</v>
      </c>
      <c r="B270" s="1004" t="s">
        <v>855</v>
      </c>
      <c r="C270" s="807" t="s">
        <v>854</v>
      </c>
      <c r="D270" s="805" t="s">
        <v>1165</v>
      </c>
      <c r="E270" s="1016" t="s">
        <v>1153</v>
      </c>
      <c r="F270" s="612"/>
      <c r="G270" s="612">
        <v>7459949.7000000002</v>
      </c>
      <c r="H270" s="612">
        <v>243066.52</v>
      </c>
      <c r="I270" s="612">
        <v>7912787.4740000004</v>
      </c>
      <c r="J270" s="612">
        <v>243066.52</v>
      </c>
      <c r="K270" s="612">
        <v>243066.52</v>
      </c>
      <c r="L270" s="1017">
        <v>23499145.057999998</v>
      </c>
      <c r="M270" s="451"/>
      <c r="N270" t="e">
        <f>VLOOKUP(A270, 'P&amp;L'!A:B,1,FALSE)</f>
        <v>#N/A</v>
      </c>
      <c r="O270" t="e">
        <f>VLOOKUP(A270, KeyData!A:C,1,FALSE)</f>
        <v>#N/A</v>
      </c>
      <c r="P270" s="451"/>
    </row>
    <row r="271" spans="1:16" x14ac:dyDescent="0.25">
      <c r="A271" s="451" t="str">
        <f t="shared" si="4"/>
        <v>231111000_710</v>
      </c>
      <c r="B271" s="1004" t="s">
        <v>855</v>
      </c>
      <c r="C271" s="807" t="s">
        <v>854</v>
      </c>
      <c r="D271" s="805" t="s">
        <v>1166</v>
      </c>
      <c r="E271" s="1016" t="s">
        <v>1155</v>
      </c>
      <c r="F271" s="612"/>
      <c r="G271" s="612">
        <v>3137654.2949999999</v>
      </c>
      <c r="H271" s="612">
        <v>20078701.754000001</v>
      </c>
      <c r="I271" s="612">
        <v>16147772.255999999</v>
      </c>
      <c r="J271" s="612">
        <v>23266182.250999998</v>
      </c>
      <c r="K271" s="612">
        <v>23256078.537999999</v>
      </c>
      <c r="L271" s="1017">
        <v>9741996.6860000007</v>
      </c>
      <c r="M271" s="451"/>
      <c r="N271" t="e">
        <f>VLOOKUP(A271, 'P&amp;L'!A:B,1,FALSE)</f>
        <v>#N/A</v>
      </c>
      <c r="O271" t="e">
        <f>VLOOKUP(A271, KeyData!A:C,1,FALSE)</f>
        <v>#N/A</v>
      </c>
      <c r="P271" s="451"/>
    </row>
    <row r="272" spans="1:16" x14ac:dyDescent="0.25">
      <c r="A272" s="451" t="str">
        <f t="shared" si="4"/>
        <v>231111000_748</v>
      </c>
      <c r="B272" s="1004" t="s">
        <v>855</v>
      </c>
      <c r="C272" s="807" t="s">
        <v>854</v>
      </c>
      <c r="D272" s="805" t="s">
        <v>1523</v>
      </c>
      <c r="E272" s="1016" t="s">
        <v>1484</v>
      </c>
      <c r="F272" s="612"/>
      <c r="G272" s="612">
        <v>68.403999999999996</v>
      </c>
      <c r="H272" s="612"/>
      <c r="I272" s="612"/>
      <c r="J272" s="612"/>
      <c r="K272" s="612"/>
      <c r="L272" s="1017"/>
      <c r="M272" s="451"/>
      <c r="N272" t="e">
        <f>VLOOKUP(A272, 'P&amp;L'!A:B,1,FALSE)</f>
        <v>#N/A</v>
      </c>
      <c r="O272" t="e">
        <f>VLOOKUP(A272, KeyData!A:C,1,FALSE)</f>
        <v>#N/A</v>
      </c>
      <c r="P272" s="451"/>
    </row>
    <row r="273" spans="1:16" x14ac:dyDescent="0.25">
      <c r="A273" s="451" t="str">
        <f t="shared" si="4"/>
        <v>231111000_760</v>
      </c>
      <c r="B273" s="1004" t="s">
        <v>855</v>
      </c>
      <c r="C273" s="807" t="s">
        <v>854</v>
      </c>
      <c r="D273" s="805" t="s">
        <v>1524</v>
      </c>
      <c r="E273" s="1016" t="s">
        <v>1514</v>
      </c>
      <c r="F273" s="612"/>
      <c r="G273" s="612">
        <v>0</v>
      </c>
      <c r="H273" s="612">
        <v>0</v>
      </c>
      <c r="I273" s="612"/>
      <c r="J273" s="612">
        <v>0</v>
      </c>
      <c r="K273" s="612">
        <v>0</v>
      </c>
      <c r="L273" s="1017"/>
      <c r="M273" s="451"/>
      <c r="N273" t="e">
        <f>VLOOKUP(A273, 'P&amp;L'!A:B,1,FALSE)</f>
        <v>#N/A</v>
      </c>
      <c r="O273" t="e">
        <f>VLOOKUP(A273, KeyData!A:C,1,FALSE)</f>
        <v>#N/A</v>
      </c>
      <c r="P273" s="451"/>
    </row>
    <row r="274" spans="1:16" x14ac:dyDescent="0.25">
      <c r="A274" s="451" t="str">
        <f t="shared" si="4"/>
        <v>231111000_Result</v>
      </c>
      <c r="B274" s="1004" t="s">
        <v>855</v>
      </c>
      <c r="C274" s="807" t="s">
        <v>854</v>
      </c>
      <c r="D274" s="834" t="s">
        <v>1160</v>
      </c>
      <c r="E274" s="1020"/>
      <c r="F274" s="833"/>
      <c r="G274" s="833">
        <v>10597672.399</v>
      </c>
      <c r="H274" s="833">
        <v>20321768.274</v>
      </c>
      <c r="I274" s="833">
        <v>24060559.73</v>
      </c>
      <c r="J274" s="833">
        <v>23509248.771000002</v>
      </c>
      <c r="K274" s="833">
        <v>23499145.057999998</v>
      </c>
      <c r="L274" s="1018">
        <v>33241141.743999999</v>
      </c>
      <c r="M274" s="451"/>
      <c r="N274" t="e">
        <f>VLOOKUP(A274, 'P&amp;L'!A:B,1,FALSE)</f>
        <v>#N/A</v>
      </c>
      <c r="O274" t="e">
        <f>VLOOKUP(A274, KeyData!A:C,1,FALSE)</f>
        <v>#N/A</v>
      </c>
      <c r="P274" s="451"/>
    </row>
    <row r="275" spans="1:16" x14ac:dyDescent="0.25">
      <c r="A275" s="451" t="str">
        <f t="shared" si="4"/>
        <v>231116000_700</v>
      </c>
      <c r="B275" s="1004" t="s">
        <v>853</v>
      </c>
      <c r="C275" s="807" t="s">
        <v>852</v>
      </c>
      <c r="D275" s="805" t="s">
        <v>1165</v>
      </c>
      <c r="E275" s="1016" t="s">
        <v>1153</v>
      </c>
      <c r="F275" s="612"/>
      <c r="G275" s="612">
        <v>6529562.9529999997</v>
      </c>
      <c r="H275" s="612">
        <v>6095256.2130000005</v>
      </c>
      <c r="I275" s="612">
        <v>5821483.5159999998</v>
      </c>
      <c r="J275" s="612">
        <v>6095256.2130000005</v>
      </c>
      <c r="K275" s="612">
        <v>6095256.2130000005</v>
      </c>
      <c r="L275" s="1017">
        <v>3198054.8</v>
      </c>
      <c r="M275" s="451"/>
      <c r="N275" t="e">
        <f>VLOOKUP(A275, 'P&amp;L'!A:B,1,FALSE)</f>
        <v>#N/A</v>
      </c>
      <c r="O275" t="e">
        <f>VLOOKUP(A275, KeyData!A:C,1,FALSE)</f>
        <v>#N/A</v>
      </c>
      <c r="P275" s="451"/>
    </row>
    <row r="276" spans="1:16" x14ac:dyDescent="0.25">
      <c r="A276" s="451" t="str">
        <f t="shared" si="4"/>
        <v>231116000_710</v>
      </c>
      <c r="B276" s="1004" t="s">
        <v>853</v>
      </c>
      <c r="C276" s="807" t="s">
        <v>852</v>
      </c>
      <c r="D276" s="805" t="s">
        <v>1166</v>
      </c>
      <c r="E276" s="1016" t="s">
        <v>1155</v>
      </c>
      <c r="F276" s="612"/>
      <c r="G276" s="612">
        <v>1253724.3189999999</v>
      </c>
      <c r="H276" s="612">
        <v>-2841215.7609999999</v>
      </c>
      <c r="I276" s="612">
        <v>-2190362.4160000002</v>
      </c>
      <c r="J276" s="612">
        <v>-2793375.3130000001</v>
      </c>
      <c r="K276" s="612">
        <v>-2897201.4130000002</v>
      </c>
      <c r="L276" s="1017">
        <v>-1706429.5530000001</v>
      </c>
      <c r="M276" s="451"/>
      <c r="N276" t="e">
        <f>VLOOKUP(A276, 'P&amp;L'!A:B,1,FALSE)</f>
        <v>#N/A</v>
      </c>
      <c r="O276" t="e">
        <f>VLOOKUP(A276, KeyData!A:C,1,FALSE)</f>
        <v>#N/A</v>
      </c>
      <c r="P276" s="451"/>
    </row>
    <row r="277" spans="1:16" x14ac:dyDescent="0.25">
      <c r="A277" s="451" t="str">
        <f t="shared" si="4"/>
        <v>231116000_760</v>
      </c>
      <c r="B277" s="1004" t="s">
        <v>853</v>
      </c>
      <c r="C277" s="807" t="s">
        <v>852</v>
      </c>
      <c r="D277" s="805" t="s">
        <v>1524</v>
      </c>
      <c r="E277" s="1016" t="s">
        <v>1514</v>
      </c>
      <c r="F277" s="612"/>
      <c r="G277" s="612">
        <v>0</v>
      </c>
      <c r="H277" s="612">
        <v>0</v>
      </c>
      <c r="I277" s="612"/>
      <c r="J277" s="612">
        <v>0</v>
      </c>
      <c r="K277" s="612">
        <v>0</v>
      </c>
      <c r="L277" s="1017"/>
      <c r="M277" s="451"/>
      <c r="N277" t="e">
        <f>VLOOKUP(A277, 'P&amp;L'!A:B,1,FALSE)</f>
        <v>#N/A</v>
      </c>
      <c r="O277" t="e">
        <f>VLOOKUP(A277, KeyData!A:C,1,FALSE)</f>
        <v>#N/A</v>
      </c>
      <c r="P277" s="451"/>
    </row>
    <row r="278" spans="1:16" x14ac:dyDescent="0.25">
      <c r="A278" s="451" t="str">
        <f t="shared" si="4"/>
        <v>231116000_Result</v>
      </c>
      <c r="B278" s="1004" t="s">
        <v>853</v>
      </c>
      <c r="C278" s="807" t="s">
        <v>852</v>
      </c>
      <c r="D278" s="834" t="s">
        <v>1160</v>
      </c>
      <c r="E278" s="1020"/>
      <c r="F278" s="833"/>
      <c r="G278" s="833">
        <v>7783287.2719999999</v>
      </c>
      <c r="H278" s="833">
        <v>3254040.452</v>
      </c>
      <c r="I278" s="833">
        <v>3631121.1</v>
      </c>
      <c r="J278" s="833">
        <v>3301880.9</v>
      </c>
      <c r="K278" s="833">
        <v>3198054.8</v>
      </c>
      <c r="L278" s="1018">
        <v>1491625.247</v>
      </c>
      <c r="M278" s="451"/>
      <c r="N278" t="e">
        <f>VLOOKUP(A278, 'P&amp;L'!A:B,1,FALSE)</f>
        <v>#N/A</v>
      </c>
      <c r="O278" t="e">
        <f>VLOOKUP(A278, KeyData!A:C,1,FALSE)</f>
        <v>#N/A</v>
      </c>
      <c r="P278" s="451"/>
    </row>
    <row r="279" spans="1:16" x14ac:dyDescent="0.25">
      <c r="A279" s="451" t="str">
        <f t="shared" si="4"/>
        <v>231117000_700</v>
      </c>
      <c r="B279" s="1004" t="s">
        <v>851</v>
      </c>
      <c r="C279" s="807" t="s">
        <v>1072</v>
      </c>
      <c r="D279" s="805" t="s">
        <v>1165</v>
      </c>
      <c r="E279" s="1016" t="s">
        <v>1153</v>
      </c>
      <c r="F279" s="612"/>
      <c r="G279" s="612">
        <v>58711.34</v>
      </c>
      <c r="H279" s="612">
        <v>937188.70499999996</v>
      </c>
      <c r="I279" s="612"/>
      <c r="J279" s="612">
        <v>937188.70499999996</v>
      </c>
      <c r="K279" s="612">
        <v>937188.70499999996</v>
      </c>
      <c r="L279" s="1017">
        <v>0</v>
      </c>
      <c r="M279" s="451"/>
      <c r="N279" t="e">
        <f>VLOOKUP(A279, 'P&amp;L'!A:B,1,FALSE)</f>
        <v>#N/A</v>
      </c>
      <c r="O279" t="e">
        <f>VLOOKUP(A279, KeyData!A:C,1,FALSE)</f>
        <v>#N/A</v>
      </c>
      <c r="P279" s="451"/>
    </row>
    <row r="280" spans="1:16" x14ac:dyDescent="0.25">
      <c r="A280" s="451" t="str">
        <f t="shared" si="4"/>
        <v>231117000_710</v>
      </c>
      <c r="B280" s="1004" t="s">
        <v>851</v>
      </c>
      <c r="C280" s="807" t="s">
        <v>1072</v>
      </c>
      <c r="D280" s="805" t="s">
        <v>1166</v>
      </c>
      <c r="E280" s="1016" t="s">
        <v>1155</v>
      </c>
      <c r="F280" s="612"/>
      <c r="G280" s="612">
        <v>-52380.188000000002</v>
      </c>
      <c r="H280" s="612"/>
      <c r="I280" s="612"/>
      <c r="J280" s="612">
        <v>235318.842</v>
      </c>
      <c r="K280" s="612">
        <v>0</v>
      </c>
      <c r="L280" s="1017">
        <v>0</v>
      </c>
      <c r="M280" s="451"/>
      <c r="N280" t="e">
        <f>VLOOKUP(A280, 'P&amp;L'!A:B,1,FALSE)</f>
        <v>#N/A</v>
      </c>
      <c r="O280" t="e">
        <f>VLOOKUP(A280, KeyData!A:C,1,FALSE)</f>
        <v>#N/A</v>
      </c>
      <c r="P280" s="451"/>
    </row>
    <row r="281" spans="1:16" x14ac:dyDescent="0.25">
      <c r="A281" s="451" t="str">
        <f t="shared" si="4"/>
        <v>231117000_740</v>
      </c>
      <c r="B281" s="1004" t="s">
        <v>851</v>
      </c>
      <c r="C281" s="807" t="s">
        <v>1072</v>
      </c>
      <c r="D281" s="805" t="s">
        <v>1488</v>
      </c>
      <c r="E281" s="1016" t="s">
        <v>1156</v>
      </c>
      <c r="F281" s="612"/>
      <c r="G281" s="612"/>
      <c r="H281" s="612">
        <v>-937188.70499999996</v>
      </c>
      <c r="I281" s="612"/>
      <c r="J281" s="612">
        <v>-937188.70499999996</v>
      </c>
      <c r="K281" s="612">
        <v>-937188.70499999996</v>
      </c>
      <c r="L281" s="1017"/>
      <c r="M281" s="451"/>
      <c r="N281" t="e">
        <f>VLOOKUP(A281, 'P&amp;L'!A:B,1,FALSE)</f>
        <v>#N/A</v>
      </c>
      <c r="O281" t="e">
        <f>VLOOKUP(A281, KeyData!A:C,1,FALSE)</f>
        <v>#N/A</v>
      </c>
      <c r="P281" s="451"/>
    </row>
    <row r="282" spans="1:16" x14ac:dyDescent="0.25">
      <c r="A282" s="451" t="str">
        <f t="shared" si="4"/>
        <v>231117000_760</v>
      </c>
      <c r="B282" s="1004" t="s">
        <v>851</v>
      </c>
      <c r="C282" s="807" t="s">
        <v>1072</v>
      </c>
      <c r="D282" s="805" t="s">
        <v>1524</v>
      </c>
      <c r="E282" s="1016" t="s">
        <v>1514</v>
      </c>
      <c r="F282" s="612"/>
      <c r="G282" s="612">
        <v>0</v>
      </c>
      <c r="H282" s="612">
        <v>0</v>
      </c>
      <c r="I282" s="612"/>
      <c r="J282" s="612">
        <v>0</v>
      </c>
      <c r="K282" s="612">
        <v>0</v>
      </c>
      <c r="L282" s="1017"/>
      <c r="M282" s="451"/>
      <c r="N282" t="e">
        <f>VLOOKUP(A282, 'P&amp;L'!A:B,1,FALSE)</f>
        <v>#N/A</v>
      </c>
      <c r="O282" t="e">
        <f>VLOOKUP(A282, KeyData!A:C,1,FALSE)</f>
        <v>#N/A</v>
      </c>
      <c r="P282" s="451"/>
    </row>
    <row r="283" spans="1:16" x14ac:dyDescent="0.25">
      <c r="A283" s="451" t="str">
        <f t="shared" si="4"/>
        <v>231117000_Result</v>
      </c>
      <c r="B283" s="1004" t="s">
        <v>851</v>
      </c>
      <c r="C283" s="807" t="s">
        <v>1072</v>
      </c>
      <c r="D283" s="834" t="s">
        <v>1160</v>
      </c>
      <c r="E283" s="1020"/>
      <c r="F283" s="833"/>
      <c r="G283" s="833">
        <v>6331.152</v>
      </c>
      <c r="H283" s="833">
        <v>0</v>
      </c>
      <c r="I283" s="833"/>
      <c r="J283" s="833">
        <v>235318.842</v>
      </c>
      <c r="K283" s="833">
        <v>0</v>
      </c>
      <c r="L283" s="1018">
        <v>0</v>
      </c>
      <c r="M283" s="451"/>
      <c r="N283" t="e">
        <f>VLOOKUP(A283, 'P&amp;L'!A:B,1,FALSE)</f>
        <v>#N/A</v>
      </c>
      <c r="O283" t="e">
        <f>VLOOKUP(A283, KeyData!A:C,1,FALSE)</f>
        <v>#N/A</v>
      </c>
      <c r="P283" s="451"/>
    </row>
    <row r="284" spans="1:16" x14ac:dyDescent="0.25">
      <c r="A284" s="451" t="str">
        <f t="shared" si="4"/>
        <v>231121000_700</v>
      </c>
      <c r="B284" s="1004" t="s">
        <v>850</v>
      </c>
      <c r="C284" s="807" t="s">
        <v>849</v>
      </c>
      <c r="D284" s="805" t="s">
        <v>1165</v>
      </c>
      <c r="E284" s="1016" t="s">
        <v>1153</v>
      </c>
      <c r="F284" s="612"/>
      <c r="G284" s="612">
        <v>13639.624</v>
      </c>
      <c r="H284" s="612">
        <v>-3997.1030000000001</v>
      </c>
      <c r="I284" s="612"/>
      <c r="J284" s="612">
        <v>-3997.1030000000001</v>
      </c>
      <c r="K284" s="612">
        <v>-3997.1030000000001</v>
      </c>
      <c r="L284" s="1017"/>
      <c r="M284" s="451"/>
      <c r="N284" t="e">
        <f>VLOOKUP(A284, 'P&amp;L'!A:B,1,FALSE)</f>
        <v>#N/A</v>
      </c>
      <c r="O284" t="e">
        <f>VLOOKUP(A284, KeyData!A:C,1,FALSE)</f>
        <v>#N/A</v>
      </c>
      <c r="P284" s="451"/>
    </row>
    <row r="285" spans="1:16" x14ac:dyDescent="0.25">
      <c r="A285" s="451" t="str">
        <f t="shared" si="4"/>
        <v>231121000_710</v>
      </c>
      <c r="B285" s="1004" t="s">
        <v>850</v>
      </c>
      <c r="C285" s="807" t="s">
        <v>849</v>
      </c>
      <c r="D285" s="805" t="s">
        <v>1166</v>
      </c>
      <c r="E285" s="1016" t="s">
        <v>1155</v>
      </c>
      <c r="F285" s="612"/>
      <c r="G285" s="612">
        <v>35240.042999999998</v>
      </c>
      <c r="H285" s="612">
        <v>90233.195000000007</v>
      </c>
      <c r="I285" s="612"/>
      <c r="J285" s="612">
        <v>3997.1030000000001</v>
      </c>
      <c r="K285" s="612">
        <v>-779.73599999999999</v>
      </c>
      <c r="L285" s="1017"/>
      <c r="M285" s="451"/>
      <c r="N285" t="e">
        <f>VLOOKUP(A285, 'P&amp;L'!A:B,1,FALSE)</f>
        <v>#N/A</v>
      </c>
      <c r="O285" t="e">
        <f>VLOOKUP(A285, KeyData!A:C,1,FALSE)</f>
        <v>#N/A</v>
      </c>
      <c r="P285" s="451"/>
    </row>
    <row r="286" spans="1:16" x14ac:dyDescent="0.25">
      <c r="A286" s="451" t="str">
        <f t="shared" si="4"/>
        <v>231121000_740</v>
      </c>
      <c r="B286" s="1004" t="s">
        <v>850</v>
      </c>
      <c r="C286" s="807" t="s">
        <v>849</v>
      </c>
      <c r="D286" s="805" t="s">
        <v>1488</v>
      </c>
      <c r="E286" s="1016" t="s">
        <v>1156</v>
      </c>
      <c r="F286" s="612"/>
      <c r="G286" s="612">
        <v>-17888.298999999999</v>
      </c>
      <c r="H286" s="612">
        <v>4776.8389999999999</v>
      </c>
      <c r="I286" s="612"/>
      <c r="J286" s="612">
        <v>4776.8389999999999</v>
      </c>
      <c r="K286" s="612">
        <v>4776.8389999999999</v>
      </c>
      <c r="L286" s="1017"/>
      <c r="M286" s="451"/>
      <c r="N286" t="e">
        <f>VLOOKUP(A286, 'P&amp;L'!A:B,1,FALSE)</f>
        <v>#N/A</v>
      </c>
      <c r="O286" t="e">
        <f>VLOOKUP(A286, KeyData!A:C,1,FALSE)</f>
        <v>#N/A</v>
      </c>
      <c r="P286" s="451"/>
    </row>
    <row r="287" spans="1:16" x14ac:dyDescent="0.25">
      <c r="A287" s="451" t="str">
        <f t="shared" si="4"/>
        <v>231121000_760</v>
      </c>
      <c r="B287" s="1004" t="s">
        <v>850</v>
      </c>
      <c r="C287" s="807" t="s">
        <v>849</v>
      </c>
      <c r="D287" s="805" t="s">
        <v>1524</v>
      </c>
      <c r="E287" s="1016" t="s">
        <v>1514</v>
      </c>
      <c r="F287" s="612"/>
      <c r="G287" s="612">
        <v>0</v>
      </c>
      <c r="H287" s="612">
        <v>0</v>
      </c>
      <c r="I287" s="612"/>
      <c r="J287" s="612">
        <v>0</v>
      </c>
      <c r="K287" s="612">
        <v>0</v>
      </c>
      <c r="L287" s="1017"/>
      <c r="M287" s="451"/>
      <c r="N287" t="e">
        <f>VLOOKUP(A287, 'P&amp;L'!A:B,1,FALSE)</f>
        <v>#N/A</v>
      </c>
      <c r="O287" t="e">
        <f>VLOOKUP(A287, KeyData!A:C,1,FALSE)</f>
        <v>#N/A</v>
      </c>
      <c r="P287" s="451"/>
    </row>
    <row r="288" spans="1:16" x14ac:dyDescent="0.25">
      <c r="A288" s="451" t="str">
        <f t="shared" si="4"/>
        <v>231121000_Result</v>
      </c>
      <c r="B288" s="1004" t="s">
        <v>850</v>
      </c>
      <c r="C288" s="807" t="s">
        <v>849</v>
      </c>
      <c r="D288" s="834" t="s">
        <v>1160</v>
      </c>
      <c r="E288" s="1020"/>
      <c r="F288" s="833"/>
      <c r="G288" s="833">
        <v>30991.367999999999</v>
      </c>
      <c r="H288" s="833">
        <v>91012.930999999997</v>
      </c>
      <c r="I288" s="833"/>
      <c r="J288" s="833">
        <v>4776.8389999999999</v>
      </c>
      <c r="K288" s="833">
        <v>0</v>
      </c>
      <c r="L288" s="1018"/>
      <c r="M288" s="451"/>
      <c r="N288" t="e">
        <f>VLOOKUP(A288, 'P&amp;L'!A:B,1,FALSE)</f>
        <v>#N/A</v>
      </c>
      <c r="O288" t="e">
        <f>VLOOKUP(A288, KeyData!A:C,1,FALSE)</f>
        <v>#N/A</v>
      </c>
      <c r="P288" s="451"/>
    </row>
    <row r="289" spans="1:16" x14ac:dyDescent="0.25">
      <c r="A289" s="451" t="str">
        <f t="shared" si="4"/>
        <v>302500000_#</v>
      </c>
      <c r="B289" s="1001" t="s">
        <v>796</v>
      </c>
      <c r="C289" s="806" t="s">
        <v>156</v>
      </c>
      <c r="D289" s="805" t="s">
        <v>1167</v>
      </c>
      <c r="E289" s="1016" t="s">
        <v>1168</v>
      </c>
      <c r="F289" s="612"/>
      <c r="G289" s="612">
        <v>-4064903.9330000002</v>
      </c>
      <c r="H289" s="612">
        <v>-5005663.5029999996</v>
      </c>
      <c r="I289" s="612">
        <v>-19468744.715999998</v>
      </c>
      <c r="J289" s="612">
        <v>-3609308.5789999999</v>
      </c>
      <c r="K289" s="612">
        <v>-4982578.0020000003</v>
      </c>
      <c r="L289" s="1017">
        <v>-13312669.025</v>
      </c>
      <c r="M289" s="451"/>
      <c r="N289" t="e">
        <f>VLOOKUP(A289, 'P&amp;L'!A:B,1,FALSE)</f>
        <v>#N/A</v>
      </c>
      <c r="O289" t="e">
        <f>VLOOKUP(A289, KeyData!A:C,1,FALSE)</f>
        <v>#N/A</v>
      </c>
      <c r="P289" s="451"/>
    </row>
    <row r="290" spans="1:16" x14ac:dyDescent="0.25">
      <c r="A290" s="451" t="str">
        <f t="shared" si="4"/>
        <v>302500000_Result</v>
      </c>
      <c r="B290" s="1001" t="s">
        <v>796</v>
      </c>
      <c r="C290" s="806" t="s">
        <v>156</v>
      </c>
      <c r="D290" s="834" t="s">
        <v>1160</v>
      </c>
      <c r="E290" s="1020"/>
      <c r="F290" s="833"/>
      <c r="G290" s="833">
        <v>-4064903.9330000002</v>
      </c>
      <c r="H290" s="833">
        <v>-5005663.5029999996</v>
      </c>
      <c r="I290" s="833">
        <v>-19468744.715999998</v>
      </c>
      <c r="J290" s="833">
        <v>-3609308.5789999999</v>
      </c>
      <c r="K290" s="833">
        <v>-4982578.0020000003</v>
      </c>
      <c r="L290" s="1018">
        <v>-13312669.025</v>
      </c>
      <c r="M290" s="451"/>
      <c r="N290" t="str">
        <f>VLOOKUP(A290, 'P&amp;L'!A:B,1,FALSE)</f>
        <v>302500000_Result</v>
      </c>
      <c r="O290" t="e">
        <f>VLOOKUP(A290, KeyData!A:C,1,FALSE)</f>
        <v>#N/A</v>
      </c>
      <c r="P290" s="451"/>
    </row>
    <row r="291" spans="1:16" x14ac:dyDescent="0.25">
      <c r="A291" s="451" t="str">
        <f t="shared" si="4"/>
        <v>303000000_#</v>
      </c>
      <c r="B291" s="1002" t="s">
        <v>795</v>
      </c>
      <c r="C291" s="807" t="s">
        <v>794</v>
      </c>
      <c r="D291" s="805" t="s">
        <v>1167</v>
      </c>
      <c r="E291" s="1016" t="s">
        <v>1168</v>
      </c>
      <c r="F291" s="612"/>
      <c r="G291" s="612">
        <v>-4064903.9330000002</v>
      </c>
      <c r="H291" s="612">
        <v>-5005663.5029999996</v>
      </c>
      <c r="I291" s="612">
        <v>-19468744.715999998</v>
      </c>
      <c r="J291" s="612">
        <v>-3609308.5789999999</v>
      </c>
      <c r="K291" s="612">
        <v>-4982578.0020000003</v>
      </c>
      <c r="L291" s="1017">
        <v>-13312669.025</v>
      </c>
      <c r="M291" s="451"/>
      <c r="N291" t="e">
        <f>VLOOKUP(A291, 'P&amp;L'!A:B,1,FALSE)</f>
        <v>#N/A</v>
      </c>
      <c r="O291" t="e">
        <f>VLOOKUP(A291, KeyData!A:C,1,FALSE)</f>
        <v>#N/A</v>
      </c>
      <c r="P291" s="451"/>
    </row>
    <row r="292" spans="1:16" x14ac:dyDescent="0.25">
      <c r="A292" s="451" t="str">
        <f t="shared" si="4"/>
        <v>303000000_Result</v>
      </c>
      <c r="B292" s="1002" t="s">
        <v>795</v>
      </c>
      <c r="C292" s="807" t="s">
        <v>794</v>
      </c>
      <c r="D292" s="834" t="s">
        <v>1160</v>
      </c>
      <c r="E292" s="1020"/>
      <c r="F292" s="833"/>
      <c r="G292" s="833">
        <v>-4064903.9330000002</v>
      </c>
      <c r="H292" s="833">
        <v>-5005663.5029999996</v>
      </c>
      <c r="I292" s="833">
        <v>-19468744.715999998</v>
      </c>
      <c r="J292" s="833">
        <v>-3609308.5789999999</v>
      </c>
      <c r="K292" s="833">
        <v>-4982578.0020000003</v>
      </c>
      <c r="L292" s="1018">
        <v>-13312669.025</v>
      </c>
      <c r="M292" s="451"/>
      <c r="N292" t="str">
        <f>VLOOKUP(A292, 'P&amp;L'!A:B,1,FALSE)</f>
        <v>303000000_Result</v>
      </c>
      <c r="O292" t="e">
        <f>VLOOKUP(A292, KeyData!A:C,1,FALSE)</f>
        <v>#N/A</v>
      </c>
      <c r="P292" s="451"/>
    </row>
    <row r="293" spans="1:16" x14ac:dyDescent="0.25">
      <c r="A293" s="451" t="str">
        <f t="shared" si="4"/>
        <v>303500000_#</v>
      </c>
      <c r="B293" s="1005" t="s">
        <v>793</v>
      </c>
      <c r="C293" s="808" t="s">
        <v>655</v>
      </c>
      <c r="D293" s="805" t="s">
        <v>1167</v>
      </c>
      <c r="E293" s="1016" t="s">
        <v>1168</v>
      </c>
      <c r="F293" s="612"/>
      <c r="G293" s="612">
        <v>13058951.267000001</v>
      </c>
      <c r="H293" s="612">
        <v>-3549123.17</v>
      </c>
      <c r="I293" s="612">
        <v>-3655877.48</v>
      </c>
      <c r="J293" s="612">
        <v>5511843.4050000003</v>
      </c>
      <c r="K293" s="612">
        <v>3582031.2990000001</v>
      </c>
      <c r="L293" s="1017">
        <v>9470363.716</v>
      </c>
      <c r="M293" s="451"/>
      <c r="N293" t="e">
        <f>VLOOKUP(A293, 'P&amp;L'!A:B,1,FALSE)</f>
        <v>#N/A</v>
      </c>
      <c r="O293" t="e">
        <f>VLOOKUP(A293, KeyData!A:C,1,FALSE)</f>
        <v>#N/A</v>
      </c>
      <c r="P293" s="451"/>
    </row>
    <row r="294" spans="1:16" x14ac:dyDescent="0.25">
      <c r="A294" s="451" t="str">
        <f t="shared" si="4"/>
        <v>303500000_Result</v>
      </c>
      <c r="B294" s="1005" t="s">
        <v>793</v>
      </c>
      <c r="C294" s="808" t="s">
        <v>655</v>
      </c>
      <c r="D294" s="834" t="s">
        <v>1160</v>
      </c>
      <c r="E294" s="1020"/>
      <c r="F294" s="833"/>
      <c r="G294" s="833">
        <v>13058951.267000001</v>
      </c>
      <c r="H294" s="833">
        <v>-3549123.17</v>
      </c>
      <c r="I294" s="833">
        <v>-3655877.48</v>
      </c>
      <c r="J294" s="833">
        <v>5511843.4050000003</v>
      </c>
      <c r="K294" s="833">
        <v>3582031.2990000001</v>
      </c>
      <c r="L294" s="1018">
        <v>9470363.716</v>
      </c>
      <c r="M294" s="451"/>
      <c r="N294" t="str">
        <f>VLOOKUP(A294, 'P&amp;L'!A:B,1,FALSE)</f>
        <v>303500000_Result</v>
      </c>
      <c r="O294" t="e">
        <f>VLOOKUP(A294, KeyData!A:C,1,FALSE)</f>
        <v>#N/A</v>
      </c>
      <c r="P294" s="451"/>
    </row>
    <row r="295" spans="1:16" x14ac:dyDescent="0.25">
      <c r="A295" s="451" t="str">
        <f t="shared" si="4"/>
        <v>304000000_#</v>
      </c>
      <c r="B295" s="1007" t="s">
        <v>792</v>
      </c>
      <c r="C295" s="809" t="s">
        <v>791</v>
      </c>
      <c r="D295" s="805" t="s">
        <v>1167</v>
      </c>
      <c r="E295" s="1016" t="s">
        <v>1168</v>
      </c>
      <c r="F295" s="612"/>
      <c r="G295" s="612">
        <v>20452158.526000001</v>
      </c>
      <c r="H295" s="612">
        <v>4775552.0190000003</v>
      </c>
      <c r="I295" s="612">
        <v>12780839.868000001</v>
      </c>
      <c r="J295" s="612">
        <v>21327945.298999999</v>
      </c>
      <c r="K295" s="612">
        <v>20364668.249000002</v>
      </c>
      <c r="L295" s="1017">
        <v>29577826.390999999</v>
      </c>
      <c r="M295" s="451"/>
      <c r="N295" t="e">
        <f>VLOOKUP(A295, 'P&amp;L'!A:B,1,FALSE)</f>
        <v>#N/A</v>
      </c>
      <c r="O295" t="e">
        <f>VLOOKUP(A295, KeyData!A:C,1,FALSE)</f>
        <v>#N/A</v>
      </c>
      <c r="P295" s="451"/>
    </row>
    <row r="296" spans="1:16" x14ac:dyDescent="0.25">
      <c r="A296" s="451" t="str">
        <f t="shared" si="4"/>
        <v>304000000_Result</v>
      </c>
      <c r="B296" s="1007" t="s">
        <v>792</v>
      </c>
      <c r="C296" s="809" t="s">
        <v>791</v>
      </c>
      <c r="D296" s="834" t="s">
        <v>1160</v>
      </c>
      <c r="E296" s="1020"/>
      <c r="F296" s="833"/>
      <c r="G296" s="833">
        <v>20452158.526000001</v>
      </c>
      <c r="H296" s="833">
        <v>4775552.0190000003</v>
      </c>
      <c r="I296" s="833">
        <v>12780839.868000001</v>
      </c>
      <c r="J296" s="833">
        <v>21327945.298999999</v>
      </c>
      <c r="K296" s="833">
        <v>20364668.249000002</v>
      </c>
      <c r="L296" s="1018">
        <v>29577826.390999999</v>
      </c>
      <c r="M296" s="451"/>
      <c r="N296" t="str">
        <f>VLOOKUP(A296, 'P&amp;L'!A:B,1,FALSE)</f>
        <v>304000000_Result</v>
      </c>
      <c r="O296" t="e">
        <f>VLOOKUP(A296, KeyData!A:C,1,FALSE)</f>
        <v>#N/A</v>
      </c>
      <c r="P296" s="451"/>
    </row>
    <row r="297" spans="1:16" x14ac:dyDescent="0.25">
      <c r="A297" s="451" t="str">
        <f t="shared" si="4"/>
        <v>304500000_#</v>
      </c>
      <c r="B297" s="1008" t="s">
        <v>790</v>
      </c>
      <c r="C297" s="835" t="s">
        <v>167</v>
      </c>
      <c r="D297" s="805" t="s">
        <v>1167</v>
      </c>
      <c r="E297" s="1016" t="s">
        <v>1168</v>
      </c>
      <c r="F297" s="612"/>
      <c r="G297" s="612">
        <v>69055108.461999997</v>
      </c>
      <c r="H297" s="612">
        <v>50414410.311999999</v>
      </c>
      <c r="I297" s="612">
        <v>122630144.677</v>
      </c>
      <c r="J297" s="612">
        <v>136601620.99599999</v>
      </c>
      <c r="K297" s="612">
        <v>133169528.691</v>
      </c>
      <c r="L297" s="1017">
        <v>188273351.18900001</v>
      </c>
      <c r="M297" s="451"/>
      <c r="N297" t="e">
        <f>VLOOKUP(A297, 'P&amp;L'!A:B,1,FALSE)</f>
        <v>#N/A</v>
      </c>
      <c r="O297" t="e">
        <f>VLOOKUP(A297, KeyData!A:C,1,FALSE)</f>
        <v>#N/A</v>
      </c>
      <c r="P297" s="451"/>
    </row>
    <row r="298" spans="1:16" x14ac:dyDescent="0.25">
      <c r="A298" s="451" t="str">
        <f t="shared" si="4"/>
        <v>304500000_Result</v>
      </c>
      <c r="B298" s="1008" t="s">
        <v>790</v>
      </c>
      <c r="C298" s="835" t="s">
        <v>167</v>
      </c>
      <c r="D298" s="834" t="s">
        <v>1160</v>
      </c>
      <c r="E298" s="1020"/>
      <c r="F298" s="833"/>
      <c r="G298" s="833">
        <v>69055108.461999997</v>
      </c>
      <c r="H298" s="833">
        <v>50414410.311999999</v>
      </c>
      <c r="I298" s="833">
        <v>122630144.677</v>
      </c>
      <c r="J298" s="833">
        <v>136601620.99599999</v>
      </c>
      <c r="K298" s="833">
        <v>133169528.691</v>
      </c>
      <c r="L298" s="1018">
        <v>188273351.18900001</v>
      </c>
      <c r="M298" s="451"/>
      <c r="N298" t="str">
        <f>VLOOKUP(A298, 'P&amp;L'!A:B,1,FALSE)</f>
        <v>304500000_Result</v>
      </c>
      <c r="O298" t="e">
        <f>VLOOKUP(A298, KeyData!A:C,1,FALSE)</f>
        <v>#N/A</v>
      </c>
      <c r="P298" s="451"/>
    </row>
    <row r="299" spans="1:16" x14ac:dyDescent="0.25">
      <c r="A299" s="451" t="str">
        <f t="shared" si="4"/>
        <v>305000000_#</v>
      </c>
      <c r="B299" s="1009" t="s">
        <v>789</v>
      </c>
      <c r="C299" s="810" t="s">
        <v>697</v>
      </c>
      <c r="D299" s="805" t="s">
        <v>1167</v>
      </c>
      <c r="E299" s="1016" t="s">
        <v>1168</v>
      </c>
      <c r="F299" s="612"/>
      <c r="G299" s="612">
        <v>69064675.172000006</v>
      </c>
      <c r="H299" s="612">
        <v>50414410.311999999</v>
      </c>
      <c r="I299" s="612">
        <v>122630144.677</v>
      </c>
      <c r="J299" s="612">
        <v>136601620.99599999</v>
      </c>
      <c r="K299" s="612">
        <v>133169528.691</v>
      </c>
      <c r="L299" s="1017">
        <v>188273351.18900001</v>
      </c>
      <c r="M299" s="451"/>
      <c r="N299" t="e">
        <f>VLOOKUP(A299, 'P&amp;L'!A:B,1,FALSE)</f>
        <v>#N/A</v>
      </c>
      <c r="O299" t="e">
        <f>VLOOKUP(A299, KeyData!A:C,1,FALSE)</f>
        <v>#N/A</v>
      </c>
      <c r="P299" s="451"/>
    </row>
    <row r="300" spans="1:16" x14ac:dyDescent="0.25">
      <c r="A300" s="451" t="str">
        <f t="shared" si="4"/>
        <v>305000000_Result</v>
      </c>
      <c r="B300" s="1009" t="s">
        <v>789</v>
      </c>
      <c r="C300" s="810" t="s">
        <v>697</v>
      </c>
      <c r="D300" s="834" t="s">
        <v>1160</v>
      </c>
      <c r="E300" s="1020"/>
      <c r="F300" s="833"/>
      <c r="G300" s="833">
        <v>69064675.172000006</v>
      </c>
      <c r="H300" s="833">
        <v>50414410.311999999</v>
      </c>
      <c r="I300" s="833">
        <v>122630144.677</v>
      </c>
      <c r="J300" s="833">
        <v>136601620.99599999</v>
      </c>
      <c r="K300" s="833">
        <v>133169528.691</v>
      </c>
      <c r="L300" s="1018">
        <v>188273351.18900001</v>
      </c>
      <c r="M300" s="451"/>
      <c r="N300" t="str">
        <f>VLOOKUP(A300, 'P&amp;L'!A:B,1,FALSE)</f>
        <v>305000000_Result</v>
      </c>
      <c r="O300" t="e">
        <f>VLOOKUP(A300, KeyData!A:C,1,FALSE)</f>
        <v>#N/A</v>
      </c>
      <c r="P300" s="451"/>
    </row>
    <row r="301" spans="1:16" x14ac:dyDescent="0.25">
      <c r="A301" s="451" t="str">
        <f t="shared" si="4"/>
        <v>305001600_#</v>
      </c>
      <c r="B301" s="1010" t="s">
        <v>788</v>
      </c>
      <c r="C301" s="811" t="s">
        <v>695</v>
      </c>
      <c r="D301" s="805" t="s">
        <v>1167</v>
      </c>
      <c r="E301" s="1016" t="s">
        <v>1168</v>
      </c>
      <c r="F301" s="612"/>
      <c r="G301" s="612">
        <v>137880.29199999999</v>
      </c>
      <c r="H301" s="612">
        <v>54390.646000000001</v>
      </c>
      <c r="I301" s="612"/>
      <c r="J301" s="612">
        <v>15256.457</v>
      </c>
      <c r="K301" s="612">
        <v>54390.646000000001</v>
      </c>
      <c r="L301" s="1017"/>
      <c r="M301" s="451"/>
      <c r="N301" t="e">
        <f>VLOOKUP(A301, 'P&amp;L'!A:B,1,FALSE)</f>
        <v>#N/A</v>
      </c>
      <c r="O301" t="e">
        <f>VLOOKUP(A301, KeyData!A:C,1,FALSE)</f>
        <v>#N/A</v>
      </c>
      <c r="P301" s="451"/>
    </row>
    <row r="302" spans="1:16" x14ac:dyDescent="0.25">
      <c r="A302" s="451" t="str">
        <f t="shared" si="4"/>
        <v>305001600_Result</v>
      </c>
      <c r="B302" s="1010" t="s">
        <v>788</v>
      </c>
      <c r="C302" s="811" t="s">
        <v>695</v>
      </c>
      <c r="D302" s="834" t="s">
        <v>1160</v>
      </c>
      <c r="E302" s="1020"/>
      <c r="F302" s="833"/>
      <c r="G302" s="833">
        <v>137880.29199999999</v>
      </c>
      <c r="H302" s="833">
        <v>54390.646000000001</v>
      </c>
      <c r="I302" s="833"/>
      <c r="J302" s="833">
        <v>15256.457</v>
      </c>
      <c r="K302" s="833">
        <v>54390.646000000001</v>
      </c>
      <c r="L302" s="1018"/>
      <c r="M302" s="451"/>
      <c r="N302" t="str">
        <f>VLOOKUP(A302, 'P&amp;L'!A:B,1,FALSE)</f>
        <v>305001600_Result</v>
      </c>
      <c r="O302" t="e">
        <f>VLOOKUP(A302, KeyData!A:C,1,FALSE)</f>
        <v>#N/A</v>
      </c>
      <c r="P302" s="451"/>
    </row>
    <row r="303" spans="1:16" x14ac:dyDescent="0.25">
      <c r="A303" s="451" t="str">
        <f t="shared" si="4"/>
        <v>305001700_#</v>
      </c>
      <c r="B303" s="1010" t="s">
        <v>787</v>
      </c>
      <c r="C303" s="811" t="s">
        <v>786</v>
      </c>
      <c r="D303" s="805" t="s">
        <v>1167</v>
      </c>
      <c r="E303" s="1016" t="s">
        <v>1168</v>
      </c>
      <c r="F303" s="612"/>
      <c r="G303" s="612">
        <v>3951.3009999999999</v>
      </c>
      <c r="H303" s="612">
        <v>20</v>
      </c>
      <c r="I303" s="612"/>
      <c r="J303" s="612"/>
      <c r="K303" s="612"/>
      <c r="L303" s="1017"/>
      <c r="M303" s="451"/>
      <c r="N303" t="e">
        <f>VLOOKUP(A303, 'P&amp;L'!A:B,1,FALSE)</f>
        <v>#N/A</v>
      </c>
      <c r="O303" t="e">
        <f>VLOOKUP(A303, KeyData!A:C,1,FALSE)</f>
        <v>#N/A</v>
      </c>
      <c r="P303" s="451"/>
    </row>
    <row r="304" spans="1:16" x14ac:dyDescent="0.25">
      <c r="A304" s="451" t="str">
        <f t="shared" si="4"/>
        <v>305001700_Result</v>
      </c>
      <c r="B304" s="1010" t="s">
        <v>787</v>
      </c>
      <c r="C304" s="811" t="s">
        <v>786</v>
      </c>
      <c r="D304" s="834" t="s">
        <v>1160</v>
      </c>
      <c r="E304" s="1020"/>
      <c r="F304" s="833"/>
      <c r="G304" s="833">
        <v>3951.3009999999999</v>
      </c>
      <c r="H304" s="833">
        <v>20</v>
      </c>
      <c r="I304" s="833"/>
      <c r="J304" s="833"/>
      <c r="K304" s="833"/>
      <c r="L304" s="1018"/>
      <c r="M304" s="451"/>
      <c r="N304" t="str">
        <f>VLOOKUP(A304, 'P&amp;L'!A:B,1,FALSE)</f>
        <v>305001700_Result</v>
      </c>
      <c r="O304" t="e">
        <f>VLOOKUP(A304, KeyData!A:C,1,FALSE)</f>
        <v>#N/A</v>
      </c>
      <c r="P304" s="451"/>
    </row>
    <row r="305" spans="1:16" x14ac:dyDescent="0.25">
      <c r="A305" s="451" t="str">
        <f t="shared" si="4"/>
        <v>305002100_#</v>
      </c>
      <c r="B305" s="1010" t="s">
        <v>785</v>
      </c>
      <c r="C305" s="811" t="s">
        <v>693</v>
      </c>
      <c r="D305" s="805" t="s">
        <v>1167</v>
      </c>
      <c r="E305" s="1016" t="s">
        <v>1168</v>
      </c>
      <c r="F305" s="612"/>
      <c r="G305" s="612">
        <v>68922843.578999996</v>
      </c>
      <c r="H305" s="612">
        <v>50359999.666000001</v>
      </c>
      <c r="I305" s="612">
        <v>122630144.677</v>
      </c>
      <c r="J305" s="612">
        <v>136586364.539</v>
      </c>
      <c r="K305" s="612">
        <v>133115138.045</v>
      </c>
      <c r="L305" s="1017">
        <v>188273351.18900001</v>
      </c>
      <c r="M305" s="451"/>
      <c r="N305" t="e">
        <f>VLOOKUP(A305, 'P&amp;L'!A:B,1,FALSE)</f>
        <v>#N/A</v>
      </c>
      <c r="O305" t="e">
        <f>VLOOKUP(A305, KeyData!A:C,1,FALSE)</f>
        <v>#N/A</v>
      </c>
      <c r="P305" s="451"/>
    </row>
    <row r="306" spans="1:16" x14ac:dyDescent="0.25">
      <c r="A306" s="451" t="str">
        <f t="shared" si="4"/>
        <v>305002100_Result</v>
      </c>
      <c r="B306" s="1010" t="s">
        <v>785</v>
      </c>
      <c r="C306" s="811" t="s">
        <v>693</v>
      </c>
      <c r="D306" s="834" t="s">
        <v>1160</v>
      </c>
      <c r="E306" s="1020"/>
      <c r="F306" s="833"/>
      <c r="G306" s="833">
        <v>68922843.578999996</v>
      </c>
      <c r="H306" s="833">
        <v>50359999.666000001</v>
      </c>
      <c r="I306" s="833">
        <v>122630144.677</v>
      </c>
      <c r="J306" s="833">
        <v>136586364.539</v>
      </c>
      <c r="K306" s="833">
        <v>133115138.045</v>
      </c>
      <c r="L306" s="1018">
        <v>188273351.18900001</v>
      </c>
      <c r="M306" s="451"/>
      <c r="N306" t="str">
        <f>VLOOKUP(A306, 'P&amp;L'!A:B,1,FALSE)</f>
        <v>305002100_Result</v>
      </c>
      <c r="O306" t="e">
        <f>VLOOKUP(A306, KeyData!A:C,1,FALSE)</f>
        <v>#N/A</v>
      </c>
      <c r="P306" s="451"/>
    </row>
    <row r="307" spans="1:16" x14ac:dyDescent="0.25">
      <c r="A307" s="451" t="str">
        <f t="shared" si="4"/>
        <v>305500000_#</v>
      </c>
      <c r="B307" s="1009" t="s">
        <v>1489</v>
      </c>
      <c r="C307" s="810" t="s">
        <v>692</v>
      </c>
      <c r="D307" s="805" t="s">
        <v>1167</v>
      </c>
      <c r="E307" s="1016" t="s">
        <v>1168</v>
      </c>
      <c r="F307" s="612"/>
      <c r="G307" s="612">
        <v>-9566.7099999999991</v>
      </c>
      <c r="H307" s="612"/>
      <c r="I307" s="612"/>
      <c r="J307" s="612"/>
      <c r="K307" s="612"/>
      <c r="L307" s="1017"/>
      <c r="M307" s="451"/>
      <c r="N307" t="e">
        <f>VLOOKUP(A307, 'P&amp;L'!A:B,1,FALSE)</f>
        <v>#N/A</v>
      </c>
      <c r="O307" t="e">
        <f>VLOOKUP(A307, KeyData!A:C,1,FALSE)</f>
        <v>#N/A</v>
      </c>
      <c r="P307" s="451"/>
    </row>
    <row r="308" spans="1:16" x14ac:dyDescent="0.25">
      <c r="A308" s="451" t="str">
        <f t="shared" si="4"/>
        <v>305500000_Result</v>
      </c>
      <c r="B308" s="1009" t="s">
        <v>1489</v>
      </c>
      <c r="C308" s="810" t="s">
        <v>692</v>
      </c>
      <c r="D308" s="834" t="s">
        <v>1160</v>
      </c>
      <c r="E308" s="1020"/>
      <c r="F308" s="833"/>
      <c r="G308" s="833">
        <v>-9566.7099999999991</v>
      </c>
      <c r="H308" s="833"/>
      <c r="I308" s="833"/>
      <c r="J308" s="833"/>
      <c r="K308" s="833"/>
      <c r="L308" s="1018"/>
      <c r="M308" s="451"/>
      <c r="N308" t="str">
        <f>VLOOKUP(A308, 'P&amp;L'!A:B,1,FALSE)</f>
        <v>305500000_Result</v>
      </c>
      <c r="O308" t="e">
        <f>VLOOKUP(A308, KeyData!A:C,1,FALSE)</f>
        <v>#N/A</v>
      </c>
      <c r="P308" s="451"/>
    </row>
    <row r="309" spans="1:16" x14ac:dyDescent="0.25">
      <c r="A309" s="451" t="str">
        <f t="shared" si="4"/>
        <v>305502200_#</v>
      </c>
      <c r="B309" s="1010" t="s">
        <v>1490</v>
      </c>
      <c r="C309" s="811" t="s">
        <v>1491</v>
      </c>
      <c r="D309" s="805" t="s">
        <v>1167</v>
      </c>
      <c r="E309" s="1016" t="s">
        <v>1168</v>
      </c>
      <c r="F309" s="612"/>
      <c r="G309" s="612">
        <v>-9566.7099999999991</v>
      </c>
      <c r="H309" s="612"/>
      <c r="I309" s="612"/>
      <c r="J309" s="612"/>
      <c r="K309" s="612"/>
      <c r="L309" s="1017"/>
      <c r="M309" s="451"/>
      <c r="N309" t="e">
        <f>VLOOKUP(A309, 'P&amp;L'!A:B,1,FALSE)</f>
        <v>#N/A</v>
      </c>
      <c r="O309" t="e">
        <f>VLOOKUP(A309, KeyData!A:C,1,FALSE)</f>
        <v>#N/A</v>
      </c>
      <c r="P309" s="451"/>
    </row>
    <row r="310" spans="1:16" x14ac:dyDescent="0.25">
      <c r="A310" s="451" t="str">
        <f t="shared" si="4"/>
        <v>305502200_Result</v>
      </c>
      <c r="B310" s="1010" t="s">
        <v>1490</v>
      </c>
      <c r="C310" s="811" t="s">
        <v>1491</v>
      </c>
      <c r="D310" s="834" t="s">
        <v>1160</v>
      </c>
      <c r="E310" s="1020"/>
      <c r="F310" s="833"/>
      <c r="G310" s="833">
        <v>-9566.7099999999991</v>
      </c>
      <c r="H310" s="833"/>
      <c r="I310" s="833"/>
      <c r="J310" s="833"/>
      <c r="K310" s="833"/>
      <c r="L310" s="1018"/>
      <c r="M310" s="451"/>
      <c r="N310" t="str">
        <f>VLOOKUP(A310, 'P&amp;L'!A:B,1,FALSE)</f>
        <v>305502200_Result</v>
      </c>
      <c r="O310" t="e">
        <f>VLOOKUP(A310, KeyData!A:C,1,FALSE)</f>
        <v>#N/A</v>
      </c>
      <c r="P310" s="451"/>
    </row>
    <row r="311" spans="1:16" x14ac:dyDescent="0.25">
      <c r="A311" s="451" t="str">
        <f t="shared" si="4"/>
        <v>306000000_#</v>
      </c>
      <c r="B311" s="1008" t="s">
        <v>784</v>
      </c>
      <c r="C311" s="835" t="s">
        <v>689</v>
      </c>
      <c r="D311" s="805" t="s">
        <v>1167</v>
      </c>
      <c r="E311" s="1016" t="s">
        <v>1168</v>
      </c>
      <c r="F311" s="612"/>
      <c r="G311" s="612">
        <v>-48602949.935999997</v>
      </c>
      <c r="H311" s="612">
        <v>-45638858.292999998</v>
      </c>
      <c r="I311" s="612">
        <v>-109849304.809</v>
      </c>
      <c r="J311" s="612">
        <v>-115273675.697</v>
      </c>
      <c r="K311" s="612">
        <v>-112804860.442</v>
      </c>
      <c r="L311" s="1017">
        <v>-158695524.79800001</v>
      </c>
      <c r="M311" s="451"/>
      <c r="N311" t="e">
        <f>VLOOKUP(A311, 'P&amp;L'!A:B,1,FALSE)</f>
        <v>#N/A</v>
      </c>
      <c r="O311" t="e">
        <f>VLOOKUP(A311, KeyData!A:C,1,FALSE)</f>
        <v>#N/A</v>
      </c>
      <c r="P311" s="451"/>
    </row>
    <row r="312" spans="1:16" x14ac:dyDescent="0.25">
      <c r="A312" s="451" t="str">
        <f t="shared" si="4"/>
        <v>306000000_Result</v>
      </c>
      <c r="B312" s="1008" t="s">
        <v>784</v>
      </c>
      <c r="C312" s="835" t="s">
        <v>689</v>
      </c>
      <c r="D312" s="834" t="s">
        <v>1160</v>
      </c>
      <c r="E312" s="1020"/>
      <c r="F312" s="833"/>
      <c r="G312" s="833">
        <v>-48602949.935999997</v>
      </c>
      <c r="H312" s="833">
        <v>-45638858.292999998</v>
      </c>
      <c r="I312" s="833">
        <v>-109849304.809</v>
      </c>
      <c r="J312" s="833">
        <v>-115273675.697</v>
      </c>
      <c r="K312" s="833">
        <v>-112804860.442</v>
      </c>
      <c r="L312" s="1018">
        <v>-158695524.79800001</v>
      </c>
      <c r="M312" s="451"/>
      <c r="N312" t="str">
        <f>VLOOKUP(A312, 'P&amp;L'!A:B,1,FALSE)</f>
        <v>306000000_Result</v>
      </c>
      <c r="O312" t="e">
        <f>VLOOKUP(A312, KeyData!A:C,1,FALSE)</f>
        <v>#N/A</v>
      </c>
      <c r="P312" s="451"/>
    </row>
    <row r="313" spans="1:16" x14ac:dyDescent="0.25">
      <c r="A313" s="451" t="str">
        <f t="shared" si="4"/>
        <v>306500000_#</v>
      </c>
      <c r="B313" s="1009" t="s">
        <v>783</v>
      </c>
      <c r="C313" s="810" t="s">
        <v>782</v>
      </c>
      <c r="D313" s="805" t="s">
        <v>1167</v>
      </c>
      <c r="E313" s="1016" t="s">
        <v>1168</v>
      </c>
      <c r="F313" s="612"/>
      <c r="G313" s="612">
        <v>-41026005.261</v>
      </c>
      <c r="H313" s="612">
        <v>-44938247.575999998</v>
      </c>
      <c r="I313" s="612">
        <v>-106812052.976</v>
      </c>
      <c r="J313" s="612">
        <v>-114600012.16</v>
      </c>
      <c r="K313" s="612">
        <v>-111875677.075</v>
      </c>
      <c r="L313" s="1017">
        <v>-152991108.14199999</v>
      </c>
      <c r="M313" s="451"/>
      <c r="N313" t="e">
        <f>VLOOKUP(A313, 'P&amp;L'!A:B,1,FALSE)</f>
        <v>#N/A</v>
      </c>
      <c r="O313" t="e">
        <f>VLOOKUP(A313, KeyData!A:C,1,FALSE)</f>
        <v>#N/A</v>
      </c>
      <c r="P313" s="451"/>
    </row>
    <row r="314" spans="1:16" x14ac:dyDescent="0.25">
      <c r="A314" s="451" t="str">
        <f t="shared" si="4"/>
        <v>306500000_Result</v>
      </c>
      <c r="B314" s="1009" t="s">
        <v>783</v>
      </c>
      <c r="C314" s="810" t="s">
        <v>782</v>
      </c>
      <c r="D314" s="834" t="s">
        <v>1160</v>
      </c>
      <c r="E314" s="1020"/>
      <c r="F314" s="833"/>
      <c r="G314" s="833">
        <v>-41026005.261</v>
      </c>
      <c r="H314" s="833">
        <v>-44938247.575999998</v>
      </c>
      <c r="I314" s="833">
        <v>-106812052.976</v>
      </c>
      <c r="J314" s="833">
        <v>-114600012.16</v>
      </c>
      <c r="K314" s="833">
        <v>-111875677.075</v>
      </c>
      <c r="L314" s="1018">
        <v>-152991108.14199999</v>
      </c>
      <c r="M314" s="451"/>
      <c r="N314" t="str">
        <f>VLOOKUP(A314, 'P&amp;L'!A:B,1,FALSE)</f>
        <v>306500000_Result</v>
      </c>
      <c r="O314" t="e">
        <f>VLOOKUP(A314, KeyData!A:C,1,FALSE)</f>
        <v>#N/A</v>
      </c>
      <c r="P314" s="451"/>
    </row>
    <row r="315" spans="1:16" x14ac:dyDescent="0.25">
      <c r="A315" s="451" t="str">
        <f t="shared" si="4"/>
        <v>306501100_#</v>
      </c>
      <c r="B315" s="1010" t="s">
        <v>781</v>
      </c>
      <c r="C315" s="811" t="s">
        <v>687</v>
      </c>
      <c r="D315" s="805" t="s">
        <v>1167</v>
      </c>
      <c r="E315" s="1016" t="s">
        <v>1168</v>
      </c>
      <c r="F315" s="612"/>
      <c r="G315" s="612">
        <v>-98645.562999999995</v>
      </c>
      <c r="H315" s="612">
        <v>-17269.848000000002</v>
      </c>
      <c r="I315" s="612"/>
      <c r="J315" s="612">
        <v>-14305.748</v>
      </c>
      <c r="K315" s="612">
        <v>-45740.097999999998</v>
      </c>
      <c r="L315" s="1017"/>
      <c r="M315" s="451"/>
      <c r="N315" t="e">
        <f>VLOOKUP(A315, 'P&amp;L'!A:B,1,FALSE)</f>
        <v>#N/A</v>
      </c>
      <c r="O315" t="e">
        <f>VLOOKUP(A315, KeyData!A:C,1,FALSE)</f>
        <v>#N/A</v>
      </c>
      <c r="P315" s="451"/>
    </row>
    <row r="316" spans="1:16" x14ac:dyDescent="0.25">
      <c r="A316" s="451" t="str">
        <f t="shared" si="4"/>
        <v>306501100_Result</v>
      </c>
      <c r="B316" s="1010" t="s">
        <v>781</v>
      </c>
      <c r="C316" s="811" t="s">
        <v>687</v>
      </c>
      <c r="D316" s="834" t="s">
        <v>1160</v>
      </c>
      <c r="E316" s="1020"/>
      <c r="F316" s="833"/>
      <c r="G316" s="833">
        <v>-98645.562999999995</v>
      </c>
      <c r="H316" s="833">
        <v>-17269.848000000002</v>
      </c>
      <c r="I316" s="833"/>
      <c r="J316" s="833">
        <v>-14305.748</v>
      </c>
      <c r="K316" s="833">
        <v>-45740.097999999998</v>
      </c>
      <c r="L316" s="1018"/>
      <c r="M316" s="451"/>
      <c r="N316" t="str">
        <f>VLOOKUP(A316, 'P&amp;L'!A:B,1,FALSE)</f>
        <v>306501100_Result</v>
      </c>
      <c r="O316" t="e">
        <f>VLOOKUP(A316, KeyData!A:C,1,FALSE)</f>
        <v>#N/A</v>
      </c>
      <c r="P316" s="451"/>
    </row>
    <row r="317" spans="1:16" x14ac:dyDescent="0.25">
      <c r="A317" s="451" t="str">
        <f t="shared" si="4"/>
        <v>306501600_#</v>
      </c>
      <c r="B317" s="1010" t="s">
        <v>780</v>
      </c>
      <c r="C317" s="811" t="s">
        <v>779</v>
      </c>
      <c r="D317" s="805" t="s">
        <v>1167</v>
      </c>
      <c r="E317" s="1016" t="s">
        <v>1168</v>
      </c>
      <c r="F317" s="612"/>
      <c r="G317" s="612">
        <v>-40311516.375</v>
      </c>
      <c r="H317" s="612">
        <v>-44263402.145000003</v>
      </c>
      <c r="I317" s="612">
        <v>-105368782.76199999</v>
      </c>
      <c r="J317" s="612">
        <v>-112780737.08499999</v>
      </c>
      <c r="K317" s="612">
        <v>-110092952.84999999</v>
      </c>
      <c r="L317" s="1017">
        <v>-150867616.69999999</v>
      </c>
      <c r="M317" s="451"/>
      <c r="N317" t="e">
        <f>VLOOKUP(A317, 'P&amp;L'!A:B,1,FALSE)</f>
        <v>#N/A</v>
      </c>
      <c r="O317" t="e">
        <f>VLOOKUP(A317, KeyData!A:C,1,FALSE)</f>
        <v>#N/A</v>
      </c>
      <c r="P317" s="451"/>
    </row>
    <row r="318" spans="1:16" x14ac:dyDescent="0.25">
      <c r="A318" s="451" t="str">
        <f t="shared" si="4"/>
        <v>306501600_Result</v>
      </c>
      <c r="B318" s="1010" t="s">
        <v>780</v>
      </c>
      <c r="C318" s="811" t="s">
        <v>779</v>
      </c>
      <c r="D318" s="834" t="s">
        <v>1160</v>
      </c>
      <c r="E318" s="1020"/>
      <c r="F318" s="833"/>
      <c r="G318" s="833">
        <v>-40311516.375</v>
      </c>
      <c r="H318" s="833">
        <v>-44263402.145000003</v>
      </c>
      <c r="I318" s="833">
        <v>-105368782.76199999</v>
      </c>
      <c r="J318" s="833">
        <v>-112780737.08499999</v>
      </c>
      <c r="K318" s="833">
        <v>-110092952.84999999</v>
      </c>
      <c r="L318" s="1018">
        <v>-150867616.69999999</v>
      </c>
      <c r="M318" s="451"/>
      <c r="N318" t="str">
        <f>VLOOKUP(A318, 'P&amp;L'!A:B,1,FALSE)</f>
        <v>306501600_Result</v>
      </c>
      <c r="O318" t="e">
        <f>VLOOKUP(A318, KeyData!A:C,1,FALSE)</f>
        <v>#N/A</v>
      </c>
      <c r="P318" s="451"/>
    </row>
    <row r="319" spans="1:16" x14ac:dyDescent="0.25">
      <c r="A319" s="451" t="str">
        <f t="shared" si="4"/>
        <v>307000000_#</v>
      </c>
      <c r="B319" s="1011" t="s">
        <v>778</v>
      </c>
      <c r="C319" s="811" t="s">
        <v>777</v>
      </c>
      <c r="D319" s="805" t="s">
        <v>1167</v>
      </c>
      <c r="E319" s="1016" t="s">
        <v>1168</v>
      </c>
      <c r="F319" s="612"/>
      <c r="G319" s="612">
        <v>-615843.32299999997</v>
      </c>
      <c r="H319" s="612">
        <v>-657575.58299999998</v>
      </c>
      <c r="I319" s="612">
        <v>-1443270.2139999999</v>
      </c>
      <c r="J319" s="612">
        <v>-1804969.327</v>
      </c>
      <c r="K319" s="612">
        <v>-1736984.1270000001</v>
      </c>
      <c r="L319" s="1017">
        <v>-2123491.4419999998</v>
      </c>
      <c r="M319" s="451"/>
      <c r="N319" t="e">
        <f>VLOOKUP(A319, 'P&amp;L'!A:B,1,FALSE)</f>
        <v>#N/A</v>
      </c>
      <c r="O319" t="e">
        <f>VLOOKUP(A319, KeyData!A:C,1,FALSE)</f>
        <v>#N/A</v>
      </c>
      <c r="P319" s="451"/>
    </row>
    <row r="320" spans="1:16" x14ac:dyDescent="0.25">
      <c r="A320" s="451" t="str">
        <f t="shared" si="4"/>
        <v>307000000_Result</v>
      </c>
      <c r="B320" s="1011" t="s">
        <v>778</v>
      </c>
      <c r="C320" s="811" t="s">
        <v>777</v>
      </c>
      <c r="D320" s="834" t="s">
        <v>1160</v>
      </c>
      <c r="E320" s="1020"/>
      <c r="F320" s="833"/>
      <c r="G320" s="833">
        <v>-615843.32299999997</v>
      </c>
      <c r="H320" s="833">
        <v>-657575.58299999998</v>
      </c>
      <c r="I320" s="833">
        <v>-1443270.2139999999</v>
      </c>
      <c r="J320" s="833">
        <v>-1804969.327</v>
      </c>
      <c r="K320" s="833">
        <v>-1736984.1270000001</v>
      </c>
      <c r="L320" s="1018">
        <v>-2123491.4419999998</v>
      </c>
      <c r="M320" s="451"/>
      <c r="N320" t="str">
        <f>VLOOKUP(A320, 'P&amp;L'!A:B,1,FALSE)</f>
        <v>307000000_Result</v>
      </c>
      <c r="O320" t="e">
        <f>VLOOKUP(A320, KeyData!A:C,1,FALSE)</f>
        <v>#N/A</v>
      </c>
      <c r="P320" s="451"/>
    </row>
    <row r="321" spans="1:16" x14ac:dyDescent="0.25">
      <c r="A321" s="451" t="str">
        <f t="shared" si="4"/>
        <v>307001600_#</v>
      </c>
      <c r="B321" s="1012" t="s">
        <v>776</v>
      </c>
      <c r="C321" s="811" t="s">
        <v>684</v>
      </c>
      <c r="D321" s="805" t="s">
        <v>1167</v>
      </c>
      <c r="E321" s="1016" t="s">
        <v>1168</v>
      </c>
      <c r="F321" s="612"/>
      <c r="G321" s="612">
        <v>-388085.81400000001</v>
      </c>
      <c r="H321" s="612">
        <v>-420624.29700000002</v>
      </c>
      <c r="I321" s="612">
        <v>-951537.50899999996</v>
      </c>
      <c r="J321" s="612">
        <v>-1142033.291</v>
      </c>
      <c r="K321" s="612">
        <v>-1111077.9450000001</v>
      </c>
      <c r="L321" s="1017">
        <v>-1339175.446</v>
      </c>
      <c r="M321" s="451"/>
      <c r="N321" t="e">
        <f>VLOOKUP(A321, 'P&amp;L'!A:B,1,FALSE)</f>
        <v>#N/A</v>
      </c>
      <c r="O321" t="e">
        <f>VLOOKUP(A321, KeyData!A:C,1,FALSE)</f>
        <v>#N/A</v>
      </c>
      <c r="P321" s="451"/>
    </row>
    <row r="322" spans="1:16" x14ac:dyDescent="0.25">
      <c r="A322" s="451" t="str">
        <f t="shared" si="4"/>
        <v>307001600_Result</v>
      </c>
      <c r="B322" s="1012" t="s">
        <v>776</v>
      </c>
      <c r="C322" s="811" t="s">
        <v>684</v>
      </c>
      <c r="D322" s="834" t="s">
        <v>1160</v>
      </c>
      <c r="E322" s="1020"/>
      <c r="F322" s="833"/>
      <c r="G322" s="833">
        <v>-388085.81400000001</v>
      </c>
      <c r="H322" s="833">
        <v>-420624.29700000002</v>
      </c>
      <c r="I322" s="833">
        <v>-951537.50899999996</v>
      </c>
      <c r="J322" s="833">
        <v>-1142033.291</v>
      </c>
      <c r="K322" s="833">
        <v>-1111077.9450000001</v>
      </c>
      <c r="L322" s="1018">
        <v>-1339175.446</v>
      </c>
      <c r="M322" s="451"/>
      <c r="N322" t="str">
        <f>VLOOKUP(A322, 'P&amp;L'!A:B,1,FALSE)</f>
        <v>307001600_Result</v>
      </c>
      <c r="O322" t="e">
        <f>VLOOKUP(A322, KeyData!A:C,1,FALSE)</f>
        <v>#N/A</v>
      </c>
      <c r="P322" s="451"/>
    </row>
    <row r="323" spans="1:16" x14ac:dyDescent="0.25">
      <c r="A323" s="451" t="str">
        <f t="shared" ref="A323:A386" si="5" xml:space="preserve"> IFERROR(+B323*1,B323)&amp;"_"&amp;IFERROR(+D323*1,D323)</f>
        <v>307002100_#</v>
      </c>
      <c r="B323" s="1012" t="s">
        <v>775</v>
      </c>
      <c r="C323" s="811" t="s">
        <v>683</v>
      </c>
      <c r="D323" s="805" t="s">
        <v>1167</v>
      </c>
      <c r="E323" s="1016" t="s">
        <v>1168</v>
      </c>
      <c r="F323" s="612"/>
      <c r="G323" s="612">
        <v>-227757.50899999999</v>
      </c>
      <c r="H323" s="612">
        <v>-236951.28599999999</v>
      </c>
      <c r="I323" s="612">
        <v>-491732.70500000002</v>
      </c>
      <c r="J323" s="612">
        <v>-662936.03599999996</v>
      </c>
      <c r="K323" s="612">
        <v>-625906.18200000003</v>
      </c>
      <c r="L323" s="1017">
        <v>-784315.99600000004</v>
      </c>
      <c r="M323" s="451"/>
      <c r="N323" t="e">
        <f>VLOOKUP(A323, 'P&amp;L'!A:B,1,FALSE)</f>
        <v>#N/A</v>
      </c>
      <c r="O323" t="e">
        <f>VLOOKUP(A323, KeyData!A:C,1,FALSE)</f>
        <v>#N/A</v>
      </c>
      <c r="P323" s="451"/>
    </row>
    <row r="324" spans="1:16" x14ac:dyDescent="0.25">
      <c r="A324" s="451" t="str">
        <f t="shared" si="5"/>
        <v>307002100_Result</v>
      </c>
      <c r="B324" s="1012" t="s">
        <v>775</v>
      </c>
      <c r="C324" s="811" t="s">
        <v>683</v>
      </c>
      <c r="D324" s="834" t="s">
        <v>1160</v>
      </c>
      <c r="E324" s="1020"/>
      <c r="F324" s="833"/>
      <c r="G324" s="833">
        <v>-227757.50899999999</v>
      </c>
      <c r="H324" s="833">
        <v>-236951.28599999999</v>
      </c>
      <c r="I324" s="833">
        <v>-491732.70500000002</v>
      </c>
      <c r="J324" s="833">
        <v>-662936.03599999996</v>
      </c>
      <c r="K324" s="833">
        <v>-625906.18200000003</v>
      </c>
      <c r="L324" s="1018">
        <v>-784315.99600000004</v>
      </c>
      <c r="M324" s="451"/>
      <c r="N324" t="str">
        <f>VLOOKUP(A324, 'P&amp;L'!A:B,1,FALSE)</f>
        <v>307002100_Result</v>
      </c>
      <c r="O324" t="e">
        <f>VLOOKUP(A324, KeyData!A:C,1,FALSE)</f>
        <v>#N/A</v>
      </c>
      <c r="P324" s="451"/>
    </row>
    <row r="325" spans="1:16" x14ac:dyDescent="0.25">
      <c r="A325" s="451" t="str">
        <f t="shared" si="5"/>
        <v>307500000_#</v>
      </c>
      <c r="B325" s="1009" t="s">
        <v>774</v>
      </c>
      <c r="C325" s="810" t="s">
        <v>681</v>
      </c>
      <c r="D325" s="805" t="s">
        <v>1167</v>
      </c>
      <c r="E325" s="1016" t="s">
        <v>1168</v>
      </c>
      <c r="F325" s="612"/>
      <c r="G325" s="612">
        <v>-7576944.6749999998</v>
      </c>
      <c r="H325" s="612">
        <v>-700610.71699999995</v>
      </c>
      <c r="I325" s="612">
        <v>-3037251.8330000001</v>
      </c>
      <c r="J325" s="612">
        <v>-673663.53700000001</v>
      </c>
      <c r="K325" s="612">
        <v>-929183.36699999997</v>
      </c>
      <c r="L325" s="1017">
        <v>-5704416.6560000004</v>
      </c>
      <c r="M325" s="451"/>
      <c r="N325" t="e">
        <f>VLOOKUP(A325, 'P&amp;L'!A:B,1,FALSE)</f>
        <v>#N/A</v>
      </c>
      <c r="O325" t="e">
        <f>VLOOKUP(A325, KeyData!A:C,1,FALSE)</f>
        <v>#N/A</v>
      </c>
      <c r="P325" s="451"/>
    </row>
    <row r="326" spans="1:16" x14ac:dyDescent="0.25">
      <c r="A326" s="451" t="str">
        <f t="shared" si="5"/>
        <v>307500000_Result</v>
      </c>
      <c r="B326" s="1009" t="s">
        <v>774</v>
      </c>
      <c r="C326" s="810" t="s">
        <v>681</v>
      </c>
      <c r="D326" s="834" t="s">
        <v>1160</v>
      </c>
      <c r="E326" s="1020"/>
      <c r="F326" s="833"/>
      <c r="G326" s="833">
        <v>-7576944.6749999998</v>
      </c>
      <c r="H326" s="833">
        <v>-700610.71699999995</v>
      </c>
      <c r="I326" s="833">
        <v>-3037251.8330000001</v>
      </c>
      <c r="J326" s="833">
        <v>-673663.53700000001</v>
      </c>
      <c r="K326" s="833">
        <v>-929183.36699999997</v>
      </c>
      <c r="L326" s="1018">
        <v>-5704416.6560000004</v>
      </c>
      <c r="M326" s="451"/>
      <c r="N326" t="str">
        <f>VLOOKUP(A326, 'P&amp;L'!A:B,1,FALSE)</f>
        <v>307500000_Result</v>
      </c>
      <c r="O326" t="e">
        <f>VLOOKUP(A326, KeyData!A:C,1,FALSE)</f>
        <v>#N/A</v>
      </c>
      <c r="P326" s="451"/>
    </row>
    <row r="327" spans="1:16" x14ac:dyDescent="0.25">
      <c r="A327" s="451" t="str">
        <f t="shared" si="5"/>
        <v>308000000_#</v>
      </c>
      <c r="B327" s="1011" t="s">
        <v>773</v>
      </c>
      <c r="C327" s="811" t="s">
        <v>772</v>
      </c>
      <c r="D327" s="805" t="s">
        <v>1167</v>
      </c>
      <c r="E327" s="1016" t="s">
        <v>1168</v>
      </c>
      <c r="F327" s="612"/>
      <c r="G327" s="612">
        <v>-6399395.7939999998</v>
      </c>
      <c r="H327" s="612">
        <v>-80160.665999999997</v>
      </c>
      <c r="I327" s="612"/>
      <c r="J327" s="612">
        <v>2524102.202</v>
      </c>
      <c r="K327" s="612">
        <v>1939397.75</v>
      </c>
      <c r="L327" s="1017"/>
      <c r="M327" s="451"/>
      <c r="N327" t="e">
        <f>VLOOKUP(A327, 'P&amp;L'!A:B,1,FALSE)</f>
        <v>#N/A</v>
      </c>
      <c r="O327" t="e">
        <f>VLOOKUP(A327, KeyData!A:C,1,FALSE)</f>
        <v>#N/A</v>
      </c>
      <c r="P327" s="451"/>
    </row>
    <row r="328" spans="1:16" x14ac:dyDescent="0.25">
      <c r="A328" s="451" t="str">
        <f t="shared" si="5"/>
        <v>308000000_Result</v>
      </c>
      <c r="B328" s="1011" t="s">
        <v>773</v>
      </c>
      <c r="C328" s="811" t="s">
        <v>772</v>
      </c>
      <c r="D328" s="834" t="s">
        <v>1160</v>
      </c>
      <c r="E328" s="1020"/>
      <c r="F328" s="833"/>
      <c r="G328" s="833">
        <v>-6399395.7939999998</v>
      </c>
      <c r="H328" s="833">
        <v>-80160.665999999997</v>
      </c>
      <c r="I328" s="833"/>
      <c r="J328" s="833">
        <v>2524102.202</v>
      </c>
      <c r="K328" s="833">
        <v>1939397.75</v>
      </c>
      <c r="L328" s="1018"/>
      <c r="M328" s="451"/>
      <c r="N328" t="str">
        <f>VLOOKUP(A328, 'P&amp;L'!A:B,1,FALSE)</f>
        <v>308000000_Result</v>
      </c>
      <c r="O328" t="e">
        <f>VLOOKUP(A328, KeyData!A:C,1,FALSE)</f>
        <v>#N/A</v>
      </c>
      <c r="P328" s="451"/>
    </row>
    <row r="329" spans="1:16" x14ac:dyDescent="0.25">
      <c r="A329" s="451" t="str">
        <f t="shared" si="5"/>
        <v>308001200_#</v>
      </c>
      <c r="B329" s="1013" t="s">
        <v>875</v>
      </c>
      <c r="C329" s="811" t="s">
        <v>771</v>
      </c>
      <c r="D329" s="805" t="s">
        <v>1167</v>
      </c>
      <c r="E329" s="1016" t="s">
        <v>1168</v>
      </c>
      <c r="F329" s="612"/>
      <c r="G329" s="612">
        <v>-6716195.1220000004</v>
      </c>
      <c r="H329" s="612">
        <v>296517.141</v>
      </c>
      <c r="I329" s="612"/>
      <c r="J329" s="612">
        <v>2714270.0150000001</v>
      </c>
      <c r="K329" s="612">
        <v>2457305.557</v>
      </c>
      <c r="L329" s="1017"/>
      <c r="M329" s="451"/>
      <c r="N329" t="e">
        <f>VLOOKUP(A329, 'P&amp;L'!A:B,1,FALSE)</f>
        <v>#N/A</v>
      </c>
      <c r="O329" t="e">
        <f>VLOOKUP(A329, KeyData!A:C,1,FALSE)</f>
        <v>#N/A</v>
      </c>
      <c r="P329" s="451"/>
    </row>
    <row r="330" spans="1:16" x14ac:dyDescent="0.25">
      <c r="A330" s="451" t="str">
        <f t="shared" si="5"/>
        <v>308001200_Result</v>
      </c>
      <c r="B330" s="1013" t="s">
        <v>875</v>
      </c>
      <c r="C330" s="811" t="s">
        <v>771</v>
      </c>
      <c r="D330" s="834" t="s">
        <v>1160</v>
      </c>
      <c r="E330" s="1020"/>
      <c r="F330" s="833"/>
      <c r="G330" s="833">
        <v>-6716195.1220000004</v>
      </c>
      <c r="H330" s="833">
        <v>296517.141</v>
      </c>
      <c r="I330" s="833"/>
      <c r="J330" s="833">
        <v>2714270.0150000001</v>
      </c>
      <c r="K330" s="833">
        <v>2457305.557</v>
      </c>
      <c r="L330" s="1018"/>
      <c r="M330" s="451"/>
      <c r="N330" t="str">
        <f>VLOOKUP(A330, 'P&amp;L'!A:B,1,FALSE)</f>
        <v>308001200_Result</v>
      </c>
      <c r="O330" t="e">
        <f>VLOOKUP(A330, KeyData!A:C,1,FALSE)</f>
        <v>#N/A</v>
      </c>
      <c r="P330" s="451"/>
    </row>
    <row r="331" spans="1:16" x14ac:dyDescent="0.25">
      <c r="A331" s="451" t="str">
        <f t="shared" si="5"/>
        <v>308001210_#</v>
      </c>
      <c r="B331" s="1014" t="s">
        <v>876</v>
      </c>
      <c r="C331" s="811" t="s">
        <v>877</v>
      </c>
      <c r="D331" s="805" t="s">
        <v>1167</v>
      </c>
      <c r="E331" s="1016" t="s">
        <v>1168</v>
      </c>
      <c r="F331" s="612"/>
      <c r="G331" s="612">
        <v>-4401322.6550000003</v>
      </c>
      <c r="H331" s="612">
        <v>247195.633</v>
      </c>
      <c r="I331" s="612"/>
      <c r="J331" s="612">
        <v>2604743.909</v>
      </c>
      <c r="K331" s="612">
        <v>2349984.577</v>
      </c>
      <c r="L331" s="1017"/>
      <c r="M331" s="451"/>
      <c r="N331" t="e">
        <f>VLOOKUP(A331, 'P&amp;L'!A:B,1,FALSE)</f>
        <v>#N/A</v>
      </c>
      <c r="O331" t="e">
        <f>VLOOKUP(A331, KeyData!A:C,1,FALSE)</f>
        <v>#N/A</v>
      </c>
      <c r="P331" s="451"/>
    </row>
    <row r="332" spans="1:16" x14ac:dyDescent="0.25">
      <c r="A332" s="451" t="str">
        <f t="shared" si="5"/>
        <v>308001210_Result</v>
      </c>
      <c r="B332" s="1014" t="s">
        <v>876</v>
      </c>
      <c r="C332" s="811" t="s">
        <v>877</v>
      </c>
      <c r="D332" s="834" t="s">
        <v>1160</v>
      </c>
      <c r="E332" s="1020"/>
      <c r="F332" s="833"/>
      <c r="G332" s="833">
        <v>-4401322.6550000003</v>
      </c>
      <c r="H332" s="833">
        <v>247195.633</v>
      </c>
      <c r="I332" s="833"/>
      <c r="J332" s="833">
        <v>2604743.909</v>
      </c>
      <c r="K332" s="833">
        <v>2349984.577</v>
      </c>
      <c r="L332" s="1018"/>
      <c r="M332" s="451"/>
      <c r="N332" t="e">
        <f>VLOOKUP(A332, 'P&amp;L'!A:B,1,FALSE)</f>
        <v>#N/A</v>
      </c>
      <c r="O332" t="e">
        <f>VLOOKUP(A332, KeyData!A:C,1,FALSE)</f>
        <v>#N/A</v>
      </c>
      <c r="P332" s="451"/>
    </row>
    <row r="333" spans="1:16" x14ac:dyDescent="0.25">
      <c r="A333" s="451" t="str">
        <f t="shared" si="5"/>
        <v>308001250_#</v>
      </c>
      <c r="B333" s="1014" t="s">
        <v>878</v>
      </c>
      <c r="C333" s="811" t="s">
        <v>879</v>
      </c>
      <c r="D333" s="805" t="s">
        <v>1167</v>
      </c>
      <c r="E333" s="1016" t="s">
        <v>1168</v>
      </c>
      <c r="F333" s="612"/>
      <c r="G333" s="612">
        <v>-2314872.4670000002</v>
      </c>
      <c r="H333" s="612">
        <v>49321.508000000002</v>
      </c>
      <c r="I333" s="612"/>
      <c r="J333" s="612">
        <v>109526.106</v>
      </c>
      <c r="K333" s="612">
        <v>107320.98</v>
      </c>
      <c r="L333" s="1017"/>
      <c r="M333" s="451"/>
      <c r="N333" t="e">
        <f>VLOOKUP(A333, 'P&amp;L'!A:B,1,FALSE)</f>
        <v>#N/A</v>
      </c>
      <c r="O333" t="e">
        <f>VLOOKUP(A333, KeyData!A:C,1,FALSE)</f>
        <v>#N/A</v>
      </c>
      <c r="P333" s="451"/>
    </row>
    <row r="334" spans="1:16" x14ac:dyDescent="0.25">
      <c r="A334" s="451" t="str">
        <f t="shared" si="5"/>
        <v>308001250_Result</v>
      </c>
      <c r="B334" s="1014" t="s">
        <v>878</v>
      </c>
      <c r="C334" s="811" t="s">
        <v>879</v>
      </c>
      <c r="D334" s="834" t="s">
        <v>1160</v>
      </c>
      <c r="E334" s="1020"/>
      <c r="F334" s="833"/>
      <c r="G334" s="833">
        <v>-2314872.4670000002</v>
      </c>
      <c r="H334" s="833">
        <v>49321.508000000002</v>
      </c>
      <c r="I334" s="833"/>
      <c r="J334" s="833">
        <v>109526.106</v>
      </c>
      <c r="K334" s="833">
        <v>107320.98</v>
      </c>
      <c r="L334" s="1018"/>
      <c r="M334" s="451"/>
      <c r="N334" t="e">
        <f>VLOOKUP(A334, 'P&amp;L'!A:B,1,FALSE)</f>
        <v>#N/A</v>
      </c>
      <c r="O334" t="e">
        <f>VLOOKUP(A334, KeyData!A:C,1,FALSE)</f>
        <v>#N/A</v>
      </c>
      <c r="P334" s="451"/>
    </row>
    <row r="335" spans="1:16" x14ac:dyDescent="0.25">
      <c r="A335" s="451" t="str">
        <f t="shared" si="5"/>
        <v>308001600_#</v>
      </c>
      <c r="B335" s="1012" t="s">
        <v>820</v>
      </c>
      <c r="C335" s="811" t="s">
        <v>819</v>
      </c>
      <c r="D335" s="805" t="s">
        <v>1167</v>
      </c>
      <c r="E335" s="1016" t="s">
        <v>1168</v>
      </c>
      <c r="F335" s="612"/>
      <c r="G335" s="612">
        <v>424854.48300000001</v>
      </c>
      <c r="H335" s="612">
        <v>-369749.28600000002</v>
      </c>
      <c r="I335" s="612"/>
      <c r="J335" s="612">
        <v>-43886.997000000003</v>
      </c>
      <c r="K335" s="612">
        <v>-369749.28600000002</v>
      </c>
      <c r="L335" s="1017"/>
      <c r="M335" s="451"/>
      <c r="N335" t="e">
        <f>VLOOKUP(A335, 'P&amp;L'!A:B,1,FALSE)</f>
        <v>#N/A</v>
      </c>
      <c r="O335" t="e">
        <f>VLOOKUP(A335, KeyData!A:C,1,FALSE)</f>
        <v>#N/A</v>
      </c>
      <c r="P335" s="451"/>
    </row>
    <row r="336" spans="1:16" x14ac:dyDescent="0.25">
      <c r="A336" s="451" t="str">
        <f t="shared" si="5"/>
        <v>308001600_Result</v>
      </c>
      <c r="B336" s="1012" t="s">
        <v>820</v>
      </c>
      <c r="C336" s="811" t="s">
        <v>819</v>
      </c>
      <c r="D336" s="834" t="s">
        <v>1160</v>
      </c>
      <c r="E336" s="1020"/>
      <c r="F336" s="833"/>
      <c r="G336" s="833">
        <v>424854.48300000001</v>
      </c>
      <c r="H336" s="833">
        <v>-369749.28600000002</v>
      </c>
      <c r="I336" s="833"/>
      <c r="J336" s="833">
        <v>-43886.997000000003</v>
      </c>
      <c r="K336" s="833">
        <v>-369749.28600000002</v>
      </c>
      <c r="L336" s="1018"/>
      <c r="M336" s="451"/>
      <c r="N336" t="str">
        <f>VLOOKUP(A336, 'P&amp;L'!A:B,1,FALSE)</f>
        <v>308001600_Result</v>
      </c>
      <c r="O336" t="e">
        <f>VLOOKUP(A336, KeyData!A:C,1,FALSE)</f>
        <v>#N/A</v>
      </c>
      <c r="P336" s="451"/>
    </row>
    <row r="337" spans="1:16" x14ac:dyDescent="0.25">
      <c r="A337" s="451" t="str">
        <f t="shared" si="5"/>
        <v>308002100_#</v>
      </c>
      <c r="B337" s="1012" t="s">
        <v>818</v>
      </c>
      <c r="C337" s="811" t="s">
        <v>1073</v>
      </c>
      <c r="D337" s="805" t="s">
        <v>1167</v>
      </c>
      <c r="E337" s="1016" t="s">
        <v>1168</v>
      </c>
      <c r="F337" s="612"/>
      <c r="G337" s="612">
        <v>-108055.155</v>
      </c>
      <c r="H337" s="612">
        <v>-6928.5209999999997</v>
      </c>
      <c r="I337" s="612"/>
      <c r="J337" s="612">
        <v>-146280.81599999999</v>
      </c>
      <c r="K337" s="612">
        <v>-148158.52100000001</v>
      </c>
      <c r="L337" s="1017"/>
      <c r="M337" s="451"/>
      <c r="N337" t="e">
        <f>VLOOKUP(A337, 'P&amp;L'!A:B,1,FALSE)</f>
        <v>#N/A</v>
      </c>
      <c r="O337" t="e">
        <f>VLOOKUP(A337, KeyData!A:C,1,FALSE)</f>
        <v>#N/A</v>
      </c>
      <c r="P337" s="451"/>
    </row>
    <row r="338" spans="1:16" x14ac:dyDescent="0.25">
      <c r="A338" s="451" t="str">
        <f t="shared" si="5"/>
        <v>308002100_Result</v>
      </c>
      <c r="B338" s="1012" t="s">
        <v>818</v>
      </c>
      <c r="C338" s="811" t="s">
        <v>1073</v>
      </c>
      <c r="D338" s="834" t="s">
        <v>1160</v>
      </c>
      <c r="E338" s="1020"/>
      <c r="F338" s="833"/>
      <c r="G338" s="833">
        <v>-108055.155</v>
      </c>
      <c r="H338" s="833">
        <v>-6928.5209999999997</v>
      </c>
      <c r="I338" s="833"/>
      <c r="J338" s="833">
        <v>-146280.81599999999</v>
      </c>
      <c r="K338" s="833">
        <v>-148158.52100000001</v>
      </c>
      <c r="L338" s="1018"/>
      <c r="M338" s="451"/>
      <c r="N338" t="str">
        <f>VLOOKUP(A338, 'P&amp;L'!A:B,1,FALSE)</f>
        <v>308002100_Result</v>
      </c>
      <c r="O338" t="e">
        <f>VLOOKUP(A338, KeyData!A:C,1,FALSE)</f>
        <v>#N/A</v>
      </c>
      <c r="P338" s="451"/>
    </row>
    <row r="339" spans="1:16" x14ac:dyDescent="0.25">
      <c r="A339" s="451" t="str">
        <f t="shared" si="5"/>
        <v>308500000_#</v>
      </c>
      <c r="B339" s="1011" t="s">
        <v>770</v>
      </c>
      <c r="C339" s="811" t="s">
        <v>769</v>
      </c>
      <c r="D339" s="805" t="s">
        <v>1167</v>
      </c>
      <c r="E339" s="1016" t="s">
        <v>1168</v>
      </c>
      <c r="F339" s="612"/>
      <c r="G339" s="612">
        <v>-899582.55299999996</v>
      </c>
      <c r="H339" s="612">
        <v>-578067.24899999995</v>
      </c>
      <c r="I339" s="612">
        <v>-2424101.11</v>
      </c>
      <c r="J339" s="612">
        <v>-2604182.2779999999</v>
      </c>
      <c r="K339" s="612">
        <v>-2486200.14</v>
      </c>
      <c r="L339" s="1017">
        <v>-4807963.6500000004</v>
      </c>
      <c r="M339" s="451"/>
      <c r="N339" t="e">
        <f>VLOOKUP(A339, 'P&amp;L'!A:B,1,FALSE)</f>
        <v>#N/A</v>
      </c>
      <c r="O339" t="e">
        <f>VLOOKUP(A339, KeyData!A:C,1,FALSE)</f>
        <v>#N/A</v>
      </c>
      <c r="P339" s="451"/>
    </row>
    <row r="340" spans="1:16" x14ac:dyDescent="0.25">
      <c r="A340" s="451" t="str">
        <f t="shared" si="5"/>
        <v>308500000_Result</v>
      </c>
      <c r="B340" s="1011" t="s">
        <v>770</v>
      </c>
      <c r="C340" s="811" t="s">
        <v>769</v>
      </c>
      <c r="D340" s="834" t="s">
        <v>1160</v>
      </c>
      <c r="E340" s="1020"/>
      <c r="F340" s="833"/>
      <c r="G340" s="833">
        <v>-899582.55299999996</v>
      </c>
      <c r="H340" s="833">
        <v>-578067.24899999995</v>
      </c>
      <c r="I340" s="833">
        <v>-2424101.11</v>
      </c>
      <c r="J340" s="833">
        <v>-2604182.2779999999</v>
      </c>
      <c r="K340" s="833">
        <v>-2486200.14</v>
      </c>
      <c r="L340" s="1018">
        <v>-4807963.6500000004</v>
      </c>
      <c r="M340" s="451"/>
      <c r="N340" t="str">
        <f>VLOOKUP(A340, 'P&amp;L'!A:B,1,FALSE)</f>
        <v>308500000_Result</v>
      </c>
      <c r="O340" t="e">
        <f>VLOOKUP(A340, KeyData!A:C,1,FALSE)</f>
        <v>#N/A</v>
      </c>
      <c r="P340" s="451"/>
    </row>
    <row r="341" spans="1:16" x14ac:dyDescent="0.25">
      <c r="A341" s="451" t="str">
        <f t="shared" si="5"/>
        <v>309500000_#</v>
      </c>
      <c r="B341" s="1013" t="s">
        <v>768</v>
      </c>
      <c r="C341" s="811" t="s">
        <v>767</v>
      </c>
      <c r="D341" s="805" t="s">
        <v>1167</v>
      </c>
      <c r="E341" s="1016" t="s">
        <v>1168</v>
      </c>
      <c r="F341" s="612"/>
      <c r="G341" s="612">
        <v>-899582.55299999996</v>
      </c>
      <c r="H341" s="612">
        <v>-578067.24899999995</v>
      </c>
      <c r="I341" s="612">
        <v>-2424101.11</v>
      </c>
      <c r="J341" s="612">
        <v>-2604182.2779999999</v>
      </c>
      <c r="K341" s="612">
        <v>-2486200.14</v>
      </c>
      <c r="L341" s="1017">
        <v>-4807963.6500000004</v>
      </c>
      <c r="M341" s="451"/>
      <c r="N341" t="e">
        <f>VLOOKUP(A341, 'P&amp;L'!A:B,1,FALSE)</f>
        <v>#N/A</v>
      </c>
      <c r="O341" t="e">
        <f>VLOOKUP(A341, KeyData!A:C,1,FALSE)</f>
        <v>#N/A</v>
      </c>
      <c r="P341" s="451"/>
    </row>
    <row r="342" spans="1:16" x14ac:dyDescent="0.25">
      <c r="A342" s="451" t="str">
        <f t="shared" si="5"/>
        <v>309500000_Result</v>
      </c>
      <c r="B342" s="1013" t="s">
        <v>768</v>
      </c>
      <c r="C342" s="811" t="s">
        <v>767</v>
      </c>
      <c r="D342" s="834" t="s">
        <v>1160</v>
      </c>
      <c r="E342" s="1020"/>
      <c r="F342" s="833"/>
      <c r="G342" s="833">
        <v>-899582.55299999996</v>
      </c>
      <c r="H342" s="833">
        <v>-578067.24899999995</v>
      </c>
      <c r="I342" s="833">
        <v>-2424101.11</v>
      </c>
      <c r="J342" s="833">
        <v>-2604182.2779999999</v>
      </c>
      <c r="K342" s="833">
        <v>-2486200.14</v>
      </c>
      <c r="L342" s="1018">
        <v>-4807963.6500000004</v>
      </c>
      <c r="M342" s="451"/>
      <c r="N342" t="e">
        <f>VLOOKUP(A342, 'P&amp;L'!A:B,1,FALSE)</f>
        <v>#N/A</v>
      </c>
      <c r="O342" t="e">
        <f>VLOOKUP(A342, KeyData!A:C,1,FALSE)</f>
        <v>#N/A</v>
      </c>
      <c r="P342" s="451"/>
    </row>
    <row r="343" spans="1:16" x14ac:dyDescent="0.25">
      <c r="A343" s="451" t="str">
        <f t="shared" si="5"/>
        <v>309501110_#</v>
      </c>
      <c r="B343" s="1014" t="s">
        <v>880</v>
      </c>
      <c r="C343" s="811" t="s">
        <v>1074</v>
      </c>
      <c r="D343" s="805" t="s">
        <v>1167</v>
      </c>
      <c r="E343" s="1016" t="s">
        <v>1168</v>
      </c>
      <c r="F343" s="612"/>
      <c r="G343" s="612">
        <v>10885.778</v>
      </c>
      <c r="H343" s="612">
        <v>7773.4110000000001</v>
      </c>
      <c r="I343" s="612"/>
      <c r="J343" s="612">
        <v>9090.6119999999992</v>
      </c>
      <c r="K343" s="612">
        <v>15546.822</v>
      </c>
      <c r="L343" s="1017"/>
      <c r="M343" s="451"/>
      <c r="N343" t="e">
        <f>VLOOKUP(A343, 'P&amp;L'!A:B,1,FALSE)</f>
        <v>#N/A</v>
      </c>
      <c r="O343" t="e">
        <f>VLOOKUP(A343, KeyData!A:C,1,FALSE)</f>
        <v>#N/A</v>
      </c>
      <c r="P343" s="451"/>
    </row>
    <row r="344" spans="1:16" x14ac:dyDescent="0.25">
      <c r="A344" s="451" t="str">
        <f t="shared" si="5"/>
        <v>309501110_Result</v>
      </c>
      <c r="B344" s="1014" t="s">
        <v>880</v>
      </c>
      <c r="C344" s="811" t="s">
        <v>1074</v>
      </c>
      <c r="D344" s="834" t="s">
        <v>1160</v>
      </c>
      <c r="E344" s="1020"/>
      <c r="F344" s="833"/>
      <c r="G344" s="833">
        <v>10885.778</v>
      </c>
      <c r="H344" s="833">
        <v>7773.4110000000001</v>
      </c>
      <c r="I344" s="833"/>
      <c r="J344" s="833">
        <v>9090.6119999999992</v>
      </c>
      <c r="K344" s="833">
        <v>15546.822</v>
      </c>
      <c r="L344" s="1018"/>
      <c r="M344" s="451"/>
      <c r="N344" t="str">
        <f>VLOOKUP(A344, 'P&amp;L'!A:B,1,FALSE)</f>
        <v>309501110_Result</v>
      </c>
      <c r="O344" t="e">
        <f>VLOOKUP(A344, KeyData!A:C,1,FALSE)</f>
        <v>#N/A</v>
      </c>
      <c r="P344" s="451"/>
    </row>
    <row r="345" spans="1:16" x14ac:dyDescent="0.25">
      <c r="A345" s="451" t="str">
        <f t="shared" si="5"/>
        <v>309501120_#</v>
      </c>
      <c r="B345" s="1014" t="s">
        <v>881</v>
      </c>
      <c r="C345" s="811" t="s">
        <v>1074</v>
      </c>
      <c r="D345" s="805" t="s">
        <v>1167</v>
      </c>
      <c r="E345" s="1016" t="s">
        <v>1168</v>
      </c>
      <c r="F345" s="612"/>
      <c r="G345" s="612">
        <v>7839.7740000000003</v>
      </c>
      <c r="H345" s="612">
        <v>-57735.146999999997</v>
      </c>
      <c r="I345" s="612"/>
      <c r="J345" s="612">
        <v>-106155.768</v>
      </c>
      <c r="K345" s="612">
        <v>-115470.29399999999</v>
      </c>
      <c r="L345" s="1017"/>
      <c r="M345" s="451"/>
      <c r="N345" t="e">
        <f>VLOOKUP(A345, 'P&amp;L'!A:B,1,FALSE)</f>
        <v>#N/A</v>
      </c>
      <c r="O345" t="e">
        <f>VLOOKUP(A345, KeyData!A:C,1,FALSE)</f>
        <v>#N/A</v>
      </c>
      <c r="P345" s="451"/>
    </row>
    <row r="346" spans="1:16" x14ac:dyDescent="0.25">
      <c r="A346" s="451" t="str">
        <f t="shared" si="5"/>
        <v>309501120_Result</v>
      </c>
      <c r="B346" s="1014" t="s">
        <v>881</v>
      </c>
      <c r="C346" s="811" t="s">
        <v>1074</v>
      </c>
      <c r="D346" s="834" t="s">
        <v>1160</v>
      </c>
      <c r="E346" s="1020"/>
      <c r="F346" s="833"/>
      <c r="G346" s="833">
        <v>7839.7740000000003</v>
      </c>
      <c r="H346" s="833">
        <v>-57735.146999999997</v>
      </c>
      <c r="I346" s="833"/>
      <c r="J346" s="833">
        <v>-106155.768</v>
      </c>
      <c r="K346" s="833">
        <v>-115470.29399999999</v>
      </c>
      <c r="L346" s="1018"/>
      <c r="M346" s="451"/>
      <c r="N346" t="str">
        <f>VLOOKUP(A346, 'P&amp;L'!A:B,1,FALSE)</f>
        <v>309501120_Result</v>
      </c>
      <c r="O346" t="e">
        <f>VLOOKUP(A346, KeyData!A:C,1,FALSE)</f>
        <v>#N/A</v>
      </c>
      <c r="P346" s="451"/>
    </row>
    <row r="347" spans="1:16" x14ac:dyDescent="0.25">
      <c r="A347" s="451" t="str">
        <f t="shared" si="5"/>
        <v>309501610_#</v>
      </c>
      <c r="B347" s="1014" t="s">
        <v>882</v>
      </c>
      <c r="C347" s="811" t="s">
        <v>883</v>
      </c>
      <c r="D347" s="805" t="s">
        <v>1167</v>
      </c>
      <c r="E347" s="1016" t="s">
        <v>1168</v>
      </c>
      <c r="F347" s="612"/>
      <c r="G347" s="612">
        <v>-140694.541</v>
      </c>
      <c r="H347" s="612">
        <v>12253.276</v>
      </c>
      <c r="I347" s="612"/>
      <c r="J347" s="612">
        <v>-206837.61199999999</v>
      </c>
      <c r="K347" s="612">
        <v>-364549.82199999999</v>
      </c>
      <c r="L347" s="1017"/>
      <c r="M347" s="451"/>
      <c r="N347" t="e">
        <f>VLOOKUP(A347, 'P&amp;L'!A:B,1,FALSE)</f>
        <v>#N/A</v>
      </c>
      <c r="O347" t="e">
        <f>VLOOKUP(A347, KeyData!A:C,1,FALSE)</f>
        <v>#N/A</v>
      </c>
      <c r="P347" s="451"/>
    </row>
    <row r="348" spans="1:16" x14ac:dyDescent="0.25">
      <c r="A348" s="451" t="str">
        <f t="shared" si="5"/>
        <v>309501610_Result</v>
      </c>
      <c r="B348" s="1014" t="s">
        <v>882</v>
      </c>
      <c r="C348" s="811" t="s">
        <v>883</v>
      </c>
      <c r="D348" s="834" t="s">
        <v>1160</v>
      </c>
      <c r="E348" s="1020"/>
      <c r="F348" s="833"/>
      <c r="G348" s="833">
        <v>-140694.541</v>
      </c>
      <c r="H348" s="833">
        <v>12253.276</v>
      </c>
      <c r="I348" s="833"/>
      <c r="J348" s="833">
        <v>-206837.61199999999</v>
      </c>
      <c r="K348" s="833">
        <v>-364549.82199999999</v>
      </c>
      <c r="L348" s="1018"/>
      <c r="M348" s="451"/>
      <c r="N348" t="str">
        <f>VLOOKUP(A348, 'P&amp;L'!A:B,1,FALSE)</f>
        <v>309501610_Result</v>
      </c>
      <c r="O348" t="e">
        <f>VLOOKUP(A348, KeyData!A:C,1,FALSE)</f>
        <v>#N/A</v>
      </c>
      <c r="P348" s="451"/>
    </row>
    <row r="349" spans="1:16" x14ac:dyDescent="0.25">
      <c r="A349" s="451" t="str">
        <f t="shared" si="5"/>
        <v>309501620_#</v>
      </c>
      <c r="B349" s="1014" t="s">
        <v>884</v>
      </c>
      <c r="C349" s="811" t="s">
        <v>885</v>
      </c>
      <c r="D349" s="805" t="s">
        <v>1167</v>
      </c>
      <c r="E349" s="1016" t="s">
        <v>1168</v>
      </c>
      <c r="F349" s="612"/>
      <c r="G349" s="612">
        <v>-15358.883</v>
      </c>
      <c r="H349" s="612">
        <v>-205478.71799999999</v>
      </c>
      <c r="I349" s="612"/>
      <c r="J349" s="612">
        <v>-272939.23200000002</v>
      </c>
      <c r="K349" s="612">
        <v>-262278.70600000001</v>
      </c>
      <c r="L349" s="1017"/>
      <c r="M349" s="451"/>
      <c r="N349" t="e">
        <f>VLOOKUP(A349, 'P&amp;L'!A:B,1,FALSE)</f>
        <v>#N/A</v>
      </c>
      <c r="O349" t="e">
        <f>VLOOKUP(A349, KeyData!A:C,1,FALSE)</f>
        <v>#N/A</v>
      </c>
      <c r="P349" s="451"/>
    </row>
    <row r="350" spans="1:16" x14ac:dyDescent="0.25">
      <c r="A350" s="451" t="str">
        <f t="shared" si="5"/>
        <v>309501620_Result</v>
      </c>
      <c r="B350" s="1014" t="s">
        <v>884</v>
      </c>
      <c r="C350" s="811" t="s">
        <v>885</v>
      </c>
      <c r="D350" s="834" t="s">
        <v>1160</v>
      </c>
      <c r="E350" s="1020"/>
      <c r="F350" s="833"/>
      <c r="G350" s="833">
        <v>-15358.883</v>
      </c>
      <c r="H350" s="833">
        <v>-205478.71799999999</v>
      </c>
      <c r="I350" s="833"/>
      <c r="J350" s="833">
        <v>-272939.23200000002</v>
      </c>
      <c r="K350" s="833">
        <v>-262278.70600000001</v>
      </c>
      <c r="L350" s="1018"/>
      <c r="M350" s="451"/>
      <c r="N350" t="str">
        <f>VLOOKUP(A350, 'P&amp;L'!A:B,1,FALSE)</f>
        <v>309501620_Result</v>
      </c>
      <c r="O350" t="e">
        <f>VLOOKUP(A350, KeyData!A:C,1,FALSE)</f>
        <v>#N/A</v>
      </c>
      <c r="P350" s="451"/>
    </row>
    <row r="351" spans="1:16" x14ac:dyDescent="0.25">
      <c r="A351" s="451" t="str">
        <f t="shared" si="5"/>
        <v>309501630_#</v>
      </c>
      <c r="B351" s="1014" t="s">
        <v>1525</v>
      </c>
      <c r="C351" s="811" t="s">
        <v>1526</v>
      </c>
      <c r="D351" s="805" t="s">
        <v>1167</v>
      </c>
      <c r="E351" s="1016" t="s">
        <v>1168</v>
      </c>
      <c r="F351" s="612"/>
      <c r="G351" s="612">
        <v>-46293.252999999997</v>
      </c>
      <c r="H351" s="612">
        <v>-1415.943</v>
      </c>
      <c r="I351" s="612"/>
      <c r="J351" s="612"/>
      <c r="K351" s="612">
        <v>-1415.943</v>
      </c>
      <c r="L351" s="1017"/>
      <c r="M351" s="451"/>
      <c r="N351" t="e">
        <f>VLOOKUP(A351, 'P&amp;L'!A:B,1,FALSE)</f>
        <v>#N/A</v>
      </c>
      <c r="O351" t="e">
        <f>VLOOKUP(A351, KeyData!A:C,1,FALSE)</f>
        <v>#N/A</v>
      </c>
      <c r="P351" s="451"/>
    </row>
    <row r="352" spans="1:16" x14ac:dyDescent="0.25">
      <c r="A352" s="451" t="str">
        <f t="shared" si="5"/>
        <v>309501630_Result</v>
      </c>
      <c r="B352" s="1014" t="s">
        <v>1525</v>
      </c>
      <c r="C352" s="811" t="s">
        <v>1526</v>
      </c>
      <c r="D352" s="834" t="s">
        <v>1160</v>
      </c>
      <c r="E352" s="1020"/>
      <c r="F352" s="833"/>
      <c r="G352" s="833">
        <v>-46293.252999999997</v>
      </c>
      <c r="H352" s="833">
        <v>-1415.943</v>
      </c>
      <c r="I352" s="833"/>
      <c r="J352" s="833"/>
      <c r="K352" s="833">
        <v>-1415.943</v>
      </c>
      <c r="L352" s="1018"/>
      <c r="M352" s="451"/>
      <c r="N352" t="str">
        <f>VLOOKUP(A352, 'P&amp;L'!A:B,1,FALSE)</f>
        <v>309501630_Result</v>
      </c>
      <c r="O352" t="e">
        <f>VLOOKUP(A352, KeyData!A:C,1,FALSE)</f>
        <v>#N/A</v>
      </c>
      <c r="P352" s="451"/>
    </row>
    <row r="353" spans="1:16" x14ac:dyDescent="0.25">
      <c r="A353" s="451" t="str">
        <f t="shared" si="5"/>
        <v>309501640_#</v>
      </c>
      <c r="B353" s="1014" t="s">
        <v>886</v>
      </c>
      <c r="C353" s="811" t="s">
        <v>1075</v>
      </c>
      <c r="D353" s="805" t="s">
        <v>1167</v>
      </c>
      <c r="E353" s="1016" t="s">
        <v>1168</v>
      </c>
      <c r="F353" s="612"/>
      <c r="G353" s="612">
        <v>-498933.19500000001</v>
      </c>
      <c r="H353" s="612">
        <v>59629.938999999998</v>
      </c>
      <c r="I353" s="612"/>
      <c r="J353" s="612">
        <v>-14471.741</v>
      </c>
      <c r="K353" s="612">
        <v>34144</v>
      </c>
      <c r="L353" s="1017"/>
      <c r="M353" s="451"/>
      <c r="N353" t="e">
        <f>VLOOKUP(A353, 'P&amp;L'!A:B,1,FALSE)</f>
        <v>#N/A</v>
      </c>
      <c r="O353" t="e">
        <f>VLOOKUP(A353, KeyData!A:C,1,FALSE)</f>
        <v>#N/A</v>
      </c>
      <c r="P353" s="451"/>
    </row>
    <row r="354" spans="1:16" x14ac:dyDescent="0.25">
      <c r="A354" s="451" t="str">
        <f t="shared" si="5"/>
        <v>309501640_Result</v>
      </c>
      <c r="B354" s="1014" t="s">
        <v>886</v>
      </c>
      <c r="C354" s="811" t="s">
        <v>1075</v>
      </c>
      <c r="D354" s="834" t="s">
        <v>1160</v>
      </c>
      <c r="E354" s="1020"/>
      <c r="F354" s="833"/>
      <c r="G354" s="833">
        <v>-498933.19500000001</v>
      </c>
      <c r="H354" s="833">
        <v>59629.938999999998</v>
      </c>
      <c r="I354" s="833"/>
      <c r="J354" s="833">
        <v>-14471.741</v>
      </c>
      <c r="K354" s="833">
        <v>34144</v>
      </c>
      <c r="L354" s="1018"/>
      <c r="M354" s="451"/>
      <c r="N354" t="str">
        <f>VLOOKUP(A354, 'P&amp;L'!A:B,1,FALSE)</f>
        <v>309501640_Result</v>
      </c>
      <c r="O354" t="e">
        <f>VLOOKUP(A354, KeyData!A:C,1,FALSE)</f>
        <v>#N/A</v>
      </c>
      <c r="P354" s="451"/>
    </row>
    <row r="355" spans="1:16" x14ac:dyDescent="0.25">
      <c r="A355" s="451" t="str">
        <f t="shared" si="5"/>
        <v>309501650_#</v>
      </c>
      <c r="B355" s="1014" t="s">
        <v>993</v>
      </c>
      <c r="C355" s="811" t="s">
        <v>1076</v>
      </c>
      <c r="D355" s="805" t="s">
        <v>1167</v>
      </c>
      <c r="E355" s="1016" t="s">
        <v>1168</v>
      </c>
      <c r="F355" s="612"/>
      <c r="G355" s="612">
        <v>-80.233999999999995</v>
      </c>
      <c r="H355" s="612">
        <v>14.218</v>
      </c>
      <c r="I355" s="612"/>
      <c r="J355" s="612"/>
      <c r="K355" s="612">
        <v>14.218</v>
      </c>
      <c r="L355" s="1017"/>
      <c r="M355" s="451"/>
      <c r="N355" t="e">
        <f>VLOOKUP(A355, 'P&amp;L'!A:B,1,FALSE)</f>
        <v>#N/A</v>
      </c>
      <c r="O355" t="e">
        <f>VLOOKUP(A355, KeyData!A:C,1,FALSE)</f>
        <v>#N/A</v>
      </c>
      <c r="P355" s="451"/>
    </row>
    <row r="356" spans="1:16" x14ac:dyDescent="0.25">
      <c r="A356" s="451" t="str">
        <f t="shared" si="5"/>
        <v>309501650_Result</v>
      </c>
      <c r="B356" s="1014" t="s">
        <v>993</v>
      </c>
      <c r="C356" s="811" t="s">
        <v>1076</v>
      </c>
      <c r="D356" s="834" t="s">
        <v>1160</v>
      </c>
      <c r="E356" s="1020"/>
      <c r="F356" s="833"/>
      <c r="G356" s="833">
        <v>-80.233999999999995</v>
      </c>
      <c r="H356" s="833">
        <v>14.218</v>
      </c>
      <c r="I356" s="833"/>
      <c r="J356" s="833"/>
      <c r="K356" s="833">
        <v>14.218</v>
      </c>
      <c r="L356" s="1018"/>
      <c r="M356" s="451"/>
      <c r="N356" t="str">
        <f>VLOOKUP(A356, 'P&amp;L'!A:B,1,FALSE)</f>
        <v>309501650_Result</v>
      </c>
      <c r="O356" t="e">
        <f>VLOOKUP(A356, KeyData!A:C,1,FALSE)</f>
        <v>#N/A</v>
      </c>
      <c r="P356" s="451"/>
    </row>
    <row r="357" spans="1:16" x14ac:dyDescent="0.25">
      <c r="A357" s="451" t="str">
        <f t="shared" si="5"/>
        <v>309502100_#</v>
      </c>
      <c r="B357" s="1014" t="s">
        <v>817</v>
      </c>
      <c r="C357" s="811" t="s">
        <v>816</v>
      </c>
      <c r="D357" s="805" t="s">
        <v>1167</v>
      </c>
      <c r="E357" s="1016" t="s">
        <v>1168</v>
      </c>
      <c r="F357" s="612"/>
      <c r="G357" s="612">
        <v>139006.83199999999</v>
      </c>
      <c r="H357" s="612">
        <v>-17714.415000000001</v>
      </c>
      <c r="I357" s="612"/>
      <c r="J357" s="612">
        <v>-17714.415000000001</v>
      </c>
      <c r="K357" s="612">
        <v>-17714.415000000001</v>
      </c>
      <c r="L357" s="1017"/>
      <c r="M357" s="451"/>
      <c r="N357" t="e">
        <f>VLOOKUP(A357, 'P&amp;L'!A:B,1,FALSE)</f>
        <v>#N/A</v>
      </c>
      <c r="O357" t="e">
        <f>VLOOKUP(A357, KeyData!A:C,1,FALSE)</f>
        <v>#N/A</v>
      </c>
      <c r="P357" s="451"/>
    </row>
    <row r="358" spans="1:16" x14ac:dyDescent="0.25">
      <c r="A358" s="451" t="str">
        <f t="shared" si="5"/>
        <v>309502100_Result</v>
      </c>
      <c r="B358" s="1014" t="s">
        <v>817</v>
      </c>
      <c r="C358" s="811" t="s">
        <v>816</v>
      </c>
      <c r="D358" s="834" t="s">
        <v>1160</v>
      </c>
      <c r="E358" s="1020"/>
      <c r="F358" s="833"/>
      <c r="G358" s="833">
        <v>139006.83199999999</v>
      </c>
      <c r="H358" s="833">
        <v>-17714.415000000001</v>
      </c>
      <c r="I358" s="833"/>
      <c r="J358" s="833">
        <v>-17714.415000000001</v>
      </c>
      <c r="K358" s="833">
        <v>-17714.415000000001</v>
      </c>
      <c r="L358" s="1018"/>
      <c r="M358" s="451"/>
      <c r="N358" t="str">
        <f>VLOOKUP(A358, 'P&amp;L'!A:B,1,FALSE)</f>
        <v>309502100_Result</v>
      </c>
      <c r="O358" t="e">
        <f>VLOOKUP(A358, KeyData!A:C,1,FALSE)</f>
        <v>#N/A</v>
      </c>
      <c r="P358" s="451"/>
    </row>
    <row r="359" spans="1:16" x14ac:dyDescent="0.25">
      <c r="A359" s="451" t="str">
        <f t="shared" si="5"/>
        <v>309503100_#</v>
      </c>
      <c r="B359" s="1014" t="s">
        <v>766</v>
      </c>
      <c r="C359" s="811" t="s">
        <v>765</v>
      </c>
      <c r="D359" s="805" t="s">
        <v>1167</v>
      </c>
      <c r="E359" s="1016" t="s">
        <v>1168</v>
      </c>
      <c r="F359" s="612"/>
      <c r="G359" s="612">
        <v>-44586.343000000001</v>
      </c>
      <c r="H359" s="612">
        <v>-184294.21</v>
      </c>
      <c r="I359" s="612">
        <v>-804050.11</v>
      </c>
      <c r="J359" s="612">
        <v>-675029.11</v>
      </c>
      <c r="K359" s="612">
        <v>-878747</v>
      </c>
      <c r="L359" s="1017">
        <v>-2837413.65</v>
      </c>
      <c r="M359" s="451"/>
      <c r="N359" t="e">
        <f>VLOOKUP(A359, 'P&amp;L'!A:B,1,FALSE)</f>
        <v>#N/A</v>
      </c>
      <c r="O359" t="e">
        <f>VLOOKUP(A359, KeyData!A:C,1,FALSE)</f>
        <v>#N/A</v>
      </c>
      <c r="P359" s="451"/>
    </row>
    <row r="360" spans="1:16" x14ac:dyDescent="0.25">
      <c r="A360" s="451" t="str">
        <f t="shared" si="5"/>
        <v>309503100_Result</v>
      </c>
      <c r="B360" s="1014" t="s">
        <v>766</v>
      </c>
      <c r="C360" s="811" t="s">
        <v>765</v>
      </c>
      <c r="D360" s="834" t="s">
        <v>1160</v>
      </c>
      <c r="E360" s="1020"/>
      <c r="F360" s="833"/>
      <c r="G360" s="833">
        <v>-44586.343000000001</v>
      </c>
      <c r="H360" s="833">
        <v>-184294.21</v>
      </c>
      <c r="I360" s="833">
        <v>-804050.11</v>
      </c>
      <c r="J360" s="833">
        <v>-675029.11</v>
      </c>
      <c r="K360" s="833">
        <v>-878747</v>
      </c>
      <c r="L360" s="1018">
        <v>-2837413.65</v>
      </c>
      <c r="M360" s="451"/>
      <c r="N360" t="str">
        <f>VLOOKUP(A360, 'P&amp;L'!A:B,1,FALSE)</f>
        <v>309503100_Result</v>
      </c>
      <c r="O360" t="e">
        <f>VLOOKUP(A360, KeyData!A:C,1,FALSE)</f>
        <v>#N/A</v>
      </c>
      <c r="P360" s="451"/>
    </row>
    <row r="361" spans="1:16" x14ac:dyDescent="0.25">
      <c r="A361" s="451" t="str">
        <f t="shared" si="5"/>
        <v>309503600_#</v>
      </c>
      <c r="B361" s="1014" t="s">
        <v>764</v>
      </c>
      <c r="C361" s="811" t="s">
        <v>1077</v>
      </c>
      <c r="D361" s="805" t="s">
        <v>1167</v>
      </c>
      <c r="E361" s="1016" t="s">
        <v>1168</v>
      </c>
      <c r="F361" s="612"/>
      <c r="G361" s="612">
        <v>-311368.48800000001</v>
      </c>
      <c r="H361" s="612">
        <v>-83134.895000000004</v>
      </c>
      <c r="I361" s="612"/>
      <c r="J361" s="612">
        <v>4864.9880000000003</v>
      </c>
      <c r="K361" s="612">
        <v>27261</v>
      </c>
      <c r="L361" s="1017"/>
      <c r="M361" s="451"/>
      <c r="N361" t="e">
        <f>VLOOKUP(A361, 'P&amp;L'!A:B,1,FALSE)</f>
        <v>#N/A</v>
      </c>
      <c r="O361" t="e">
        <f>VLOOKUP(A361, KeyData!A:C,1,FALSE)</f>
        <v>#N/A</v>
      </c>
      <c r="P361" s="451"/>
    </row>
    <row r="362" spans="1:16" x14ac:dyDescent="0.25">
      <c r="A362" s="451" t="str">
        <f t="shared" si="5"/>
        <v>309503600_Result</v>
      </c>
      <c r="B362" s="1014" t="s">
        <v>764</v>
      </c>
      <c r="C362" s="811" t="s">
        <v>1077</v>
      </c>
      <c r="D362" s="834" t="s">
        <v>1160</v>
      </c>
      <c r="E362" s="1020"/>
      <c r="F362" s="833"/>
      <c r="G362" s="833">
        <v>-311368.48800000001</v>
      </c>
      <c r="H362" s="833">
        <v>-83134.895000000004</v>
      </c>
      <c r="I362" s="833"/>
      <c r="J362" s="833">
        <v>4864.9880000000003</v>
      </c>
      <c r="K362" s="833">
        <v>27261</v>
      </c>
      <c r="L362" s="1018"/>
      <c r="M362" s="451"/>
      <c r="N362" t="str">
        <f>VLOOKUP(A362, 'P&amp;L'!A:B,1,FALSE)</f>
        <v>309503600_Result</v>
      </c>
      <c r="O362" t="e">
        <f>VLOOKUP(A362, KeyData!A:C,1,FALSE)</f>
        <v>#N/A</v>
      </c>
      <c r="P362" s="451"/>
    </row>
    <row r="363" spans="1:16" x14ac:dyDescent="0.25">
      <c r="A363" s="451" t="str">
        <f t="shared" si="5"/>
        <v>309504100_#</v>
      </c>
      <c r="B363" s="1014" t="s">
        <v>1527</v>
      </c>
      <c r="C363" s="811" t="s">
        <v>1528</v>
      </c>
      <c r="D363" s="805" t="s">
        <v>1167</v>
      </c>
      <c r="E363" s="1016" t="s">
        <v>1168</v>
      </c>
      <c r="F363" s="612"/>
      <c r="G363" s="612"/>
      <c r="H363" s="612">
        <v>-107964.765</v>
      </c>
      <c r="I363" s="612">
        <v>-1620051</v>
      </c>
      <c r="J363" s="612">
        <v>-1324990</v>
      </c>
      <c r="K363" s="612">
        <v>-922990</v>
      </c>
      <c r="L363" s="1017">
        <v>-1970550</v>
      </c>
      <c r="M363" s="451"/>
      <c r="N363" t="e">
        <f>VLOOKUP(A363, 'P&amp;L'!A:B,1,FALSE)</f>
        <v>#N/A</v>
      </c>
      <c r="O363" t="e">
        <f>VLOOKUP(A363, KeyData!A:C,1,FALSE)</f>
        <v>#N/A</v>
      </c>
      <c r="P363" s="451"/>
    </row>
    <row r="364" spans="1:16" x14ac:dyDescent="0.25">
      <c r="A364" s="451" t="str">
        <f t="shared" si="5"/>
        <v>309504100_Result</v>
      </c>
      <c r="B364" s="1014" t="s">
        <v>1527</v>
      </c>
      <c r="C364" s="811" t="s">
        <v>1528</v>
      </c>
      <c r="D364" s="834" t="s">
        <v>1160</v>
      </c>
      <c r="E364" s="1020"/>
      <c r="F364" s="833"/>
      <c r="G364" s="833"/>
      <c r="H364" s="833">
        <v>-107964.765</v>
      </c>
      <c r="I364" s="833">
        <v>-1620051</v>
      </c>
      <c r="J364" s="833">
        <v>-1324990</v>
      </c>
      <c r="K364" s="833">
        <v>-922990</v>
      </c>
      <c r="L364" s="1018">
        <v>-1970550</v>
      </c>
      <c r="M364" s="451"/>
      <c r="N364" t="str">
        <f>VLOOKUP(A364, 'P&amp;L'!A:B,1,FALSE)</f>
        <v>309504100_Result</v>
      </c>
      <c r="O364" t="e">
        <f>VLOOKUP(A364, KeyData!A:C,1,FALSE)</f>
        <v>#N/A</v>
      </c>
      <c r="P364" s="451"/>
    </row>
    <row r="365" spans="1:16" x14ac:dyDescent="0.25">
      <c r="A365" s="451" t="str">
        <f t="shared" si="5"/>
        <v>310000000_#</v>
      </c>
      <c r="B365" s="1011" t="s">
        <v>763</v>
      </c>
      <c r="C365" s="811" t="s">
        <v>762</v>
      </c>
      <c r="D365" s="805" t="s">
        <v>1167</v>
      </c>
      <c r="E365" s="1016" t="s">
        <v>1168</v>
      </c>
      <c r="F365" s="612"/>
      <c r="G365" s="612">
        <v>-277966.32799999998</v>
      </c>
      <c r="H365" s="612">
        <v>-42382.802000000003</v>
      </c>
      <c r="I365" s="612">
        <v>-613150.723</v>
      </c>
      <c r="J365" s="612">
        <v>-593583.46100000001</v>
      </c>
      <c r="K365" s="612">
        <v>-382380.97700000001</v>
      </c>
      <c r="L365" s="1017">
        <v>-896453.00600000005</v>
      </c>
      <c r="M365" s="451"/>
      <c r="N365" t="e">
        <f>VLOOKUP(A365, 'P&amp;L'!A:B,1,FALSE)</f>
        <v>#N/A</v>
      </c>
      <c r="O365" t="e">
        <f>VLOOKUP(A365, KeyData!A:C,1,FALSE)</f>
        <v>#N/A</v>
      </c>
      <c r="P365" s="451"/>
    </row>
    <row r="366" spans="1:16" x14ac:dyDescent="0.25">
      <c r="A366" s="451" t="str">
        <f t="shared" si="5"/>
        <v>310000000_Result</v>
      </c>
      <c r="B366" s="1011" t="s">
        <v>763</v>
      </c>
      <c r="C366" s="811" t="s">
        <v>762</v>
      </c>
      <c r="D366" s="834" t="s">
        <v>1160</v>
      </c>
      <c r="E366" s="1020"/>
      <c r="F366" s="833"/>
      <c r="G366" s="833">
        <v>-277966.32799999998</v>
      </c>
      <c r="H366" s="833">
        <v>-42382.802000000003</v>
      </c>
      <c r="I366" s="833">
        <v>-613150.723</v>
      </c>
      <c r="J366" s="833">
        <v>-593583.46100000001</v>
      </c>
      <c r="K366" s="833">
        <v>-382380.97700000001</v>
      </c>
      <c r="L366" s="1018">
        <v>-896453.00600000005</v>
      </c>
      <c r="M366" s="451"/>
      <c r="N366" t="str">
        <f>VLOOKUP(A366, 'P&amp;L'!A:B,1,FALSE)</f>
        <v>310000000_Result</v>
      </c>
      <c r="O366" t="e">
        <f>VLOOKUP(A366, KeyData!A:C,1,FALSE)</f>
        <v>#N/A</v>
      </c>
      <c r="P366" s="451"/>
    </row>
    <row r="367" spans="1:16" x14ac:dyDescent="0.25">
      <c r="A367" s="451" t="str">
        <f t="shared" si="5"/>
        <v>310003100_#</v>
      </c>
      <c r="B367" s="1012" t="s">
        <v>761</v>
      </c>
      <c r="C367" s="811" t="s">
        <v>760</v>
      </c>
      <c r="D367" s="805" t="s">
        <v>1167</v>
      </c>
      <c r="E367" s="1016" t="s">
        <v>1168</v>
      </c>
      <c r="F367" s="612"/>
      <c r="G367" s="612">
        <v>-185508.25200000001</v>
      </c>
      <c r="H367" s="612">
        <v>-178413.932</v>
      </c>
      <c r="I367" s="612">
        <v>-613150.723</v>
      </c>
      <c r="J367" s="612">
        <v>-682931.82299999997</v>
      </c>
      <c r="K367" s="612">
        <v>-507144.62800000003</v>
      </c>
      <c r="L367" s="1017">
        <v>-896453.00600000005</v>
      </c>
      <c r="M367" s="451"/>
      <c r="N367" t="e">
        <f>VLOOKUP(A367, 'P&amp;L'!A:B,1,FALSE)</f>
        <v>#N/A</v>
      </c>
      <c r="O367" t="e">
        <f>VLOOKUP(A367, KeyData!A:C,1,FALSE)</f>
        <v>#N/A</v>
      </c>
      <c r="P367" s="451"/>
    </row>
    <row r="368" spans="1:16" x14ac:dyDescent="0.25">
      <c r="A368" s="451" t="str">
        <f t="shared" si="5"/>
        <v>310003100_Result</v>
      </c>
      <c r="B368" s="1012" t="s">
        <v>761</v>
      </c>
      <c r="C368" s="811" t="s">
        <v>760</v>
      </c>
      <c r="D368" s="834" t="s">
        <v>1160</v>
      </c>
      <c r="E368" s="1020"/>
      <c r="F368" s="833"/>
      <c r="G368" s="833">
        <v>-185508.25200000001</v>
      </c>
      <c r="H368" s="833">
        <v>-178413.932</v>
      </c>
      <c r="I368" s="833">
        <v>-613150.723</v>
      </c>
      <c r="J368" s="833">
        <v>-682931.82299999997</v>
      </c>
      <c r="K368" s="833">
        <v>-507144.62800000003</v>
      </c>
      <c r="L368" s="1018">
        <v>-896453.00600000005</v>
      </c>
      <c r="M368" s="451"/>
      <c r="N368" t="str">
        <f>VLOOKUP(A368, 'P&amp;L'!A:B,1,FALSE)</f>
        <v>310003100_Result</v>
      </c>
      <c r="O368" t="e">
        <f>VLOOKUP(A368, KeyData!A:C,1,FALSE)</f>
        <v>#N/A</v>
      </c>
      <c r="P368" s="451"/>
    </row>
    <row r="369" spans="1:16" x14ac:dyDescent="0.25">
      <c r="A369" s="451" t="str">
        <f t="shared" si="5"/>
        <v>310003600_#</v>
      </c>
      <c r="B369" s="1012" t="s">
        <v>815</v>
      </c>
      <c r="C369" s="811" t="s">
        <v>814</v>
      </c>
      <c r="D369" s="805" t="s">
        <v>1167</v>
      </c>
      <c r="E369" s="1016" t="s">
        <v>1168</v>
      </c>
      <c r="F369" s="612"/>
      <c r="G369" s="612">
        <v>25867.114000000001</v>
      </c>
      <c r="H369" s="612">
        <v>121325.933</v>
      </c>
      <c r="I369" s="612"/>
      <c r="J369" s="612">
        <v>67822.353000000003</v>
      </c>
      <c r="K369" s="612">
        <v>110058.454</v>
      </c>
      <c r="L369" s="1017"/>
      <c r="M369" s="451"/>
      <c r="N369" t="e">
        <f>VLOOKUP(A369, 'P&amp;L'!A:B,1,FALSE)</f>
        <v>#N/A</v>
      </c>
      <c r="O369" t="e">
        <f>VLOOKUP(A369, KeyData!A:C,1,FALSE)</f>
        <v>#N/A</v>
      </c>
      <c r="P369" s="451"/>
    </row>
    <row r="370" spans="1:16" x14ac:dyDescent="0.25">
      <c r="A370" s="451" t="str">
        <f t="shared" si="5"/>
        <v>310003600_Result</v>
      </c>
      <c r="B370" s="1012" t="s">
        <v>815</v>
      </c>
      <c r="C370" s="811" t="s">
        <v>814</v>
      </c>
      <c r="D370" s="834" t="s">
        <v>1160</v>
      </c>
      <c r="E370" s="1020"/>
      <c r="F370" s="833"/>
      <c r="G370" s="833">
        <v>25867.114000000001</v>
      </c>
      <c r="H370" s="833">
        <v>121325.933</v>
      </c>
      <c r="I370" s="833"/>
      <c r="J370" s="833">
        <v>67822.353000000003</v>
      </c>
      <c r="K370" s="833">
        <v>110058.454</v>
      </c>
      <c r="L370" s="1018"/>
      <c r="M370" s="451"/>
      <c r="N370" t="str">
        <f>VLOOKUP(A370, 'P&amp;L'!A:B,1,FALSE)</f>
        <v>310003600_Result</v>
      </c>
      <c r="O370" t="e">
        <f>VLOOKUP(A370, KeyData!A:C,1,FALSE)</f>
        <v>#N/A</v>
      </c>
      <c r="P370" s="451"/>
    </row>
    <row r="371" spans="1:16" x14ac:dyDescent="0.25">
      <c r="A371" s="451" t="str">
        <f t="shared" si="5"/>
        <v>310004100_#</v>
      </c>
      <c r="B371" s="1012" t="s">
        <v>813</v>
      </c>
      <c r="C371" s="811" t="s">
        <v>1078</v>
      </c>
      <c r="D371" s="805" t="s">
        <v>1167</v>
      </c>
      <c r="E371" s="1016" t="s">
        <v>1168</v>
      </c>
      <c r="F371" s="612"/>
      <c r="G371" s="612">
        <v>-131360.89199999999</v>
      </c>
      <c r="H371" s="612">
        <v>13134.306</v>
      </c>
      <c r="I371" s="612"/>
      <c r="J371" s="612">
        <v>19955.117999999999</v>
      </c>
      <c r="K371" s="612">
        <v>13134.306</v>
      </c>
      <c r="L371" s="1017"/>
      <c r="M371" s="451"/>
      <c r="N371" t="e">
        <f>VLOOKUP(A371, 'P&amp;L'!A:B,1,FALSE)</f>
        <v>#N/A</v>
      </c>
      <c r="O371" t="e">
        <f>VLOOKUP(A371, KeyData!A:C,1,FALSE)</f>
        <v>#N/A</v>
      </c>
      <c r="P371" s="451"/>
    </row>
    <row r="372" spans="1:16" x14ac:dyDescent="0.25">
      <c r="A372" s="451" t="str">
        <f t="shared" si="5"/>
        <v>310004100_Result</v>
      </c>
      <c r="B372" s="1012" t="s">
        <v>813</v>
      </c>
      <c r="C372" s="811" t="s">
        <v>1078</v>
      </c>
      <c r="D372" s="834" t="s">
        <v>1160</v>
      </c>
      <c r="E372" s="1020"/>
      <c r="F372" s="833"/>
      <c r="G372" s="833">
        <v>-131360.89199999999</v>
      </c>
      <c r="H372" s="833">
        <v>13134.306</v>
      </c>
      <c r="I372" s="833"/>
      <c r="J372" s="833">
        <v>19955.117999999999</v>
      </c>
      <c r="K372" s="833">
        <v>13134.306</v>
      </c>
      <c r="L372" s="1018"/>
      <c r="M372" s="451"/>
      <c r="N372" t="str">
        <f>VLOOKUP(A372, 'P&amp;L'!A:B,1,FALSE)</f>
        <v>310004100_Result</v>
      </c>
      <c r="O372" t="e">
        <f>VLOOKUP(A372, KeyData!A:C,1,FALSE)</f>
        <v>#N/A</v>
      </c>
      <c r="P372" s="451"/>
    </row>
    <row r="373" spans="1:16" x14ac:dyDescent="0.25">
      <c r="A373" s="451" t="str">
        <f t="shared" si="5"/>
        <v>310006600_#</v>
      </c>
      <c r="B373" s="1012" t="s">
        <v>1529</v>
      </c>
      <c r="C373" s="811" t="s">
        <v>1530</v>
      </c>
      <c r="D373" s="805" t="s">
        <v>1167</v>
      </c>
      <c r="E373" s="1016" t="s">
        <v>1168</v>
      </c>
      <c r="F373" s="612"/>
      <c r="G373" s="612">
        <v>13035.701999999999</v>
      </c>
      <c r="H373" s="612">
        <v>1570.8910000000001</v>
      </c>
      <c r="I373" s="612"/>
      <c r="J373" s="612">
        <v>1570.8910000000001</v>
      </c>
      <c r="K373" s="612">
        <v>1570.8910000000001</v>
      </c>
      <c r="L373" s="1017"/>
      <c r="M373" s="451"/>
      <c r="N373" t="e">
        <f>VLOOKUP(A373, 'P&amp;L'!A:B,1,FALSE)</f>
        <v>#N/A</v>
      </c>
      <c r="O373" t="e">
        <f>VLOOKUP(A373, KeyData!A:C,1,FALSE)</f>
        <v>#N/A</v>
      </c>
      <c r="P373" s="451"/>
    </row>
    <row r="374" spans="1:16" x14ac:dyDescent="0.25">
      <c r="A374" s="451" t="str">
        <f t="shared" si="5"/>
        <v>310006600_Result</v>
      </c>
      <c r="B374" s="1012" t="s">
        <v>1529</v>
      </c>
      <c r="C374" s="811" t="s">
        <v>1530</v>
      </c>
      <c r="D374" s="834" t="s">
        <v>1160</v>
      </c>
      <c r="E374" s="1020"/>
      <c r="F374" s="833"/>
      <c r="G374" s="833">
        <v>13035.701999999999</v>
      </c>
      <c r="H374" s="833">
        <v>1570.8910000000001</v>
      </c>
      <c r="I374" s="833"/>
      <c r="J374" s="833">
        <v>1570.8910000000001</v>
      </c>
      <c r="K374" s="833">
        <v>1570.8910000000001</v>
      </c>
      <c r="L374" s="1018"/>
      <c r="M374" s="451"/>
      <c r="N374" t="str">
        <f>VLOOKUP(A374, 'P&amp;L'!A:B,1,FALSE)</f>
        <v>310006600_Result</v>
      </c>
      <c r="O374" t="e">
        <f>VLOOKUP(A374, KeyData!A:C,1,FALSE)</f>
        <v>#N/A</v>
      </c>
      <c r="P374" s="451"/>
    </row>
    <row r="375" spans="1:16" x14ac:dyDescent="0.25">
      <c r="A375" s="451" t="str">
        <f t="shared" si="5"/>
        <v>310500000_#</v>
      </c>
      <c r="B375" s="1007" t="s">
        <v>759</v>
      </c>
      <c r="C375" s="809" t="s">
        <v>758</v>
      </c>
      <c r="D375" s="805" t="s">
        <v>1167</v>
      </c>
      <c r="E375" s="1016" t="s">
        <v>1168</v>
      </c>
      <c r="F375" s="612"/>
      <c r="G375" s="612">
        <v>-7485919.0949999997</v>
      </c>
      <c r="H375" s="612">
        <v>-8102987.1849999996</v>
      </c>
      <c r="I375" s="612">
        <v>-16436717.347999999</v>
      </c>
      <c r="J375" s="612">
        <v>-15958756.688999999</v>
      </c>
      <c r="K375" s="612">
        <v>-16560948.946</v>
      </c>
      <c r="L375" s="1017">
        <v>-20107462.675000001</v>
      </c>
      <c r="M375" s="451"/>
      <c r="N375" t="e">
        <f>VLOOKUP(A375, 'P&amp;L'!A:B,1,FALSE)</f>
        <v>#N/A</v>
      </c>
      <c r="O375" t="e">
        <f>VLOOKUP(A375, KeyData!A:C,1,FALSE)</f>
        <v>#N/A</v>
      </c>
      <c r="P375" s="451"/>
    </row>
    <row r="376" spans="1:16" x14ac:dyDescent="0.25">
      <c r="A376" s="451" t="str">
        <f t="shared" si="5"/>
        <v>310500000_Result</v>
      </c>
      <c r="B376" s="1007" t="s">
        <v>759</v>
      </c>
      <c r="C376" s="809" t="s">
        <v>758</v>
      </c>
      <c r="D376" s="834" t="s">
        <v>1160</v>
      </c>
      <c r="E376" s="1020"/>
      <c r="F376" s="833"/>
      <c r="G376" s="833">
        <v>-7485919.0949999997</v>
      </c>
      <c r="H376" s="833">
        <v>-8102987.1849999996</v>
      </c>
      <c r="I376" s="833">
        <v>-16436717.347999999</v>
      </c>
      <c r="J376" s="833">
        <v>-15958756.688999999</v>
      </c>
      <c r="K376" s="833">
        <v>-16560948.946</v>
      </c>
      <c r="L376" s="1018">
        <v>-20107462.675000001</v>
      </c>
      <c r="M376" s="451"/>
      <c r="N376" t="str">
        <f>VLOOKUP(A376, 'P&amp;L'!A:B,1,FALSE)</f>
        <v>310500000_Result</v>
      </c>
      <c r="O376" t="e">
        <f>VLOOKUP(A376, KeyData!A:C,1,FALSE)</f>
        <v>#N/A</v>
      </c>
      <c r="P376" s="451"/>
    </row>
    <row r="377" spans="1:16" x14ac:dyDescent="0.25">
      <c r="A377" s="451" t="str">
        <f t="shared" si="5"/>
        <v>310501100_#</v>
      </c>
      <c r="B377" s="1015" t="s">
        <v>757</v>
      </c>
      <c r="C377" s="835" t="s">
        <v>662</v>
      </c>
      <c r="D377" s="805" t="s">
        <v>1167</v>
      </c>
      <c r="E377" s="1016" t="s">
        <v>1168</v>
      </c>
      <c r="F377" s="612"/>
      <c r="G377" s="612">
        <v>-5919933.6440000003</v>
      </c>
      <c r="H377" s="612">
        <v>-6223955.551</v>
      </c>
      <c r="I377" s="612">
        <v>-12733969.291999999</v>
      </c>
      <c r="J377" s="612">
        <v>-12114355.251</v>
      </c>
      <c r="K377" s="612">
        <v>-12725921.755999999</v>
      </c>
      <c r="L377" s="1017">
        <v>-8433746.8149999995</v>
      </c>
      <c r="M377" s="451"/>
      <c r="N377" t="e">
        <f>VLOOKUP(A377, 'P&amp;L'!A:B,1,FALSE)</f>
        <v>#N/A</v>
      </c>
      <c r="O377" t="e">
        <f>VLOOKUP(A377, KeyData!A:C,1,FALSE)</f>
        <v>#N/A</v>
      </c>
      <c r="P377" s="451"/>
    </row>
    <row r="378" spans="1:16" x14ac:dyDescent="0.25">
      <c r="A378" s="451" t="str">
        <f t="shared" si="5"/>
        <v>310501100_Result</v>
      </c>
      <c r="B378" s="1015" t="s">
        <v>757</v>
      </c>
      <c r="C378" s="835" t="s">
        <v>662</v>
      </c>
      <c r="D378" s="834" t="s">
        <v>1160</v>
      </c>
      <c r="E378" s="1020"/>
      <c r="F378" s="833"/>
      <c r="G378" s="833">
        <v>-5919933.6440000003</v>
      </c>
      <c r="H378" s="833">
        <v>-6223955.551</v>
      </c>
      <c r="I378" s="833">
        <v>-12733969.291999999</v>
      </c>
      <c r="J378" s="833">
        <v>-12114355.251</v>
      </c>
      <c r="K378" s="833">
        <v>-12725921.755999999</v>
      </c>
      <c r="L378" s="1018">
        <v>-8433746.8149999995</v>
      </c>
      <c r="M378" s="451"/>
      <c r="N378" t="str">
        <f>VLOOKUP(A378, 'P&amp;L'!A:B,1,FALSE)</f>
        <v>310501100_Result</v>
      </c>
      <c r="O378" t="e">
        <f>VLOOKUP(A378, KeyData!A:C,1,FALSE)</f>
        <v>#N/A</v>
      </c>
      <c r="P378" s="451"/>
    </row>
    <row r="379" spans="1:16" x14ac:dyDescent="0.25">
      <c r="A379" s="451" t="str">
        <f t="shared" si="5"/>
        <v>310501600_#</v>
      </c>
      <c r="B379" s="1015" t="s">
        <v>756</v>
      </c>
      <c r="C379" s="835" t="s">
        <v>755</v>
      </c>
      <c r="D379" s="805" t="s">
        <v>1167</v>
      </c>
      <c r="E379" s="1016" t="s">
        <v>1168</v>
      </c>
      <c r="F379" s="612"/>
      <c r="G379" s="612">
        <v>-1180339.3019999999</v>
      </c>
      <c r="H379" s="612">
        <v>-1470689.274</v>
      </c>
      <c r="I379" s="612">
        <v>-2840206.074</v>
      </c>
      <c r="J379" s="612">
        <v>-3003433.7629999998</v>
      </c>
      <c r="K379" s="612">
        <v>-3000782.9610000001</v>
      </c>
      <c r="L379" s="1017">
        <v>-3980647.2110000001</v>
      </c>
      <c r="M379" s="451"/>
      <c r="N379" t="e">
        <f>VLOOKUP(A379, 'P&amp;L'!A:B,1,FALSE)</f>
        <v>#N/A</v>
      </c>
      <c r="O379" t="e">
        <f>VLOOKUP(A379, KeyData!A:C,1,FALSE)</f>
        <v>#N/A</v>
      </c>
      <c r="P379" s="451"/>
    </row>
    <row r="380" spans="1:16" x14ac:dyDescent="0.25">
      <c r="A380" s="451" t="str">
        <f t="shared" si="5"/>
        <v>310501600_Result</v>
      </c>
      <c r="B380" s="1015" t="s">
        <v>756</v>
      </c>
      <c r="C380" s="835" t="s">
        <v>755</v>
      </c>
      <c r="D380" s="834" t="s">
        <v>1160</v>
      </c>
      <c r="E380" s="1020"/>
      <c r="F380" s="833"/>
      <c r="G380" s="833">
        <v>-1180339.3019999999</v>
      </c>
      <c r="H380" s="833">
        <v>-1470689.274</v>
      </c>
      <c r="I380" s="833">
        <v>-2840206.074</v>
      </c>
      <c r="J380" s="833">
        <v>-3003433.7629999998</v>
      </c>
      <c r="K380" s="833">
        <v>-3000782.9610000001</v>
      </c>
      <c r="L380" s="1018">
        <v>-3980647.2110000001</v>
      </c>
      <c r="M380" s="451"/>
      <c r="N380" t="str">
        <f>VLOOKUP(A380, 'P&amp;L'!A:B,1,FALSE)</f>
        <v>310501600_Result</v>
      </c>
      <c r="O380" t="e">
        <f>VLOOKUP(A380, KeyData!A:C,1,FALSE)</f>
        <v>#N/A</v>
      </c>
      <c r="P380" s="451"/>
    </row>
    <row r="381" spans="1:16" x14ac:dyDescent="0.25">
      <c r="A381" s="451" t="str">
        <f t="shared" si="5"/>
        <v>310502100_#</v>
      </c>
      <c r="B381" s="1015" t="s">
        <v>754</v>
      </c>
      <c r="C381" s="835" t="s">
        <v>753</v>
      </c>
      <c r="D381" s="805" t="s">
        <v>1167</v>
      </c>
      <c r="E381" s="1016" t="s">
        <v>1168</v>
      </c>
      <c r="F381" s="612"/>
      <c r="G381" s="612">
        <v>-334478.61499999999</v>
      </c>
      <c r="H381" s="612">
        <v>-407124.88500000001</v>
      </c>
      <c r="I381" s="612">
        <v>-862541.98199999996</v>
      </c>
      <c r="J381" s="612">
        <v>-840442.75800000003</v>
      </c>
      <c r="K381" s="612">
        <v>-833026.75399999996</v>
      </c>
      <c r="L381" s="1017">
        <v>-1027882.649</v>
      </c>
      <c r="M381" s="451"/>
      <c r="N381" t="e">
        <f>VLOOKUP(A381, 'P&amp;L'!A:B,1,FALSE)</f>
        <v>#N/A</v>
      </c>
      <c r="O381" t="e">
        <f>VLOOKUP(A381, KeyData!A:C,1,FALSE)</f>
        <v>#N/A</v>
      </c>
      <c r="P381" s="451"/>
    </row>
    <row r="382" spans="1:16" x14ac:dyDescent="0.25">
      <c r="A382" s="451" t="str">
        <f t="shared" si="5"/>
        <v>310502100_Result</v>
      </c>
      <c r="B382" s="1015" t="s">
        <v>754</v>
      </c>
      <c r="C382" s="835" t="s">
        <v>753</v>
      </c>
      <c r="D382" s="834" t="s">
        <v>1160</v>
      </c>
      <c r="E382" s="1020"/>
      <c r="F382" s="833"/>
      <c r="G382" s="833">
        <v>-334478.61499999999</v>
      </c>
      <c r="H382" s="833">
        <v>-407124.88500000001</v>
      </c>
      <c r="I382" s="833">
        <v>-862541.98199999996</v>
      </c>
      <c r="J382" s="833">
        <v>-840442.75800000003</v>
      </c>
      <c r="K382" s="833">
        <v>-833026.75399999996</v>
      </c>
      <c r="L382" s="1018">
        <v>-1027882.649</v>
      </c>
      <c r="M382" s="451"/>
      <c r="N382" t="str">
        <f>VLOOKUP(A382, 'P&amp;L'!A:B,1,FALSE)</f>
        <v>310502100_Result</v>
      </c>
      <c r="O382" t="e">
        <f>VLOOKUP(A382, KeyData!A:C,1,FALSE)</f>
        <v>#N/A</v>
      </c>
      <c r="P382" s="451"/>
    </row>
    <row r="383" spans="1:16" x14ac:dyDescent="0.25">
      <c r="A383" s="451" t="str">
        <f t="shared" si="5"/>
        <v>310503100_#</v>
      </c>
      <c r="B383" s="1015" t="s">
        <v>752</v>
      </c>
      <c r="C383" s="835" t="s">
        <v>313</v>
      </c>
      <c r="D383" s="805" t="s">
        <v>1167</v>
      </c>
      <c r="E383" s="1016" t="s">
        <v>1168</v>
      </c>
      <c r="F383" s="612"/>
      <c r="G383" s="612">
        <v>-51167.534</v>
      </c>
      <c r="H383" s="612">
        <v>-1217.4749999999999</v>
      </c>
      <c r="I383" s="612"/>
      <c r="J383" s="612">
        <v>-524.91700000000003</v>
      </c>
      <c r="K383" s="612">
        <v>-1217.4749999999999</v>
      </c>
      <c r="L383" s="1017">
        <v>-6665186</v>
      </c>
      <c r="M383" s="451"/>
      <c r="N383" t="e">
        <f>VLOOKUP(A383, 'P&amp;L'!A:B,1,FALSE)</f>
        <v>#N/A</v>
      </c>
      <c r="O383" t="e">
        <f>VLOOKUP(A383, KeyData!A:C,1,FALSE)</f>
        <v>#N/A</v>
      </c>
      <c r="P383" s="451"/>
    </row>
    <row r="384" spans="1:16" x14ac:dyDescent="0.25">
      <c r="A384" s="451" t="str">
        <f t="shared" si="5"/>
        <v>310503100_Result</v>
      </c>
      <c r="B384" s="1015" t="s">
        <v>752</v>
      </c>
      <c r="C384" s="835" t="s">
        <v>313</v>
      </c>
      <c r="D384" s="834" t="s">
        <v>1160</v>
      </c>
      <c r="E384" s="1020"/>
      <c r="F384" s="833"/>
      <c r="G384" s="833">
        <v>-51167.534</v>
      </c>
      <c r="H384" s="833">
        <v>-1217.4749999999999</v>
      </c>
      <c r="I384" s="833"/>
      <c r="J384" s="833">
        <v>-524.91700000000003</v>
      </c>
      <c r="K384" s="833">
        <v>-1217.4749999999999</v>
      </c>
      <c r="L384" s="1018">
        <v>-6665186</v>
      </c>
      <c r="M384" s="451"/>
      <c r="N384" t="str">
        <f>VLOOKUP(A384, 'P&amp;L'!A:B,1,FALSE)</f>
        <v>310503100_Result</v>
      </c>
      <c r="O384" t="e">
        <f>VLOOKUP(A384, KeyData!A:C,1,FALSE)</f>
        <v>#N/A</v>
      </c>
      <c r="P384" s="451"/>
    </row>
    <row r="385" spans="1:16" x14ac:dyDescent="0.25">
      <c r="A385" s="451" t="str">
        <f t="shared" si="5"/>
        <v>311000000_#</v>
      </c>
      <c r="B385" s="1007" t="s">
        <v>812</v>
      </c>
      <c r="C385" s="809" t="s">
        <v>989</v>
      </c>
      <c r="D385" s="805" t="s">
        <v>1167</v>
      </c>
      <c r="E385" s="1016" t="s">
        <v>1168</v>
      </c>
      <c r="F385" s="612"/>
      <c r="G385" s="612">
        <v>92711.835999999996</v>
      </c>
      <c r="H385" s="612">
        <v>-221688.00399999999</v>
      </c>
      <c r="I385" s="612"/>
      <c r="J385" s="612">
        <v>142654.79500000001</v>
      </c>
      <c r="K385" s="612">
        <v>-221688.00399999999</v>
      </c>
      <c r="L385" s="1017"/>
      <c r="M385" s="451"/>
      <c r="N385" t="e">
        <f>VLOOKUP(A385, 'P&amp;L'!A:B,1,FALSE)</f>
        <v>#N/A</v>
      </c>
      <c r="O385" t="e">
        <f>VLOOKUP(A385, KeyData!A:C,1,FALSE)</f>
        <v>#N/A</v>
      </c>
      <c r="P385" s="451"/>
    </row>
    <row r="386" spans="1:16" x14ac:dyDescent="0.25">
      <c r="A386" s="451" t="str">
        <f t="shared" si="5"/>
        <v>311000000_Result</v>
      </c>
      <c r="B386" s="1007" t="s">
        <v>812</v>
      </c>
      <c r="C386" s="809" t="s">
        <v>989</v>
      </c>
      <c r="D386" s="834" t="s">
        <v>1160</v>
      </c>
      <c r="E386" s="1020"/>
      <c r="F386" s="833"/>
      <c r="G386" s="833">
        <v>92711.835999999996</v>
      </c>
      <c r="H386" s="833">
        <v>-221688.00399999999</v>
      </c>
      <c r="I386" s="833"/>
      <c r="J386" s="833">
        <v>142654.79500000001</v>
      </c>
      <c r="K386" s="833">
        <v>-221688.00399999999</v>
      </c>
      <c r="L386" s="1018"/>
      <c r="M386" s="451"/>
      <c r="N386" t="str">
        <f>VLOOKUP(A386, 'P&amp;L'!A:B,1,FALSE)</f>
        <v>311000000_Result</v>
      </c>
      <c r="O386" t="e">
        <f>VLOOKUP(A386, KeyData!A:C,1,FALSE)</f>
        <v>#N/A</v>
      </c>
      <c r="P386" s="451"/>
    </row>
    <row r="387" spans="1:16" x14ac:dyDescent="0.25">
      <c r="A387" s="451" t="str">
        <f t="shared" ref="A387:A450" si="6" xml:space="preserve"> IFERROR(+B387*1,B387)&amp;"_"&amp;IFERROR(+D387*1,D387)</f>
        <v>311001100_#</v>
      </c>
      <c r="B387" s="1015" t="s">
        <v>1492</v>
      </c>
      <c r="C387" s="835" t="s">
        <v>1493</v>
      </c>
      <c r="D387" s="805" t="s">
        <v>1167</v>
      </c>
      <c r="E387" s="1016" t="s">
        <v>1168</v>
      </c>
      <c r="F387" s="612"/>
      <c r="G387" s="612">
        <v>-9721.52</v>
      </c>
      <c r="H387" s="612"/>
      <c r="I387" s="612"/>
      <c r="J387" s="612"/>
      <c r="K387" s="612"/>
      <c r="L387" s="1017"/>
      <c r="M387" s="451"/>
      <c r="N387" t="e">
        <f>VLOOKUP(A387, 'P&amp;L'!A:B,1,FALSE)</f>
        <v>#N/A</v>
      </c>
      <c r="O387" t="e">
        <f>VLOOKUP(A387, KeyData!A:C,1,FALSE)</f>
        <v>#N/A</v>
      </c>
      <c r="P387" s="451"/>
    </row>
    <row r="388" spans="1:16" x14ac:dyDescent="0.25">
      <c r="A388" s="451" t="str">
        <f t="shared" si="6"/>
        <v>311001100_Result</v>
      </c>
      <c r="B388" s="1015" t="s">
        <v>1492</v>
      </c>
      <c r="C388" s="835" t="s">
        <v>1493</v>
      </c>
      <c r="D388" s="834" t="s">
        <v>1160</v>
      </c>
      <c r="E388" s="1020"/>
      <c r="F388" s="833"/>
      <c r="G388" s="833">
        <v>-9721.52</v>
      </c>
      <c r="H388" s="833"/>
      <c r="I388" s="833"/>
      <c r="J388" s="833"/>
      <c r="K388" s="833"/>
      <c r="L388" s="1018"/>
      <c r="M388" s="451"/>
      <c r="N388" t="str">
        <f>VLOOKUP(A388, 'P&amp;L'!A:B,1,FALSE)</f>
        <v>311001100_Result</v>
      </c>
      <c r="O388" t="e">
        <f>VLOOKUP(A388, KeyData!A:C,1,FALSE)</f>
        <v>#N/A</v>
      </c>
      <c r="P388" s="451"/>
    </row>
    <row r="389" spans="1:16" x14ac:dyDescent="0.25">
      <c r="A389" s="451" t="str">
        <f t="shared" si="6"/>
        <v>311001600_#</v>
      </c>
      <c r="B389" s="1015" t="s">
        <v>811</v>
      </c>
      <c r="C389" s="835" t="s">
        <v>990</v>
      </c>
      <c r="D389" s="805" t="s">
        <v>1167</v>
      </c>
      <c r="E389" s="1016" t="s">
        <v>1168</v>
      </c>
      <c r="F389" s="612"/>
      <c r="G389" s="612">
        <v>119697.558</v>
      </c>
      <c r="H389" s="612">
        <v>-432274.87800000003</v>
      </c>
      <c r="I389" s="612"/>
      <c r="J389" s="612">
        <v>-102180.308</v>
      </c>
      <c r="K389" s="612">
        <v>-432274.87800000003</v>
      </c>
      <c r="L389" s="1017"/>
      <c r="M389" s="451"/>
      <c r="N389" t="e">
        <f>VLOOKUP(A389, 'P&amp;L'!A:B,1,FALSE)</f>
        <v>#N/A</v>
      </c>
      <c r="O389" t="e">
        <f>VLOOKUP(A389, KeyData!A:C,1,FALSE)</f>
        <v>#N/A</v>
      </c>
      <c r="P389" s="451"/>
    </row>
    <row r="390" spans="1:16" x14ac:dyDescent="0.25">
      <c r="A390" s="451" t="str">
        <f t="shared" si="6"/>
        <v>311001600_Result</v>
      </c>
      <c r="B390" s="1015" t="s">
        <v>811</v>
      </c>
      <c r="C390" s="835" t="s">
        <v>990</v>
      </c>
      <c r="D390" s="834" t="s">
        <v>1160</v>
      </c>
      <c r="E390" s="1020"/>
      <c r="F390" s="833"/>
      <c r="G390" s="833">
        <v>119697.558</v>
      </c>
      <c r="H390" s="833">
        <v>-432274.87800000003</v>
      </c>
      <c r="I390" s="833"/>
      <c r="J390" s="833">
        <v>-102180.308</v>
      </c>
      <c r="K390" s="833">
        <v>-432274.87800000003</v>
      </c>
      <c r="L390" s="1018"/>
      <c r="M390" s="451"/>
      <c r="N390" t="str">
        <f>VLOOKUP(A390, 'P&amp;L'!A:B,1,FALSE)</f>
        <v>311001600_Result</v>
      </c>
      <c r="O390" t="e">
        <f>VLOOKUP(A390, KeyData!A:C,1,FALSE)</f>
        <v>#N/A</v>
      </c>
      <c r="P390" s="451"/>
    </row>
    <row r="391" spans="1:16" x14ac:dyDescent="0.25">
      <c r="A391" s="451" t="str">
        <f t="shared" si="6"/>
        <v>311001700_#</v>
      </c>
      <c r="B391" s="1015" t="s">
        <v>810</v>
      </c>
      <c r="C391" s="835" t="s">
        <v>990</v>
      </c>
      <c r="D391" s="805" t="s">
        <v>1167</v>
      </c>
      <c r="E391" s="1016" t="s">
        <v>1168</v>
      </c>
      <c r="F391" s="612"/>
      <c r="G391" s="612">
        <v>-17264.202000000001</v>
      </c>
      <c r="H391" s="612">
        <v>210586.87400000001</v>
      </c>
      <c r="I391" s="612"/>
      <c r="J391" s="612">
        <v>244835.103</v>
      </c>
      <c r="K391" s="612">
        <v>210586.87400000001</v>
      </c>
      <c r="L391" s="1017"/>
      <c r="M391" s="451"/>
      <c r="N391" t="e">
        <f>VLOOKUP(A391, 'P&amp;L'!A:B,1,FALSE)</f>
        <v>#N/A</v>
      </c>
      <c r="O391" t="e">
        <f>VLOOKUP(A391, KeyData!A:C,1,FALSE)</f>
        <v>#N/A</v>
      </c>
      <c r="P391" s="451"/>
    </row>
    <row r="392" spans="1:16" x14ac:dyDescent="0.25">
      <c r="A392" s="451" t="str">
        <f t="shared" si="6"/>
        <v>311001700_Result</v>
      </c>
      <c r="B392" s="1015" t="s">
        <v>810</v>
      </c>
      <c r="C392" s="835" t="s">
        <v>990</v>
      </c>
      <c r="D392" s="834" t="s">
        <v>1160</v>
      </c>
      <c r="E392" s="1020"/>
      <c r="F392" s="833"/>
      <c r="G392" s="833">
        <v>-17264.202000000001</v>
      </c>
      <c r="H392" s="833">
        <v>210586.87400000001</v>
      </c>
      <c r="I392" s="833"/>
      <c r="J392" s="833">
        <v>244835.103</v>
      </c>
      <c r="K392" s="833">
        <v>210586.87400000001</v>
      </c>
      <c r="L392" s="1018"/>
      <c r="M392" s="451"/>
      <c r="N392" t="str">
        <f>VLOOKUP(A392, 'P&amp;L'!A:B,1,FALSE)</f>
        <v>311001700_Result</v>
      </c>
      <c r="O392" t="e">
        <f>VLOOKUP(A392, KeyData!A:C,1,FALSE)</f>
        <v>#N/A</v>
      </c>
      <c r="P392" s="451"/>
    </row>
    <row r="393" spans="1:16" x14ac:dyDescent="0.25">
      <c r="A393" s="451" t="str">
        <f t="shared" si="6"/>
        <v>311500000_#</v>
      </c>
      <c r="B393" s="1005" t="s">
        <v>751</v>
      </c>
      <c r="C393" s="808" t="s">
        <v>654</v>
      </c>
      <c r="D393" s="805" t="s">
        <v>1167</v>
      </c>
      <c r="E393" s="1016" t="s">
        <v>1168</v>
      </c>
      <c r="F393" s="612"/>
      <c r="G393" s="612">
        <v>-15372375.272</v>
      </c>
      <c r="H393" s="612">
        <v>883284.97600000002</v>
      </c>
      <c r="I393" s="612">
        <v>-10804444.709000001</v>
      </c>
      <c r="J393" s="612">
        <v>-4475564.2170000002</v>
      </c>
      <c r="K393" s="612">
        <v>-4475564.2170000002</v>
      </c>
      <c r="L393" s="1017">
        <v>-15957991.08</v>
      </c>
      <c r="M393" s="451"/>
      <c r="N393" t="e">
        <f>VLOOKUP(A393, 'P&amp;L'!A:B,1,FALSE)</f>
        <v>#N/A</v>
      </c>
      <c r="O393" t="e">
        <f>VLOOKUP(A393, KeyData!A:C,1,FALSE)</f>
        <v>#N/A</v>
      </c>
      <c r="P393" s="451"/>
    </row>
    <row r="394" spans="1:16" x14ac:dyDescent="0.25">
      <c r="A394" s="451" t="str">
        <f t="shared" si="6"/>
        <v>311500000_Result</v>
      </c>
      <c r="B394" s="1005" t="s">
        <v>751</v>
      </c>
      <c r="C394" s="808" t="s">
        <v>654</v>
      </c>
      <c r="D394" s="834" t="s">
        <v>1160</v>
      </c>
      <c r="E394" s="1020"/>
      <c r="F394" s="833"/>
      <c r="G394" s="833">
        <v>-15372375.272</v>
      </c>
      <c r="H394" s="833">
        <v>883284.97600000002</v>
      </c>
      <c r="I394" s="833">
        <v>-10804444.709000001</v>
      </c>
      <c r="J394" s="833">
        <v>-4475564.2170000002</v>
      </c>
      <c r="K394" s="833">
        <v>-4475564.2170000002</v>
      </c>
      <c r="L394" s="1018">
        <v>-15957991.08</v>
      </c>
      <c r="M394" s="451"/>
      <c r="N394" t="str">
        <f>VLOOKUP(A394, 'P&amp;L'!A:B,1,FALSE)</f>
        <v>311500000_Result</v>
      </c>
      <c r="O394" t="e">
        <f>VLOOKUP(A394, KeyData!A:C,1,FALSE)</f>
        <v>#N/A</v>
      </c>
      <c r="P394" s="451"/>
    </row>
    <row r="395" spans="1:16" x14ac:dyDescent="0.25">
      <c r="A395" s="451" t="str">
        <f t="shared" si="6"/>
        <v>311503100_#</v>
      </c>
      <c r="B395" s="1006" t="s">
        <v>750</v>
      </c>
      <c r="C395" s="809" t="s">
        <v>749</v>
      </c>
      <c r="D395" s="805" t="s">
        <v>1167</v>
      </c>
      <c r="E395" s="1016" t="s">
        <v>1168</v>
      </c>
      <c r="F395" s="612"/>
      <c r="G395" s="612">
        <v>-9352567.5769999996</v>
      </c>
      <c r="H395" s="612">
        <v>-5652531.1560000004</v>
      </c>
      <c r="I395" s="612">
        <v>-10815820.948999999</v>
      </c>
      <c r="J395" s="612">
        <v>-11008466.048</v>
      </c>
      <c r="K395" s="612">
        <v>-11008466.048</v>
      </c>
      <c r="L395" s="1017">
        <v>-15957991.08</v>
      </c>
      <c r="M395" s="451"/>
      <c r="N395" t="e">
        <f>VLOOKUP(A395, 'P&amp;L'!A:B,1,FALSE)</f>
        <v>#N/A</v>
      </c>
      <c r="O395" t="e">
        <f>VLOOKUP(A395, KeyData!A:C,1,FALSE)</f>
        <v>#N/A</v>
      </c>
      <c r="P395" s="451"/>
    </row>
    <row r="396" spans="1:16" x14ac:dyDescent="0.25">
      <c r="A396" s="451" t="str">
        <f t="shared" si="6"/>
        <v>311503100_Result</v>
      </c>
      <c r="B396" s="1006" t="s">
        <v>750</v>
      </c>
      <c r="C396" s="809" t="s">
        <v>749</v>
      </c>
      <c r="D396" s="834" t="s">
        <v>1160</v>
      </c>
      <c r="E396" s="1020"/>
      <c r="F396" s="833"/>
      <c r="G396" s="833">
        <v>-9352567.5769999996</v>
      </c>
      <c r="H396" s="833">
        <v>-5652531.1560000004</v>
      </c>
      <c r="I396" s="833">
        <v>-10815820.948999999</v>
      </c>
      <c r="J396" s="833">
        <v>-11008466.048</v>
      </c>
      <c r="K396" s="833">
        <v>-11008466.048</v>
      </c>
      <c r="L396" s="1018">
        <v>-15957991.08</v>
      </c>
      <c r="M396" s="451"/>
      <c r="N396" t="str">
        <f>VLOOKUP(A396, 'P&amp;L'!A:B,1,FALSE)</f>
        <v>311503100_Result</v>
      </c>
      <c r="O396" t="e">
        <f>VLOOKUP(A396, KeyData!A:C,1,FALSE)</f>
        <v>#N/A</v>
      </c>
      <c r="P396" s="451"/>
    </row>
    <row r="397" spans="1:16" x14ac:dyDescent="0.25">
      <c r="A397" s="451" t="str">
        <f t="shared" si="6"/>
        <v>311503600_#</v>
      </c>
      <c r="B397" s="1006" t="s">
        <v>1531</v>
      </c>
      <c r="C397" s="809" t="s">
        <v>1532</v>
      </c>
      <c r="D397" s="805" t="s">
        <v>1167</v>
      </c>
      <c r="E397" s="1016" t="s">
        <v>1168</v>
      </c>
      <c r="F397" s="612"/>
      <c r="G397" s="612"/>
      <c r="H397" s="612">
        <v>2914.3009999999999</v>
      </c>
      <c r="I397" s="612">
        <v>11376.24</v>
      </c>
      <c r="J397" s="612">
        <v>0</v>
      </c>
      <c r="K397" s="612">
        <v>0</v>
      </c>
      <c r="L397" s="1017"/>
      <c r="M397" s="451"/>
      <c r="N397" t="e">
        <f>VLOOKUP(A397, 'P&amp;L'!A:B,1,FALSE)</f>
        <v>#N/A</v>
      </c>
      <c r="O397" t="e">
        <f>VLOOKUP(A397, KeyData!A:C,1,FALSE)</f>
        <v>#N/A</v>
      </c>
      <c r="P397" s="451"/>
    </row>
    <row r="398" spans="1:16" x14ac:dyDescent="0.25">
      <c r="A398" s="451" t="str">
        <f t="shared" si="6"/>
        <v>311503600_Result</v>
      </c>
      <c r="B398" s="1006" t="s">
        <v>1531</v>
      </c>
      <c r="C398" s="809" t="s">
        <v>1532</v>
      </c>
      <c r="D398" s="834" t="s">
        <v>1160</v>
      </c>
      <c r="E398" s="1020"/>
      <c r="F398" s="833"/>
      <c r="G398" s="833"/>
      <c r="H398" s="833">
        <v>2914.3009999999999</v>
      </c>
      <c r="I398" s="833">
        <v>11376.24</v>
      </c>
      <c r="J398" s="833">
        <v>0</v>
      </c>
      <c r="K398" s="833">
        <v>0</v>
      </c>
      <c r="L398" s="1018"/>
      <c r="M398" s="451"/>
      <c r="N398" t="str">
        <f>VLOOKUP(A398, 'P&amp;L'!A:B,1,FALSE)</f>
        <v>311503600_Result</v>
      </c>
      <c r="O398" t="e">
        <f>VLOOKUP(A398, KeyData!A:C,1,FALSE)</f>
        <v>#N/A</v>
      </c>
      <c r="P398" s="451"/>
    </row>
    <row r="399" spans="1:16" x14ac:dyDescent="0.25">
      <c r="A399" s="451" t="str">
        <f t="shared" si="6"/>
        <v>311504100_#</v>
      </c>
      <c r="B399" s="1006" t="s">
        <v>1098</v>
      </c>
      <c r="C399" s="809" t="s">
        <v>640</v>
      </c>
      <c r="D399" s="805" t="s">
        <v>1167</v>
      </c>
      <c r="E399" s="1016" t="s">
        <v>1168</v>
      </c>
      <c r="F399" s="612"/>
      <c r="G399" s="612">
        <v>-6019807.6950000003</v>
      </c>
      <c r="H399" s="612">
        <v>6532901.8310000002</v>
      </c>
      <c r="I399" s="612"/>
      <c r="J399" s="612">
        <v>6532901.8310000002</v>
      </c>
      <c r="K399" s="612">
        <v>6532901.8310000002</v>
      </c>
      <c r="L399" s="1017"/>
      <c r="M399" s="451"/>
      <c r="N399" t="e">
        <f>VLOOKUP(A399, 'P&amp;L'!A:B,1,FALSE)</f>
        <v>#N/A</v>
      </c>
      <c r="O399" t="e">
        <f>VLOOKUP(A399, KeyData!A:C,1,FALSE)</f>
        <v>#N/A</v>
      </c>
      <c r="P399" s="451"/>
    </row>
    <row r="400" spans="1:16" x14ac:dyDescent="0.25">
      <c r="A400" s="451" t="str">
        <f t="shared" si="6"/>
        <v>311504100_Result</v>
      </c>
      <c r="B400" s="1006" t="s">
        <v>1098</v>
      </c>
      <c r="C400" s="809" t="s">
        <v>640</v>
      </c>
      <c r="D400" s="834" t="s">
        <v>1160</v>
      </c>
      <c r="E400" s="1020"/>
      <c r="F400" s="833"/>
      <c r="G400" s="833">
        <v>-6019807.6950000003</v>
      </c>
      <c r="H400" s="833">
        <v>6532901.8310000002</v>
      </c>
      <c r="I400" s="833"/>
      <c r="J400" s="833">
        <v>6532901.8310000002</v>
      </c>
      <c r="K400" s="833">
        <v>6532901.8310000002</v>
      </c>
      <c r="L400" s="1018"/>
      <c r="M400" s="451"/>
      <c r="N400" t="str">
        <f>VLOOKUP(A400, 'P&amp;L'!A:B,1,FALSE)</f>
        <v>311504100_Result</v>
      </c>
      <c r="O400" t="e">
        <f>VLOOKUP(A400, KeyData!A:C,1,FALSE)</f>
        <v>#N/A</v>
      </c>
      <c r="P400" s="451"/>
    </row>
    <row r="401" spans="1:16" x14ac:dyDescent="0.25">
      <c r="A401" s="451" t="str">
        <f t="shared" si="6"/>
        <v>312000000_#</v>
      </c>
      <c r="B401" s="1005" t="s">
        <v>748</v>
      </c>
      <c r="C401" s="808" t="s">
        <v>747</v>
      </c>
      <c r="D401" s="805" t="s">
        <v>1167</v>
      </c>
      <c r="E401" s="1016" t="s">
        <v>1168</v>
      </c>
      <c r="F401" s="612"/>
      <c r="G401" s="612">
        <v>-940769.06700000004</v>
      </c>
      <c r="H401" s="612">
        <v>-1129698.7720000001</v>
      </c>
      <c r="I401" s="612">
        <v>-2079118.8529999999</v>
      </c>
      <c r="J401" s="612">
        <v>-2071048.59</v>
      </c>
      <c r="K401" s="612">
        <v>-2083815.129</v>
      </c>
      <c r="L401" s="1017">
        <v>-3042949.1409999998</v>
      </c>
      <c r="M401" s="451"/>
      <c r="N401" t="e">
        <f>VLOOKUP(A401, 'P&amp;L'!A:B,1,FALSE)</f>
        <v>#N/A</v>
      </c>
      <c r="O401" t="e">
        <f>VLOOKUP(A401, KeyData!A:C,1,FALSE)</f>
        <v>#N/A</v>
      </c>
      <c r="P401" s="451"/>
    </row>
    <row r="402" spans="1:16" x14ac:dyDescent="0.25">
      <c r="A402" s="451" t="str">
        <f t="shared" si="6"/>
        <v>312000000_Result</v>
      </c>
      <c r="B402" s="1005" t="s">
        <v>748</v>
      </c>
      <c r="C402" s="808" t="s">
        <v>747</v>
      </c>
      <c r="D402" s="834" t="s">
        <v>1160</v>
      </c>
      <c r="E402" s="1020"/>
      <c r="F402" s="833"/>
      <c r="G402" s="833">
        <v>-940769.06700000004</v>
      </c>
      <c r="H402" s="833">
        <v>-1129698.7720000001</v>
      </c>
      <c r="I402" s="833">
        <v>-2079118.8529999999</v>
      </c>
      <c r="J402" s="833">
        <v>-2071048.59</v>
      </c>
      <c r="K402" s="833">
        <v>-2083815.129</v>
      </c>
      <c r="L402" s="1018">
        <v>-3042949.1409999998</v>
      </c>
      <c r="M402" s="451"/>
      <c r="N402" t="str">
        <f>VLOOKUP(A402, 'P&amp;L'!A:B,1,FALSE)</f>
        <v>312000000_Result</v>
      </c>
      <c r="O402" t="e">
        <f>VLOOKUP(A402, KeyData!A:C,1,FALSE)</f>
        <v>#N/A</v>
      </c>
      <c r="P402" s="451"/>
    </row>
    <row r="403" spans="1:16" x14ac:dyDescent="0.25">
      <c r="A403" s="451" t="str">
        <f t="shared" si="6"/>
        <v>312001100_#</v>
      </c>
      <c r="B403" s="1006" t="s">
        <v>746</v>
      </c>
      <c r="C403" s="809" t="s">
        <v>638</v>
      </c>
      <c r="D403" s="805" t="s">
        <v>1167</v>
      </c>
      <c r="E403" s="1016" t="s">
        <v>1168</v>
      </c>
      <c r="F403" s="612"/>
      <c r="G403" s="612">
        <v>-621565.36499999999</v>
      </c>
      <c r="H403" s="612">
        <v>-682232.62199999997</v>
      </c>
      <c r="I403" s="612">
        <v>-1294492.8570000001</v>
      </c>
      <c r="J403" s="612">
        <v>-1225488.828</v>
      </c>
      <c r="K403" s="612">
        <v>-1225488.828</v>
      </c>
      <c r="L403" s="1017">
        <v>-2010311.94</v>
      </c>
      <c r="M403" s="451"/>
      <c r="N403" t="e">
        <f>VLOOKUP(A403, 'P&amp;L'!A:B,1,FALSE)</f>
        <v>#N/A</v>
      </c>
      <c r="O403" t="e">
        <f>VLOOKUP(A403, KeyData!A:C,1,FALSE)</f>
        <v>#N/A</v>
      </c>
      <c r="P403" s="451"/>
    </row>
    <row r="404" spans="1:16" x14ac:dyDescent="0.25">
      <c r="A404" s="451" t="str">
        <f t="shared" si="6"/>
        <v>312001100_Result</v>
      </c>
      <c r="B404" s="1006" t="s">
        <v>746</v>
      </c>
      <c r="C404" s="809" t="s">
        <v>638</v>
      </c>
      <c r="D404" s="834" t="s">
        <v>1160</v>
      </c>
      <c r="E404" s="1020"/>
      <c r="F404" s="833"/>
      <c r="G404" s="833">
        <v>-621565.36499999999</v>
      </c>
      <c r="H404" s="833">
        <v>-682232.62199999997</v>
      </c>
      <c r="I404" s="833">
        <v>-1294492.8570000001</v>
      </c>
      <c r="J404" s="833">
        <v>-1225488.828</v>
      </c>
      <c r="K404" s="833">
        <v>-1225488.828</v>
      </c>
      <c r="L404" s="1018">
        <v>-2010311.94</v>
      </c>
      <c r="M404" s="451"/>
      <c r="N404" t="str">
        <f>VLOOKUP(A404, 'P&amp;L'!A:B,1,FALSE)</f>
        <v>312001100_Result</v>
      </c>
      <c r="O404" t="e">
        <f>VLOOKUP(A404, KeyData!A:C,1,FALSE)</f>
        <v>#N/A</v>
      </c>
      <c r="P404" s="451"/>
    </row>
    <row r="405" spans="1:16" x14ac:dyDescent="0.25">
      <c r="A405" s="451" t="str">
        <f t="shared" si="6"/>
        <v>312001600_#</v>
      </c>
      <c r="B405" s="1006" t="s">
        <v>745</v>
      </c>
      <c r="C405" s="809" t="s">
        <v>637</v>
      </c>
      <c r="D405" s="805" t="s">
        <v>1167</v>
      </c>
      <c r="E405" s="1016" t="s">
        <v>1168</v>
      </c>
      <c r="F405" s="612"/>
      <c r="G405" s="612">
        <v>-32048.491999999998</v>
      </c>
      <c r="H405" s="612">
        <v>-30371.246999999999</v>
      </c>
      <c r="I405" s="612">
        <v>-57627.533000000003</v>
      </c>
      <c r="J405" s="612">
        <v>-64305.351999999999</v>
      </c>
      <c r="K405" s="612">
        <v>-64305.351000000002</v>
      </c>
      <c r="L405" s="1017">
        <v>-84652.008000000002</v>
      </c>
      <c r="M405" s="451"/>
      <c r="N405" t="e">
        <f>VLOOKUP(A405, 'P&amp;L'!A:B,1,FALSE)</f>
        <v>#N/A</v>
      </c>
      <c r="O405" t="e">
        <f>VLOOKUP(A405, KeyData!A:C,1,FALSE)</f>
        <v>#N/A</v>
      </c>
      <c r="P405" s="451"/>
    </row>
    <row r="406" spans="1:16" x14ac:dyDescent="0.25">
      <c r="A406" s="451" t="str">
        <f t="shared" si="6"/>
        <v>312001600_Result</v>
      </c>
      <c r="B406" s="1006" t="s">
        <v>745</v>
      </c>
      <c r="C406" s="809" t="s">
        <v>637</v>
      </c>
      <c r="D406" s="834" t="s">
        <v>1160</v>
      </c>
      <c r="E406" s="1020"/>
      <c r="F406" s="833"/>
      <c r="G406" s="833">
        <v>-32048.491999999998</v>
      </c>
      <c r="H406" s="833">
        <v>-30371.246999999999</v>
      </c>
      <c r="I406" s="833">
        <v>-57627.533000000003</v>
      </c>
      <c r="J406" s="833">
        <v>-64305.351999999999</v>
      </c>
      <c r="K406" s="833">
        <v>-64305.351000000002</v>
      </c>
      <c r="L406" s="1018">
        <v>-84652.008000000002</v>
      </c>
      <c r="M406" s="451"/>
      <c r="N406" t="str">
        <f>VLOOKUP(A406, 'P&amp;L'!A:B,1,FALSE)</f>
        <v>312001600_Result</v>
      </c>
      <c r="O406" t="e">
        <f>VLOOKUP(A406, KeyData!A:C,1,FALSE)</f>
        <v>#N/A</v>
      </c>
      <c r="P406" s="451"/>
    </row>
    <row r="407" spans="1:16" x14ac:dyDescent="0.25">
      <c r="A407" s="451" t="str">
        <f t="shared" si="6"/>
        <v>312002100_#</v>
      </c>
      <c r="B407" s="1006" t="s">
        <v>744</v>
      </c>
      <c r="C407" s="809" t="s">
        <v>302</v>
      </c>
      <c r="D407" s="805" t="s">
        <v>1167</v>
      </c>
      <c r="E407" s="1016" t="s">
        <v>1168</v>
      </c>
      <c r="F407" s="612"/>
      <c r="G407" s="612">
        <v>-287155.21000000002</v>
      </c>
      <c r="H407" s="612">
        <v>-417094.90299999999</v>
      </c>
      <c r="I407" s="612">
        <v>-726998.46299999999</v>
      </c>
      <c r="J407" s="612">
        <v>-781254.41</v>
      </c>
      <c r="K407" s="612">
        <v>-794020.95</v>
      </c>
      <c r="L407" s="1017">
        <v>-947985.19299999997</v>
      </c>
      <c r="M407" s="451"/>
      <c r="N407" t="e">
        <f>VLOOKUP(A407, 'P&amp;L'!A:B,1,FALSE)</f>
        <v>#N/A</v>
      </c>
      <c r="O407" t="e">
        <f>VLOOKUP(A407, KeyData!A:C,1,FALSE)</f>
        <v>#N/A</v>
      </c>
      <c r="P407" s="451"/>
    </row>
    <row r="408" spans="1:16" x14ac:dyDescent="0.25">
      <c r="A408" s="451" t="str">
        <f t="shared" si="6"/>
        <v>312002100_Result</v>
      </c>
      <c r="B408" s="1006" t="s">
        <v>744</v>
      </c>
      <c r="C408" s="809" t="s">
        <v>302</v>
      </c>
      <c r="D408" s="834" t="s">
        <v>1160</v>
      </c>
      <c r="E408" s="1020"/>
      <c r="F408" s="833"/>
      <c r="G408" s="833">
        <v>-287155.21000000002</v>
      </c>
      <c r="H408" s="833">
        <v>-417094.90299999999</v>
      </c>
      <c r="I408" s="833">
        <v>-726998.46299999999</v>
      </c>
      <c r="J408" s="833">
        <v>-781254.41</v>
      </c>
      <c r="K408" s="833">
        <v>-794020.95</v>
      </c>
      <c r="L408" s="1018">
        <v>-947985.19299999997</v>
      </c>
      <c r="M408" s="451"/>
      <c r="N408" t="str">
        <f>VLOOKUP(A408, 'P&amp;L'!A:B,1,FALSE)</f>
        <v>312002100_Result</v>
      </c>
      <c r="O408" t="e">
        <f>VLOOKUP(A408, KeyData!A:C,1,FALSE)</f>
        <v>#N/A</v>
      </c>
      <c r="P408" s="451"/>
    </row>
    <row r="409" spans="1:16" x14ac:dyDescent="0.25">
      <c r="A409" s="451" t="str">
        <f t="shared" si="6"/>
        <v>312200000_#</v>
      </c>
      <c r="B409" s="1005" t="s">
        <v>743</v>
      </c>
      <c r="C409" s="808" t="s">
        <v>742</v>
      </c>
      <c r="D409" s="805" t="s">
        <v>1167</v>
      </c>
      <c r="E409" s="1016" t="s">
        <v>1168</v>
      </c>
      <c r="F409" s="612"/>
      <c r="G409" s="612">
        <v>-765795.86100000003</v>
      </c>
      <c r="H409" s="612">
        <v>-1526850.706</v>
      </c>
      <c r="I409" s="612">
        <v>-2929303.6740000001</v>
      </c>
      <c r="J409" s="612">
        <v>-2877404.2889999999</v>
      </c>
      <c r="K409" s="612">
        <v>-2869279.0839999998</v>
      </c>
      <c r="L409" s="1017">
        <v>-3782092.52</v>
      </c>
      <c r="M409" s="451"/>
      <c r="N409" t="e">
        <f>VLOOKUP(A409, 'P&amp;L'!A:B,1,FALSE)</f>
        <v>#N/A</v>
      </c>
      <c r="O409" t="e">
        <f>VLOOKUP(A409, KeyData!A:C,1,FALSE)</f>
        <v>#N/A</v>
      </c>
      <c r="P409" s="451"/>
    </row>
    <row r="410" spans="1:16" x14ac:dyDescent="0.25">
      <c r="A410" s="451" t="str">
        <f t="shared" si="6"/>
        <v>312200000_Result</v>
      </c>
      <c r="B410" s="1005" t="s">
        <v>743</v>
      </c>
      <c r="C410" s="808" t="s">
        <v>742</v>
      </c>
      <c r="D410" s="834" t="s">
        <v>1160</v>
      </c>
      <c r="E410" s="1020"/>
      <c r="F410" s="833"/>
      <c r="G410" s="833">
        <v>-765795.86100000003</v>
      </c>
      <c r="H410" s="833">
        <v>-1526850.706</v>
      </c>
      <c r="I410" s="833">
        <v>-2929303.6740000001</v>
      </c>
      <c r="J410" s="833">
        <v>-2877404.2889999999</v>
      </c>
      <c r="K410" s="833">
        <v>-2869279.0839999998</v>
      </c>
      <c r="L410" s="1018">
        <v>-3782092.52</v>
      </c>
      <c r="M410" s="451"/>
      <c r="N410" t="str">
        <f>VLOOKUP(A410, 'P&amp;L'!A:B,1,FALSE)</f>
        <v>312200000_Result</v>
      </c>
      <c r="O410" t="e">
        <f>VLOOKUP(A410, KeyData!A:C,1,FALSE)</f>
        <v>#N/A</v>
      </c>
      <c r="P410" s="451"/>
    </row>
    <row r="411" spans="1:16" x14ac:dyDescent="0.25">
      <c r="A411" s="451" t="str">
        <f t="shared" si="6"/>
        <v>312201100_#</v>
      </c>
      <c r="B411" s="1006" t="s">
        <v>741</v>
      </c>
      <c r="C411" s="809" t="s">
        <v>740</v>
      </c>
      <c r="D411" s="805" t="s">
        <v>1167</v>
      </c>
      <c r="E411" s="1016" t="s">
        <v>1168</v>
      </c>
      <c r="F411" s="612"/>
      <c r="G411" s="612">
        <v>-765795.86100000003</v>
      </c>
      <c r="H411" s="612">
        <v>-1526850.706</v>
      </c>
      <c r="I411" s="612">
        <v>-2929303.6740000001</v>
      </c>
      <c r="J411" s="612">
        <v>-2877404.2889999999</v>
      </c>
      <c r="K411" s="612">
        <v>-2869279.0839999998</v>
      </c>
      <c r="L411" s="1017">
        <v>-3782092.52</v>
      </c>
      <c r="M411" s="451"/>
      <c r="N411" t="e">
        <f>VLOOKUP(A411, 'P&amp;L'!A:B,1,FALSE)</f>
        <v>#N/A</v>
      </c>
      <c r="O411" t="e">
        <f>VLOOKUP(A411, KeyData!A:C,1,FALSE)</f>
        <v>#N/A</v>
      </c>
      <c r="P411" s="451"/>
    </row>
    <row r="412" spans="1:16" x14ac:dyDescent="0.25">
      <c r="A412" s="451" t="str">
        <f t="shared" si="6"/>
        <v>312201100_Result</v>
      </c>
      <c r="B412" s="1006" t="s">
        <v>741</v>
      </c>
      <c r="C412" s="809" t="s">
        <v>740</v>
      </c>
      <c r="D412" s="834" t="s">
        <v>1160</v>
      </c>
      <c r="E412" s="1020"/>
      <c r="F412" s="833"/>
      <c r="G412" s="833">
        <v>-765795.86100000003</v>
      </c>
      <c r="H412" s="833">
        <v>-1526850.706</v>
      </c>
      <c r="I412" s="833">
        <v>-2929303.6740000001</v>
      </c>
      <c r="J412" s="833">
        <v>-2877404.2889999999</v>
      </c>
      <c r="K412" s="833">
        <v>-2869279.0839999998</v>
      </c>
      <c r="L412" s="1018">
        <v>-3782092.52</v>
      </c>
      <c r="M412" s="451"/>
      <c r="N412" t="str">
        <f>VLOOKUP(A412, 'P&amp;L'!A:B,1,FALSE)</f>
        <v>312201100_Result</v>
      </c>
      <c r="O412" t="e">
        <f>VLOOKUP(A412, KeyData!A:C,1,FALSE)</f>
        <v>#N/A</v>
      </c>
      <c r="P412" s="451"/>
    </row>
    <row r="413" spans="1:16" x14ac:dyDescent="0.25">
      <c r="A413" s="451" t="str">
        <f t="shared" si="6"/>
        <v>312500000_#</v>
      </c>
      <c r="B413" s="1005" t="s">
        <v>739</v>
      </c>
      <c r="C413" s="808" t="s">
        <v>738</v>
      </c>
      <c r="D413" s="805" t="s">
        <v>1167</v>
      </c>
      <c r="E413" s="1016" t="s">
        <v>1168</v>
      </c>
      <c r="F413" s="612"/>
      <c r="G413" s="612">
        <v>-44915</v>
      </c>
      <c r="H413" s="612">
        <v>316724.16899999999</v>
      </c>
      <c r="I413" s="612"/>
      <c r="J413" s="612">
        <v>302865.11200000002</v>
      </c>
      <c r="K413" s="612">
        <v>864049.12899999996</v>
      </c>
      <c r="L413" s="1017"/>
      <c r="M413" s="451"/>
      <c r="N413" t="e">
        <f>VLOOKUP(A413, 'P&amp;L'!A:B,1,FALSE)</f>
        <v>#N/A</v>
      </c>
      <c r="O413" t="e">
        <f>VLOOKUP(A413, KeyData!A:C,1,FALSE)</f>
        <v>#N/A</v>
      </c>
      <c r="P413" s="451"/>
    </row>
    <row r="414" spans="1:16" x14ac:dyDescent="0.25">
      <c r="A414" s="451" t="str">
        <f t="shared" si="6"/>
        <v>312500000_Result</v>
      </c>
      <c r="B414" s="1005" t="s">
        <v>739</v>
      </c>
      <c r="C414" s="808" t="s">
        <v>738</v>
      </c>
      <c r="D414" s="834" t="s">
        <v>1160</v>
      </c>
      <c r="E414" s="1020"/>
      <c r="F414" s="833"/>
      <c r="G414" s="833">
        <v>-44915</v>
      </c>
      <c r="H414" s="833">
        <v>316724.16899999999</v>
      </c>
      <c r="I414" s="833"/>
      <c r="J414" s="833">
        <v>302865.11200000002</v>
      </c>
      <c r="K414" s="833">
        <v>864049.12899999996</v>
      </c>
      <c r="L414" s="1018"/>
      <c r="M414" s="451"/>
      <c r="N414" t="str">
        <f>VLOOKUP(A414, 'P&amp;L'!A:B,1,FALSE)</f>
        <v>312500000_Result</v>
      </c>
      <c r="O414" t="e">
        <f>VLOOKUP(A414, KeyData!A:C,1,FALSE)</f>
        <v>#N/A</v>
      </c>
      <c r="P414" s="451"/>
    </row>
    <row r="415" spans="1:16" x14ac:dyDescent="0.25">
      <c r="A415" s="451" t="str">
        <f t="shared" si="6"/>
        <v>312501600_#</v>
      </c>
      <c r="B415" s="1006" t="s">
        <v>991</v>
      </c>
      <c r="C415" s="809" t="s">
        <v>992</v>
      </c>
      <c r="D415" s="805" t="s">
        <v>1167</v>
      </c>
      <c r="E415" s="1016" t="s">
        <v>1168</v>
      </c>
      <c r="F415" s="612"/>
      <c r="G415" s="612">
        <v>47554.525999999998</v>
      </c>
      <c r="H415" s="612">
        <v>-7207.0619999999999</v>
      </c>
      <c r="I415" s="612"/>
      <c r="J415" s="612">
        <v>-18234.373</v>
      </c>
      <c r="K415" s="612">
        <v>-7207.0619999999999</v>
      </c>
      <c r="L415" s="1017"/>
      <c r="M415" s="451"/>
      <c r="N415" t="e">
        <f>VLOOKUP(A415, 'P&amp;L'!A:B,1,FALSE)</f>
        <v>#N/A</v>
      </c>
      <c r="O415" t="e">
        <f>VLOOKUP(A415, KeyData!A:C,1,FALSE)</f>
        <v>#N/A</v>
      </c>
      <c r="P415" s="451"/>
    </row>
    <row r="416" spans="1:16" x14ac:dyDescent="0.25">
      <c r="A416" s="451" t="str">
        <f t="shared" si="6"/>
        <v>312501600_Result</v>
      </c>
      <c r="B416" s="1006" t="s">
        <v>991</v>
      </c>
      <c r="C416" s="809" t="s">
        <v>992</v>
      </c>
      <c r="D416" s="834" t="s">
        <v>1160</v>
      </c>
      <c r="E416" s="1020"/>
      <c r="F416" s="833"/>
      <c r="G416" s="833">
        <v>47554.525999999998</v>
      </c>
      <c r="H416" s="833">
        <v>-7207.0619999999999</v>
      </c>
      <c r="I416" s="833"/>
      <c r="J416" s="833">
        <v>-18234.373</v>
      </c>
      <c r="K416" s="833">
        <v>-7207.0619999999999</v>
      </c>
      <c r="L416" s="1018"/>
      <c r="M416" s="451"/>
      <c r="N416" t="str">
        <f>VLOOKUP(A416, 'P&amp;L'!A:B,1,FALSE)</f>
        <v>312501600_Result</v>
      </c>
      <c r="O416" t="e">
        <f>VLOOKUP(A416, KeyData!A:C,1,FALSE)</f>
        <v>#N/A</v>
      </c>
      <c r="P416" s="451"/>
    </row>
    <row r="417" spans="1:16" x14ac:dyDescent="0.25">
      <c r="A417" s="451" t="str">
        <f t="shared" si="6"/>
        <v>312503300_#</v>
      </c>
      <c r="B417" s="1007" t="s">
        <v>809</v>
      </c>
      <c r="C417" s="809" t="s">
        <v>808</v>
      </c>
      <c r="D417" s="805" t="s">
        <v>1167</v>
      </c>
      <c r="E417" s="1016" t="s">
        <v>1168</v>
      </c>
      <c r="F417" s="612"/>
      <c r="G417" s="612">
        <v>-16168.541999999999</v>
      </c>
      <c r="H417" s="612">
        <v>319969.56300000002</v>
      </c>
      <c r="I417" s="612"/>
      <c r="J417" s="612">
        <v>319969.56199999998</v>
      </c>
      <c r="K417" s="612">
        <v>867294.52300000004</v>
      </c>
      <c r="L417" s="1017"/>
      <c r="M417" s="451"/>
      <c r="N417" t="e">
        <f>VLOOKUP(A417, 'P&amp;L'!A:B,1,FALSE)</f>
        <v>#N/A</v>
      </c>
      <c r="O417" t="e">
        <f>VLOOKUP(A417, KeyData!A:C,1,FALSE)</f>
        <v>#N/A</v>
      </c>
      <c r="P417" s="451"/>
    </row>
    <row r="418" spans="1:16" x14ac:dyDescent="0.25">
      <c r="A418" s="451" t="str">
        <f t="shared" si="6"/>
        <v>312503300_Result</v>
      </c>
      <c r="B418" s="1007" t="s">
        <v>809</v>
      </c>
      <c r="C418" s="809" t="s">
        <v>808</v>
      </c>
      <c r="D418" s="834" t="s">
        <v>1160</v>
      </c>
      <c r="E418" s="1020"/>
      <c r="F418" s="833"/>
      <c r="G418" s="833">
        <v>-16168.541999999999</v>
      </c>
      <c r="H418" s="833">
        <v>319969.56300000002</v>
      </c>
      <c r="I418" s="833"/>
      <c r="J418" s="833">
        <v>319969.56199999998</v>
      </c>
      <c r="K418" s="833">
        <v>867294.52300000004</v>
      </c>
      <c r="L418" s="1018"/>
      <c r="M418" s="451"/>
      <c r="N418" t="str">
        <f>VLOOKUP(A418, 'P&amp;L'!A:B,1,FALSE)</f>
        <v>312503300_Result</v>
      </c>
      <c r="O418" t="e">
        <f>VLOOKUP(A418, KeyData!A:C,1,FALSE)</f>
        <v>#N/A</v>
      </c>
      <c r="P418" s="451"/>
    </row>
    <row r="419" spans="1:16" x14ac:dyDescent="0.25">
      <c r="A419" s="451" t="str">
        <f t="shared" si="6"/>
        <v>312503311_#</v>
      </c>
      <c r="B419" s="1015" t="s">
        <v>807</v>
      </c>
      <c r="C419" s="835" t="s">
        <v>621</v>
      </c>
      <c r="D419" s="805" t="s">
        <v>1167</v>
      </c>
      <c r="E419" s="1016" t="s">
        <v>1168</v>
      </c>
      <c r="F419" s="612"/>
      <c r="G419" s="612">
        <v>-16168.541999999999</v>
      </c>
      <c r="H419" s="612">
        <v>319969.56300000002</v>
      </c>
      <c r="I419" s="612"/>
      <c r="J419" s="612">
        <v>319969.56199999998</v>
      </c>
      <c r="K419" s="612">
        <v>867294.52300000004</v>
      </c>
      <c r="L419" s="1017"/>
      <c r="M419" s="451"/>
      <c r="N419" t="e">
        <f>VLOOKUP(A419, 'P&amp;L'!A:B,1,FALSE)</f>
        <v>#N/A</v>
      </c>
      <c r="O419" t="e">
        <f>VLOOKUP(A419, KeyData!A:C,1,FALSE)</f>
        <v>#N/A</v>
      </c>
      <c r="P419" s="451"/>
    </row>
    <row r="420" spans="1:16" x14ac:dyDescent="0.25">
      <c r="A420" s="451" t="str">
        <f t="shared" si="6"/>
        <v>312503311_Result</v>
      </c>
      <c r="B420" s="1015" t="s">
        <v>807</v>
      </c>
      <c r="C420" s="835" t="s">
        <v>621</v>
      </c>
      <c r="D420" s="834" t="s">
        <v>1160</v>
      </c>
      <c r="E420" s="1020"/>
      <c r="F420" s="833"/>
      <c r="G420" s="833">
        <v>-16168.541999999999</v>
      </c>
      <c r="H420" s="833">
        <v>319969.56300000002</v>
      </c>
      <c r="I420" s="833"/>
      <c r="J420" s="833">
        <v>319969.56199999998</v>
      </c>
      <c r="K420" s="833">
        <v>867294.52300000004</v>
      </c>
      <c r="L420" s="1018"/>
      <c r="M420" s="451"/>
      <c r="N420" t="str">
        <f>VLOOKUP(A420, 'P&amp;L'!A:B,1,FALSE)</f>
        <v>312503311_Result</v>
      </c>
      <c r="O420" t="e">
        <f>VLOOKUP(A420, KeyData!A:C,1,FALSE)</f>
        <v>#N/A</v>
      </c>
      <c r="P420" s="451"/>
    </row>
    <row r="421" spans="1:16" x14ac:dyDescent="0.25">
      <c r="A421" s="451" t="str">
        <f t="shared" si="6"/>
        <v>312503400_#</v>
      </c>
      <c r="B421" s="1007" t="s">
        <v>737</v>
      </c>
      <c r="C421" s="809" t="s">
        <v>618</v>
      </c>
      <c r="D421" s="805" t="s">
        <v>1167</v>
      </c>
      <c r="E421" s="1016" t="s">
        <v>1168</v>
      </c>
      <c r="F421" s="612"/>
      <c r="G421" s="612">
        <v>-8357.2019999999993</v>
      </c>
      <c r="H421" s="612"/>
      <c r="I421" s="612"/>
      <c r="J421" s="612"/>
      <c r="K421" s="612"/>
      <c r="L421" s="1017"/>
      <c r="M421" s="451"/>
      <c r="N421" t="e">
        <f>VLOOKUP(A421, 'P&amp;L'!A:B,1,FALSE)</f>
        <v>#N/A</v>
      </c>
      <c r="O421" t="e">
        <f>VLOOKUP(A421, KeyData!A:C,1,FALSE)</f>
        <v>#N/A</v>
      </c>
      <c r="P421" s="451"/>
    </row>
    <row r="422" spans="1:16" x14ac:dyDescent="0.25">
      <c r="A422" s="451" t="str">
        <f t="shared" si="6"/>
        <v>312503400_Result</v>
      </c>
      <c r="B422" s="1007" t="s">
        <v>737</v>
      </c>
      <c r="C422" s="809" t="s">
        <v>618</v>
      </c>
      <c r="D422" s="834" t="s">
        <v>1160</v>
      </c>
      <c r="E422" s="1020"/>
      <c r="F422" s="833"/>
      <c r="G422" s="833">
        <v>-8357.2019999999993</v>
      </c>
      <c r="H422" s="833"/>
      <c r="I422" s="833"/>
      <c r="J422" s="833"/>
      <c r="K422" s="833"/>
      <c r="L422" s="1018"/>
      <c r="M422" s="451"/>
      <c r="N422" t="str">
        <f>VLOOKUP(A422, 'P&amp;L'!A:B,1,FALSE)</f>
        <v>312503400_Result</v>
      </c>
      <c r="O422" t="e">
        <f>VLOOKUP(A422, KeyData!A:C,1,FALSE)</f>
        <v>#N/A</v>
      </c>
      <c r="P422" s="451"/>
    </row>
    <row r="423" spans="1:16" x14ac:dyDescent="0.25">
      <c r="A423" s="451" t="str">
        <f t="shared" si="6"/>
        <v>312503421_#</v>
      </c>
      <c r="B423" s="1015" t="s">
        <v>1494</v>
      </c>
      <c r="C423" s="835" t="s">
        <v>617</v>
      </c>
      <c r="D423" s="805" t="s">
        <v>1167</v>
      </c>
      <c r="E423" s="1016" t="s">
        <v>1168</v>
      </c>
      <c r="F423" s="612"/>
      <c r="G423" s="612">
        <v>-8632.0689999999995</v>
      </c>
      <c r="H423" s="612"/>
      <c r="I423" s="612"/>
      <c r="J423" s="612"/>
      <c r="K423" s="612"/>
      <c r="L423" s="1017"/>
      <c r="M423" s="451"/>
      <c r="N423" t="e">
        <f>VLOOKUP(A423, 'P&amp;L'!A:B,1,FALSE)</f>
        <v>#N/A</v>
      </c>
      <c r="O423" t="e">
        <f>VLOOKUP(A423, KeyData!A:C,1,FALSE)</f>
        <v>#N/A</v>
      </c>
      <c r="P423" s="451"/>
    </row>
    <row r="424" spans="1:16" x14ac:dyDescent="0.25">
      <c r="A424" s="451" t="str">
        <f t="shared" si="6"/>
        <v>312503421_Result</v>
      </c>
      <c r="B424" s="1015" t="s">
        <v>1494</v>
      </c>
      <c r="C424" s="835" t="s">
        <v>617</v>
      </c>
      <c r="D424" s="834" t="s">
        <v>1160</v>
      </c>
      <c r="E424" s="1020"/>
      <c r="F424" s="833"/>
      <c r="G424" s="833">
        <v>-8632.0689999999995</v>
      </c>
      <c r="H424" s="833"/>
      <c r="I424" s="833"/>
      <c r="J424" s="833"/>
      <c r="K424" s="833"/>
      <c r="L424" s="1018"/>
      <c r="M424" s="451"/>
      <c r="N424" t="str">
        <f>VLOOKUP(A424, 'P&amp;L'!A:B,1,FALSE)</f>
        <v>312503421_Result</v>
      </c>
      <c r="O424" t="e">
        <f>VLOOKUP(A424, KeyData!A:C,1,FALSE)</f>
        <v>#N/A</v>
      </c>
      <c r="P424" s="451"/>
    </row>
    <row r="425" spans="1:16" x14ac:dyDescent="0.25">
      <c r="A425" s="451" t="str">
        <f t="shared" si="6"/>
        <v>312503433_#</v>
      </c>
      <c r="B425" s="1015" t="s">
        <v>1495</v>
      </c>
      <c r="C425" s="835" t="s">
        <v>614</v>
      </c>
      <c r="D425" s="805" t="s">
        <v>1167</v>
      </c>
      <c r="E425" s="1016" t="s">
        <v>1168</v>
      </c>
      <c r="F425" s="612"/>
      <c r="G425" s="612">
        <v>250.53200000000001</v>
      </c>
      <c r="H425" s="612"/>
      <c r="I425" s="612"/>
      <c r="J425" s="612"/>
      <c r="K425" s="612"/>
      <c r="L425" s="1017"/>
      <c r="M425" s="451"/>
      <c r="N425" t="e">
        <f>VLOOKUP(A425, 'P&amp;L'!A:B,1,FALSE)</f>
        <v>#N/A</v>
      </c>
      <c r="O425" t="e">
        <f>VLOOKUP(A425, KeyData!A:C,1,FALSE)</f>
        <v>#N/A</v>
      </c>
      <c r="P425" s="451"/>
    </row>
    <row r="426" spans="1:16" x14ac:dyDescent="0.25">
      <c r="A426" s="451" t="str">
        <f t="shared" si="6"/>
        <v>312503433_Result</v>
      </c>
      <c r="B426" s="1015" t="s">
        <v>1495</v>
      </c>
      <c r="C426" s="835" t="s">
        <v>614</v>
      </c>
      <c r="D426" s="834" t="s">
        <v>1160</v>
      </c>
      <c r="E426" s="1020"/>
      <c r="F426" s="833"/>
      <c r="G426" s="833">
        <v>250.53200000000001</v>
      </c>
      <c r="H426" s="833"/>
      <c r="I426" s="833"/>
      <c r="J426" s="833"/>
      <c r="K426" s="833"/>
      <c r="L426" s="1018"/>
      <c r="M426" s="451"/>
      <c r="N426" t="str">
        <f>VLOOKUP(A426, 'P&amp;L'!A:B,1,FALSE)</f>
        <v>312503433_Result</v>
      </c>
      <c r="O426" t="e">
        <f>VLOOKUP(A426, KeyData!A:C,1,FALSE)</f>
        <v>#N/A</v>
      </c>
      <c r="P426" s="451"/>
    </row>
    <row r="427" spans="1:16" x14ac:dyDescent="0.25">
      <c r="A427" s="451" t="str">
        <f t="shared" si="6"/>
        <v>312503434_#</v>
      </c>
      <c r="B427" s="1015" t="s">
        <v>1099</v>
      </c>
      <c r="C427" s="835" t="s">
        <v>801</v>
      </c>
      <c r="D427" s="805" t="s">
        <v>1167</v>
      </c>
      <c r="E427" s="1016" t="s">
        <v>1168</v>
      </c>
      <c r="F427" s="612"/>
      <c r="G427" s="612">
        <v>24.335000000000001</v>
      </c>
      <c r="H427" s="612"/>
      <c r="I427" s="612"/>
      <c r="J427" s="612"/>
      <c r="K427" s="612"/>
      <c r="L427" s="1017"/>
      <c r="M427" s="451"/>
      <c r="N427" t="e">
        <f>VLOOKUP(A427, 'P&amp;L'!A:B,1,FALSE)</f>
        <v>#N/A</v>
      </c>
      <c r="O427" t="e">
        <f>VLOOKUP(A427, KeyData!A:C,1,FALSE)</f>
        <v>#N/A</v>
      </c>
      <c r="P427" s="451"/>
    </row>
    <row r="428" spans="1:16" x14ac:dyDescent="0.25">
      <c r="A428" s="451" t="str">
        <f t="shared" si="6"/>
        <v>312503434_Result</v>
      </c>
      <c r="B428" s="1015" t="s">
        <v>1099</v>
      </c>
      <c r="C428" s="835" t="s">
        <v>801</v>
      </c>
      <c r="D428" s="834" t="s">
        <v>1160</v>
      </c>
      <c r="E428" s="1020"/>
      <c r="F428" s="833"/>
      <c r="G428" s="833">
        <v>24.335000000000001</v>
      </c>
      <c r="H428" s="833"/>
      <c r="I428" s="833"/>
      <c r="J428" s="833"/>
      <c r="K428" s="833"/>
      <c r="L428" s="1018"/>
      <c r="M428" s="451"/>
      <c r="N428" t="str">
        <f>VLOOKUP(A428, 'P&amp;L'!A:B,1,FALSE)</f>
        <v>312503434_Result</v>
      </c>
      <c r="O428" t="e">
        <f>VLOOKUP(A428, KeyData!A:C,1,FALSE)</f>
        <v>#N/A</v>
      </c>
      <c r="P428" s="451"/>
    </row>
    <row r="429" spans="1:16" x14ac:dyDescent="0.25">
      <c r="A429" s="451" t="str">
        <f t="shared" si="6"/>
        <v>312504000_#</v>
      </c>
      <c r="B429" s="1007" t="s">
        <v>800</v>
      </c>
      <c r="C429" s="809" t="s">
        <v>799</v>
      </c>
      <c r="D429" s="805" t="s">
        <v>1167</v>
      </c>
      <c r="E429" s="1016" t="s">
        <v>1168</v>
      </c>
      <c r="F429" s="612"/>
      <c r="G429" s="612">
        <v>-11403.009</v>
      </c>
      <c r="H429" s="612"/>
      <c r="I429" s="612"/>
      <c r="J429" s="612"/>
      <c r="K429" s="612"/>
      <c r="L429" s="1017"/>
      <c r="M429" s="451"/>
      <c r="N429" t="e">
        <f>VLOOKUP(A429, 'P&amp;L'!A:B,1,FALSE)</f>
        <v>#N/A</v>
      </c>
      <c r="O429" t="e">
        <f>VLOOKUP(A429, KeyData!A:C,1,FALSE)</f>
        <v>#N/A</v>
      </c>
      <c r="P429" s="451"/>
    </row>
    <row r="430" spans="1:16" x14ac:dyDescent="0.25">
      <c r="A430" s="451" t="str">
        <f t="shared" si="6"/>
        <v>312504000_Result</v>
      </c>
      <c r="B430" s="1007" t="s">
        <v>800</v>
      </c>
      <c r="C430" s="809" t="s">
        <v>799</v>
      </c>
      <c r="D430" s="834" t="s">
        <v>1160</v>
      </c>
      <c r="E430" s="1020"/>
      <c r="F430" s="833"/>
      <c r="G430" s="833">
        <v>-11403.009</v>
      </c>
      <c r="H430" s="833"/>
      <c r="I430" s="833"/>
      <c r="J430" s="833"/>
      <c r="K430" s="833"/>
      <c r="L430" s="1018"/>
      <c r="M430" s="451"/>
      <c r="N430" t="str">
        <f>VLOOKUP(A430, 'P&amp;L'!A:B,1,FALSE)</f>
        <v>312504000_Result</v>
      </c>
      <c r="O430" t="e">
        <f>VLOOKUP(A430, KeyData!A:C,1,FALSE)</f>
        <v>#N/A</v>
      </c>
      <c r="P430" s="451"/>
    </row>
    <row r="431" spans="1:16" x14ac:dyDescent="0.25">
      <c r="A431" s="451" t="str">
        <f t="shared" si="6"/>
        <v>312504500_#</v>
      </c>
      <c r="B431" s="1015" t="s">
        <v>798</v>
      </c>
      <c r="C431" s="835" t="s">
        <v>612</v>
      </c>
      <c r="D431" s="805" t="s">
        <v>1167</v>
      </c>
      <c r="E431" s="1016" t="s">
        <v>1168</v>
      </c>
      <c r="F431" s="612"/>
      <c r="G431" s="612">
        <v>-11403.009</v>
      </c>
      <c r="H431" s="612"/>
      <c r="I431" s="612"/>
      <c r="J431" s="612"/>
      <c r="K431" s="612"/>
      <c r="L431" s="1017"/>
      <c r="M431" s="451"/>
      <c r="N431" t="e">
        <f>VLOOKUP(A431, 'P&amp;L'!A:B,1,FALSE)</f>
        <v>#N/A</v>
      </c>
      <c r="O431" t="e">
        <f>VLOOKUP(A431, KeyData!A:C,1,FALSE)</f>
        <v>#N/A</v>
      </c>
      <c r="P431" s="451"/>
    </row>
    <row r="432" spans="1:16" x14ac:dyDescent="0.25">
      <c r="A432" s="451" t="str">
        <f t="shared" si="6"/>
        <v>312504500_Result</v>
      </c>
      <c r="B432" s="1015" t="s">
        <v>798</v>
      </c>
      <c r="C432" s="835" t="s">
        <v>612</v>
      </c>
      <c r="D432" s="834" t="s">
        <v>1160</v>
      </c>
      <c r="E432" s="1020"/>
      <c r="F432" s="833"/>
      <c r="G432" s="833">
        <v>-11403.009</v>
      </c>
      <c r="H432" s="833"/>
      <c r="I432" s="833"/>
      <c r="J432" s="833"/>
      <c r="K432" s="833"/>
      <c r="L432" s="1018"/>
      <c r="M432" s="451"/>
      <c r="N432" t="str">
        <f>VLOOKUP(A432, 'P&amp;L'!A:B,1,FALSE)</f>
        <v>312504500_Result</v>
      </c>
      <c r="O432" t="e">
        <f>VLOOKUP(A432, KeyData!A:C,1,FALSE)</f>
        <v>#N/A</v>
      </c>
      <c r="P432" s="451"/>
    </row>
    <row r="433" spans="1:16" x14ac:dyDescent="0.25">
      <c r="A433" s="451" t="str">
        <f t="shared" si="6"/>
        <v>312505100_#</v>
      </c>
      <c r="B433" s="1006" t="s">
        <v>1496</v>
      </c>
      <c r="C433" s="809" t="s">
        <v>1497</v>
      </c>
      <c r="D433" s="805" t="s">
        <v>1167</v>
      </c>
      <c r="E433" s="1016" t="s">
        <v>1168</v>
      </c>
      <c r="F433" s="612"/>
      <c r="G433" s="612">
        <v>0</v>
      </c>
      <c r="H433" s="612"/>
      <c r="I433" s="612"/>
      <c r="J433" s="612"/>
      <c r="K433" s="612"/>
      <c r="L433" s="1017"/>
      <c r="M433" s="451"/>
      <c r="N433" t="e">
        <f>VLOOKUP(A433, 'P&amp;L'!A:B,1,FALSE)</f>
        <v>#N/A</v>
      </c>
      <c r="O433" t="e">
        <f>VLOOKUP(A433, KeyData!A:C,1,FALSE)</f>
        <v>#N/A</v>
      </c>
      <c r="P433" s="451"/>
    </row>
    <row r="434" spans="1:16" x14ac:dyDescent="0.25">
      <c r="A434" s="451" t="str">
        <f t="shared" si="6"/>
        <v>312505100_Result</v>
      </c>
      <c r="B434" s="1006" t="s">
        <v>1496</v>
      </c>
      <c r="C434" s="809" t="s">
        <v>1497</v>
      </c>
      <c r="D434" s="834" t="s">
        <v>1160</v>
      </c>
      <c r="E434" s="1020"/>
      <c r="F434" s="833"/>
      <c r="G434" s="833">
        <v>0</v>
      </c>
      <c r="H434" s="833"/>
      <c r="I434" s="833"/>
      <c r="J434" s="833"/>
      <c r="K434" s="833"/>
      <c r="L434" s="1018"/>
      <c r="M434" s="451"/>
      <c r="N434" t="str">
        <f>VLOOKUP(A434, 'P&amp;L'!A:B,1,FALSE)</f>
        <v>312505100_Result</v>
      </c>
      <c r="O434" t="e">
        <f>VLOOKUP(A434, KeyData!A:C,1,FALSE)</f>
        <v>#N/A</v>
      </c>
      <c r="P434" s="451"/>
    </row>
    <row r="435" spans="1:16" x14ac:dyDescent="0.25">
      <c r="A435" s="451" t="str">
        <f t="shared" si="6"/>
        <v>312507000_#</v>
      </c>
      <c r="B435" s="1007" t="s">
        <v>736</v>
      </c>
      <c r="C435" s="809" t="s">
        <v>1079</v>
      </c>
      <c r="D435" s="805" t="s">
        <v>1167</v>
      </c>
      <c r="E435" s="1016" t="s">
        <v>1168</v>
      </c>
      <c r="F435" s="612"/>
      <c r="G435" s="612">
        <v>-56540.773000000001</v>
      </c>
      <c r="H435" s="612">
        <v>3961.6680000000001</v>
      </c>
      <c r="I435" s="612"/>
      <c r="J435" s="612">
        <v>1129.923</v>
      </c>
      <c r="K435" s="612">
        <v>3961.6680000000001</v>
      </c>
      <c r="L435" s="1017"/>
      <c r="M435" s="451"/>
      <c r="N435" t="e">
        <f>VLOOKUP(A435, 'P&amp;L'!A:B,1,FALSE)</f>
        <v>#N/A</v>
      </c>
      <c r="O435" t="e">
        <f>VLOOKUP(A435, KeyData!A:C,1,FALSE)</f>
        <v>#N/A</v>
      </c>
      <c r="P435" s="451"/>
    </row>
    <row r="436" spans="1:16" x14ac:dyDescent="0.25">
      <c r="A436" s="451" t="str">
        <f t="shared" si="6"/>
        <v>312507000_Result</v>
      </c>
      <c r="B436" s="1007" t="s">
        <v>736</v>
      </c>
      <c r="C436" s="809" t="s">
        <v>1079</v>
      </c>
      <c r="D436" s="834" t="s">
        <v>1160</v>
      </c>
      <c r="E436" s="1020"/>
      <c r="F436" s="833"/>
      <c r="G436" s="833">
        <v>-56540.773000000001</v>
      </c>
      <c r="H436" s="833">
        <v>3961.6680000000001</v>
      </c>
      <c r="I436" s="833"/>
      <c r="J436" s="833">
        <v>1129.923</v>
      </c>
      <c r="K436" s="833">
        <v>3961.6680000000001</v>
      </c>
      <c r="L436" s="1018"/>
      <c r="M436" s="451"/>
      <c r="N436" t="str">
        <f>VLOOKUP(A436, 'P&amp;L'!A:B,1,FALSE)</f>
        <v>312507000_Result</v>
      </c>
      <c r="O436" t="e">
        <f>VLOOKUP(A436, KeyData!A:C,1,FALSE)</f>
        <v>#N/A</v>
      </c>
      <c r="P436" s="451"/>
    </row>
    <row r="437" spans="1:16" x14ac:dyDescent="0.25">
      <c r="A437" s="451" t="str">
        <f t="shared" si="6"/>
        <v>312507600_#</v>
      </c>
      <c r="B437" s="1015" t="s">
        <v>735</v>
      </c>
      <c r="C437" s="835" t="s">
        <v>1080</v>
      </c>
      <c r="D437" s="805" t="s">
        <v>1167</v>
      </c>
      <c r="E437" s="1016" t="s">
        <v>1168</v>
      </c>
      <c r="F437" s="612"/>
      <c r="G437" s="612">
        <v>-2090.6889999999999</v>
      </c>
      <c r="H437" s="612">
        <v>-51.433</v>
      </c>
      <c r="I437" s="612"/>
      <c r="J437" s="612">
        <v>-23.143999999999998</v>
      </c>
      <c r="K437" s="612">
        <v>-51.433</v>
      </c>
      <c r="L437" s="1017"/>
      <c r="M437" s="451"/>
      <c r="N437" t="e">
        <f>VLOOKUP(A437, 'P&amp;L'!A:B,1,FALSE)</f>
        <v>#N/A</v>
      </c>
      <c r="O437" t="e">
        <f>VLOOKUP(A437, KeyData!A:C,1,FALSE)</f>
        <v>#N/A</v>
      </c>
      <c r="P437" s="451"/>
    </row>
    <row r="438" spans="1:16" x14ac:dyDescent="0.25">
      <c r="A438" s="451" t="str">
        <f t="shared" si="6"/>
        <v>312507600_Result</v>
      </c>
      <c r="B438" s="1015" t="s">
        <v>735</v>
      </c>
      <c r="C438" s="835" t="s">
        <v>1080</v>
      </c>
      <c r="D438" s="834" t="s">
        <v>1160</v>
      </c>
      <c r="E438" s="1020"/>
      <c r="F438" s="833"/>
      <c r="G438" s="833">
        <v>-2090.6889999999999</v>
      </c>
      <c r="H438" s="833">
        <v>-51.433</v>
      </c>
      <c r="I438" s="833"/>
      <c r="J438" s="833">
        <v>-23.143999999999998</v>
      </c>
      <c r="K438" s="833">
        <v>-51.433</v>
      </c>
      <c r="L438" s="1018"/>
      <c r="M438" s="451"/>
      <c r="N438" t="str">
        <f>VLOOKUP(A438, 'P&amp;L'!A:B,1,FALSE)</f>
        <v>312507600_Result</v>
      </c>
      <c r="O438" t="e">
        <f>VLOOKUP(A438, KeyData!A:C,1,FALSE)</f>
        <v>#N/A</v>
      </c>
      <c r="P438" s="451"/>
    </row>
    <row r="439" spans="1:16" x14ac:dyDescent="0.25">
      <c r="A439" s="451" t="str">
        <f t="shared" si="6"/>
        <v>312508100_#</v>
      </c>
      <c r="B439" s="1015" t="s">
        <v>734</v>
      </c>
      <c r="C439" s="835" t="s">
        <v>1081</v>
      </c>
      <c r="D439" s="805" t="s">
        <v>1167</v>
      </c>
      <c r="E439" s="1016" t="s">
        <v>1168</v>
      </c>
      <c r="F439" s="612"/>
      <c r="G439" s="612">
        <v>-117915.63499999999</v>
      </c>
      <c r="H439" s="612">
        <v>2568.5300000000002</v>
      </c>
      <c r="I439" s="612"/>
      <c r="J439" s="612">
        <v>190.02</v>
      </c>
      <c r="K439" s="612">
        <v>2568.5300000000002</v>
      </c>
      <c r="L439" s="1017"/>
      <c r="M439" s="451"/>
      <c r="N439" t="e">
        <f>VLOOKUP(A439, 'P&amp;L'!A:B,1,FALSE)</f>
        <v>#N/A</v>
      </c>
      <c r="O439" t="e">
        <f>VLOOKUP(A439, KeyData!A:C,1,FALSE)</f>
        <v>#N/A</v>
      </c>
      <c r="P439" s="451"/>
    </row>
    <row r="440" spans="1:16" x14ac:dyDescent="0.25">
      <c r="A440" s="451" t="str">
        <f t="shared" si="6"/>
        <v>312508100_Result</v>
      </c>
      <c r="B440" s="1015" t="s">
        <v>734</v>
      </c>
      <c r="C440" s="835" t="s">
        <v>1081</v>
      </c>
      <c r="D440" s="834" t="s">
        <v>1160</v>
      </c>
      <c r="E440" s="1020"/>
      <c r="F440" s="833"/>
      <c r="G440" s="833">
        <v>-117915.63499999999</v>
      </c>
      <c r="H440" s="833">
        <v>2568.5300000000002</v>
      </c>
      <c r="I440" s="833"/>
      <c r="J440" s="833">
        <v>190.02</v>
      </c>
      <c r="K440" s="833">
        <v>2568.5300000000002</v>
      </c>
      <c r="L440" s="1018"/>
      <c r="M440" s="451"/>
      <c r="N440" t="str">
        <f>VLOOKUP(A440, 'P&amp;L'!A:B,1,FALSE)</f>
        <v>312508100_Result</v>
      </c>
      <c r="O440" t="e">
        <f>VLOOKUP(A440, KeyData!A:C,1,FALSE)</f>
        <v>#N/A</v>
      </c>
      <c r="P440" s="451"/>
    </row>
    <row r="441" spans="1:16" x14ac:dyDescent="0.25">
      <c r="A441" s="451" t="str">
        <f t="shared" si="6"/>
        <v>312508300_#</v>
      </c>
      <c r="B441" s="1015" t="s">
        <v>1533</v>
      </c>
      <c r="C441" s="835" t="s">
        <v>1534</v>
      </c>
      <c r="D441" s="805" t="s">
        <v>1167</v>
      </c>
      <c r="E441" s="1016" t="s">
        <v>1168</v>
      </c>
      <c r="F441" s="612"/>
      <c r="G441" s="612">
        <v>63465.550999999999</v>
      </c>
      <c r="H441" s="612">
        <v>1444.5709999999999</v>
      </c>
      <c r="I441" s="612"/>
      <c r="J441" s="612">
        <v>963.04700000000003</v>
      </c>
      <c r="K441" s="612">
        <v>1444.5709999999999</v>
      </c>
      <c r="L441" s="1017"/>
      <c r="M441" s="451"/>
      <c r="N441" t="e">
        <f>VLOOKUP(A441, 'P&amp;L'!A:B,1,FALSE)</f>
        <v>#N/A</v>
      </c>
      <c r="O441" t="e">
        <f>VLOOKUP(A441, KeyData!A:C,1,FALSE)</f>
        <v>#N/A</v>
      </c>
      <c r="P441" s="451"/>
    </row>
    <row r="442" spans="1:16" x14ac:dyDescent="0.25">
      <c r="A442" s="451" t="str">
        <f t="shared" si="6"/>
        <v>312508300_Result</v>
      </c>
      <c r="B442" s="1015" t="s">
        <v>1533</v>
      </c>
      <c r="C442" s="835" t="s">
        <v>1534</v>
      </c>
      <c r="D442" s="834" t="s">
        <v>1160</v>
      </c>
      <c r="E442" s="1020"/>
      <c r="F442" s="833"/>
      <c r="G442" s="833">
        <v>63465.550999999999</v>
      </c>
      <c r="H442" s="833">
        <v>1444.5709999999999</v>
      </c>
      <c r="I442" s="833"/>
      <c r="J442" s="833">
        <v>963.04700000000003</v>
      </c>
      <c r="K442" s="833">
        <v>1444.5709999999999</v>
      </c>
      <c r="L442" s="1018"/>
      <c r="M442" s="451"/>
      <c r="N442" t="str">
        <f>VLOOKUP(A442, 'P&amp;L'!A:B,1,FALSE)</f>
        <v>312508300_Result</v>
      </c>
      <c r="O442" t="e">
        <f>VLOOKUP(A442, KeyData!A:C,1,FALSE)</f>
        <v>#N/A</v>
      </c>
      <c r="P442" s="451"/>
    </row>
    <row r="443" spans="1:16" x14ac:dyDescent="0.25">
      <c r="A443" s="451" t="str">
        <f t="shared" si="6"/>
        <v>CO-010000000_#</v>
      </c>
      <c r="B443" s="1001" t="s">
        <v>848</v>
      </c>
      <c r="C443" s="806" t="s">
        <v>847</v>
      </c>
      <c r="D443" s="805" t="s">
        <v>1167</v>
      </c>
      <c r="E443" s="1016" t="s">
        <v>1168</v>
      </c>
      <c r="F443" s="612"/>
      <c r="G443" s="612">
        <v>386.12299999999999</v>
      </c>
      <c r="H443" s="612">
        <v>63</v>
      </c>
      <c r="I443" s="612">
        <v>90</v>
      </c>
      <c r="J443" s="612">
        <v>98</v>
      </c>
      <c r="K443" s="612">
        <v>97</v>
      </c>
      <c r="L443" s="1017">
        <v>144</v>
      </c>
      <c r="M443" s="451"/>
      <c r="N443" t="e">
        <f>VLOOKUP(A443, 'P&amp;L'!A:B,1,FALSE)</f>
        <v>#N/A</v>
      </c>
      <c r="O443" t="e">
        <f>VLOOKUP(A443, KeyData!A:C,1,FALSE)</f>
        <v>#N/A</v>
      </c>
      <c r="P443" s="451"/>
    </row>
    <row r="444" spans="1:16" x14ac:dyDescent="0.25">
      <c r="A444" s="451" t="str">
        <f t="shared" si="6"/>
        <v>CO-010000000_Result</v>
      </c>
      <c r="B444" s="1001" t="s">
        <v>848</v>
      </c>
      <c r="C444" s="806" t="s">
        <v>847</v>
      </c>
      <c r="D444" s="834" t="s">
        <v>1160</v>
      </c>
      <c r="E444" s="1020"/>
      <c r="F444" s="833"/>
      <c r="G444" s="833">
        <v>386.12299999999999</v>
      </c>
      <c r="H444" s="833">
        <v>63</v>
      </c>
      <c r="I444" s="833">
        <v>90</v>
      </c>
      <c r="J444" s="833">
        <v>98</v>
      </c>
      <c r="K444" s="833">
        <v>97</v>
      </c>
      <c r="L444" s="1018">
        <v>144</v>
      </c>
      <c r="M444" s="451"/>
      <c r="N444" t="e">
        <f>VLOOKUP(A444, 'P&amp;L'!A:B,1,FALSE)</f>
        <v>#N/A</v>
      </c>
      <c r="O444" t="e">
        <f>VLOOKUP(A444, KeyData!A:C,1,FALSE)</f>
        <v>#N/A</v>
      </c>
      <c r="P444" s="451"/>
    </row>
    <row r="445" spans="1:16" x14ac:dyDescent="0.25">
      <c r="A445" s="451" t="str">
        <f t="shared" si="6"/>
        <v>CO-010100000_#</v>
      </c>
      <c r="B445" s="1002" t="s">
        <v>846</v>
      </c>
      <c r="C445" s="807" t="s">
        <v>715</v>
      </c>
      <c r="D445" s="805" t="s">
        <v>1167</v>
      </c>
      <c r="E445" s="1016" t="s">
        <v>1168</v>
      </c>
      <c r="F445" s="612"/>
      <c r="G445" s="612">
        <v>66</v>
      </c>
      <c r="H445" s="612">
        <v>63</v>
      </c>
      <c r="I445" s="612">
        <v>90</v>
      </c>
      <c r="J445" s="612">
        <v>98</v>
      </c>
      <c r="K445" s="612">
        <v>97</v>
      </c>
      <c r="L445" s="1017">
        <v>144</v>
      </c>
      <c r="M445" s="451"/>
      <c r="N445" t="e">
        <f>VLOOKUP(A445, 'P&amp;L'!A:B,1,FALSE)</f>
        <v>#N/A</v>
      </c>
      <c r="O445" t="e">
        <f>VLOOKUP(A445, KeyData!A:C,1,FALSE)</f>
        <v>#N/A</v>
      </c>
      <c r="P445" s="451"/>
    </row>
    <row r="446" spans="1:16" x14ac:dyDescent="0.25">
      <c r="A446" s="451" t="str">
        <f t="shared" si="6"/>
        <v>CO-010100000_Result</v>
      </c>
      <c r="B446" s="1002" t="s">
        <v>846</v>
      </c>
      <c r="C446" s="807" t="s">
        <v>715</v>
      </c>
      <c r="D446" s="834" t="s">
        <v>1160</v>
      </c>
      <c r="E446" s="1020"/>
      <c r="F446" s="833"/>
      <c r="G446" s="833">
        <v>66</v>
      </c>
      <c r="H446" s="833">
        <v>63</v>
      </c>
      <c r="I446" s="833">
        <v>90</v>
      </c>
      <c r="J446" s="833">
        <v>98</v>
      </c>
      <c r="K446" s="833">
        <v>97</v>
      </c>
      <c r="L446" s="1018">
        <v>144</v>
      </c>
      <c r="M446" s="451"/>
      <c r="N446" t="e">
        <f>VLOOKUP(A446, 'P&amp;L'!A:B,1,FALSE)</f>
        <v>#N/A</v>
      </c>
      <c r="O446" t="str">
        <f>VLOOKUP(A446, KeyData!A:C,1,FALSE)</f>
        <v>CO-010100000_Result</v>
      </c>
      <c r="P446" s="451"/>
    </row>
    <row r="447" spans="1:16" x14ac:dyDescent="0.25">
      <c r="A447" s="451" t="str">
        <f t="shared" si="6"/>
        <v>CO-010101000_#</v>
      </c>
      <c r="B447" s="1005" t="s">
        <v>845</v>
      </c>
      <c r="C447" s="808" t="s">
        <v>723</v>
      </c>
      <c r="D447" s="805" t="s">
        <v>1167</v>
      </c>
      <c r="E447" s="1016" t="s">
        <v>1168</v>
      </c>
      <c r="F447" s="612"/>
      <c r="G447" s="612">
        <v>34</v>
      </c>
      <c r="H447" s="612">
        <v>35</v>
      </c>
      <c r="I447" s="612">
        <v>61</v>
      </c>
      <c r="J447" s="612">
        <v>69</v>
      </c>
      <c r="K447" s="612">
        <v>70</v>
      </c>
      <c r="L447" s="1017">
        <v>107</v>
      </c>
      <c r="M447" s="451"/>
      <c r="N447" t="e">
        <f>VLOOKUP(A447, 'P&amp;L'!A:B,1,FALSE)</f>
        <v>#N/A</v>
      </c>
      <c r="O447" t="e">
        <f>VLOOKUP(A447, KeyData!A:C,1,FALSE)</f>
        <v>#N/A</v>
      </c>
      <c r="P447" s="451"/>
    </row>
    <row r="448" spans="1:16" x14ac:dyDescent="0.25">
      <c r="A448" s="451" t="str">
        <f t="shared" si="6"/>
        <v>CO-010101000_Result</v>
      </c>
      <c r="B448" s="1005" t="s">
        <v>845</v>
      </c>
      <c r="C448" s="808" t="s">
        <v>723</v>
      </c>
      <c r="D448" s="834" t="s">
        <v>1160</v>
      </c>
      <c r="E448" s="1020"/>
      <c r="F448" s="833"/>
      <c r="G448" s="833">
        <v>34</v>
      </c>
      <c r="H448" s="833">
        <v>35</v>
      </c>
      <c r="I448" s="833">
        <v>61</v>
      </c>
      <c r="J448" s="833">
        <v>69</v>
      </c>
      <c r="K448" s="833">
        <v>70</v>
      </c>
      <c r="L448" s="1018">
        <v>107</v>
      </c>
      <c r="M448" s="451"/>
      <c r="N448" t="e">
        <f>VLOOKUP(A448, 'P&amp;L'!A:B,1,FALSE)</f>
        <v>#N/A</v>
      </c>
      <c r="O448" t="str">
        <f>VLOOKUP(A448, KeyData!A:C,1,FALSE)</f>
        <v>CO-010101000_Result</v>
      </c>
      <c r="P448" s="451"/>
    </row>
    <row r="449" spans="1:16" x14ac:dyDescent="0.25">
      <c r="A449" s="451" t="str">
        <f t="shared" si="6"/>
        <v>CO-010101100_#</v>
      </c>
      <c r="B449" s="1006" t="s">
        <v>844</v>
      </c>
      <c r="C449" s="809" t="s">
        <v>719</v>
      </c>
      <c r="D449" s="805" t="s">
        <v>1167</v>
      </c>
      <c r="E449" s="1016" t="s">
        <v>1168</v>
      </c>
      <c r="F449" s="612"/>
      <c r="G449" s="612">
        <v>34</v>
      </c>
      <c r="H449" s="612">
        <v>35</v>
      </c>
      <c r="I449" s="612">
        <v>61</v>
      </c>
      <c r="J449" s="612">
        <v>69</v>
      </c>
      <c r="K449" s="612">
        <v>70</v>
      </c>
      <c r="L449" s="1017">
        <v>107</v>
      </c>
      <c r="M449" s="451"/>
      <c r="N449" t="e">
        <f>VLOOKUP(A449, 'P&amp;L'!A:B,1,FALSE)</f>
        <v>#N/A</v>
      </c>
      <c r="O449" t="e">
        <f>VLOOKUP(A449, KeyData!A:C,1,FALSE)</f>
        <v>#N/A</v>
      </c>
      <c r="P449" s="451"/>
    </row>
    <row r="450" spans="1:16" x14ac:dyDescent="0.25">
      <c r="A450" s="451" t="str">
        <f t="shared" si="6"/>
        <v>CO-010101100_Result</v>
      </c>
      <c r="B450" s="1006" t="s">
        <v>844</v>
      </c>
      <c r="C450" s="809" t="s">
        <v>719</v>
      </c>
      <c r="D450" s="834" t="s">
        <v>1160</v>
      </c>
      <c r="E450" s="1020"/>
      <c r="F450" s="833"/>
      <c r="G450" s="833">
        <v>34</v>
      </c>
      <c r="H450" s="833">
        <v>35</v>
      </c>
      <c r="I450" s="833">
        <v>61</v>
      </c>
      <c r="J450" s="833">
        <v>69</v>
      </c>
      <c r="K450" s="833">
        <v>70</v>
      </c>
      <c r="L450" s="1018">
        <v>107</v>
      </c>
      <c r="M450" s="451"/>
      <c r="N450" t="e">
        <f>VLOOKUP(A450, 'P&amp;L'!A:B,1,FALSE)</f>
        <v>#N/A</v>
      </c>
      <c r="O450" t="str">
        <f>VLOOKUP(A450, KeyData!A:C,1,FALSE)</f>
        <v>CO-010101100_Result</v>
      </c>
      <c r="P450" s="451"/>
    </row>
    <row r="451" spans="1:16" x14ac:dyDescent="0.25">
      <c r="A451" s="451" t="str">
        <f t="shared" ref="A451:A514" si="7" xml:space="preserve"> IFERROR(+B451*1,B451)&amp;"_"&amp;IFERROR(+D451*1,D451)</f>
        <v>CO-010106000_#</v>
      </c>
      <c r="B451" s="1005" t="s">
        <v>843</v>
      </c>
      <c r="C451" s="808" t="s">
        <v>722</v>
      </c>
      <c r="D451" s="805" t="s">
        <v>1167</v>
      </c>
      <c r="E451" s="1016" t="s">
        <v>1168</v>
      </c>
      <c r="F451" s="612"/>
      <c r="G451" s="612">
        <v>32</v>
      </c>
      <c r="H451" s="612">
        <v>28</v>
      </c>
      <c r="I451" s="612">
        <v>29</v>
      </c>
      <c r="J451" s="612">
        <v>29</v>
      </c>
      <c r="K451" s="612">
        <v>27</v>
      </c>
      <c r="L451" s="1017">
        <v>37</v>
      </c>
      <c r="M451" s="451"/>
      <c r="N451" t="e">
        <f>VLOOKUP(A451, 'P&amp;L'!A:B,1,FALSE)</f>
        <v>#N/A</v>
      </c>
      <c r="O451" t="e">
        <f>VLOOKUP(A451, KeyData!A:C,1,FALSE)</f>
        <v>#N/A</v>
      </c>
      <c r="P451" s="451"/>
    </row>
    <row r="452" spans="1:16" x14ac:dyDescent="0.25">
      <c r="A452" s="451" t="str">
        <f t="shared" si="7"/>
        <v>CO-010106000_Result</v>
      </c>
      <c r="B452" s="1005" t="s">
        <v>843</v>
      </c>
      <c r="C452" s="808" t="s">
        <v>722</v>
      </c>
      <c r="D452" s="834" t="s">
        <v>1160</v>
      </c>
      <c r="E452" s="1020"/>
      <c r="F452" s="833"/>
      <c r="G452" s="833">
        <v>32</v>
      </c>
      <c r="H452" s="833">
        <v>28</v>
      </c>
      <c r="I452" s="833">
        <v>29</v>
      </c>
      <c r="J452" s="833">
        <v>29</v>
      </c>
      <c r="K452" s="833">
        <v>27</v>
      </c>
      <c r="L452" s="1018">
        <v>37</v>
      </c>
      <c r="M452" s="451"/>
      <c r="N452" t="e">
        <f>VLOOKUP(A452, 'P&amp;L'!A:B,1,FALSE)</f>
        <v>#N/A</v>
      </c>
      <c r="O452" t="str">
        <f>VLOOKUP(A452, KeyData!A:C,1,FALSE)</f>
        <v>CO-010106000_Result</v>
      </c>
      <c r="P452" s="451"/>
    </row>
    <row r="453" spans="1:16" x14ac:dyDescent="0.25">
      <c r="A453" s="451" t="str">
        <f t="shared" si="7"/>
        <v>CO-010106100_#</v>
      </c>
      <c r="B453" s="1006" t="s">
        <v>842</v>
      </c>
      <c r="C453" s="809" t="s">
        <v>718</v>
      </c>
      <c r="D453" s="805" t="s">
        <v>1167</v>
      </c>
      <c r="E453" s="1016" t="s">
        <v>1168</v>
      </c>
      <c r="F453" s="612"/>
      <c r="G453" s="612">
        <v>32</v>
      </c>
      <c r="H453" s="612">
        <v>27</v>
      </c>
      <c r="I453" s="612">
        <v>28</v>
      </c>
      <c r="J453" s="612">
        <v>28</v>
      </c>
      <c r="K453" s="612">
        <v>26</v>
      </c>
      <c r="L453" s="1017">
        <v>36</v>
      </c>
      <c r="M453" s="451"/>
      <c r="N453" t="e">
        <f>VLOOKUP(A453, 'P&amp;L'!A:B,1,FALSE)</f>
        <v>#N/A</v>
      </c>
      <c r="O453" t="e">
        <f>VLOOKUP(A453, KeyData!A:C,1,FALSE)</f>
        <v>#N/A</v>
      </c>
      <c r="P453" s="451"/>
    </row>
    <row r="454" spans="1:16" x14ac:dyDescent="0.25">
      <c r="A454" s="451" t="str">
        <f t="shared" si="7"/>
        <v>CO-010106100_Result</v>
      </c>
      <c r="B454" s="1006" t="s">
        <v>842</v>
      </c>
      <c r="C454" s="809" t="s">
        <v>718</v>
      </c>
      <c r="D454" s="834" t="s">
        <v>1160</v>
      </c>
      <c r="E454" s="1020"/>
      <c r="F454" s="833"/>
      <c r="G454" s="833">
        <v>32</v>
      </c>
      <c r="H454" s="833">
        <v>27</v>
      </c>
      <c r="I454" s="833">
        <v>28</v>
      </c>
      <c r="J454" s="833">
        <v>28</v>
      </c>
      <c r="K454" s="833">
        <v>26</v>
      </c>
      <c r="L454" s="1018">
        <v>36</v>
      </c>
      <c r="M454" s="451"/>
      <c r="N454" t="e">
        <f>VLOOKUP(A454, 'P&amp;L'!A:B,1,FALSE)</f>
        <v>#N/A</v>
      </c>
      <c r="O454" t="str">
        <f>VLOOKUP(A454, KeyData!A:C,1,FALSE)</f>
        <v>CO-010106100_Result</v>
      </c>
      <c r="P454" s="451"/>
    </row>
    <row r="455" spans="1:16" x14ac:dyDescent="0.25">
      <c r="A455" s="451" t="str">
        <f t="shared" si="7"/>
        <v>CO-010106600_#</v>
      </c>
      <c r="B455" s="1006" t="s">
        <v>841</v>
      </c>
      <c r="C455" s="809" t="s">
        <v>720</v>
      </c>
      <c r="D455" s="805" t="s">
        <v>1167</v>
      </c>
      <c r="E455" s="1016" t="s">
        <v>1168</v>
      </c>
      <c r="F455" s="612"/>
      <c r="G455" s="612"/>
      <c r="H455" s="612">
        <v>1</v>
      </c>
      <c r="I455" s="612">
        <v>1</v>
      </c>
      <c r="J455" s="612">
        <v>1</v>
      </c>
      <c r="K455" s="612">
        <v>1</v>
      </c>
      <c r="L455" s="1017">
        <v>1</v>
      </c>
      <c r="M455" s="451"/>
      <c r="N455" t="e">
        <f>VLOOKUP(A455, 'P&amp;L'!A:B,1,FALSE)</f>
        <v>#N/A</v>
      </c>
      <c r="O455" t="e">
        <f>VLOOKUP(A455, KeyData!A:C,1,FALSE)</f>
        <v>#N/A</v>
      </c>
      <c r="P455" s="451"/>
    </row>
    <row r="456" spans="1:16" x14ac:dyDescent="0.25">
      <c r="A456" s="451" t="str">
        <f t="shared" si="7"/>
        <v>CO-010106600_Result</v>
      </c>
      <c r="B456" s="1006" t="s">
        <v>841</v>
      </c>
      <c r="C456" s="809" t="s">
        <v>720</v>
      </c>
      <c r="D456" s="834" t="s">
        <v>1160</v>
      </c>
      <c r="E456" s="1020"/>
      <c r="F456" s="833"/>
      <c r="G456" s="833"/>
      <c r="H456" s="833">
        <v>1</v>
      </c>
      <c r="I456" s="833">
        <v>1</v>
      </c>
      <c r="J456" s="833">
        <v>1</v>
      </c>
      <c r="K456" s="833">
        <v>1</v>
      </c>
      <c r="L456" s="1018">
        <v>1</v>
      </c>
      <c r="M456" s="451"/>
      <c r="N456" t="e">
        <f>VLOOKUP(A456, 'P&amp;L'!A:B,1,FALSE)</f>
        <v>#N/A</v>
      </c>
      <c r="O456" t="str">
        <f>VLOOKUP(A456, KeyData!A:C,1,FALSE)</f>
        <v>CO-010106600_Result</v>
      </c>
      <c r="P456" s="451"/>
    </row>
    <row r="457" spans="1:16" x14ac:dyDescent="0.25">
      <c r="A457" s="451" t="str">
        <f t="shared" si="7"/>
        <v>CO-011100000_#</v>
      </c>
      <c r="B457" s="1002" t="s">
        <v>994</v>
      </c>
      <c r="C457" s="807" t="s">
        <v>1082</v>
      </c>
      <c r="D457" s="805" t="s">
        <v>1167</v>
      </c>
      <c r="E457" s="1016" t="s">
        <v>1168</v>
      </c>
      <c r="F457" s="612"/>
      <c r="G457" s="612">
        <v>306.89499999999998</v>
      </c>
      <c r="H457" s="612"/>
      <c r="I457" s="612"/>
      <c r="J457" s="612"/>
      <c r="K457" s="612"/>
      <c r="L457" s="1017"/>
      <c r="M457" s="451"/>
      <c r="N457" t="e">
        <f>VLOOKUP(A457, 'P&amp;L'!A:B,1,FALSE)</f>
        <v>#N/A</v>
      </c>
      <c r="O457" t="e">
        <f>VLOOKUP(A457, KeyData!A:C,1,FALSE)</f>
        <v>#N/A</v>
      </c>
      <c r="P457" s="451"/>
    </row>
    <row r="458" spans="1:16" x14ac:dyDescent="0.25">
      <c r="A458" s="451" t="str">
        <f t="shared" si="7"/>
        <v>CO-011100000_Result</v>
      </c>
      <c r="B458" s="1002" t="s">
        <v>994</v>
      </c>
      <c r="C458" s="807" t="s">
        <v>1082</v>
      </c>
      <c r="D458" s="834" t="s">
        <v>1160</v>
      </c>
      <c r="E458" s="1020"/>
      <c r="F458" s="833"/>
      <c r="G458" s="833">
        <v>306.89499999999998</v>
      </c>
      <c r="H458" s="833"/>
      <c r="I458" s="833"/>
      <c r="J458" s="833"/>
      <c r="K458" s="833"/>
      <c r="L458" s="1018"/>
      <c r="M458" s="451"/>
      <c r="N458" t="e">
        <f>VLOOKUP(A458, 'P&amp;L'!A:B,1,FALSE)</f>
        <v>#N/A</v>
      </c>
      <c r="O458" t="e">
        <f>VLOOKUP(A458, KeyData!A:C,1,FALSE)</f>
        <v>#N/A</v>
      </c>
      <c r="P458" s="451"/>
    </row>
    <row r="459" spans="1:16" x14ac:dyDescent="0.25">
      <c r="A459" s="451" t="str">
        <f t="shared" si="7"/>
        <v>CO-011101000_#</v>
      </c>
      <c r="B459" s="1005" t="s">
        <v>995</v>
      </c>
      <c r="C459" s="808" t="s">
        <v>1083</v>
      </c>
      <c r="D459" s="805" t="s">
        <v>1167</v>
      </c>
      <c r="E459" s="1016" t="s">
        <v>1168</v>
      </c>
      <c r="F459" s="612"/>
      <c r="G459" s="612">
        <v>186.84299999999999</v>
      </c>
      <c r="H459" s="612"/>
      <c r="I459" s="612"/>
      <c r="J459" s="612"/>
      <c r="K459" s="612"/>
      <c r="L459" s="1017"/>
      <c r="M459" s="451"/>
      <c r="N459" t="e">
        <f>VLOOKUP(A459, 'P&amp;L'!A:B,1,FALSE)</f>
        <v>#N/A</v>
      </c>
      <c r="O459" t="e">
        <f>VLOOKUP(A459, KeyData!A:C,1,FALSE)</f>
        <v>#N/A</v>
      </c>
      <c r="P459" s="451"/>
    </row>
    <row r="460" spans="1:16" x14ac:dyDescent="0.25">
      <c r="A460" s="451" t="str">
        <f t="shared" si="7"/>
        <v>CO-011101000_Result</v>
      </c>
      <c r="B460" s="1005" t="s">
        <v>995</v>
      </c>
      <c r="C460" s="808" t="s">
        <v>1083</v>
      </c>
      <c r="D460" s="834" t="s">
        <v>1160</v>
      </c>
      <c r="E460" s="1020"/>
      <c r="F460" s="833"/>
      <c r="G460" s="833">
        <v>186.84299999999999</v>
      </c>
      <c r="H460" s="833"/>
      <c r="I460" s="833"/>
      <c r="J460" s="833"/>
      <c r="K460" s="833"/>
      <c r="L460" s="1018"/>
      <c r="M460" s="451"/>
      <c r="N460" t="e">
        <f>VLOOKUP(A460, 'P&amp;L'!A:B,1,FALSE)</f>
        <v>#N/A</v>
      </c>
      <c r="O460" t="e">
        <f>VLOOKUP(A460, KeyData!A:C,1,FALSE)</f>
        <v>#N/A</v>
      </c>
      <c r="P460" s="451"/>
    </row>
    <row r="461" spans="1:16" x14ac:dyDescent="0.25">
      <c r="A461" s="451" t="str">
        <f t="shared" si="7"/>
        <v>CO-011101100_#</v>
      </c>
      <c r="B461" s="1007" t="s">
        <v>996</v>
      </c>
      <c r="C461" s="809" t="s">
        <v>1084</v>
      </c>
      <c r="D461" s="805" t="s">
        <v>1167</v>
      </c>
      <c r="E461" s="1016" t="s">
        <v>1168</v>
      </c>
      <c r="F461" s="612"/>
      <c r="G461" s="612">
        <v>220.82499999999999</v>
      </c>
      <c r="H461" s="612"/>
      <c r="I461" s="612"/>
      <c r="J461" s="612"/>
      <c r="K461" s="612"/>
      <c r="L461" s="1017"/>
      <c r="M461" s="451"/>
      <c r="N461" t="e">
        <f>VLOOKUP(A461, 'P&amp;L'!A:B,1,FALSE)</f>
        <v>#N/A</v>
      </c>
      <c r="O461" t="e">
        <f>VLOOKUP(A461, KeyData!A:C,1,FALSE)</f>
        <v>#N/A</v>
      </c>
      <c r="P461" s="451"/>
    </row>
    <row r="462" spans="1:16" x14ac:dyDescent="0.25">
      <c r="A462" s="451" t="str">
        <f t="shared" si="7"/>
        <v>CO-011101100_Result</v>
      </c>
      <c r="B462" s="1007" t="s">
        <v>996</v>
      </c>
      <c r="C462" s="809" t="s">
        <v>1084</v>
      </c>
      <c r="D462" s="834" t="s">
        <v>1160</v>
      </c>
      <c r="E462" s="1020"/>
      <c r="F462" s="833"/>
      <c r="G462" s="833">
        <v>220.82499999999999</v>
      </c>
      <c r="H462" s="833"/>
      <c r="I462" s="833"/>
      <c r="J462" s="833"/>
      <c r="K462" s="833"/>
      <c r="L462" s="1018"/>
      <c r="M462" s="451"/>
      <c r="N462" t="e">
        <f>VLOOKUP(A462, 'P&amp;L'!A:B,1,FALSE)</f>
        <v>#N/A</v>
      </c>
      <c r="O462" t="e">
        <f>VLOOKUP(A462, KeyData!A:C,1,FALSE)</f>
        <v>#N/A</v>
      </c>
      <c r="P462" s="451"/>
    </row>
    <row r="463" spans="1:16" x14ac:dyDescent="0.25">
      <c r="A463" s="451" t="str">
        <f t="shared" si="7"/>
        <v>CO-011101110_#</v>
      </c>
      <c r="B463" s="1015" t="s">
        <v>997</v>
      </c>
      <c r="C463" s="835" t="s">
        <v>998</v>
      </c>
      <c r="D463" s="805" t="s">
        <v>1167</v>
      </c>
      <c r="E463" s="1016" t="s">
        <v>1168</v>
      </c>
      <c r="F463" s="612"/>
      <c r="G463" s="612">
        <v>217.262</v>
      </c>
      <c r="H463" s="612"/>
      <c r="I463" s="612"/>
      <c r="J463" s="612"/>
      <c r="K463" s="612"/>
      <c r="L463" s="1017"/>
      <c r="M463" s="451"/>
      <c r="N463" t="e">
        <f>VLOOKUP(A463, 'P&amp;L'!A:B,1,FALSE)</f>
        <v>#N/A</v>
      </c>
      <c r="O463" t="e">
        <f>VLOOKUP(A463, KeyData!A:C,1,FALSE)</f>
        <v>#N/A</v>
      </c>
      <c r="P463" s="451"/>
    </row>
    <row r="464" spans="1:16" x14ac:dyDescent="0.25">
      <c r="A464" s="451" t="str">
        <f t="shared" si="7"/>
        <v>CO-011101110_Result</v>
      </c>
      <c r="B464" s="1015" t="s">
        <v>997</v>
      </c>
      <c r="C464" s="835" t="s">
        <v>998</v>
      </c>
      <c r="D464" s="834" t="s">
        <v>1160</v>
      </c>
      <c r="E464" s="1020"/>
      <c r="F464" s="833"/>
      <c r="G464" s="833">
        <v>217.262</v>
      </c>
      <c r="H464" s="833"/>
      <c r="I464" s="833"/>
      <c r="J464" s="833"/>
      <c r="K464" s="833"/>
      <c r="L464" s="1018"/>
      <c r="M464" s="451"/>
      <c r="N464" t="e">
        <f>VLOOKUP(A464, 'P&amp;L'!A:B,1,FALSE)</f>
        <v>#N/A</v>
      </c>
      <c r="O464" t="e">
        <f>VLOOKUP(A464, KeyData!A:C,1,FALSE)</f>
        <v>#N/A</v>
      </c>
      <c r="P464" s="451"/>
    </row>
    <row r="465" spans="1:16" x14ac:dyDescent="0.25">
      <c r="A465" s="451" t="str">
        <f t="shared" si="7"/>
        <v>CO-011101120_#</v>
      </c>
      <c r="B465" s="1015" t="s">
        <v>999</v>
      </c>
      <c r="C465" s="835" t="s">
        <v>1000</v>
      </c>
      <c r="D465" s="805" t="s">
        <v>1167</v>
      </c>
      <c r="E465" s="1016" t="s">
        <v>1168</v>
      </c>
      <c r="F465" s="612"/>
      <c r="G465" s="612">
        <v>3.5630000000000002</v>
      </c>
      <c r="H465" s="612"/>
      <c r="I465" s="612"/>
      <c r="J465" s="612"/>
      <c r="K465" s="612"/>
      <c r="L465" s="1017"/>
      <c r="M465" s="451"/>
      <c r="N465" t="e">
        <f>VLOOKUP(A465, 'P&amp;L'!A:B,1,FALSE)</f>
        <v>#N/A</v>
      </c>
      <c r="O465" t="e">
        <f>VLOOKUP(A465, KeyData!A:C,1,FALSE)</f>
        <v>#N/A</v>
      </c>
      <c r="P465" s="451"/>
    </row>
    <row r="466" spans="1:16" x14ac:dyDescent="0.25">
      <c r="A466" s="451" t="str">
        <f t="shared" si="7"/>
        <v>CO-011101120_Result</v>
      </c>
      <c r="B466" s="1015" t="s">
        <v>999</v>
      </c>
      <c r="C466" s="835" t="s">
        <v>1000</v>
      </c>
      <c r="D466" s="834" t="s">
        <v>1160</v>
      </c>
      <c r="E466" s="1020"/>
      <c r="F466" s="833"/>
      <c r="G466" s="833">
        <v>3.5630000000000002</v>
      </c>
      <c r="H466" s="833"/>
      <c r="I466" s="833"/>
      <c r="J466" s="833"/>
      <c r="K466" s="833"/>
      <c r="L466" s="1018"/>
      <c r="M466" s="451"/>
      <c r="N466" t="e">
        <f>VLOOKUP(A466, 'P&amp;L'!A:B,1,FALSE)</f>
        <v>#N/A</v>
      </c>
      <c r="O466" t="e">
        <f>VLOOKUP(A466, KeyData!A:C,1,FALSE)</f>
        <v>#N/A</v>
      </c>
      <c r="P466" s="451"/>
    </row>
    <row r="467" spans="1:16" x14ac:dyDescent="0.25">
      <c r="A467" s="451" t="str">
        <f t="shared" si="7"/>
        <v>CO-011101130_#</v>
      </c>
      <c r="B467" s="1006" t="s">
        <v>1100</v>
      </c>
      <c r="C467" s="809" t="s">
        <v>1101</v>
      </c>
      <c r="D467" s="805" t="s">
        <v>1167</v>
      </c>
      <c r="E467" s="1016" t="s">
        <v>1168</v>
      </c>
      <c r="F467" s="612"/>
      <c r="G467" s="612">
        <v>-33.981999999999999</v>
      </c>
      <c r="H467" s="612"/>
      <c r="I467" s="612"/>
      <c r="J467" s="612"/>
      <c r="K467" s="612"/>
      <c r="L467" s="1017"/>
      <c r="M467" s="451"/>
      <c r="N467" t="e">
        <f>VLOOKUP(A467, 'P&amp;L'!A:B,1,FALSE)</f>
        <v>#N/A</v>
      </c>
      <c r="O467" t="e">
        <f>VLOOKUP(A467, KeyData!A:C,1,FALSE)</f>
        <v>#N/A</v>
      </c>
      <c r="P467" s="451"/>
    </row>
    <row r="468" spans="1:16" x14ac:dyDescent="0.25">
      <c r="A468" s="451" t="str">
        <f t="shared" si="7"/>
        <v>CO-011101130_Result</v>
      </c>
      <c r="B468" s="1006" t="s">
        <v>1100</v>
      </c>
      <c r="C468" s="809" t="s">
        <v>1101</v>
      </c>
      <c r="D468" s="834" t="s">
        <v>1160</v>
      </c>
      <c r="E468" s="1020"/>
      <c r="F468" s="833"/>
      <c r="G468" s="833">
        <v>-33.981999999999999</v>
      </c>
      <c r="H468" s="833"/>
      <c r="I468" s="833"/>
      <c r="J468" s="833"/>
      <c r="K468" s="833"/>
      <c r="L468" s="1018"/>
      <c r="M468" s="451"/>
      <c r="N468" t="e">
        <f>VLOOKUP(A468, 'P&amp;L'!A:B,1,FALSE)</f>
        <v>#N/A</v>
      </c>
      <c r="O468" t="e">
        <f>VLOOKUP(A468, KeyData!A:C,1,FALSE)</f>
        <v>#N/A</v>
      </c>
      <c r="P468" s="451"/>
    </row>
    <row r="469" spans="1:16" x14ac:dyDescent="0.25">
      <c r="A469" s="451" t="str">
        <f t="shared" si="7"/>
        <v>CO-011106000_#</v>
      </c>
      <c r="B469" s="1005" t="s">
        <v>1001</v>
      </c>
      <c r="C469" s="808" t="s">
        <v>1085</v>
      </c>
      <c r="D469" s="805" t="s">
        <v>1167</v>
      </c>
      <c r="E469" s="1016" t="s">
        <v>1168</v>
      </c>
      <c r="F469" s="612"/>
      <c r="G469" s="612">
        <v>120.05200000000001</v>
      </c>
      <c r="H469" s="612"/>
      <c r="I469" s="612"/>
      <c r="J469" s="612"/>
      <c r="K469" s="612"/>
      <c r="L469" s="1017"/>
      <c r="M469" s="451"/>
      <c r="N469" t="e">
        <f>VLOOKUP(A469, 'P&amp;L'!A:B,1,FALSE)</f>
        <v>#N/A</v>
      </c>
      <c r="O469" t="e">
        <f>VLOOKUP(A469, KeyData!A:C,1,FALSE)</f>
        <v>#N/A</v>
      </c>
      <c r="P469" s="451"/>
    </row>
    <row r="470" spans="1:16" x14ac:dyDescent="0.25">
      <c r="A470" s="451" t="str">
        <f t="shared" si="7"/>
        <v>CO-011106000_Result</v>
      </c>
      <c r="B470" s="1005" t="s">
        <v>1001</v>
      </c>
      <c r="C470" s="808" t="s">
        <v>1085</v>
      </c>
      <c r="D470" s="834" t="s">
        <v>1160</v>
      </c>
      <c r="E470" s="1020"/>
      <c r="F470" s="833"/>
      <c r="G470" s="833">
        <v>120.05200000000001</v>
      </c>
      <c r="H470" s="833"/>
      <c r="I470" s="833"/>
      <c r="J470" s="833"/>
      <c r="K470" s="833"/>
      <c r="L470" s="1018"/>
      <c r="M470" s="451"/>
      <c r="N470" t="e">
        <f>VLOOKUP(A470, 'P&amp;L'!A:B,1,FALSE)</f>
        <v>#N/A</v>
      </c>
      <c r="O470" t="e">
        <f>VLOOKUP(A470, KeyData!A:C,1,FALSE)</f>
        <v>#N/A</v>
      </c>
      <c r="P470" s="451"/>
    </row>
    <row r="471" spans="1:16" x14ac:dyDescent="0.25">
      <c r="A471" s="451" t="str">
        <f t="shared" si="7"/>
        <v>CO-011106100_#</v>
      </c>
      <c r="B471" s="1007" t="s">
        <v>1002</v>
      </c>
      <c r="C471" s="809" t="s">
        <v>1086</v>
      </c>
      <c r="D471" s="805" t="s">
        <v>1167</v>
      </c>
      <c r="E471" s="1016" t="s">
        <v>1168</v>
      </c>
      <c r="F471" s="612"/>
      <c r="G471" s="612">
        <v>127.38800000000001</v>
      </c>
      <c r="H471" s="612"/>
      <c r="I471" s="612"/>
      <c r="J471" s="612"/>
      <c r="K471" s="612"/>
      <c r="L471" s="1017"/>
      <c r="M471" s="451"/>
      <c r="N471" t="e">
        <f>VLOOKUP(A471, 'P&amp;L'!A:B,1,FALSE)</f>
        <v>#N/A</v>
      </c>
      <c r="O471" t="e">
        <f>VLOOKUP(A471, KeyData!A:C,1,FALSE)</f>
        <v>#N/A</v>
      </c>
      <c r="P471" s="451"/>
    </row>
    <row r="472" spans="1:16" x14ac:dyDescent="0.25">
      <c r="A472" s="451" t="str">
        <f t="shared" si="7"/>
        <v>CO-011106100_Result</v>
      </c>
      <c r="B472" s="1007" t="s">
        <v>1002</v>
      </c>
      <c r="C472" s="809" t="s">
        <v>1086</v>
      </c>
      <c r="D472" s="834" t="s">
        <v>1160</v>
      </c>
      <c r="E472" s="1020"/>
      <c r="F472" s="833"/>
      <c r="G472" s="833">
        <v>127.38800000000001</v>
      </c>
      <c r="H472" s="833"/>
      <c r="I472" s="833"/>
      <c r="J472" s="833"/>
      <c r="K472" s="833"/>
      <c r="L472" s="1018"/>
      <c r="M472" s="451"/>
      <c r="N472" t="e">
        <f>VLOOKUP(A472, 'P&amp;L'!A:B,1,FALSE)</f>
        <v>#N/A</v>
      </c>
      <c r="O472" t="e">
        <f>VLOOKUP(A472, KeyData!A:C,1,FALSE)</f>
        <v>#N/A</v>
      </c>
      <c r="P472" s="451"/>
    </row>
    <row r="473" spans="1:16" x14ac:dyDescent="0.25">
      <c r="A473" s="451" t="str">
        <f t="shared" si="7"/>
        <v>CO-011106110_#</v>
      </c>
      <c r="B473" s="1015" t="s">
        <v>1003</v>
      </c>
      <c r="C473" s="835" t="s">
        <v>1004</v>
      </c>
      <c r="D473" s="805" t="s">
        <v>1167</v>
      </c>
      <c r="E473" s="1016" t="s">
        <v>1168</v>
      </c>
      <c r="F473" s="612"/>
      <c r="G473" s="612">
        <v>127.38800000000001</v>
      </c>
      <c r="H473" s="612"/>
      <c r="I473" s="612"/>
      <c r="J473" s="612"/>
      <c r="K473" s="612"/>
      <c r="L473" s="1017"/>
      <c r="M473" s="451"/>
      <c r="N473" t="e">
        <f>VLOOKUP(A473, 'P&amp;L'!A:B,1,FALSE)</f>
        <v>#N/A</v>
      </c>
      <c r="O473" t="e">
        <f>VLOOKUP(A473, KeyData!A:C,1,FALSE)</f>
        <v>#N/A</v>
      </c>
      <c r="P473" s="451"/>
    </row>
    <row r="474" spans="1:16" x14ac:dyDescent="0.25">
      <c r="A474" s="451" t="str">
        <f t="shared" si="7"/>
        <v>CO-011106110_Result</v>
      </c>
      <c r="B474" s="1015" t="s">
        <v>1003</v>
      </c>
      <c r="C474" s="835" t="s">
        <v>1004</v>
      </c>
      <c r="D474" s="834" t="s">
        <v>1160</v>
      </c>
      <c r="E474" s="1020"/>
      <c r="F474" s="833"/>
      <c r="G474" s="833">
        <v>127.38800000000001</v>
      </c>
      <c r="H474" s="833"/>
      <c r="I474" s="833"/>
      <c r="J474" s="833"/>
      <c r="K474" s="833"/>
      <c r="L474" s="1018"/>
      <c r="M474" s="451"/>
      <c r="N474" t="e">
        <f>VLOOKUP(A474, 'P&amp;L'!A:B,1,FALSE)</f>
        <v>#N/A</v>
      </c>
      <c r="O474" t="e">
        <f>VLOOKUP(A474, KeyData!A:C,1,FALSE)</f>
        <v>#N/A</v>
      </c>
      <c r="P474" s="451"/>
    </row>
    <row r="475" spans="1:16" x14ac:dyDescent="0.25">
      <c r="A475" s="451" t="str">
        <f t="shared" si="7"/>
        <v>CO-011106120_#</v>
      </c>
      <c r="B475" s="1015" t="s">
        <v>1005</v>
      </c>
      <c r="C475" s="835" t="s">
        <v>1006</v>
      </c>
      <c r="D475" s="805" t="s">
        <v>1167</v>
      </c>
      <c r="E475" s="1016" t="s">
        <v>1168</v>
      </c>
      <c r="F475" s="612"/>
      <c r="G475" s="612">
        <v>0</v>
      </c>
      <c r="H475" s="612"/>
      <c r="I475" s="612"/>
      <c r="J475" s="612"/>
      <c r="K475" s="612"/>
      <c r="L475" s="1017"/>
      <c r="M475" s="451"/>
      <c r="N475" t="e">
        <f>VLOOKUP(A475, 'P&amp;L'!A:B,1,FALSE)</f>
        <v>#N/A</v>
      </c>
      <c r="O475" t="e">
        <f>VLOOKUP(A475, KeyData!A:C,1,FALSE)</f>
        <v>#N/A</v>
      </c>
      <c r="P475" s="451"/>
    </row>
    <row r="476" spans="1:16" x14ac:dyDescent="0.25">
      <c r="A476" s="451" t="str">
        <f t="shared" si="7"/>
        <v>CO-011106120_Result</v>
      </c>
      <c r="B476" s="1015" t="s">
        <v>1005</v>
      </c>
      <c r="C476" s="835" t="s">
        <v>1006</v>
      </c>
      <c r="D476" s="834" t="s">
        <v>1160</v>
      </c>
      <c r="E476" s="1020"/>
      <c r="F476" s="833"/>
      <c r="G476" s="833">
        <v>0</v>
      </c>
      <c r="H476" s="833"/>
      <c r="I476" s="833"/>
      <c r="J476" s="833"/>
      <c r="K476" s="833"/>
      <c r="L476" s="1018"/>
      <c r="M476" s="451"/>
      <c r="N476" t="e">
        <f>VLOOKUP(A476, 'P&amp;L'!A:B,1,FALSE)</f>
        <v>#N/A</v>
      </c>
      <c r="O476" t="e">
        <f>VLOOKUP(A476, KeyData!A:C,1,FALSE)</f>
        <v>#N/A</v>
      </c>
      <c r="P476" s="451"/>
    </row>
    <row r="477" spans="1:16" x14ac:dyDescent="0.25">
      <c r="A477" s="451" t="str">
        <f t="shared" si="7"/>
        <v>CO-011106600_#</v>
      </c>
      <c r="B477" s="1006" t="s">
        <v>1102</v>
      </c>
      <c r="C477" s="809" t="s">
        <v>1103</v>
      </c>
      <c r="D477" s="805" t="s">
        <v>1167</v>
      </c>
      <c r="E477" s="1016" t="s">
        <v>1168</v>
      </c>
      <c r="F477" s="612"/>
      <c r="G477" s="612">
        <v>-7.3360000000000003</v>
      </c>
      <c r="H477" s="612"/>
      <c r="I477" s="612"/>
      <c r="J477" s="612"/>
      <c r="K477" s="612"/>
      <c r="L477" s="1017"/>
      <c r="M477" s="451"/>
      <c r="N477" t="e">
        <f>VLOOKUP(A477, 'P&amp;L'!A:B,1,FALSE)</f>
        <v>#N/A</v>
      </c>
      <c r="O477" t="e">
        <f>VLOOKUP(A477, KeyData!A:C,1,FALSE)</f>
        <v>#N/A</v>
      </c>
      <c r="P477" s="451"/>
    </row>
    <row r="478" spans="1:16" x14ac:dyDescent="0.25">
      <c r="A478" s="451" t="str">
        <f t="shared" si="7"/>
        <v>CO-011106600_Result</v>
      </c>
      <c r="B478" s="1006" t="s">
        <v>1102</v>
      </c>
      <c r="C478" s="809" t="s">
        <v>1103</v>
      </c>
      <c r="D478" s="834" t="s">
        <v>1160</v>
      </c>
      <c r="E478" s="1020"/>
      <c r="F478" s="833"/>
      <c r="G478" s="833">
        <v>-7.3360000000000003</v>
      </c>
      <c r="H478" s="833"/>
      <c r="I478" s="833"/>
      <c r="J478" s="833"/>
      <c r="K478" s="833"/>
      <c r="L478" s="1018"/>
      <c r="M478" s="451"/>
      <c r="N478" t="e">
        <f>VLOOKUP(A478, 'P&amp;L'!A:B,1,FALSE)</f>
        <v>#N/A</v>
      </c>
      <c r="O478" t="e">
        <f>VLOOKUP(A478, KeyData!A:C,1,FALSE)</f>
        <v>#N/A</v>
      </c>
      <c r="P478" s="451"/>
    </row>
    <row r="479" spans="1:16" x14ac:dyDescent="0.25">
      <c r="A479" s="451" t="str">
        <f t="shared" si="7"/>
        <v>CO-012100000_#</v>
      </c>
      <c r="B479" s="1002" t="s">
        <v>1498</v>
      </c>
      <c r="C479" s="807" t="s">
        <v>1499</v>
      </c>
      <c r="D479" s="805" t="s">
        <v>1167</v>
      </c>
      <c r="E479" s="1016" t="s">
        <v>1168</v>
      </c>
      <c r="F479" s="612"/>
      <c r="G479" s="612">
        <v>0.22800000000000001</v>
      </c>
      <c r="H479" s="612"/>
      <c r="I479" s="612"/>
      <c r="J479" s="612"/>
      <c r="K479" s="612"/>
      <c r="L479" s="1017"/>
      <c r="M479" s="451"/>
      <c r="N479" t="e">
        <f>VLOOKUP(A479, 'P&amp;L'!A:B,1,FALSE)</f>
        <v>#N/A</v>
      </c>
      <c r="O479" t="e">
        <f>VLOOKUP(A479, KeyData!A:C,1,FALSE)</f>
        <v>#N/A</v>
      </c>
      <c r="P479" s="451"/>
    </row>
    <row r="480" spans="1:16" x14ac:dyDescent="0.25">
      <c r="A480" s="451" t="str">
        <f t="shared" si="7"/>
        <v>CO-012100000_Result</v>
      </c>
      <c r="B480" s="1002" t="s">
        <v>1498</v>
      </c>
      <c r="C480" s="807" t="s">
        <v>1499</v>
      </c>
      <c r="D480" s="834" t="s">
        <v>1160</v>
      </c>
      <c r="E480" s="1020"/>
      <c r="F480" s="833"/>
      <c r="G480" s="833">
        <v>0.22800000000000001</v>
      </c>
      <c r="H480" s="833"/>
      <c r="I480" s="833"/>
      <c r="J480" s="833"/>
      <c r="K480" s="833"/>
      <c r="L480" s="1018"/>
      <c r="M480" s="451"/>
      <c r="N480" t="e">
        <f>VLOOKUP(A480, 'P&amp;L'!A:B,1,FALSE)</f>
        <v>#N/A</v>
      </c>
      <c r="O480" t="e">
        <f>VLOOKUP(A480, KeyData!A:C,1,FALSE)</f>
        <v>#N/A</v>
      </c>
      <c r="P480" s="451"/>
    </row>
    <row r="481" spans="1:16" x14ac:dyDescent="0.25">
      <c r="A481" s="451" t="str">
        <f t="shared" si="7"/>
        <v>CO-012170000_#</v>
      </c>
      <c r="B481" s="1003" t="s">
        <v>1500</v>
      </c>
      <c r="C481" s="808" t="s">
        <v>1499</v>
      </c>
      <c r="D481" s="805" t="s">
        <v>1167</v>
      </c>
      <c r="E481" s="1016" t="s">
        <v>1168</v>
      </c>
      <c r="F481" s="612"/>
      <c r="G481" s="612">
        <v>0.22800000000000001</v>
      </c>
      <c r="H481" s="612"/>
      <c r="I481" s="612"/>
      <c r="J481" s="612"/>
      <c r="K481" s="612"/>
      <c r="L481" s="1017"/>
      <c r="M481" s="451"/>
      <c r="N481" t="e">
        <f>VLOOKUP(A481, 'P&amp;L'!A:B,1,FALSE)</f>
        <v>#N/A</v>
      </c>
      <c r="O481" t="e">
        <f>VLOOKUP(A481, KeyData!A:C,1,FALSE)</f>
        <v>#N/A</v>
      </c>
      <c r="P481" s="451"/>
    </row>
    <row r="482" spans="1:16" x14ac:dyDescent="0.25">
      <c r="A482" s="451" t="str">
        <f t="shared" si="7"/>
        <v>CO-012170000_Result</v>
      </c>
      <c r="B482" s="1003" t="s">
        <v>1500</v>
      </c>
      <c r="C482" s="808" t="s">
        <v>1499</v>
      </c>
      <c r="D482" s="834" t="s">
        <v>1160</v>
      </c>
      <c r="E482" s="1020"/>
      <c r="F482" s="833"/>
      <c r="G482" s="833">
        <v>0.22800000000000001</v>
      </c>
      <c r="H482" s="833"/>
      <c r="I482" s="833"/>
      <c r="J482" s="833"/>
      <c r="K482" s="833"/>
      <c r="L482" s="1018"/>
      <c r="M482" s="451"/>
      <c r="N482" t="e">
        <f>VLOOKUP(A482, 'P&amp;L'!A:B,1,FALSE)</f>
        <v>#N/A</v>
      </c>
      <c r="O482" t="e">
        <f>VLOOKUP(A482, KeyData!A:C,1,FALSE)</f>
        <v>#N/A</v>
      </c>
      <c r="P482" s="451"/>
    </row>
    <row r="483" spans="1:16" x14ac:dyDescent="0.25">
      <c r="A483" s="451" t="str">
        <f t="shared" si="7"/>
        <v>CO-012600000_#</v>
      </c>
      <c r="B483" s="1002" t="s">
        <v>1104</v>
      </c>
      <c r="C483" s="807" t="s">
        <v>1105</v>
      </c>
      <c r="D483" s="805" t="s">
        <v>1167</v>
      </c>
      <c r="E483" s="1016" t="s">
        <v>1168</v>
      </c>
      <c r="F483" s="612"/>
      <c r="G483" s="612">
        <v>13</v>
      </c>
      <c r="H483" s="612"/>
      <c r="I483" s="612"/>
      <c r="J483" s="612"/>
      <c r="K483" s="612"/>
      <c r="L483" s="1017"/>
      <c r="M483" s="451"/>
      <c r="N483" t="e">
        <f>VLOOKUP(A483, 'P&amp;L'!A:B,1,FALSE)</f>
        <v>#N/A</v>
      </c>
      <c r="O483" t="e">
        <f>VLOOKUP(A483, KeyData!A:C,1,FALSE)</f>
        <v>#N/A</v>
      </c>
      <c r="P483" s="451"/>
    </row>
    <row r="484" spans="1:16" x14ac:dyDescent="0.25">
      <c r="A484" s="451" t="str">
        <f t="shared" si="7"/>
        <v>CO-012600000_Result</v>
      </c>
      <c r="B484" s="1002" t="s">
        <v>1104</v>
      </c>
      <c r="C484" s="807" t="s">
        <v>1105</v>
      </c>
      <c r="D484" s="834" t="s">
        <v>1160</v>
      </c>
      <c r="E484" s="1020"/>
      <c r="F484" s="833"/>
      <c r="G484" s="833">
        <v>13</v>
      </c>
      <c r="H484" s="833"/>
      <c r="I484" s="833"/>
      <c r="J484" s="833"/>
      <c r="K484" s="833"/>
      <c r="L484" s="1018"/>
      <c r="M484" s="451"/>
      <c r="N484" t="e">
        <f>VLOOKUP(A484, 'P&amp;L'!A:B,1,FALSE)</f>
        <v>#N/A</v>
      </c>
      <c r="O484" t="e">
        <f>VLOOKUP(A484, KeyData!A:C,1,FALSE)</f>
        <v>#N/A</v>
      </c>
      <c r="P484" s="451"/>
    </row>
    <row r="485" spans="1:16" x14ac:dyDescent="0.25">
      <c r="A485" s="451" t="str">
        <f t="shared" si="7"/>
        <v>CO-012601000_#</v>
      </c>
      <c r="B485" s="1005" t="s">
        <v>1106</v>
      </c>
      <c r="C485" s="808" t="s">
        <v>1107</v>
      </c>
      <c r="D485" s="805" t="s">
        <v>1167</v>
      </c>
      <c r="E485" s="1016" t="s">
        <v>1168</v>
      </c>
      <c r="F485" s="612"/>
      <c r="G485" s="612">
        <v>13</v>
      </c>
      <c r="H485" s="612"/>
      <c r="I485" s="612"/>
      <c r="J485" s="612"/>
      <c r="K485" s="612"/>
      <c r="L485" s="1017"/>
      <c r="M485" s="451"/>
      <c r="N485" t="e">
        <f>VLOOKUP(A485, 'P&amp;L'!A:B,1,FALSE)</f>
        <v>#N/A</v>
      </c>
      <c r="O485" t="e">
        <f>VLOOKUP(A485, KeyData!A:C,1,FALSE)</f>
        <v>#N/A</v>
      </c>
      <c r="P485" s="451"/>
    </row>
    <row r="486" spans="1:16" x14ac:dyDescent="0.25">
      <c r="A486" s="451" t="str">
        <f t="shared" si="7"/>
        <v>CO-012601000_Result</v>
      </c>
      <c r="B486" s="1005" t="s">
        <v>1106</v>
      </c>
      <c r="C486" s="808" t="s">
        <v>1107</v>
      </c>
      <c r="D486" s="834" t="s">
        <v>1160</v>
      </c>
      <c r="E486" s="1020"/>
      <c r="F486" s="833"/>
      <c r="G486" s="833">
        <v>13</v>
      </c>
      <c r="H486" s="833"/>
      <c r="I486" s="833"/>
      <c r="J486" s="833"/>
      <c r="K486" s="833"/>
      <c r="L486" s="1018"/>
      <c r="M486" s="451"/>
      <c r="N486" t="e">
        <f>VLOOKUP(A486, 'P&amp;L'!A:B,1,FALSE)</f>
        <v>#N/A</v>
      </c>
      <c r="O486" t="e">
        <f>VLOOKUP(A486, KeyData!A:C,1,FALSE)</f>
        <v>#N/A</v>
      </c>
      <c r="P486" s="451"/>
    </row>
    <row r="487" spans="1:16" x14ac:dyDescent="0.25">
      <c r="A487" s="451" t="str">
        <f t="shared" si="7"/>
        <v>CO-012601100_#</v>
      </c>
      <c r="B487" s="1006" t="s">
        <v>1108</v>
      </c>
      <c r="C487" s="809" t="s">
        <v>1109</v>
      </c>
      <c r="D487" s="805" t="s">
        <v>1167</v>
      </c>
      <c r="E487" s="1016" t="s">
        <v>1168</v>
      </c>
      <c r="F487" s="612"/>
      <c r="G487" s="612">
        <v>4</v>
      </c>
      <c r="H487" s="612"/>
      <c r="I487" s="612"/>
      <c r="J487" s="612"/>
      <c r="K487" s="612"/>
      <c r="L487" s="1017"/>
      <c r="M487" s="451"/>
      <c r="N487" t="e">
        <f>VLOOKUP(A487, 'P&amp;L'!A:B,1,FALSE)</f>
        <v>#N/A</v>
      </c>
      <c r="O487" t="e">
        <f>VLOOKUP(A487, KeyData!A:C,1,FALSE)</f>
        <v>#N/A</v>
      </c>
      <c r="P487" s="451"/>
    </row>
    <row r="488" spans="1:16" x14ac:dyDescent="0.25">
      <c r="A488" s="451" t="str">
        <f t="shared" si="7"/>
        <v>CO-012601100_Result</v>
      </c>
      <c r="B488" s="1006" t="s">
        <v>1108</v>
      </c>
      <c r="C488" s="809" t="s">
        <v>1109</v>
      </c>
      <c r="D488" s="834" t="s">
        <v>1160</v>
      </c>
      <c r="E488" s="1020"/>
      <c r="F488" s="833"/>
      <c r="G488" s="833">
        <v>4</v>
      </c>
      <c r="H488" s="833"/>
      <c r="I488" s="833"/>
      <c r="J488" s="833"/>
      <c r="K488" s="833"/>
      <c r="L488" s="1018"/>
      <c r="M488" s="451"/>
      <c r="N488" t="e">
        <f>VLOOKUP(A488, 'P&amp;L'!A:B,1,FALSE)</f>
        <v>#N/A</v>
      </c>
      <c r="O488" t="e">
        <f>VLOOKUP(A488, KeyData!A:C,1,FALSE)</f>
        <v>#N/A</v>
      </c>
      <c r="P488" s="451"/>
    </row>
    <row r="489" spans="1:16" x14ac:dyDescent="0.25">
      <c r="A489" s="451" t="str">
        <f t="shared" si="7"/>
        <v>CO-012601600_#</v>
      </c>
      <c r="B489" s="1006" t="s">
        <v>1110</v>
      </c>
      <c r="C489" s="809" t="s">
        <v>1111</v>
      </c>
      <c r="D489" s="805" t="s">
        <v>1167</v>
      </c>
      <c r="E489" s="1016" t="s">
        <v>1168</v>
      </c>
      <c r="F489" s="612"/>
      <c r="G489" s="612">
        <v>9</v>
      </c>
      <c r="H489" s="612"/>
      <c r="I489" s="612"/>
      <c r="J489" s="612"/>
      <c r="K489" s="612"/>
      <c r="L489" s="1017"/>
      <c r="M489" s="451"/>
      <c r="N489" t="e">
        <f>VLOOKUP(A489, 'P&amp;L'!A:B,1,FALSE)</f>
        <v>#N/A</v>
      </c>
      <c r="O489" t="e">
        <f>VLOOKUP(A489, KeyData!A:C,1,FALSE)</f>
        <v>#N/A</v>
      </c>
      <c r="P489" s="451"/>
    </row>
    <row r="490" spans="1:16" x14ac:dyDescent="0.25">
      <c r="A490" s="451" t="str">
        <f t="shared" si="7"/>
        <v>CO-012601600_Result</v>
      </c>
      <c r="B490" s="1006" t="s">
        <v>1110</v>
      </c>
      <c r="C490" s="809" t="s">
        <v>1111</v>
      </c>
      <c r="D490" s="834" t="s">
        <v>1160</v>
      </c>
      <c r="E490" s="1020"/>
      <c r="F490" s="833"/>
      <c r="G490" s="833">
        <v>9</v>
      </c>
      <c r="H490" s="833"/>
      <c r="I490" s="833"/>
      <c r="J490" s="833"/>
      <c r="K490" s="833"/>
      <c r="L490" s="1018"/>
      <c r="M490" s="451"/>
      <c r="N490" t="e">
        <f>VLOOKUP(A490, 'P&amp;L'!A:B,1,FALSE)</f>
        <v>#N/A</v>
      </c>
      <c r="O490" t="e">
        <f>VLOOKUP(A490, KeyData!A:C,1,FALSE)</f>
        <v>#N/A</v>
      </c>
      <c r="P490" s="451"/>
    </row>
    <row r="491" spans="1:16" x14ac:dyDescent="0.25">
      <c r="A491" s="451" t="str">
        <f t="shared" si="7"/>
        <v>CO-210000000_#</v>
      </c>
      <c r="B491" s="1001" t="s">
        <v>840</v>
      </c>
      <c r="C491" s="806" t="s">
        <v>839</v>
      </c>
      <c r="D491" s="805" t="s">
        <v>1167</v>
      </c>
      <c r="E491" s="1016" t="s">
        <v>1168</v>
      </c>
      <c r="F491" s="612"/>
      <c r="G491" s="612">
        <v>1805998.692</v>
      </c>
      <c r="H491" s="612">
        <v>-14537058.855</v>
      </c>
      <c r="I491" s="612">
        <v>-16436717.346999999</v>
      </c>
      <c r="J491" s="612">
        <v>-8501806.4609999992</v>
      </c>
      <c r="K491" s="612">
        <v>-13988738.751</v>
      </c>
      <c r="L491" s="1017">
        <v>-13442276.675000001</v>
      </c>
      <c r="M491" s="451"/>
      <c r="N491" t="e">
        <f>VLOOKUP(A491, 'P&amp;L'!A:B,1,FALSE)</f>
        <v>#N/A</v>
      </c>
      <c r="O491" t="e">
        <f>VLOOKUP(A491, KeyData!A:C,1,FALSE)</f>
        <v>#N/A</v>
      </c>
      <c r="P491" s="451"/>
    </row>
    <row r="492" spans="1:16" x14ac:dyDescent="0.25">
      <c r="A492" s="451" t="str">
        <f t="shared" si="7"/>
        <v>CO-210000000_Result</v>
      </c>
      <c r="B492" s="1001" t="s">
        <v>840</v>
      </c>
      <c r="C492" s="806" t="s">
        <v>839</v>
      </c>
      <c r="D492" s="834" t="s">
        <v>1160</v>
      </c>
      <c r="E492" s="1020"/>
      <c r="F492" s="833"/>
      <c r="G492" s="833">
        <v>1805998.692</v>
      </c>
      <c r="H492" s="833">
        <v>-14537058.855</v>
      </c>
      <c r="I492" s="833">
        <v>-16436717.346999999</v>
      </c>
      <c r="J492" s="833">
        <v>-8501806.4609999992</v>
      </c>
      <c r="K492" s="833">
        <v>-13988738.751</v>
      </c>
      <c r="L492" s="1018">
        <v>-13442276.675000001</v>
      </c>
      <c r="M492" s="451"/>
      <c r="N492" t="e">
        <f>VLOOKUP(A492, 'P&amp;L'!A:B,1,FALSE)</f>
        <v>#N/A</v>
      </c>
      <c r="O492" t="e">
        <f>VLOOKUP(A492, KeyData!A:C,1,FALSE)</f>
        <v>#N/A</v>
      </c>
      <c r="P492" s="451"/>
    </row>
    <row r="493" spans="1:16" x14ac:dyDescent="0.25">
      <c r="A493" s="451" t="str">
        <f t="shared" si="7"/>
        <v>CO-210000329_#</v>
      </c>
      <c r="B493" s="1004" t="s">
        <v>838</v>
      </c>
      <c r="C493" s="807" t="s">
        <v>316</v>
      </c>
      <c r="D493" s="805" t="s">
        <v>1167</v>
      </c>
      <c r="E493" s="1016" t="s">
        <v>1168</v>
      </c>
      <c r="F493" s="612"/>
      <c r="G493" s="612">
        <v>-557708.33799999999</v>
      </c>
      <c r="H493" s="612">
        <v>-105623.374</v>
      </c>
      <c r="I493" s="612">
        <v>-296596.239</v>
      </c>
      <c r="J493" s="612">
        <v>-307595.77899999998</v>
      </c>
      <c r="K493" s="612">
        <v>-247726.40700000001</v>
      </c>
      <c r="L493" s="1017">
        <v>-428676.93900000001</v>
      </c>
      <c r="M493" s="451"/>
      <c r="N493" t="e">
        <f>VLOOKUP(A493, 'P&amp;L'!A:B,1,FALSE)</f>
        <v>#N/A</v>
      </c>
      <c r="O493" t="e">
        <f>VLOOKUP(A493, KeyData!A:C,1,FALSE)</f>
        <v>#N/A</v>
      </c>
      <c r="P493" s="451"/>
    </row>
    <row r="494" spans="1:16" x14ac:dyDescent="0.25">
      <c r="A494" s="451" t="str">
        <f t="shared" si="7"/>
        <v>CO-210000329_Result</v>
      </c>
      <c r="B494" s="1004" t="s">
        <v>838</v>
      </c>
      <c r="C494" s="807" t="s">
        <v>316</v>
      </c>
      <c r="D494" s="834" t="s">
        <v>1160</v>
      </c>
      <c r="E494" s="1020"/>
      <c r="F494" s="833"/>
      <c r="G494" s="833">
        <v>-557708.33799999999</v>
      </c>
      <c r="H494" s="833">
        <v>-105623.374</v>
      </c>
      <c r="I494" s="833">
        <v>-296596.239</v>
      </c>
      <c r="J494" s="833">
        <v>-307595.77899999998</v>
      </c>
      <c r="K494" s="833">
        <v>-247726.40700000001</v>
      </c>
      <c r="L494" s="1018">
        <v>-428676.93900000001</v>
      </c>
      <c r="M494" s="451"/>
      <c r="N494" t="e">
        <f>VLOOKUP(A494, 'P&amp;L'!A:B,1,FALSE)</f>
        <v>#N/A</v>
      </c>
      <c r="O494" t="str">
        <f>VLOOKUP(A494, KeyData!A:C,1,FALSE)</f>
        <v>CO-210000329_Result</v>
      </c>
      <c r="P494" s="451"/>
    </row>
    <row r="495" spans="1:16" x14ac:dyDescent="0.25">
      <c r="A495" s="451" t="str">
        <f t="shared" si="7"/>
        <v>CO-210000326_#</v>
      </c>
      <c r="B495" s="1004" t="s">
        <v>837</v>
      </c>
      <c r="C495" s="807" t="s">
        <v>1112</v>
      </c>
      <c r="D495" s="805" t="s">
        <v>1167</v>
      </c>
      <c r="E495" s="1016" t="s">
        <v>1168</v>
      </c>
      <c r="F495" s="612"/>
      <c r="G495" s="612">
        <v>-338799.68900000001</v>
      </c>
      <c r="H495" s="612">
        <v>-172827.50399999999</v>
      </c>
      <c r="I495" s="612">
        <v>-252510</v>
      </c>
      <c r="J495" s="612">
        <v>-289947.94400000002</v>
      </c>
      <c r="K495" s="612">
        <v>-289947.94799999997</v>
      </c>
      <c r="L495" s="1017">
        <v>-188499.99600000001</v>
      </c>
      <c r="M495" s="451"/>
      <c r="N495" t="e">
        <f>VLOOKUP(A495, 'P&amp;L'!A:B,1,FALSE)</f>
        <v>#N/A</v>
      </c>
      <c r="O495" t="e">
        <f>VLOOKUP(A495, KeyData!A:C,1,FALSE)</f>
        <v>#N/A</v>
      </c>
      <c r="P495" s="451"/>
    </row>
    <row r="496" spans="1:16" x14ac:dyDescent="0.25">
      <c r="A496" s="451" t="str">
        <f t="shared" si="7"/>
        <v>CO-210000326_Result</v>
      </c>
      <c r="B496" s="1004" t="s">
        <v>837</v>
      </c>
      <c r="C496" s="807" t="s">
        <v>1112</v>
      </c>
      <c r="D496" s="834" t="s">
        <v>1160</v>
      </c>
      <c r="E496" s="1020"/>
      <c r="F496" s="833"/>
      <c r="G496" s="833">
        <v>-338799.68900000001</v>
      </c>
      <c r="H496" s="833">
        <v>-172827.50399999999</v>
      </c>
      <c r="I496" s="833">
        <v>-252510</v>
      </c>
      <c r="J496" s="833">
        <v>-289947.94400000002</v>
      </c>
      <c r="K496" s="833">
        <v>-289947.94799999997</v>
      </c>
      <c r="L496" s="1018">
        <v>-188499.99600000001</v>
      </c>
      <c r="M496" s="451"/>
      <c r="N496" t="e">
        <f>VLOOKUP(A496, 'P&amp;L'!A:B,1,FALSE)</f>
        <v>#N/A</v>
      </c>
      <c r="O496" t="str">
        <f>VLOOKUP(A496, KeyData!A:C,1,FALSE)</f>
        <v>CO-210000326_Result</v>
      </c>
      <c r="P496" s="451"/>
    </row>
    <row r="497" spans="1:16" x14ac:dyDescent="0.25">
      <c r="A497" s="451" t="str">
        <f t="shared" si="7"/>
        <v>CO-210000325_#</v>
      </c>
      <c r="B497" s="1004" t="s">
        <v>836</v>
      </c>
      <c r="C497" s="807" t="s">
        <v>1113</v>
      </c>
      <c r="D497" s="805" t="s">
        <v>1167</v>
      </c>
      <c r="E497" s="1016" t="s">
        <v>1168</v>
      </c>
      <c r="F497" s="612"/>
      <c r="G497" s="612">
        <v>-805972.48699999996</v>
      </c>
      <c r="H497" s="612">
        <v>-1152494.851</v>
      </c>
      <c r="I497" s="612">
        <v>-698762.83200000005</v>
      </c>
      <c r="J497" s="612">
        <v>-698762.83600000001</v>
      </c>
      <c r="K497" s="612">
        <v>-1082078.1270000001</v>
      </c>
      <c r="L497" s="1017">
        <v>-136985.856</v>
      </c>
      <c r="M497" s="451"/>
      <c r="N497" t="e">
        <f>VLOOKUP(A497, 'P&amp;L'!A:B,1,FALSE)</f>
        <v>#N/A</v>
      </c>
      <c r="O497" t="e">
        <f>VLOOKUP(A497, KeyData!A:C,1,FALSE)</f>
        <v>#N/A</v>
      </c>
      <c r="P497" s="451"/>
    </row>
    <row r="498" spans="1:16" x14ac:dyDescent="0.25">
      <c r="A498" s="451" t="str">
        <f t="shared" si="7"/>
        <v>CO-210000325_Result</v>
      </c>
      <c r="B498" s="1004" t="s">
        <v>836</v>
      </c>
      <c r="C498" s="807" t="s">
        <v>1113</v>
      </c>
      <c r="D498" s="834" t="s">
        <v>1160</v>
      </c>
      <c r="E498" s="1020"/>
      <c r="F498" s="833"/>
      <c r="G498" s="833">
        <v>-805972.48699999996</v>
      </c>
      <c r="H498" s="833">
        <v>-1152494.851</v>
      </c>
      <c r="I498" s="833">
        <v>-698762.83200000005</v>
      </c>
      <c r="J498" s="833">
        <v>-698762.83600000001</v>
      </c>
      <c r="K498" s="833">
        <v>-1082078.1270000001</v>
      </c>
      <c r="L498" s="1018">
        <v>-136985.856</v>
      </c>
      <c r="M498" s="451"/>
      <c r="N498" t="e">
        <f>VLOOKUP(A498, 'P&amp;L'!A:B,1,FALSE)</f>
        <v>#N/A</v>
      </c>
      <c r="O498" t="str">
        <f>VLOOKUP(A498, KeyData!A:C,1,FALSE)</f>
        <v>CO-210000325_Result</v>
      </c>
      <c r="P498" s="451"/>
    </row>
    <row r="499" spans="1:16" x14ac:dyDescent="0.25">
      <c r="A499" s="451" t="str">
        <f t="shared" si="7"/>
        <v>CO-210000323_#</v>
      </c>
      <c r="B499" s="1004" t="s">
        <v>835</v>
      </c>
      <c r="C499" s="807" t="s">
        <v>834</v>
      </c>
      <c r="D499" s="805" t="s">
        <v>1167</v>
      </c>
      <c r="E499" s="1016" t="s">
        <v>1168</v>
      </c>
      <c r="F499" s="612"/>
      <c r="G499" s="612">
        <v>-1083086.7590000001</v>
      </c>
      <c r="H499" s="612">
        <v>-1260937.5530000001</v>
      </c>
      <c r="I499" s="612">
        <v>-4825986.8310000002</v>
      </c>
      <c r="J499" s="612">
        <v>-4127970.2880000002</v>
      </c>
      <c r="K499" s="612">
        <v>-4081080.892</v>
      </c>
      <c r="L499" s="1017">
        <v>-6576663.5039999997</v>
      </c>
      <c r="M499" s="451"/>
      <c r="N499" t="e">
        <f>VLOOKUP(A499, 'P&amp;L'!A:B,1,FALSE)</f>
        <v>#N/A</v>
      </c>
      <c r="O499" t="e">
        <f>VLOOKUP(A499, KeyData!A:C,1,FALSE)</f>
        <v>#N/A</v>
      </c>
      <c r="P499" s="451"/>
    </row>
    <row r="500" spans="1:16" x14ac:dyDescent="0.25">
      <c r="A500" s="451" t="str">
        <f t="shared" si="7"/>
        <v>CO-210000323_Result</v>
      </c>
      <c r="B500" s="1004" t="s">
        <v>835</v>
      </c>
      <c r="C500" s="807" t="s">
        <v>834</v>
      </c>
      <c r="D500" s="834" t="s">
        <v>1160</v>
      </c>
      <c r="E500" s="1020"/>
      <c r="F500" s="833"/>
      <c r="G500" s="833">
        <v>-1083086.7590000001</v>
      </c>
      <c r="H500" s="833">
        <v>-1260937.5530000001</v>
      </c>
      <c r="I500" s="833">
        <v>-4825986.8310000002</v>
      </c>
      <c r="J500" s="833">
        <v>-4127970.2880000002</v>
      </c>
      <c r="K500" s="833">
        <v>-4081080.892</v>
      </c>
      <c r="L500" s="1018">
        <v>-6576663.5039999997</v>
      </c>
      <c r="M500" s="451"/>
      <c r="N500" t="e">
        <f>VLOOKUP(A500, 'P&amp;L'!A:B,1,FALSE)</f>
        <v>#N/A</v>
      </c>
      <c r="O500" t="str">
        <f>VLOOKUP(A500, KeyData!A:C,1,FALSE)</f>
        <v>CO-210000323_Result</v>
      </c>
      <c r="P500" s="451"/>
    </row>
    <row r="501" spans="1:16" x14ac:dyDescent="0.25">
      <c r="A501" s="451" t="str">
        <f t="shared" si="7"/>
        <v>CO-210000322_#</v>
      </c>
      <c r="B501" s="1004" t="s">
        <v>833</v>
      </c>
      <c r="C501" s="807" t="s">
        <v>1114</v>
      </c>
      <c r="D501" s="805" t="s">
        <v>1167</v>
      </c>
      <c r="E501" s="1016" t="s">
        <v>1168</v>
      </c>
      <c r="F501" s="612"/>
      <c r="G501" s="612">
        <v>-795285.06099999999</v>
      </c>
      <c r="H501" s="612"/>
      <c r="I501" s="612"/>
      <c r="J501" s="612"/>
      <c r="K501" s="612"/>
      <c r="L501" s="1017"/>
      <c r="N501" t="e">
        <f>VLOOKUP(A501, 'P&amp;L'!A:B,1,FALSE)</f>
        <v>#N/A</v>
      </c>
      <c r="O501" t="e">
        <f>VLOOKUP(A501, KeyData!A:C,1,FALSE)</f>
        <v>#N/A</v>
      </c>
    </row>
    <row r="502" spans="1:16" x14ac:dyDescent="0.25">
      <c r="A502" s="451" t="str">
        <f t="shared" si="7"/>
        <v>CO-210000322_Result</v>
      </c>
      <c r="B502" s="1004" t="s">
        <v>833</v>
      </c>
      <c r="C502" s="807" t="s">
        <v>1114</v>
      </c>
      <c r="D502" s="834" t="s">
        <v>1160</v>
      </c>
      <c r="E502" s="1020"/>
      <c r="F502" s="833"/>
      <c r="G502" s="833">
        <v>-795285.06099999999</v>
      </c>
      <c r="H502" s="833"/>
      <c r="I502" s="833"/>
      <c r="J502" s="833"/>
      <c r="K502" s="833"/>
      <c r="L502" s="1018"/>
      <c r="N502" t="e">
        <f>VLOOKUP(A502, 'P&amp;L'!A:B,1,FALSE)</f>
        <v>#N/A</v>
      </c>
      <c r="O502" t="str">
        <f>VLOOKUP(A502, KeyData!A:C,1,FALSE)</f>
        <v>CO-210000322_Result</v>
      </c>
    </row>
    <row r="503" spans="1:16" x14ac:dyDescent="0.25">
      <c r="A503" s="451" t="str">
        <f t="shared" si="7"/>
        <v>CO-210000321_#</v>
      </c>
      <c r="B503" s="1004" t="s">
        <v>832</v>
      </c>
      <c r="C503" s="807" t="s">
        <v>831</v>
      </c>
      <c r="D503" s="805" t="s">
        <v>1167</v>
      </c>
      <c r="E503" s="1016" t="s">
        <v>1168</v>
      </c>
      <c r="F503" s="612"/>
      <c r="G503" s="612">
        <v>-2591.971</v>
      </c>
      <c r="H503" s="612">
        <v>-8234.0149999999994</v>
      </c>
      <c r="I503" s="612">
        <v>-17500</v>
      </c>
      <c r="J503" s="612">
        <v>-17500</v>
      </c>
      <c r="K503" s="612">
        <v>-17500.001</v>
      </c>
      <c r="L503" s="1017">
        <v>-84485.793000000005</v>
      </c>
      <c r="N503" t="e">
        <f>VLOOKUP(A503, 'P&amp;L'!A:B,1,FALSE)</f>
        <v>#N/A</v>
      </c>
      <c r="O503" t="e">
        <f>VLOOKUP(A503, KeyData!A:C,1,FALSE)</f>
        <v>#N/A</v>
      </c>
    </row>
    <row r="504" spans="1:16" x14ac:dyDescent="0.25">
      <c r="A504" s="451" t="str">
        <f t="shared" si="7"/>
        <v>CO-210000321_Result</v>
      </c>
      <c r="B504" s="1004" t="s">
        <v>832</v>
      </c>
      <c r="C504" s="807" t="s">
        <v>831</v>
      </c>
      <c r="D504" s="834" t="s">
        <v>1160</v>
      </c>
      <c r="E504" s="1020"/>
      <c r="F504" s="833"/>
      <c r="G504" s="833">
        <v>-2591.971</v>
      </c>
      <c r="H504" s="833">
        <v>-8234.0149999999994</v>
      </c>
      <c r="I504" s="833">
        <v>-17500</v>
      </c>
      <c r="J504" s="833">
        <v>-17500</v>
      </c>
      <c r="K504" s="833">
        <v>-17500.001</v>
      </c>
      <c r="L504" s="1018">
        <v>-84485.793000000005</v>
      </c>
      <c r="N504" t="e">
        <f>VLOOKUP(A504, 'P&amp;L'!A:B,1,FALSE)</f>
        <v>#N/A</v>
      </c>
      <c r="O504" t="str">
        <f>VLOOKUP(A504, KeyData!A:C,1,FALSE)</f>
        <v>CO-210000321_Result</v>
      </c>
    </row>
    <row r="505" spans="1:16" x14ac:dyDescent="0.25">
      <c r="A505" s="451" t="str">
        <f t="shared" si="7"/>
        <v>CO-210000320_#</v>
      </c>
      <c r="B505" s="1004" t="s">
        <v>830</v>
      </c>
      <c r="C505" s="807" t="s">
        <v>829</v>
      </c>
      <c r="D505" s="805" t="s">
        <v>1167</v>
      </c>
      <c r="E505" s="1016" t="s">
        <v>1168</v>
      </c>
      <c r="F505" s="612"/>
      <c r="G505" s="612">
        <v>-1526408.216</v>
      </c>
      <c r="H505" s="612">
        <v>-496516.79399999999</v>
      </c>
      <c r="I505" s="612">
        <v>-929345.902</v>
      </c>
      <c r="J505" s="612">
        <v>-727151.36499999999</v>
      </c>
      <c r="K505" s="612">
        <v>-1035484.872</v>
      </c>
      <c r="L505" s="1017">
        <v>-1575157.466</v>
      </c>
      <c r="N505" t="e">
        <f>VLOOKUP(A505, 'P&amp;L'!A:B,1,FALSE)</f>
        <v>#N/A</v>
      </c>
      <c r="O505" t="e">
        <f>VLOOKUP(A505, KeyData!A:C,1,FALSE)</f>
        <v>#N/A</v>
      </c>
    </row>
    <row r="506" spans="1:16" x14ac:dyDescent="0.25">
      <c r="A506" s="451" t="str">
        <f t="shared" si="7"/>
        <v>CO-210000320_Result</v>
      </c>
      <c r="B506" s="1004" t="s">
        <v>830</v>
      </c>
      <c r="C506" s="807" t="s">
        <v>829</v>
      </c>
      <c r="D506" s="834" t="s">
        <v>1160</v>
      </c>
      <c r="E506" s="1020"/>
      <c r="F506" s="833"/>
      <c r="G506" s="833">
        <v>-1526408.216</v>
      </c>
      <c r="H506" s="833">
        <v>-496516.79399999999</v>
      </c>
      <c r="I506" s="833">
        <v>-929345.902</v>
      </c>
      <c r="J506" s="833">
        <v>-727151.36499999999</v>
      </c>
      <c r="K506" s="833">
        <v>-1035484.872</v>
      </c>
      <c r="L506" s="1018">
        <v>-1575157.466</v>
      </c>
      <c r="N506" t="e">
        <f>VLOOKUP(A506, 'P&amp;L'!A:B,1,FALSE)</f>
        <v>#N/A</v>
      </c>
      <c r="O506" t="str">
        <f>VLOOKUP(A506, KeyData!A:C,1,FALSE)</f>
        <v>CO-210000320_Result</v>
      </c>
    </row>
    <row r="507" spans="1:16" x14ac:dyDescent="0.25">
      <c r="A507" s="451" t="str">
        <f t="shared" si="7"/>
        <v>CO-210000314_#</v>
      </c>
      <c r="B507" s="1004" t="s">
        <v>828</v>
      </c>
      <c r="C507" s="807" t="s">
        <v>1115</v>
      </c>
      <c r="D507" s="805" t="s">
        <v>1167</v>
      </c>
      <c r="E507" s="1016" t="s">
        <v>1168</v>
      </c>
      <c r="F507" s="612"/>
      <c r="G507" s="612">
        <v>145891.136</v>
      </c>
      <c r="H507" s="612">
        <v>-49511.201999999997</v>
      </c>
      <c r="I507" s="612">
        <v>-99022.407999999996</v>
      </c>
      <c r="J507" s="612">
        <v>-99022.403999999995</v>
      </c>
      <c r="K507" s="612">
        <v>-99022.403999999995</v>
      </c>
      <c r="L507" s="1017">
        <v>7932974.2549999999</v>
      </c>
      <c r="N507" t="e">
        <f>VLOOKUP(A507, 'P&amp;L'!A:B,1,FALSE)</f>
        <v>#N/A</v>
      </c>
      <c r="O507" t="e">
        <f>VLOOKUP(A507, KeyData!A:C,1,FALSE)</f>
        <v>#N/A</v>
      </c>
    </row>
    <row r="508" spans="1:16" x14ac:dyDescent="0.25">
      <c r="A508" s="451" t="str">
        <f t="shared" si="7"/>
        <v>CO-210000314_Result</v>
      </c>
      <c r="B508" s="1004" t="s">
        <v>828</v>
      </c>
      <c r="C508" s="807" t="s">
        <v>1115</v>
      </c>
      <c r="D508" s="834" t="s">
        <v>1160</v>
      </c>
      <c r="E508" s="1020"/>
      <c r="F508" s="833"/>
      <c r="G508" s="833">
        <v>145891.136</v>
      </c>
      <c r="H508" s="833">
        <v>-49511.201999999997</v>
      </c>
      <c r="I508" s="833">
        <v>-99022.407999999996</v>
      </c>
      <c r="J508" s="833">
        <v>-99022.403999999995</v>
      </c>
      <c r="K508" s="833">
        <v>-99022.403999999995</v>
      </c>
      <c r="L508" s="1018">
        <v>7932974.2549999999</v>
      </c>
      <c r="N508" t="e">
        <f>VLOOKUP(A508, 'P&amp;L'!A:B,1,FALSE)</f>
        <v>#N/A</v>
      </c>
      <c r="O508" t="str">
        <f>VLOOKUP(A508, KeyData!A:C,1,FALSE)</f>
        <v>CO-210000314_Result</v>
      </c>
    </row>
    <row r="509" spans="1:16" x14ac:dyDescent="0.25">
      <c r="A509" s="451" t="str">
        <f t="shared" si="7"/>
        <v>CO-210000313_#</v>
      </c>
      <c r="B509" s="1004" t="s">
        <v>1501</v>
      </c>
      <c r="C509" s="807" t="s">
        <v>1502</v>
      </c>
      <c r="D509" s="805" t="s">
        <v>1167</v>
      </c>
      <c r="E509" s="1016" t="s">
        <v>1168</v>
      </c>
      <c r="F509" s="612"/>
      <c r="G509" s="612"/>
      <c r="H509" s="612">
        <v>-71054.043999999994</v>
      </c>
      <c r="I509" s="612"/>
      <c r="J509" s="612">
        <v>-242862.603</v>
      </c>
      <c r="K509" s="612">
        <v>-197800.21</v>
      </c>
      <c r="L509" s="1017">
        <v>-258743.64199999999</v>
      </c>
      <c r="N509" t="e">
        <f>VLOOKUP(A509, 'P&amp;L'!A:B,1,FALSE)</f>
        <v>#N/A</v>
      </c>
      <c r="O509" t="e">
        <f>VLOOKUP(A509, KeyData!A:C,1,FALSE)</f>
        <v>#N/A</v>
      </c>
    </row>
    <row r="510" spans="1:16" x14ac:dyDescent="0.25">
      <c r="A510" s="451" t="str">
        <f t="shared" si="7"/>
        <v>CO-210000313_Result</v>
      </c>
      <c r="B510" s="1004" t="s">
        <v>1501</v>
      </c>
      <c r="C510" s="807" t="s">
        <v>1502</v>
      </c>
      <c r="D510" s="834" t="s">
        <v>1160</v>
      </c>
      <c r="E510" s="1020"/>
      <c r="F510" s="833"/>
      <c r="G510" s="833"/>
      <c r="H510" s="833">
        <v>-71054.043999999994</v>
      </c>
      <c r="I510" s="833"/>
      <c r="J510" s="833">
        <v>-242862.603</v>
      </c>
      <c r="K510" s="833">
        <v>-197800.21</v>
      </c>
      <c r="L510" s="1018">
        <v>-258743.64199999999</v>
      </c>
      <c r="N510" t="e">
        <f>VLOOKUP(A510, 'P&amp;L'!A:B,1,FALSE)</f>
        <v>#N/A</v>
      </c>
      <c r="O510" t="str">
        <f>VLOOKUP(A510, KeyData!A:C,1,FALSE)</f>
        <v>CO-210000313_Result</v>
      </c>
    </row>
    <row r="511" spans="1:16" x14ac:dyDescent="0.25">
      <c r="A511" s="451" t="str">
        <f t="shared" si="7"/>
        <v>CO-210000312_#</v>
      </c>
      <c r="B511" s="1004" t="s">
        <v>827</v>
      </c>
      <c r="C511" s="807" t="s">
        <v>826</v>
      </c>
      <c r="D511" s="805" t="s">
        <v>1167</v>
      </c>
      <c r="E511" s="1016" t="s">
        <v>1168</v>
      </c>
      <c r="F511" s="612"/>
      <c r="G511" s="612">
        <v>-1781892.9750000001</v>
      </c>
      <c r="H511" s="612">
        <v>-1936448.267</v>
      </c>
      <c r="I511" s="612">
        <v>-3912863.5989999999</v>
      </c>
      <c r="J511" s="612">
        <v>-3768212.6329999999</v>
      </c>
      <c r="K511" s="612">
        <v>-3829884.7459999998</v>
      </c>
      <c r="L511" s="1017">
        <v>-4848024.4979999997</v>
      </c>
      <c r="N511" t="e">
        <f>VLOOKUP(A511, 'P&amp;L'!A:B,1,FALSE)</f>
        <v>#N/A</v>
      </c>
      <c r="O511" t="e">
        <f>VLOOKUP(A511, KeyData!A:C,1,FALSE)</f>
        <v>#N/A</v>
      </c>
    </row>
    <row r="512" spans="1:16" x14ac:dyDescent="0.25">
      <c r="A512" s="451" t="str">
        <f t="shared" si="7"/>
        <v>CO-210000312_Result</v>
      </c>
      <c r="B512" s="1004" t="s">
        <v>827</v>
      </c>
      <c r="C512" s="807" t="s">
        <v>826</v>
      </c>
      <c r="D512" s="834" t="s">
        <v>1160</v>
      </c>
      <c r="E512" s="1020"/>
      <c r="F512" s="833"/>
      <c r="G512" s="833">
        <v>-1781892.9750000001</v>
      </c>
      <c r="H512" s="833">
        <v>-1936448.267</v>
      </c>
      <c r="I512" s="833">
        <v>-3912863.5989999999</v>
      </c>
      <c r="J512" s="833">
        <v>-3768212.6329999999</v>
      </c>
      <c r="K512" s="833">
        <v>-3829884.7459999998</v>
      </c>
      <c r="L512" s="1018">
        <v>-4848024.4979999997</v>
      </c>
      <c r="N512" t="e">
        <f>VLOOKUP(A512, 'P&amp;L'!A:B,1,FALSE)</f>
        <v>#N/A</v>
      </c>
      <c r="O512" t="str">
        <f>VLOOKUP(A512, KeyData!A:C,1,FALSE)</f>
        <v>CO-210000312_Result</v>
      </c>
    </row>
    <row r="513" spans="1:15" x14ac:dyDescent="0.25">
      <c r="A513" s="451" t="str">
        <f t="shared" si="7"/>
        <v>CO-210000311_#</v>
      </c>
      <c r="B513" s="1004" t="s">
        <v>825</v>
      </c>
      <c r="C513" s="807" t="s">
        <v>824</v>
      </c>
      <c r="D513" s="805" t="s">
        <v>1167</v>
      </c>
      <c r="E513" s="1016" t="s">
        <v>1168</v>
      </c>
      <c r="F513" s="612"/>
      <c r="G513" s="612">
        <v>397081.03399999999</v>
      </c>
      <c r="H513" s="612">
        <v>-864339.69400000002</v>
      </c>
      <c r="I513" s="612">
        <v>-1640028.936</v>
      </c>
      <c r="J513" s="612">
        <v>-1709481.412</v>
      </c>
      <c r="K513" s="612">
        <v>-1709481.412</v>
      </c>
      <c r="L513" s="1017">
        <v>-2253603.156</v>
      </c>
      <c r="N513" t="e">
        <f>VLOOKUP(A513, 'P&amp;L'!A:B,1,FALSE)</f>
        <v>#N/A</v>
      </c>
      <c r="O513" t="e">
        <f>VLOOKUP(A513, KeyData!A:C,1,FALSE)</f>
        <v>#N/A</v>
      </c>
    </row>
    <row r="514" spans="1:15" x14ac:dyDescent="0.25">
      <c r="A514" s="451" t="str">
        <f t="shared" si="7"/>
        <v>CO-210000311_Result</v>
      </c>
      <c r="B514" s="1004" t="s">
        <v>825</v>
      </c>
      <c r="C514" s="807" t="s">
        <v>824</v>
      </c>
      <c r="D514" s="834" t="s">
        <v>1160</v>
      </c>
      <c r="E514" s="1020"/>
      <c r="F514" s="833"/>
      <c r="G514" s="833">
        <v>397081.03399999999</v>
      </c>
      <c r="H514" s="833">
        <v>-864339.69400000002</v>
      </c>
      <c r="I514" s="833">
        <v>-1640028.936</v>
      </c>
      <c r="J514" s="833">
        <v>-1709481.412</v>
      </c>
      <c r="K514" s="833">
        <v>-1709481.412</v>
      </c>
      <c r="L514" s="1018">
        <v>-2253603.156</v>
      </c>
      <c r="N514" t="e">
        <f>VLOOKUP(A514, 'P&amp;L'!A:B,1,FALSE)</f>
        <v>#N/A</v>
      </c>
      <c r="O514" t="str">
        <f>VLOOKUP(A514, KeyData!A:C,1,FALSE)</f>
        <v>CO-210000311_Result</v>
      </c>
    </row>
    <row r="515" spans="1:15" x14ac:dyDescent="0.25">
      <c r="A515" s="451" t="str">
        <f t="shared" ref="A515:A578" si="8" xml:space="preserve"> IFERROR(+B515*1,B515)&amp;"_"&amp;IFERROR(+D515*1,D515)</f>
        <v>CO-210000310_#</v>
      </c>
      <c r="B515" s="1004" t="s">
        <v>823</v>
      </c>
      <c r="C515" s="807" t="s">
        <v>822</v>
      </c>
      <c r="D515" s="805" t="s">
        <v>1167</v>
      </c>
      <c r="E515" s="1016" t="s">
        <v>1168</v>
      </c>
      <c r="F515" s="612"/>
      <c r="G515" s="612">
        <v>-1085978.2350000001</v>
      </c>
      <c r="H515" s="612">
        <v>-1983782.412</v>
      </c>
      <c r="I515" s="612">
        <v>-3764100.6</v>
      </c>
      <c r="J515" s="612">
        <v>-3969724.46</v>
      </c>
      <c r="K515" s="612">
        <v>-3969724.452</v>
      </c>
      <c r="L515" s="1017">
        <v>-5024410.08</v>
      </c>
      <c r="N515" t="e">
        <f>VLOOKUP(A515, 'P&amp;L'!A:B,1,FALSE)</f>
        <v>#N/A</v>
      </c>
      <c r="O515" t="e">
        <f>VLOOKUP(A515, KeyData!A:C,1,FALSE)</f>
        <v>#N/A</v>
      </c>
    </row>
    <row r="516" spans="1:15" x14ac:dyDescent="0.25">
      <c r="A516" s="451" t="str">
        <f t="shared" si="8"/>
        <v>CO-210000310_Result</v>
      </c>
      <c r="B516" s="1004" t="s">
        <v>823</v>
      </c>
      <c r="C516" s="807" t="s">
        <v>822</v>
      </c>
      <c r="D516" s="834" t="s">
        <v>1160</v>
      </c>
      <c r="E516" s="1020"/>
      <c r="F516" s="833"/>
      <c r="G516" s="833">
        <v>-1085978.2350000001</v>
      </c>
      <c r="H516" s="833">
        <v>-1983782.412</v>
      </c>
      <c r="I516" s="833">
        <v>-3764100.6</v>
      </c>
      <c r="J516" s="833">
        <v>-3969724.46</v>
      </c>
      <c r="K516" s="833">
        <v>-3969724.452</v>
      </c>
      <c r="L516" s="1018">
        <v>-5024410.08</v>
      </c>
      <c r="N516" t="e">
        <f>VLOOKUP(A516, 'P&amp;L'!A:B,1,FALSE)</f>
        <v>#N/A</v>
      </c>
      <c r="O516" t="str">
        <f>VLOOKUP(A516, KeyData!A:C,1,FALSE)</f>
        <v>CO-210000310_Result</v>
      </c>
    </row>
    <row r="517" spans="1:15" x14ac:dyDescent="0.25">
      <c r="A517" s="451" t="str">
        <f t="shared" si="8"/>
        <v>CO-210000210_#</v>
      </c>
      <c r="B517" s="1004" t="s">
        <v>887</v>
      </c>
      <c r="C517" s="807" t="s">
        <v>888</v>
      </c>
      <c r="D517" s="805" t="s">
        <v>1167</v>
      </c>
      <c r="E517" s="1016" t="s">
        <v>1168</v>
      </c>
      <c r="F517" s="612"/>
      <c r="G517" s="612">
        <v>-442705.3</v>
      </c>
      <c r="H517" s="612">
        <v>-627706.05599999998</v>
      </c>
      <c r="I517" s="612"/>
      <c r="J517" s="612">
        <v>164192.72500000001</v>
      </c>
      <c r="K517" s="612">
        <v>-374686.61800000002</v>
      </c>
      <c r="L517" s="1017"/>
      <c r="N517" t="e">
        <f>VLOOKUP(A517, 'P&amp;L'!A:B,1,FALSE)</f>
        <v>#N/A</v>
      </c>
      <c r="O517" t="e">
        <f>VLOOKUP(A517, KeyData!A:C,1,FALSE)</f>
        <v>#N/A</v>
      </c>
    </row>
    <row r="518" spans="1:15" x14ac:dyDescent="0.25">
      <c r="A518" s="451" t="str">
        <f t="shared" si="8"/>
        <v>CO-210000210_Result</v>
      </c>
      <c r="B518" s="1004" t="s">
        <v>887</v>
      </c>
      <c r="C518" s="807" t="s">
        <v>888</v>
      </c>
      <c r="D518" s="834" t="s">
        <v>1160</v>
      </c>
      <c r="E518" s="1020"/>
      <c r="F518" s="833"/>
      <c r="G518" s="833">
        <v>-442705.3</v>
      </c>
      <c r="H518" s="833">
        <v>-627706.05599999998</v>
      </c>
      <c r="I518" s="833"/>
      <c r="J518" s="833">
        <v>164192.72500000001</v>
      </c>
      <c r="K518" s="833">
        <v>-374686.61800000002</v>
      </c>
      <c r="L518" s="1018"/>
      <c r="N518" t="e">
        <f>VLOOKUP(A518, 'P&amp;L'!A:B,1,FALSE)</f>
        <v>#N/A</v>
      </c>
      <c r="O518" t="e">
        <f>VLOOKUP(A518, KeyData!A:C,1,FALSE)</f>
        <v>#N/A</v>
      </c>
    </row>
    <row r="519" spans="1:15" x14ac:dyDescent="0.25">
      <c r="A519" s="451" t="str">
        <f t="shared" si="8"/>
        <v>CO-210000211_#</v>
      </c>
      <c r="B519" s="1004" t="s">
        <v>889</v>
      </c>
      <c r="C519" s="807" t="s">
        <v>890</v>
      </c>
      <c r="D519" s="805" t="s">
        <v>1167</v>
      </c>
      <c r="E519" s="1016" t="s">
        <v>1168</v>
      </c>
      <c r="F519" s="612"/>
      <c r="G519" s="612">
        <v>548942.58200000005</v>
      </c>
      <c r="H519" s="612">
        <v>-2809214.6579999998</v>
      </c>
      <c r="I519" s="612"/>
      <c r="J519" s="612">
        <v>-6679243.7810000004</v>
      </c>
      <c r="K519" s="612">
        <v>-7593704.676</v>
      </c>
      <c r="L519" s="1017"/>
      <c r="N519" t="e">
        <f>VLOOKUP(A519, 'P&amp;L'!A:B,1,FALSE)</f>
        <v>#N/A</v>
      </c>
      <c r="O519" t="e">
        <f>VLOOKUP(A519, KeyData!A:C,1,FALSE)</f>
        <v>#N/A</v>
      </c>
    </row>
    <row r="520" spans="1:15" x14ac:dyDescent="0.25">
      <c r="A520" s="451" t="str">
        <f t="shared" si="8"/>
        <v>CO-210000211_Result</v>
      </c>
      <c r="B520" s="1004" t="s">
        <v>889</v>
      </c>
      <c r="C520" s="807" t="s">
        <v>890</v>
      </c>
      <c r="D520" s="834" t="s">
        <v>1160</v>
      </c>
      <c r="E520" s="1020"/>
      <c r="F520" s="833"/>
      <c r="G520" s="833">
        <v>548942.58200000005</v>
      </c>
      <c r="H520" s="833">
        <v>-2809214.6579999998</v>
      </c>
      <c r="I520" s="833"/>
      <c r="J520" s="833">
        <v>-6679243.7810000004</v>
      </c>
      <c r="K520" s="833">
        <v>-7593704.676</v>
      </c>
      <c r="L520" s="1018"/>
      <c r="N520" t="e">
        <f>VLOOKUP(A520, 'P&amp;L'!A:B,1,FALSE)</f>
        <v>#N/A</v>
      </c>
      <c r="O520" t="e">
        <f>VLOOKUP(A520, KeyData!A:C,1,FALSE)</f>
        <v>#N/A</v>
      </c>
    </row>
    <row r="521" spans="1:15" x14ac:dyDescent="0.25">
      <c r="A521" s="451" t="str">
        <f t="shared" si="8"/>
        <v>CO-210000114_#</v>
      </c>
      <c r="B521" s="1004" t="s">
        <v>1503</v>
      </c>
      <c r="C521" s="807" t="s">
        <v>1504</v>
      </c>
      <c r="D521" s="805" t="s">
        <v>1167</v>
      </c>
      <c r="E521" s="1016" t="s">
        <v>1168</v>
      </c>
      <c r="F521" s="612"/>
      <c r="G521" s="612"/>
      <c r="H521" s="612"/>
      <c r="I521" s="612"/>
      <c r="J521" s="612">
        <v>582735.37399999995</v>
      </c>
      <c r="K521" s="612">
        <v>518706.58100000001</v>
      </c>
      <c r="L521" s="1017"/>
      <c r="N521" t="e">
        <f>VLOOKUP(A521, 'P&amp;L'!A:B,1,FALSE)</f>
        <v>#N/A</v>
      </c>
      <c r="O521" t="e">
        <f>VLOOKUP(A521, KeyData!A:C,1,FALSE)</f>
        <v>#N/A</v>
      </c>
    </row>
    <row r="522" spans="1:15" x14ac:dyDescent="0.25">
      <c r="A522" s="451" t="str">
        <f t="shared" si="8"/>
        <v>CO-210000114_Result</v>
      </c>
      <c r="B522" s="1004" t="s">
        <v>1503</v>
      </c>
      <c r="C522" s="807" t="s">
        <v>1504</v>
      </c>
      <c r="D522" s="834" t="s">
        <v>1160</v>
      </c>
      <c r="E522" s="1020"/>
      <c r="F522" s="833"/>
      <c r="G522" s="833"/>
      <c r="H522" s="833"/>
      <c r="I522" s="833"/>
      <c r="J522" s="833">
        <v>582735.37399999995</v>
      </c>
      <c r="K522" s="833">
        <v>518706.58100000001</v>
      </c>
      <c r="L522" s="1018"/>
      <c r="N522" t="e">
        <f>VLOOKUP(A522, 'P&amp;L'!A:B,1,FALSE)</f>
        <v>#N/A</v>
      </c>
      <c r="O522" t="e">
        <f>VLOOKUP(A522, KeyData!A:C,1,FALSE)</f>
        <v>#N/A</v>
      </c>
    </row>
    <row r="523" spans="1:15" x14ac:dyDescent="0.25">
      <c r="A523" s="451" t="str">
        <f t="shared" si="8"/>
        <v>CO-210000113_#</v>
      </c>
      <c r="B523" s="1004" t="s">
        <v>1116</v>
      </c>
      <c r="C523" s="807" t="s">
        <v>1117</v>
      </c>
      <c r="D523" s="805" t="s">
        <v>1167</v>
      </c>
      <c r="E523" s="1016" t="s">
        <v>1168</v>
      </c>
      <c r="F523" s="612"/>
      <c r="G523" s="612">
        <v>4012194.139</v>
      </c>
      <c r="H523" s="612">
        <v>-1224906.6939999999</v>
      </c>
      <c r="I523" s="612"/>
      <c r="J523" s="612">
        <v>11924154.823000001</v>
      </c>
      <c r="K523" s="612">
        <v>11197038.293</v>
      </c>
      <c r="L523" s="1017"/>
      <c r="N523" t="e">
        <f>VLOOKUP(A523, 'P&amp;L'!A:B,1,FALSE)</f>
        <v>#N/A</v>
      </c>
      <c r="O523" t="e">
        <f>VLOOKUP(A523, KeyData!A:C,1,FALSE)</f>
        <v>#N/A</v>
      </c>
    </row>
    <row r="524" spans="1:15" x14ac:dyDescent="0.25">
      <c r="A524" s="451" t="str">
        <f t="shared" si="8"/>
        <v>CO-210000113_Result</v>
      </c>
      <c r="B524" s="1004" t="s">
        <v>1116</v>
      </c>
      <c r="C524" s="807" t="s">
        <v>1117</v>
      </c>
      <c r="D524" s="834" t="s">
        <v>1160</v>
      </c>
      <c r="E524" s="1020"/>
      <c r="F524" s="833"/>
      <c r="G524" s="833">
        <v>4012194.139</v>
      </c>
      <c r="H524" s="833">
        <v>-1224906.6939999999</v>
      </c>
      <c r="I524" s="833"/>
      <c r="J524" s="833">
        <v>11924154.823000001</v>
      </c>
      <c r="K524" s="833">
        <v>11197038.293</v>
      </c>
      <c r="L524" s="1018"/>
      <c r="N524" t="e">
        <f>VLOOKUP(A524, 'P&amp;L'!A:B,1,FALSE)</f>
        <v>#N/A</v>
      </c>
      <c r="O524" t="e">
        <f>VLOOKUP(A524, KeyData!A:C,1,FALSE)</f>
        <v>#N/A</v>
      </c>
    </row>
    <row r="525" spans="1:15" x14ac:dyDescent="0.25">
      <c r="A525" s="451" t="str">
        <f t="shared" si="8"/>
        <v>CO-210000112_#</v>
      </c>
      <c r="B525" s="1004" t="s">
        <v>891</v>
      </c>
      <c r="C525" s="807" t="s">
        <v>892</v>
      </c>
      <c r="D525" s="805" t="s">
        <v>1167</v>
      </c>
      <c r="E525" s="1016" t="s">
        <v>1168</v>
      </c>
      <c r="F525" s="612"/>
      <c r="G525" s="612">
        <v>6653223.9850000003</v>
      </c>
      <c r="H525" s="612">
        <v>3092844.8590000002</v>
      </c>
      <c r="I525" s="612"/>
      <c r="J525" s="612">
        <v>191677.99400000001</v>
      </c>
      <c r="K525" s="612">
        <v>1728406.335</v>
      </c>
      <c r="L525" s="1017"/>
      <c r="N525" t="e">
        <f>VLOOKUP(A525, 'P&amp;L'!A:B,1,FALSE)</f>
        <v>#N/A</v>
      </c>
      <c r="O525" t="e">
        <f>VLOOKUP(A525, KeyData!A:C,1,FALSE)</f>
        <v>#N/A</v>
      </c>
    </row>
    <row r="526" spans="1:15" x14ac:dyDescent="0.25">
      <c r="A526" s="451" t="str">
        <f t="shared" si="8"/>
        <v>CO-210000112_Result</v>
      </c>
      <c r="B526" s="1004" t="s">
        <v>891</v>
      </c>
      <c r="C526" s="807" t="s">
        <v>892</v>
      </c>
      <c r="D526" s="834" t="s">
        <v>1160</v>
      </c>
      <c r="E526" s="1020"/>
      <c r="F526" s="833"/>
      <c r="G526" s="833">
        <v>6653223.9850000003</v>
      </c>
      <c r="H526" s="833">
        <v>3092844.8590000002</v>
      </c>
      <c r="I526" s="833"/>
      <c r="J526" s="833">
        <v>191677.99400000001</v>
      </c>
      <c r="K526" s="833">
        <v>1728406.335</v>
      </c>
      <c r="L526" s="1018"/>
      <c r="N526" t="e">
        <f>VLOOKUP(A526, 'P&amp;L'!A:B,1,FALSE)</f>
        <v>#N/A</v>
      </c>
      <c r="O526" t="e">
        <f>VLOOKUP(A526, KeyData!A:C,1,FALSE)</f>
        <v>#N/A</v>
      </c>
    </row>
    <row r="527" spans="1:15" x14ac:dyDescent="0.25">
      <c r="A527" s="451" t="str">
        <f t="shared" si="8"/>
        <v>CO-210000110_#</v>
      </c>
      <c r="B527" s="1004" t="s">
        <v>893</v>
      </c>
      <c r="C527" s="807" t="s">
        <v>578</v>
      </c>
      <c r="D527" s="805" t="s">
        <v>1167</v>
      </c>
      <c r="E527" s="1016" t="s">
        <v>1168</v>
      </c>
      <c r="F527" s="612"/>
      <c r="G527" s="612">
        <v>-1530905.1529999999</v>
      </c>
      <c r="H527" s="612">
        <v>-4866306.5959999999</v>
      </c>
      <c r="I527" s="612"/>
      <c r="J527" s="612">
        <v>1272908.128</v>
      </c>
      <c r="K527" s="612">
        <v>-2904767.1949999998</v>
      </c>
      <c r="L527" s="1017"/>
      <c r="N527" t="e">
        <f>VLOOKUP(A527, 'P&amp;L'!A:B,1,FALSE)</f>
        <v>#N/A</v>
      </c>
      <c r="O527" t="e">
        <f>VLOOKUP(A527, KeyData!A:C,1,FALSE)</f>
        <v>#N/A</v>
      </c>
    </row>
    <row r="528" spans="1:15" x14ac:dyDescent="0.25">
      <c r="A528" s="451" t="str">
        <f t="shared" si="8"/>
        <v>CO-210000110_Result</v>
      </c>
      <c r="B528" s="1004" t="s">
        <v>893</v>
      </c>
      <c r="C528" s="1021" t="s">
        <v>578</v>
      </c>
      <c r="D528" s="1022" t="s">
        <v>1160</v>
      </c>
      <c r="E528" s="1020"/>
      <c r="F528" s="999"/>
      <c r="G528" s="999">
        <v>-1530905.1529999999</v>
      </c>
      <c r="H528" s="999">
        <v>-4866306.5959999999</v>
      </c>
      <c r="I528" s="999"/>
      <c r="J528" s="999">
        <v>1272908.128</v>
      </c>
      <c r="K528" s="999">
        <v>-2904767.1949999998</v>
      </c>
      <c r="L528" s="1018"/>
      <c r="N528" t="e">
        <f>VLOOKUP(A528, 'P&amp;L'!A:B,1,FALSE)</f>
        <v>#N/A</v>
      </c>
      <c r="O528" t="e">
        <f>VLOOKUP(A528, KeyData!A:C,1,FALSE)</f>
        <v>#N/A</v>
      </c>
    </row>
    <row r="529" spans="1:15" x14ac:dyDescent="0.25">
      <c r="A529" s="451" t="str">
        <f t="shared" si="8"/>
        <v>0_0</v>
      </c>
      <c r="N529" t="e">
        <f>VLOOKUP(A529, 'P&amp;L'!A:B,1,FALSE)</f>
        <v>#N/A</v>
      </c>
      <c r="O529" t="e">
        <f>VLOOKUP(A529, KeyData!A:C,1,FALSE)</f>
        <v>#N/A</v>
      </c>
    </row>
    <row r="530" spans="1:15" x14ac:dyDescent="0.25">
      <c r="A530" s="451" t="str">
        <f t="shared" si="8"/>
        <v>0_0</v>
      </c>
      <c r="N530" t="e">
        <f>VLOOKUP(A530, 'P&amp;L'!A:B,1,FALSE)</f>
        <v>#N/A</v>
      </c>
      <c r="O530" t="e">
        <f>VLOOKUP(A530, KeyData!A:C,1,FALSE)</f>
        <v>#N/A</v>
      </c>
    </row>
    <row r="531" spans="1:15" x14ac:dyDescent="0.25">
      <c r="A531" s="451" t="str">
        <f t="shared" si="8"/>
        <v>0_0</v>
      </c>
      <c r="N531" t="e">
        <f>VLOOKUP(A531, 'P&amp;L'!A:B,1,FALSE)</f>
        <v>#N/A</v>
      </c>
      <c r="O531" t="e">
        <f>VLOOKUP(A531, KeyData!A:C,1,FALSE)</f>
        <v>#N/A</v>
      </c>
    </row>
    <row r="532" spans="1:15" x14ac:dyDescent="0.25">
      <c r="A532" s="451" t="str">
        <f t="shared" si="8"/>
        <v>0_0</v>
      </c>
      <c r="N532" t="e">
        <f>VLOOKUP(A532, 'P&amp;L'!A:B,1,FALSE)</f>
        <v>#N/A</v>
      </c>
      <c r="O532" t="e">
        <f>VLOOKUP(A532, KeyData!A:C,1,FALSE)</f>
        <v>#N/A</v>
      </c>
    </row>
    <row r="533" spans="1:15" x14ac:dyDescent="0.25">
      <c r="A533" s="451" t="str">
        <f t="shared" si="8"/>
        <v>0_0</v>
      </c>
      <c r="N533" t="e">
        <f>VLOOKUP(A533, 'P&amp;L'!A:B,1,FALSE)</f>
        <v>#N/A</v>
      </c>
      <c r="O533" t="e">
        <f>VLOOKUP(A533, KeyData!A:C,1,FALSE)</f>
        <v>#N/A</v>
      </c>
    </row>
    <row r="534" spans="1:15" x14ac:dyDescent="0.25">
      <c r="A534" s="451" t="str">
        <f t="shared" si="8"/>
        <v>0_0</v>
      </c>
      <c r="N534" t="e">
        <f>VLOOKUP(A534, 'P&amp;L'!A:B,1,FALSE)</f>
        <v>#N/A</v>
      </c>
      <c r="O534" t="e">
        <f>VLOOKUP(A534, KeyData!A:C,1,FALSE)</f>
        <v>#N/A</v>
      </c>
    </row>
    <row r="535" spans="1:15" x14ac:dyDescent="0.25">
      <c r="A535" s="451" t="str">
        <f t="shared" si="8"/>
        <v>0_0</v>
      </c>
      <c r="N535" t="e">
        <f>VLOOKUP(A535, 'P&amp;L'!A:B,1,FALSE)</f>
        <v>#N/A</v>
      </c>
      <c r="O535" t="e">
        <f>VLOOKUP(A535, KeyData!A:C,1,FALSE)</f>
        <v>#N/A</v>
      </c>
    </row>
    <row r="536" spans="1:15" x14ac:dyDescent="0.25">
      <c r="A536" s="451" t="str">
        <f t="shared" si="8"/>
        <v>0_0</v>
      </c>
      <c r="N536" t="e">
        <f>VLOOKUP(A536, 'P&amp;L'!A:B,1,FALSE)</f>
        <v>#N/A</v>
      </c>
      <c r="O536" t="e">
        <f>VLOOKUP(A536, KeyData!A:C,1,FALSE)</f>
        <v>#N/A</v>
      </c>
    </row>
    <row r="537" spans="1:15" x14ac:dyDescent="0.25">
      <c r="A537" s="451" t="str">
        <f t="shared" si="8"/>
        <v>0_0</v>
      </c>
      <c r="N537" t="e">
        <f>VLOOKUP(A537, 'P&amp;L'!A:B,1,FALSE)</f>
        <v>#N/A</v>
      </c>
      <c r="O537" t="e">
        <f>VLOOKUP(A537, KeyData!A:C,1,FALSE)</f>
        <v>#N/A</v>
      </c>
    </row>
    <row r="538" spans="1:15" x14ac:dyDescent="0.25">
      <c r="A538" s="451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 x14ac:dyDescent="0.25">
      <c r="A539" s="451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 x14ac:dyDescent="0.25">
      <c r="A540" s="451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 x14ac:dyDescent="0.25">
      <c r="A541" s="451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 x14ac:dyDescent="0.25">
      <c r="A542" s="451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 x14ac:dyDescent="0.25">
      <c r="A543" s="451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 x14ac:dyDescent="0.25">
      <c r="A544" s="451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 x14ac:dyDescent="0.25">
      <c r="A545" s="451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 x14ac:dyDescent="0.25">
      <c r="A546" s="451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 x14ac:dyDescent="0.25">
      <c r="A547" s="451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 x14ac:dyDescent="0.25">
      <c r="A548" s="451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 x14ac:dyDescent="0.25">
      <c r="A549" s="451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 x14ac:dyDescent="0.25">
      <c r="A550" s="451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 x14ac:dyDescent="0.25">
      <c r="A551" s="451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 x14ac:dyDescent="0.25">
      <c r="A552" s="451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 x14ac:dyDescent="0.25">
      <c r="A553" s="451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 x14ac:dyDescent="0.25">
      <c r="A554" s="451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 x14ac:dyDescent="0.25">
      <c r="A555" s="451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 x14ac:dyDescent="0.25">
      <c r="A556" s="451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 x14ac:dyDescent="0.25">
      <c r="A557" s="451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 x14ac:dyDescent="0.25">
      <c r="A558" s="451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 x14ac:dyDescent="0.25">
      <c r="A559" s="451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 x14ac:dyDescent="0.25">
      <c r="A560" s="451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 x14ac:dyDescent="0.25">
      <c r="A561" s="451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 x14ac:dyDescent="0.25">
      <c r="A562" s="451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 x14ac:dyDescent="0.25">
      <c r="A563" s="451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 x14ac:dyDescent="0.25">
      <c r="A564" s="451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 x14ac:dyDescent="0.25">
      <c r="A565" s="451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 x14ac:dyDescent="0.25">
      <c r="A566" s="451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 x14ac:dyDescent="0.25">
      <c r="A567" s="451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 x14ac:dyDescent="0.25">
      <c r="A568" s="451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 x14ac:dyDescent="0.25">
      <c r="A569" s="451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 x14ac:dyDescent="0.25">
      <c r="A570" s="451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 x14ac:dyDescent="0.25">
      <c r="A571" s="451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 x14ac:dyDescent="0.25">
      <c r="A572" s="451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 x14ac:dyDescent="0.25">
      <c r="A573" s="451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 x14ac:dyDescent="0.25">
      <c r="A574" s="451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 x14ac:dyDescent="0.25">
      <c r="A575" s="451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 x14ac:dyDescent="0.25">
      <c r="A576" s="451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 x14ac:dyDescent="0.25">
      <c r="A577" s="451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 x14ac:dyDescent="0.25">
      <c r="A578" s="451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 x14ac:dyDescent="0.25">
      <c r="A579" s="451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 x14ac:dyDescent="0.25">
      <c r="A580" s="451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 x14ac:dyDescent="0.25">
      <c r="A581" s="451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 x14ac:dyDescent="0.25">
      <c r="A582" s="451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 x14ac:dyDescent="0.25">
      <c r="A583" s="451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 x14ac:dyDescent="0.25">
      <c r="A584" s="451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 x14ac:dyDescent="0.25">
      <c r="A585" s="451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 x14ac:dyDescent="0.25">
      <c r="A586" s="451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 x14ac:dyDescent="0.25">
      <c r="A587" s="451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 x14ac:dyDescent="0.25">
      <c r="A588" s="451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 x14ac:dyDescent="0.25">
      <c r="A589" s="451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 x14ac:dyDescent="0.25">
      <c r="A590" s="451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 x14ac:dyDescent="0.25">
      <c r="A591" s="451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 x14ac:dyDescent="0.25">
      <c r="A592" s="451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 x14ac:dyDescent="0.25">
      <c r="A593" s="451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 x14ac:dyDescent="0.25">
      <c r="A594" s="451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 x14ac:dyDescent="0.25">
      <c r="A595" s="451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 x14ac:dyDescent="0.25">
      <c r="A596" s="451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 x14ac:dyDescent="0.25">
      <c r="A597" s="451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 x14ac:dyDescent="0.25">
      <c r="A598" s="451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 x14ac:dyDescent="0.25">
      <c r="A599" s="451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 x14ac:dyDescent="0.25">
      <c r="A600" s="451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 x14ac:dyDescent="0.25">
      <c r="A601" s="451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 x14ac:dyDescent="0.25">
      <c r="A602" s="451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 x14ac:dyDescent="0.25">
      <c r="A603" s="451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 x14ac:dyDescent="0.25">
      <c r="A604" s="451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 x14ac:dyDescent="0.25">
      <c r="A605" s="451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 x14ac:dyDescent="0.25">
      <c r="A606" s="451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 x14ac:dyDescent="0.25">
      <c r="A607" s="451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 x14ac:dyDescent="0.25">
      <c r="A608" s="451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 x14ac:dyDescent="0.25">
      <c r="A609" s="451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 x14ac:dyDescent="0.25">
      <c r="A610" s="451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 x14ac:dyDescent="0.25">
      <c r="A611" s="451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 x14ac:dyDescent="0.25">
      <c r="A612" s="451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 x14ac:dyDescent="0.25">
      <c r="A613" s="451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 x14ac:dyDescent="0.25">
      <c r="A614" s="451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 x14ac:dyDescent="0.25">
      <c r="A615" s="451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 x14ac:dyDescent="0.25">
      <c r="A616" s="451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 x14ac:dyDescent="0.25">
      <c r="A617" s="451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 x14ac:dyDescent="0.25">
      <c r="A618" s="451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 x14ac:dyDescent="0.25">
      <c r="A619" s="451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 x14ac:dyDescent="0.25">
      <c r="A620" s="451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 x14ac:dyDescent="0.25">
      <c r="A621" s="451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 x14ac:dyDescent="0.25">
      <c r="A622" s="451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 x14ac:dyDescent="0.25">
      <c r="A623" s="451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 x14ac:dyDescent="0.25">
      <c r="A624" s="451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 x14ac:dyDescent="0.25">
      <c r="A625" s="451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 x14ac:dyDescent="0.25">
      <c r="A626" s="451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 x14ac:dyDescent="0.25">
      <c r="A627" s="451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 x14ac:dyDescent="0.25">
      <c r="A628" s="451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 x14ac:dyDescent="0.25">
      <c r="A629" s="451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 x14ac:dyDescent="0.25">
      <c r="A630" s="451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 x14ac:dyDescent="0.25">
      <c r="A631" s="451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 x14ac:dyDescent="0.25">
      <c r="A632" s="451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 x14ac:dyDescent="0.25">
      <c r="A633" s="451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 x14ac:dyDescent="0.25">
      <c r="A634" s="451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 x14ac:dyDescent="0.25">
      <c r="A635" s="451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 x14ac:dyDescent="0.25">
      <c r="A636" s="451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 x14ac:dyDescent="0.25">
      <c r="A637" s="451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 x14ac:dyDescent="0.25">
      <c r="A638" s="451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 x14ac:dyDescent="0.25">
      <c r="A639" s="451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 x14ac:dyDescent="0.25">
      <c r="A640" s="451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 x14ac:dyDescent="0.25">
      <c r="A641" s="451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 x14ac:dyDescent="0.25">
      <c r="A642" s="451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 x14ac:dyDescent="0.25">
      <c r="A643" s="451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 x14ac:dyDescent="0.25">
      <c r="A644" s="451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 x14ac:dyDescent="0.25">
      <c r="A645" s="451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 x14ac:dyDescent="0.25">
      <c r="A646" s="451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 x14ac:dyDescent="0.25">
      <c r="A647" s="451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 x14ac:dyDescent="0.25">
      <c r="A648" s="451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 x14ac:dyDescent="0.25">
      <c r="A649" s="451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 x14ac:dyDescent="0.25">
      <c r="A650" s="451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 x14ac:dyDescent="0.25">
      <c r="A651" s="451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 x14ac:dyDescent="0.25">
      <c r="A652" s="451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 x14ac:dyDescent="0.25">
      <c r="A653" s="451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 x14ac:dyDescent="0.25">
      <c r="A654" s="451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 x14ac:dyDescent="0.25">
      <c r="A655" s="451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 x14ac:dyDescent="0.25">
      <c r="A656" s="451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 x14ac:dyDescent="0.25">
      <c r="A657" s="451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 x14ac:dyDescent="0.25">
      <c r="A658" s="451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 x14ac:dyDescent="0.25">
      <c r="A659" s="451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 x14ac:dyDescent="0.25">
      <c r="A660" s="451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 x14ac:dyDescent="0.25">
      <c r="A661" s="451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 x14ac:dyDescent="0.25">
      <c r="A662" s="451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 x14ac:dyDescent="0.25">
      <c r="A663" s="451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 x14ac:dyDescent="0.25">
      <c r="A664" s="451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 x14ac:dyDescent="0.25">
      <c r="A665" s="451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 x14ac:dyDescent="0.25">
      <c r="A666" s="451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 x14ac:dyDescent="0.25">
      <c r="A667" s="451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 x14ac:dyDescent="0.25">
      <c r="A668" s="451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 x14ac:dyDescent="0.25">
      <c r="A669" s="451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 x14ac:dyDescent="0.25">
      <c r="A670" s="451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 x14ac:dyDescent="0.25">
      <c r="A671" s="451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 x14ac:dyDescent="0.25">
      <c r="A672" s="451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 x14ac:dyDescent="0.25">
      <c r="A673" s="451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 x14ac:dyDescent="0.25">
      <c r="A674" s="451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 x14ac:dyDescent="0.25">
      <c r="A675" s="451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 x14ac:dyDescent="0.25">
      <c r="A676" s="451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 x14ac:dyDescent="0.25">
      <c r="A677" s="451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 x14ac:dyDescent="0.25">
      <c r="A678" s="451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 x14ac:dyDescent="0.25">
      <c r="A679" s="451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 x14ac:dyDescent="0.25">
      <c r="A680" s="451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 x14ac:dyDescent="0.25">
      <c r="A681" s="451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 x14ac:dyDescent="0.25">
      <c r="A682" s="451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 x14ac:dyDescent="0.25">
      <c r="A683" s="451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 x14ac:dyDescent="0.25">
      <c r="A684" s="451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 x14ac:dyDescent="0.25">
      <c r="A685" s="451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 x14ac:dyDescent="0.25">
      <c r="A686" s="451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 x14ac:dyDescent="0.25">
      <c r="A687" s="451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 x14ac:dyDescent="0.25">
      <c r="A688" s="451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 x14ac:dyDescent="0.25">
      <c r="A689" s="451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 x14ac:dyDescent="0.25">
      <c r="A690" s="451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 x14ac:dyDescent="0.25">
      <c r="A691" s="451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 x14ac:dyDescent="0.25">
      <c r="A692" s="451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 x14ac:dyDescent="0.25">
      <c r="A693" s="451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 x14ac:dyDescent="0.25">
      <c r="A694" s="451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 x14ac:dyDescent="0.25">
      <c r="A695" s="451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 x14ac:dyDescent="0.25">
      <c r="A696" s="451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 x14ac:dyDescent="0.25">
      <c r="A697" s="451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 x14ac:dyDescent="0.25">
      <c r="A698" s="451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 x14ac:dyDescent="0.25">
      <c r="A699" s="451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 x14ac:dyDescent="0.25">
      <c r="A700" s="451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 x14ac:dyDescent="0.25">
      <c r="A701" s="451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 x14ac:dyDescent="0.25">
      <c r="A702" s="451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 x14ac:dyDescent="0.25">
      <c r="A703" s="451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 x14ac:dyDescent="0.25">
      <c r="A704" s="451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 x14ac:dyDescent="0.25">
      <c r="A705" s="451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 x14ac:dyDescent="0.25">
      <c r="A706" s="451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 x14ac:dyDescent="0.25">
      <c r="A707" s="451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 x14ac:dyDescent="0.25">
      <c r="A708" s="451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 x14ac:dyDescent="0.25">
      <c r="A709" s="451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 x14ac:dyDescent="0.25">
      <c r="A710" s="451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 x14ac:dyDescent="0.25">
      <c r="A711" s="451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 x14ac:dyDescent="0.25">
      <c r="A712" s="451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 x14ac:dyDescent="0.25">
      <c r="A713" s="451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 x14ac:dyDescent="0.25">
      <c r="A714" s="451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 x14ac:dyDescent="0.25">
      <c r="A715" s="451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 x14ac:dyDescent="0.25">
      <c r="A716" s="451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 x14ac:dyDescent="0.25">
      <c r="A717" s="451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 x14ac:dyDescent="0.25">
      <c r="A718" s="451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 x14ac:dyDescent="0.25">
      <c r="A719" s="451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 x14ac:dyDescent="0.25">
      <c r="A720" s="451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 x14ac:dyDescent="0.25">
      <c r="A721" s="451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 x14ac:dyDescent="0.25">
      <c r="A722" s="451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 x14ac:dyDescent="0.25">
      <c r="A723" s="451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 x14ac:dyDescent="0.25">
      <c r="A724" s="451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 x14ac:dyDescent="0.25">
      <c r="A725" s="451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 x14ac:dyDescent="0.25">
      <c r="A726" s="451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 x14ac:dyDescent="0.25">
      <c r="A727" s="451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 x14ac:dyDescent="0.25">
      <c r="A728" s="451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 x14ac:dyDescent="0.25">
      <c r="A729" s="451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 x14ac:dyDescent="0.25">
      <c r="A730" s="451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 x14ac:dyDescent="0.25">
      <c r="A731" s="451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 x14ac:dyDescent="0.25">
      <c r="A732" s="451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 x14ac:dyDescent="0.25">
      <c r="A733" s="451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 x14ac:dyDescent="0.25">
      <c r="A734" s="451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 x14ac:dyDescent="0.25">
      <c r="A735" s="451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 x14ac:dyDescent="0.25">
      <c r="A736" s="451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 x14ac:dyDescent="0.25">
      <c r="A737" s="451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 x14ac:dyDescent="0.25">
      <c r="A738" s="451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 x14ac:dyDescent="0.25">
      <c r="A739" s="451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 x14ac:dyDescent="0.25">
      <c r="A740" s="451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 x14ac:dyDescent="0.25">
      <c r="A741" s="451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 x14ac:dyDescent="0.25">
      <c r="A742" s="451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 x14ac:dyDescent="0.25">
      <c r="A743" s="451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 x14ac:dyDescent="0.25">
      <c r="A744" s="451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 x14ac:dyDescent="0.25">
      <c r="A745" s="451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 x14ac:dyDescent="0.25">
      <c r="A746" s="451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 x14ac:dyDescent="0.25">
      <c r="A747" s="451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 x14ac:dyDescent="0.25">
      <c r="A748" s="451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 x14ac:dyDescent="0.25">
      <c r="A749" s="451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 x14ac:dyDescent="0.25">
      <c r="A750" s="451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 x14ac:dyDescent="0.25">
      <c r="A751" s="451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 x14ac:dyDescent="0.25">
      <c r="A752" s="451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 x14ac:dyDescent="0.25">
      <c r="A753" s="451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 x14ac:dyDescent="0.25">
      <c r="A754" s="451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 x14ac:dyDescent="0.25">
      <c r="A755" s="451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 x14ac:dyDescent="0.25">
      <c r="A756" s="451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 x14ac:dyDescent="0.25">
      <c r="A757" s="451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 x14ac:dyDescent="0.25">
      <c r="A758" s="451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 x14ac:dyDescent="0.25">
      <c r="A759" s="451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 x14ac:dyDescent="0.25">
      <c r="A760" s="451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 x14ac:dyDescent="0.25">
      <c r="A761" s="451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 x14ac:dyDescent="0.25">
      <c r="A762" s="451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 x14ac:dyDescent="0.25">
      <c r="A763" s="451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 x14ac:dyDescent="0.25">
      <c r="A764" s="451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 x14ac:dyDescent="0.25">
      <c r="A765" s="451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 x14ac:dyDescent="0.25">
      <c r="A766" s="451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 x14ac:dyDescent="0.25">
      <c r="A767" s="451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 x14ac:dyDescent="0.25">
      <c r="A768" s="451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 x14ac:dyDescent="0.25">
      <c r="A769" s="451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 x14ac:dyDescent="0.25">
      <c r="A770" s="451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 x14ac:dyDescent="0.25">
      <c r="A771" s="451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 x14ac:dyDescent="0.25">
      <c r="A772" s="451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 x14ac:dyDescent="0.25">
      <c r="A773" s="451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 x14ac:dyDescent="0.25">
      <c r="A774" s="451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 x14ac:dyDescent="0.25">
      <c r="A775" s="451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 x14ac:dyDescent="0.25">
      <c r="A776" s="451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 x14ac:dyDescent="0.25">
      <c r="A777" s="451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 x14ac:dyDescent="0.25">
      <c r="A778" s="451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 x14ac:dyDescent="0.25">
      <c r="A779" s="451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 x14ac:dyDescent="0.25">
      <c r="A780" s="451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 x14ac:dyDescent="0.25">
      <c r="A781" s="451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 x14ac:dyDescent="0.25">
      <c r="A782" s="451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 x14ac:dyDescent="0.25">
      <c r="A783" s="451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 x14ac:dyDescent="0.25">
      <c r="A784" s="451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 x14ac:dyDescent="0.25">
      <c r="A785" s="451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 x14ac:dyDescent="0.25">
      <c r="A786" s="451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 x14ac:dyDescent="0.25">
      <c r="A787" s="451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 x14ac:dyDescent="0.25">
      <c r="A788" s="451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 x14ac:dyDescent="0.25">
      <c r="A789" s="451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 x14ac:dyDescent="0.25">
      <c r="A790" s="451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 x14ac:dyDescent="0.25">
      <c r="A791" s="451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 x14ac:dyDescent="0.25">
      <c r="A792" s="451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 x14ac:dyDescent="0.25">
      <c r="A793" s="451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 x14ac:dyDescent="0.25">
      <c r="A794" s="451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 x14ac:dyDescent="0.25">
      <c r="A795" s="451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 x14ac:dyDescent="0.25">
      <c r="A796" s="451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 x14ac:dyDescent="0.25">
      <c r="A797" s="451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 x14ac:dyDescent="0.25">
      <c r="A798" s="451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 x14ac:dyDescent="0.25">
      <c r="A799" s="451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 x14ac:dyDescent="0.25">
      <c r="A800" s="451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 x14ac:dyDescent="0.25">
      <c r="A801" s="451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 x14ac:dyDescent="0.25">
      <c r="A802" s="451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 x14ac:dyDescent="0.25">
      <c r="A803" s="451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 x14ac:dyDescent="0.25">
      <c r="A804" s="451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 x14ac:dyDescent="0.25">
      <c r="A805" s="451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 x14ac:dyDescent="0.25">
      <c r="A806" s="451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 x14ac:dyDescent="0.25">
      <c r="A807" s="451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 x14ac:dyDescent="0.25">
      <c r="A808" s="451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 x14ac:dyDescent="0.25">
      <c r="A809" s="451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 x14ac:dyDescent="0.25">
      <c r="A810" s="451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 x14ac:dyDescent="0.25">
      <c r="A811" s="451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 x14ac:dyDescent="0.25">
      <c r="A812" s="451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 x14ac:dyDescent="0.25">
      <c r="A813" s="451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 x14ac:dyDescent="0.25">
      <c r="A814" s="451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 x14ac:dyDescent="0.25">
      <c r="A815" s="451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 x14ac:dyDescent="0.25">
      <c r="A816" s="451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 x14ac:dyDescent="0.25">
      <c r="A817" s="451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 x14ac:dyDescent="0.25">
      <c r="A818" s="451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 x14ac:dyDescent="0.25">
      <c r="A819" s="451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 x14ac:dyDescent="0.25">
      <c r="A820" s="451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 x14ac:dyDescent="0.25">
      <c r="A821" s="451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 x14ac:dyDescent="0.25">
      <c r="A822" s="451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 x14ac:dyDescent="0.25">
      <c r="A823" s="451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 x14ac:dyDescent="0.25">
      <c r="A824" s="451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 x14ac:dyDescent="0.25">
      <c r="A825" s="451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 x14ac:dyDescent="0.25">
      <c r="A826" s="451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 x14ac:dyDescent="0.25">
      <c r="A827" s="451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 x14ac:dyDescent="0.25">
      <c r="A828" s="451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 x14ac:dyDescent="0.25">
      <c r="A829" s="451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 x14ac:dyDescent="0.25">
      <c r="A830" s="451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 x14ac:dyDescent="0.25">
      <c r="A831" s="451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 x14ac:dyDescent="0.25">
      <c r="A832" s="451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 x14ac:dyDescent="0.25">
      <c r="A833" s="451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 x14ac:dyDescent="0.25">
      <c r="A834" s="451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 x14ac:dyDescent="0.25">
      <c r="A835" s="451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 x14ac:dyDescent="0.25">
      <c r="A836" s="451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 x14ac:dyDescent="0.25">
      <c r="A837" s="451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 x14ac:dyDescent="0.25">
      <c r="A838" s="451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 x14ac:dyDescent="0.25">
      <c r="A839" s="451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 x14ac:dyDescent="0.25">
      <c r="A840" s="451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 x14ac:dyDescent="0.25">
      <c r="A841" s="451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 x14ac:dyDescent="0.25">
      <c r="A842" s="451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 x14ac:dyDescent="0.25">
      <c r="A843" s="451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 x14ac:dyDescent="0.25">
      <c r="A844" s="451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 x14ac:dyDescent="0.25">
      <c r="A845" s="451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 x14ac:dyDescent="0.25">
      <c r="A846" s="451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 x14ac:dyDescent="0.25">
      <c r="A847" s="451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 x14ac:dyDescent="0.25">
      <c r="A848" s="451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 x14ac:dyDescent="0.25">
      <c r="A849" s="451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 x14ac:dyDescent="0.25">
      <c r="A850" s="451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 x14ac:dyDescent="0.25">
      <c r="A851" s="451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 x14ac:dyDescent="0.25">
      <c r="A852" s="451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 x14ac:dyDescent="0.25">
      <c r="A853" s="451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 x14ac:dyDescent="0.25">
      <c r="A854" s="451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 x14ac:dyDescent="0.25">
      <c r="A855" s="451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 x14ac:dyDescent="0.25">
      <c r="A856" s="451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 x14ac:dyDescent="0.25">
      <c r="A857" s="451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 x14ac:dyDescent="0.25">
      <c r="A858" s="451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 x14ac:dyDescent="0.25">
      <c r="A859" s="451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 x14ac:dyDescent="0.25">
      <c r="A860" s="451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 x14ac:dyDescent="0.25">
      <c r="A861" s="451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 x14ac:dyDescent="0.25">
      <c r="A862" s="451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 x14ac:dyDescent="0.25">
      <c r="A863" s="451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 x14ac:dyDescent="0.25">
      <c r="A864" s="451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 x14ac:dyDescent="0.25">
      <c r="A865" s="451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 x14ac:dyDescent="0.25">
      <c r="A866" s="451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 x14ac:dyDescent="0.25">
      <c r="A867" s="451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 x14ac:dyDescent="0.25">
      <c r="A868" s="451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 x14ac:dyDescent="0.25">
      <c r="A869" s="451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 x14ac:dyDescent="0.25">
      <c r="A870" s="451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 x14ac:dyDescent="0.25">
      <c r="A871" s="451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 x14ac:dyDescent="0.25">
      <c r="A872" s="451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 x14ac:dyDescent="0.25">
      <c r="A873" s="451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 x14ac:dyDescent="0.25">
      <c r="A874" s="451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 x14ac:dyDescent="0.25">
      <c r="A875" s="451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 x14ac:dyDescent="0.25">
      <c r="A876" s="451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 x14ac:dyDescent="0.25">
      <c r="A877" s="451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 x14ac:dyDescent="0.25">
      <c r="A878" s="451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 x14ac:dyDescent="0.25">
      <c r="A879" s="451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 x14ac:dyDescent="0.25">
      <c r="A880" s="451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 x14ac:dyDescent="0.25">
      <c r="A881" s="451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 x14ac:dyDescent="0.25">
      <c r="A882" s="451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 x14ac:dyDescent="0.25">
      <c r="A883" s="451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 x14ac:dyDescent="0.25">
      <c r="A884" s="451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 x14ac:dyDescent="0.25">
      <c r="A885" s="451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 x14ac:dyDescent="0.25">
      <c r="A886" s="451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 x14ac:dyDescent="0.25">
      <c r="A887" s="451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 x14ac:dyDescent="0.25">
      <c r="A888" s="451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 x14ac:dyDescent="0.25">
      <c r="A889" s="451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 x14ac:dyDescent="0.25">
      <c r="A890" s="451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 x14ac:dyDescent="0.25">
      <c r="A891" s="451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 x14ac:dyDescent="0.25">
      <c r="A892" s="451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 x14ac:dyDescent="0.25">
      <c r="A893" s="451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 x14ac:dyDescent="0.25">
      <c r="A894" s="451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 x14ac:dyDescent="0.25">
      <c r="A895" s="451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 x14ac:dyDescent="0.25">
      <c r="A896" s="451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 x14ac:dyDescent="0.25">
      <c r="A897" s="451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 x14ac:dyDescent="0.25">
      <c r="A898" s="451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 x14ac:dyDescent="0.25">
      <c r="A899" s="451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 x14ac:dyDescent="0.25">
      <c r="A900" s="451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 x14ac:dyDescent="0.25">
      <c r="A901" s="451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 x14ac:dyDescent="0.25">
      <c r="A902" s="451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 x14ac:dyDescent="0.25">
      <c r="A903" s="451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 x14ac:dyDescent="0.25">
      <c r="A904" s="451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 x14ac:dyDescent="0.25">
      <c r="A905" s="451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 x14ac:dyDescent="0.25">
      <c r="A906" s="451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 x14ac:dyDescent="0.25">
      <c r="A907" s="451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 x14ac:dyDescent="0.25">
      <c r="A908" s="451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 x14ac:dyDescent="0.25">
      <c r="A909" s="451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 x14ac:dyDescent="0.25">
      <c r="A910" s="451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 x14ac:dyDescent="0.25">
      <c r="A911" s="451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 x14ac:dyDescent="0.25">
      <c r="A912" s="451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 x14ac:dyDescent="0.25">
      <c r="A913" s="451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 x14ac:dyDescent="0.25">
      <c r="A914" s="451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 x14ac:dyDescent="0.25">
      <c r="A915" s="451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 x14ac:dyDescent="0.25">
      <c r="A916" s="451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 x14ac:dyDescent="0.25">
      <c r="A917" s="451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 x14ac:dyDescent="0.25">
      <c r="A918" s="451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 x14ac:dyDescent="0.25">
      <c r="A919" s="451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 x14ac:dyDescent="0.25">
      <c r="A920" s="451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 x14ac:dyDescent="0.25">
      <c r="A921" s="451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 x14ac:dyDescent="0.25">
      <c r="A922" s="451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 x14ac:dyDescent="0.25">
      <c r="A923" s="451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 x14ac:dyDescent="0.25">
      <c r="A924" s="451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 x14ac:dyDescent="0.25">
      <c r="A925" s="451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 x14ac:dyDescent="0.25">
      <c r="A926" s="451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 x14ac:dyDescent="0.25">
      <c r="A927" s="451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 x14ac:dyDescent="0.25">
      <c r="A928" s="451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 x14ac:dyDescent="0.25">
      <c r="A929" s="451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 x14ac:dyDescent="0.25">
      <c r="A930" s="451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 x14ac:dyDescent="0.25">
      <c r="A931" s="451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 x14ac:dyDescent="0.25">
      <c r="A932" s="451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 x14ac:dyDescent="0.25">
      <c r="A933" s="451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 x14ac:dyDescent="0.25">
      <c r="A934" s="451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 x14ac:dyDescent="0.25">
      <c r="A935" s="451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 x14ac:dyDescent="0.25">
      <c r="A936" s="451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 x14ac:dyDescent="0.25">
      <c r="A937" s="451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 x14ac:dyDescent="0.25">
      <c r="A938" s="451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 x14ac:dyDescent="0.25">
      <c r="A939" s="451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 x14ac:dyDescent="0.25">
      <c r="A940" s="451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 x14ac:dyDescent="0.25">
      <c r="A941" s="451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 x14ac:dyDescent="0.25">
      <c r="A942" s="451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 x14ac:dyDescent="0.25">
      <c r="A943" s="451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 x14ac:dyDescent="0.25">
      <c r="A944" s="451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 x14ac:dyDescent="0.25">
      <c r="A945" s="451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 x14ac:dyDescent="0.25">
      <c r="A946" s="451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 x14ac:dyDescent="0.25">
      <c r="A947" s="451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 x14ac:dyDescent="0.25">
      <c r="A948" s="451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 x14ac:dyDescent="0.25">
      <c r="A949" s="451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 x14ac:dyDescent="0.25">
      <c r="A950" s="451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 x14ac:dyDescent="0.25">
      <c r="A951" s="451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 x14ac:dyDescent="0.25">
      <c r="A952" s="451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 x14ac:dyDescent="0.25">
      <c r="A953" s="451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 x14ac:dyDescent="0.25">
      <c r="A954" s="451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 x14ac:dyDescent="0.25">
      <c r="A955" s="451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 x14ac:dyDescent="0.25">
      <c r="A956" s="451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 x14ac:dyDescent="0.25">
      <c r="A957" s="451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 x14ac:dyDescent="0.25">
      <c r="A958" s="451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 x14ac:dyDescent="0.25">
      <c r="A959" s="451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 x14ac:dyDescent="0.25">
      <c r="A960" s="451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 x14ac:dyDescent="0.25">
      <c r="A961" s="451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 x14ac:dyDescent="0.25">
      <c r="A962" s="451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 x14ac:dyDescent="0.25">
      <c r="A963" s="451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 x14ac:dyDescent="0.25">
      <c r="A964" s="451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 x14ac:dyDescent="0.25">
      <c r="A965" s="451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 x14ac:dyDescent="0.25">
      <c r="A966" s="451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 x14ac:dyDescent="0.25">
      <c r="A967" s="451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 x14ac:dyDescent="0.25">
      <c r="A968" s="451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 x14ac:dyDescent="0.25">
      <c r="A969" s="451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 x14ac:dyDescent="0.25">
      <c r="A970" s="451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 x14ac:dyDescent="0.25">
      <c r="A971" s="451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 x14ac:dyDescent="0.25">
      <c r="A972" s="451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 x14ac:dyDescent="0.25">
      <c r="A973" s="451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 x14ac:dyDescent="0.25">
      <c r="A974" s="451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 x14ac:dyDescent="0.25">
      <c r="A975" s="451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 x14ac:dyDescent="0.25">
      <c r="A976" s="451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 x14ac:dyDescent="0.25">
      <c r="A977" s="451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 x14ac:dyDescent="0.25">
      <c r="A978" s="451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 x14ac:dyDescent="0.25">
      <c r="A979" s="451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 x14ac:dyDescent="0.25">
      <c r="A980" s="451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 x14ac:dyDescent="0.25">
      <c r="A981" s="451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 x14ac:dyDescent="0.25">
      <c r="A982" s="451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 x14ac:dyDescent="0.25">
      <c r="A983" s="451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 x14ac:dyDescent="0.25">
      <c r="A984" s="451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 x14ac:dyDescent="0.25">
      <c r="A985" s="451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 x14ac:dyDescent="0.25">
      <c r="A986" s="451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 x14ac:dyDescent="0.25">
      <c r="A987" s="451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 x14ac:dyDescent="0.25">
      <c r="A988" s="451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 x14ac:dyDescent="0.25">
      <c r="A989" s="451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 x14ac:dyDescent="0.25">
      <c r="A990" s="451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 x14ac:dyDescent="0.25">
      <c r="A991" s="451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 x14ac:dyDescent="0.25">
      <c r="A992" s="451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 x14ac:dyDescent="0.25">
      <c r="A993" s="451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 x14ac:dyDescent="0.25">
      <c r="A994" s="451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 x14ac:dyDescent="0.25">
      <c r="A995" s="451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 x14ac:dyDescent="0.25">
      <c r="A996" s="451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 x14ac:dyDescent="0.25">
      <c r="A997" s="451" t="str">
        <f t="shared" si="15"/>
        <v>0_0</v>
      </c>
      <c r="N997" s="987" t="e">
        <f>VLOOKUP(A997, 'P&amp;L'!A:B,1,FALSE)</f>
        <v>#N/A</v>
      </c>
      <c r="O997" t="e">
        <f>VLOOKUP(A997, KeyData!A:C,1,FALSE)</f>
        <v>#N/A</v>
      </c>
    </row>
    <row r="998" spans="1:15" x14ac:dyDescent="0.25">
      <c r="A998" s="451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 x14ac:dyDescent="0.25">
      <c r="A999" s="451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 x14ac:dyDescent="0.25">
      <c r="A1000" s="451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 x14ac:dyDescent="0.25">
      <c r="A1001" s="451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 x14ac:dyDescent="0.25">
      <c r="A1002" s="451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 x14ac:dyDescent="0.25">
      <c r="A1003" s="451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 x14ac:dyDescent="0.25">
      <c r="A1004" s="451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 x14ac:dyDescent="0.25">
      <c r="A1005" s="451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 x14ac:dyDescent="0.25">
      <c r="A1006" s="451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 x14ac:dyDescent="0.25">
      <c r="A1007" s="451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 x14ac:dyDescent="0.25">
      <c r="A1008" s="451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 x14ac:dyDescent="0.25">
      <c r="A1009" s="451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 x14ac:dyDescent="0.25">
      <c r="A1010" s="451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 x14ac:dyDescent="0.25">
      <c r="A1011" s="451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 x14ac:dyDescent="0.25">
      <c r="A1012" s="451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 x14ac:dyDescent="0.25">
      <c r="A1013" s="451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 x14ac:dyDescent="0.25">
      <c r="A1014" s="451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 x14ac:dyDescent="0.25">
      <c r="A1015" s="451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 x14ac:dyDescent="0.25">
      <c r="A1016" s="451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 x14ac:dyDescent="0.25">
      <c r="A1017" s="451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 x14ac:dyDescent="0.25">
      <c r="A1018" s="451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 x14ac:dyDescent="0.25">
      <c r="A1019" s="451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 x14ac:dyDescent="0.25">
      <c r="A1020" s="451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 x14ac:dyDescent="0.25">
      <c r="A1021" s="451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 x14ac:dyDescent="0.25">
      <c r="A1022" s="451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 x14ac:dyDescent="0.25">
      <c r="A1023" s="451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 x14ac:dyDescent="0.25">
      <c r="A1024" s="451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 x14ac:dyDescent="0.25">
      <c r="A1025" s="451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 x14ac:dyDescent="0.25">
      <c r="A1026" s="451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 x14ac:dyDescent="0.25">
      <c r="A1027" s="451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 x14ac:dyDescent="0.25">
      <c r="A1028" s="451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 x14ac:dyDescent="0.25">
      <c r="A1029" s="451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 x14ac:dyDescent="0.25">
      <c r="A1030" s="451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 x14ac:dyDescent="0.25">
      <c r="A1031" s="451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 x14ac:dyDescent="0.25">
      <c r="A1032" s="451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 x14ac:dyDescent="0.25">
      <c r="A1033" s="451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 x14ac:dyDescent="0.25">
      <c r="A1034" s="451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 x14ac:dyDescent="0.25">
      <c r="A1035" s="451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 x14ac:dyDescent="0.25">
      <c r="A1036" s="451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 x14ac:dyDescent="0.25">
      <c r="A1037" s="451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 x14ac:dyDescent="0.25">
      <c r="A1038" s="451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 x14ac:dyDescent="0.25">
      <c r="A1039" s="451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 x14ac:dyDescent="0.25">
      <c r="A1040" s="451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 x14ac:dyDescent="0.25">
      <c r="A1041" s="451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 x14ac:dyDescent="0.25">
      <c r="A1042" s="451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 x14ac:dyDescent="0.25">
      <c r="A1043" s="451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 x14ac:dyDescent="0.25">
      <c r="A1044" s="451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 x14ac:dyDescent="0.25">
      <c r="A1045" s="451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 x14ac:dyDescent="0.25">
      <c r="A1046" s="451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 x14ac:dyDescent="0.25">
      <c r="A1047" s="451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 x14ac:dyDescent="0.25">
      <c r="A1048" s="451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 x14ac:dyDescent="0.25">
      <c r="A1049" s="451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 x14ac:dyDescent="0.25">
      <c r="A1050" s="451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 x14ac:dyDescent="0.25">
      <c r="A1051" s="451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 x14ac:dyDescent="0.25">
      <c r="A1052" s="451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 x14ac:dyDescent="0.25">
      <c r="A1053" s="451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 x14ac:dyDescent="0.25">
      <c r="A1054" s="451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 x14ac:dyDescent="0.25">
      <c r="A1055" s="451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 x14ac:dyDescent="0.25">
      <c r="A1056" s="451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 x14ac:dyDescent="0.25">
      <c r="A1057" s="451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 x14ac:dyDescent="0.25">
      <c r="A1058" s="451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 x14ac:dyDescent="0.25">
      <c r="A1059" s="451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 x14ac:dyDescent="0.25">
      <c r="A1060" s="451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 x14ac:dyDescent="0.25">
      <c r="A1061" s="451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 x14ac:dyDescent="0.25">
      <c r="A1062" s="451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 x14ac:dyDescent="0.25">
      <c r="A1063" s="451" t="str">
        <f t="shared" si="16"/>
        <v>0_0</v>
      </c>
      <c r="N1063" s="613" t="e">
        <f>VLOOKUP(A1063, 'P&amp;L'!A:B,1,FALSE)</f>
        <v>#N/A</v>
      </c>
      <c r="O1063" t="e">
        <f>VLOOKUP(A1063, KeyData!A:C,1,FALSE)</f>
        <v>#N/A</v>
      </c>
    </row>
    <row r="1064" spans="1:15" x14ac:dyDescent="0.25">
      <c r="A1064" s="451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 x14ac:dyDescent="0.25">
      <c r="A1065" s="451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 x14ac:dyDescent="0.25">
      <c r="A1066" s="451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 x14ac:dyDescent="0.25">
      <c r="A1067" s="451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 x14ac:dyDescent="0.25">
      <c r="A1068" s="451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 x14ac:dyDescent="0.25">
      <c r="A1069" s="451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 x14ac:dyDescent="0.25">
      <c r="A1070" s="451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 x14ac:dyDescent="0.25">
      <c r="A1071" s="451" t="str">
        <f t="shared" si="16"/>
        <v>0_0</v>
      </c>
      <c r="N1071" s="613" t="e">
        <f>VLOOKUP(A1071, 'P&amp;L'!A:B,1,FALSE)</f>
        <v>#N/A</v>
      </c>
      <c r="O1071" t="e">
        <f>VLOOKUP(A1071, KeyData!A:C,1,FALSE)</f>
        <v>#N/A</v>
      </c>
    </row>
    <row r="1072" spans="1:15" x14ac:dyDescent="0.25">
      <c r="A1072" s="451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 x14ac:dyDescent="0.25">
      <c r="A1073" s="451" t="str">
        <f t="shared" si="16"/>
        <v>0_0</v>
      </c>
      <c r="N1073" s="613" t="e">
        <f>VLOOKUP(A1073, 'P&amp;L'!A:B,1,FALSE)</f>
        <v>#N/A</v>
      </c>
      <c r="O1073" t="e">
        <f>VLOOKUP(A1073, KeyData!A:C,1,FALSE)</f>
        <v>#N/A</v>
      </c>
    </row>
    <row r="1074" spans="1:15" x14ac:dyDescent="0.25">
      <c r="A1074" s="451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 x14ac:dyDescent="0.25">
      <c r="A1075" s="451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 x14ac:dyDescent="0.25">
      <c r="A1076" s="451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 x14ac:dyDescent="0.25">
      <c r="A1077" s="451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 x14ac:dyDescent="0.25">
      <c r="A1078" s="451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 x14ac:dyDescent="0.25">
      <c r="A1079" s="451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 x14ac:dyDescent="0.25">
      <c r="A1080" s="451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 x14ac:dyDescent="0.25">
      <c r="A1081" s="451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 x14ac:dyDescent="0.25">
      <c r="A1082" s="451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 x14ac:dyDescent="0.25">
      <c r="A1083" s="451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 x14ac:dyDescent="0.25">
      <c r="A1084" s="451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 x14ac:dyDescent="0.25">
      <c r="A1085" s="451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 x14ac:dyDescent="0.25">
      <c r="A1086" s="451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 x14ac:dyDescent="0.25">
      <c r="A1087" s="451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 x14ac:dyDescent="0.25">
      <c r="A1088" s="451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 x14ac:dyDescent="0.25">
      <c r="A1089" s="451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 x14ac:dyDescent="0.25">
      <c r="A1090" s="451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 x14ac:dyDescent="0.25">
      <c r="A1091" s="451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 x14ac:dyDescent="0.25">
      <c r="A1092" s="451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 x14ac:dyDescent="0.25">
      <c r="A1093" s="451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 x14ac:dyDescent="0.25">
      <c r="A1094" s="451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 x14ac:dyDescent="0.25">
      <c r="A1095" s="451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 x14ac:dyDescent="0.25">
      <c r="A1096" s="451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 x14ac:dyDescent="0.25">
      <c r="A1097" s="451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 x14ac:dyDescent="0.25">
      <c r="A1098" s="451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 x14ac:dyDescent="0.25">
      <c r="A1099" s="451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 x14ac:dyDescent="0.25">
      <c r="A1100" s="451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 x14ac:dyDescent="0.25">
      <c r="A1101" s="451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 x14ac:dyDescent="0.25">
      <c r="A1102" s="451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 x14ac:dyDescent="0.25">
      <c r="A1103" s="451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 x14ac:dyDescent="0.25">
      <c r="A1104" s="451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 x14ac:dyDescent="0.25">
      <c r="A1105" s="451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 x14ac:dyDescent="0.25">
      <c r="A1106" s="451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 x14ac:dyDescent="0.25">
      <c r="A1107" s="451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 x14ac:dyDescent="0.25">
      <c r="A1108" s="451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 x14ac:dyDescent="0.25">
      <c r="A1109" s="451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 x14ac:dyDescent="0.25">
      <c r="A1110" s="451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 x14ac:dyDescent="0.25">
      <c r="A1111" s="451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 x14ac:dyDescent="0.25">
      <c r="A1112" s="451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 x14ac:dyDescent="0.25">
      <c r="A1113" s="451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 x14ac:dyDescent="0.25">
      <c r="A1114" s="451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 x14ac:dyDescent="0.25">
      <c r="A1115" s="451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 x14ac:dyDescent="0.25">
      <c r="A1116" s="451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 x14ac:dyDescent="0.25">
      <c r="A1117" s="451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 x14ac:dyDescent="0.25">
      <c r="A1118" s="451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 x14ac:dyDescent="0.25">
      <c r="A1119" s="451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 x14ac:dyDescent="0.25">
      <c r="A1120" s="451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 x14ac:dyDescent="0.25">
      <c r="A1121" s="451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 x14ac:dyDescent="0.25">
      <c r="A1122" s="451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 x14ac:dyDescent="0.25">
      <c r="A1123" s="451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 x14ac:dyDescent="0.25">
      <c r="A1124" s="451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 x14ac:dyDescent="0.25">
      <c r="A1125" s="451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 x14ac:dyDescent="0.25">
      <c r="A1126" s="451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 x14ac:dyDescent="0.25">
      <c r="A1127" s="451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 x14ac:dyDescent="0.25">
      <c r="A1128" s="451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 x14ac:dyDescent="0.25">
      <c r="A1129" s="451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 x14ac:dyDescent="0.25">
      <c r="A1130" s="451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 x14ac:dyDescent="0.25">
      <c r="A1131" s="451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 x14ac:dyDescent="0.25">
      <c r="A1132" s="451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 x14ac:dyDescent="0.25">
      <c r="A1133" s="451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 x14ac:dyDescent="0.25">
      <c r="A1134" s="451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 x14ac:dyDescent="0.25">
      <c r="A1135" s="451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 x14ac:dyDescent="0.25">
      <c r="A1136" s="451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 x14ac:dyDescent="0.25">
      <c r="A1137" s="451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 x14ac:dyDescent="0.25">
      <c r="A1138" s="451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 x14ac:dyDescent="0.25">
      <c r="A1139" s="451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 x14ac:dyDescent="0.25">
      <c r="A1140" s="451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 x14ac:dyDescent="0.25">
      <c r="A1141" s="451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 x14ac:dyDescent="0.25">
      <c r="A1142" s="451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 x14ac:dyDescent="0.25">
      <c r="A1143" s="451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 x14ac:dyDescent="0.25">
      <c r="A1144" s="451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 x14ac:dyDescent="0.25">
      <c r="A1145" s="451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 x14ac:dyDescent="0.25">
      <c r="A1146" s="451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 x14ac:dyDescent="0.25">
      <c r="A1147" s="451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 x14ac:dyDescent="0.25">
      <c r="A1148" s="451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 x14ac:dyDescent="0.25">
      <c r="A1149" s="451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 x14ac:dyDescent="0.25">
      <c r="A1150" s="451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 x14ac:dyDescent="0.25">
      <c r="A1151" s="451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 x14ac:dyDescent="0.25">
      <c r="A1152" s="451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 x14ac:dyDescent="0.25">
      <c r="A1153" s="451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 x14ac:dyDescent="0.25">
      <c r="A1154" s="451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 x14ac:dyDescent="0.25">
      <c r="A1155" s="451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 x14ac:dyDescent="0.25">
      <c r="A1156" s="451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 x14ac:dyDescent="0.25">
      <c r="A1157" s="451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 x14ac:dyDescent="0.25">
      <c r="A1158" s="451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 x14ac:dyDescent="0.25">
      <c r="A1159" s="451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 x14ac:dyDescent="0.25">
      <c r="A1160" s="451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 x14ac:dyDescent="0.25">
      <c r="A1161" s="451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 x14ac:dyDescent="0.25">
      <c r="A1162" s="451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 x14ac:dyDescent="0.25">
      <c r="A1163" s="451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 x14ac:dyDescent="0.25">
      <c r="A1164" s="451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 x14ac:dyDescent="0.25">
      <c r="A1165" s="451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 x14ac:dyDescent="0.25">
      <c r="A1166" s="451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 x14ac:dyDescent="0.25">
      <c r="A1167" s="451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 x14ac:dyDescent="0.25">
      <c r="A1168" s="451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 x14ac:dyDescent="0.25">
      <c r="A1169" s="451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 x14ac:dyDescent="0.25">
      <c r="A1170" s="451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 x14ac:dyDescent="0.25">
      <c r="A1171" s="451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 x14ac:dyDescent="0.25">
      <c r="A1172" s="451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 x14ac:dyDescent="0.25">
      <c r="A1173" s="451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 x14ac:dyDescent="0.25">
      <c r="A1174" s="451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 x14ac:dyDescent="0.25">
      <c r="A1175" s="451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 x14ac:dyDescent="0.25">
      <c r="A1176" s="451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 x14ac:dyDescent="0.25">
      <c r="A1177" s="451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 x14ac:dyDescent="0.25">
      <c r="A1178" s="451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 x14ac:dyDescent="0.25">
      <c r="A1179" s="451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 x14ac:dyDescent="0.25">
      <c r="A1180" s="451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 x14ac:dyDescent="0.25">
      <c r="A1181" s="451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 x14ac:dyDescent="0.25">
      <c r="A1182" s="451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 x14ac:dyDescent="0.25">
      <c r="A1183" s="451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 x14ac:dyDescent="0.25">
      <c r="A1184" s="451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 x14ac:dyDescent="0.25">
      <c r="A1185" s="451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 x14ac:dyDescent="0.25">
      <c r="A1186" s="451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 x14ac:dyDescent="0.25">
      <c r="A1187" s="451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 x14ac:dyDescent="0.25">
      <c r="A1188" s="451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 x14ac:dyDescent="0.25">
      <c r="A1189" s="451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 x14ac:dyDescent="0.25">
      <c r="A1190" s="451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 x14ac:dyDescent="0.25">
      <c r="A1191" s="451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 x14ac:dyDescent="0.25">
      <c r="A1192" s="451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 x14ac:dyDescent="0.25">
      <c r="A1193" s="451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 x14ac:dyDescent="0.25">
      <c r="A1194" s="451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 x14ac:dyDescent="0.25">
      <c r="A1195" s="451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 x14ac:dyDescent="0.25">
      <c r="A1196" s="451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 x14ac:dyDescent="0.25">
      <c r="A1197" s="451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 x14ac:dyDescent="0.25">
      <c r="A1198" s="451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 x14ac:dyDescent="0.25">
      <c r="A1199" s="451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 x14ac:dyDescent="0.25">
      <c r="A1200" s="451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 x14ac:dyDescent="0.25">
      <c r="A1201" s="451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 x14ac:dyDescent="0.25">
      <c r="A1202" s="451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 x14ac:dyDescent="0.25">
      <c r="A1203" s="451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 x14ac:dyDescent="0.25">
      <c r="A1204" s="451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 x14ac:dyDescent="0.25">
      <c r="A1205" s="451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 x14ac:dyDescent="0.25">
      <c r="A1206" s="451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 x14ac:dyDescent="0.25">
      <c r="A1207" s="451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 x14ac:dyDescent="0.25">
      <c r="A1208" s="451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 x14ac:dyDescent="0.25">
      <c r="A1209" s="451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 x14ac:dyDescent="0.25">
      <c r="A1210" s="451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 x14ac:dyDescent="0.25">
      <c r="A1211" s="451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 x14ac:dyDescent="0.25">
      <c r="A1212" s="451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 x14ac:dyDescent="0.25">
      <c r="A1213" s="451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 x14ac:dyDescent="0.25">
      <c r="A1214" s="451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 x14ac:dyDescent="0.25">
      <c r="A1215" s="451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 x14ac:dyDescent="0.25">
      <c r="A1216" s="451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>
      <selection activeCell="F3" sqref="F3:F88"/>
    </sheetView>
  </sheetViews>
  <sheetFormatPr defaultRowHeight="15" x14ac:dyDescent="0.25"/>
  <cols>
    <col min="1" max="1" width="16.140625" customWidth="1"/>
    <col min="2" max="2" width="25" bestFit="1" customWidth="1"/>
    <col min="3" max="3" width="20.42578125" bestFit="1" customWidth="1"/>
    <col min="4" max="4" width="10.42578125" bestFit="1" customWidth="1"/>
    <col min="5" max="5" width="14.5703125" bestFit="1" customWidth="1"/>
    <col min="6" max="6" width="11.28515625" bestFit="1" customWidth="1"/>
    <col min="7" max="13" width="12.140625" bestFit="1" customWidth="1"/>
    <col min="14" max="14" width="11.28515625" bestFit="1" customWidth="1"/>
    <col min="15" max="18" width="12.140625" bestFit="1" customWidth="1"/>
    <col min="19" max="19" width="7.28515625" bestFit="1" customWidth="1"/>
    <col min="20" max="20" width="5.28515625" bestFit="1" customWidth="1"/>
    <col min="21" max="21" width="4.28515625" bestFit="1" customWidth="1"/>
    <col min="22" max="22" width="3.7109375" bestFit="1" customWidth="1"/>
    <col min="23" max="23" width="4.28515625" bestFit="1" customWidth="1"/>
    <col min="24" max="24" width="3.5703125" bestFit="1" customWidth="1"/>
    <col min="25" max="25" width="6" bestFit="1" customWidth="1"/>
    <col min="26" max="26" width="8.7109375" bestFit="1" customWidth="1"/>
    <col min="27" max="27" width="6.5703125" bestFit="1" customWidth="1"/>
    <col min="28" max="29" width="8.28515625" bestFit="1" customWidth="1"/>
  </cols>
  <sheetData>
    <row r="1" spans="1:22" x14ac:dyDescent="0.25">
      <c r="B1" s="1000" t="s">
        <v>700</v>
      </c>
      <c r="C1" s="997" t="s">
        <v>700</v>
      </c>
      <c r="D1" s="997" t="s">
        <v>700</v>
      </c>
      <c r="E1" s="1019" t="s">
        <v>700</v>
      </c>
      <c r="F1" s="805" t="s">
        <v>1437</v>
      </c>
      <c r="G1" s="805" t="s">
        <v>1437</v>
      </c>
      <c r="H1" s="805" t="s">
        <v>1437</v>
      </c>
      <c r="I1" s="805" t="s">
        <v>1437</v>
      </c>
      <c r="J1" s="805" t="s">
        <v>1437</v>
      </c>
      <c r="K1" s="805" t="s">
        <v>1437</v>
      </c>
      <c r="L1" s="805" t="s">
        <v>1437</v>
      </c>
      <c r="M1" s="805" t="s">
        <v>1437</v>
      </c>
      <c r="N1" s="805" t="s">
        <v>1437</v>
      </c>
      <c r="O1" s="805" t="s">
        <v>1437</v>
      </c>
      <c r="P1" s="805" t="s">
        <v>1437</v>
      </c>
      <c r="Q1" s="805" t="s">
        <v>1437</v>
      </c>
      <c r="R1" s="1016" t="s">
        <v>1437</v>
      </c>
      <c r="V1" t="s">
        <v>983</v>
      </c>
    </row>
    <row r="2" spans="1:22" x14ac:dyDescent="0.25">
      <c r="A2" s="451"/>
      <c r="B2" s="997" t="s">
        <v>797</v>
      </c>
      <c r="C2" s="998"/>
      <c r="D2" s="997" t="s">
        <v>1151</v>
      </c>
      <c r="E2" s="997" t="s">
        <v>1087</v>
      </c>
      <c r="F2" s="805" t="s">
        <v>1088</v>
      </c>
      <c r="G2" s="805" t="s">
        <v>1089</v>
      </c>
      <c r="H2" s="805" t="s">
        <v>572</v>
      </c>
      <c r="I2" s="805" t="s">
        <v>571</v>
      </c>
      <c r="J2" s="805" t="s">
        <v>570</v>
      </c>
      <c r="K2" s="805" t="s">
        <v>283</v>
      </c>
      <c r="L2" s="805" t="s">
        <v>133</v>
      </c>
      <c r="M2" s="805" t="s">
        <v>569</v>
      </c>
      <c r="N2" s="805" t="s">
        <v>568</v>
      </c>
      <c r="O2" s="805" t="s">
        <v>567</v>
      </c>
      <c r="P2" s="805" t="s">
        <v>566</v>
      </c>
      <c r="Q2" s="805" t="s">
        <v>565</v>
      </c>
      <c r="R2" s="805" t="s">
        <v>564</v>
      </c>
    </row>
    <row r="3" spans="1:22" x14ac:dyDescent="0.25">
      <c r="A3" s="451" t="str">
        <f xml:space="preserve"> IFERROR(+B3*1,B3)&amp;"_"&amp;IFERROR(+D3*1,D3)</f>
        <v>122100000_100</v>
      </c>
      <c r="B3" s="1001" t="s">
        <v>1377</v>
      </c>
      <c r="C3" s="806" t="s">
        <v>1378</v>
      </c>
      <c r="D3" s="805" t="s">
        <v>1171</v>
      </c>
      <c r="E3" s="1016" t="s">
        <v>1153</v>
      </c>
      <c r="F3" s="612">
        <v>23598.113000000001</v>
      </c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1017"/>
    </row>
    <row r="4" spans="1:22" x14ac:dyDescent="0.25">
      <c r="A4" s="451" t="str">
        <f t="shared" ref="A4:A67" si="0" xml:space="preserve"> IFERROR(+B4*1,B4)&amp;"_"&amp;IFERROR(+D4*1,D4)</f>
        <v>122100000_110</v>
      </c>
      <c r="B4" s="1001" t="s">
        <v>1377</v>
      </c>
      <c r="C4" s="806" t="s">
        <v>1378</v>
      </c>
      <c r="D4" s="805" t="s">
        <v>1172</v>
      </c>
      <c r="E4" s="1016" t="s">
        <v>1173</v>
      </c>
      <c r="F4" s="612"/>
      <c r="G4" s="612">
        <v>0</v>
      </c>
      <c r="H4" s="612">
        <v>0</v>
      </c>
      <c r="I4" s="612">
        <v>0</v>
      </c>
      <c r="J4" s="612">
        <v>0</v>
      </c>
      <c r="K4" s="612">
        <v>0</v>
      </c>
      <c r="L4" s="612">
        <v>0</v>
      </c>
      <c r="M4" s="612">
        <v>0</v>
      </c>
      <c r="N4" s="612">
        <v>11931.322</v>
      </c>
      <c r="O4" s="612">
        <v>0</v>
      </c>
      <c r="P4" s="612">
        <v>0</v>
      </c>
      <c r="Q4" s="612">
        <v>0</v>
      </c>
      <c r="R4" s="1017">
        <v>0</v>
      </c>
    </row>
    <row r="5" spans="1:22" x14ac:dyDescent="0.25">
      <c r="A5" s="451" t="str">
        <f t="shared" si="0"/>
        <v>122100000_200</v>
      </c>
      <c r="B5" s="1001" t="s">
        <v>1377</v>
      </c>
      <c r="C5" s="806" t="s">
        <v>1378</v>
      </c>
      <c r="D5" s="805" t="s">
        <v>1181</v>
      </c>
      <c r="E5" s="1016" t="s">
        <v>1153</v>
      </c>
      <c r="F5" s="612">
        <v>-20688.638999999999</v>
      </c>
      <c r="G5" s="612">
        <v>0</v>
      </c>
      <c r="H5" s="612"/>
      <c r="I5" s="612"/>
      <c r="J5" s="612"/>
      <c r="K5" s="612"/>
      <c r="L5" s="612"/>
      <c r="M5" s="612"/>
      <c r="N5" s="612"/>
      <c r="O5" s="612"/>
      <c r="P5" s="612"/>
      <c r="Q5" s="612"/>
      <c r="R5" s="1017"/>
    </row>
    <row r="6" spans="1:22" x14ac:dyDescent="0.25">
      <c r="A6" s="451" t="str">
        <f t="shared" si="0"/>
        <v>122100000_210</v>
      </c>
      <c r="B6" s="1001" t="s">
        <v>1377</v>
      </c>
      <c r="C6" s="806" t="s">
        <v>1378</v>
      </c>
      <c r="D6" s="805" t="s">
        <v>1182</v>
      </c>
      <c r="E6" s="1016" t="s">
        <v>1183</v>
      </c>
      <c r="F6" s="612"/>
      <c r="G6" s="612">
        <v>-613.70600000000002</v>
      </c>
      <c r="H6" s="612">
        <v>-613.70600000000002</v>
      </c>
      <c r="I6" s="612">
        <v>-613.70600000000002</v>
      </c>
      <c r="J6" s="612">
        <v>-613.70600000000002</v>
      </c>
      <c r="K6" s="612">
        <v>-613.70600000000002</v>
      </c>
      <c r="L6" s="612">
        <v>-613.70600000000002</v>
      </c>
      <c r="M6" s="612">
        <v>-613.70600000000002</v>
      </c>
      <c r="N6" s="612">
        <v>-812.56100000000004</v>
      </c>
      <c r="O6" s="612">
        <v>-812.56100000000004</v>
      </c>
      <c r="P6" s="612">
        <v>-812.56100000000004</v>
      </c>
      <c r="Q6" s="612">
        <v>-812.56100000000004</v>
      </c>
      <c r="R6" s="1017">
        <v>-812.56100000000004</v>
      </c>
    </row>
    <row r="7" spans="1:22" x14ac:dyDescent="0.25">
      <c r="A7" s="451" t="str">
        <f t="shared" si="0"/>
        <v>122100000_Result</v>
      </c>
      <c r="B7" s="1001" t="s">
        <v>1377</v>
      </c>
      <c r="C7" s="806" t="s">
        <v>1378</v>
      </c>
      <c r="D7" s="834" t="s">
        <v>1160</v>
      </c>
      <c r="E7" s="1020"/>
      <c r="F7" s="833">
        <v>2909.4740000000002</v>
      </c>
      <c r="G7" s="833">
        <v>-613.70600000000002</v>
      </c>
      <c r="H7" s="833">
        <v>-613.70600000000002</v>
      </c>
      <c r="I7" s="833">
        <v>-613.70600000000002</v>
      </c>
      <c r="J7" s="833">
        <v>-613.70600000000002</v>
      </c>
      <c r="K7" s="833">
        <v>-613.70600000000002</v>
      </c>
      <c r="L7" s="833">
        <v>-613.70600000000002</v>
      </c>
      <c r="M7" s="833">
        <v>-613.70600000000002</v>
      </c>
      <c r="N7" s="833">
        <v>11118.761</v>
      </c>
      <c r="O7" s="833">
        <v>-812.56100000000004</v>
      </c>
      <c r="P7" s="833">
        <v>-812.56100000000004</v>
      </c>
      <c r="Q7" s="833">
        <v>-812.56100000000004</v>
      </c>
      <c r="R7" s="1018">
        <v>-812.56100000000004</v>
      </c>
    </row>
    <row r="8" spans="1:22" x14ac:dyDescent="0.25">
      <c r="A8" s="451" t="str">
        <f t="shared" si="0"/>
        <v>122142000_100</v>
      </c>
      <c r="B8" s="1004" t="s">
        <v>1383</v>
      </c>
      <c r="C8" s="807" t="s">
        <v>1384</v>
      </c>
      <c r="D8" s="805" t="s">
        <v>1171</v>
      </c>
      <c r="E8" s="1016" t="s">
        <v>1153</v>
      </c>
      <c r="F8" s="612">
        <v>23598.113000000001</v>
      </c>
      <c r="G8" s="612"/>
      <c r="H8" s="612"/>
      <c r="I8" s="612"/>
      <c r="J8" s="612"/>
      <c r="K8" s="612"/>
      <c r="L8" s="612"/>
      <c r="M8" s="612"/>
      <c r="N8" s="612"/>
      <c r="O8" s="612"/>
      <c r="P8" s="612"/>
      <c r="Q8" s="612"/>
      <c r="R8" s="1017"/>
    </row>
    <row r="9" spans="1:22" x14ac:dyDescent="0.25">
      <c r="A9" s="451" t="str">
        <f t="shared" si="0"/>
        <v>122142000_110</v>
      </c>
      <c r="B9" s="1004" t="s">
        <v>1383</v>
      </c>
      <c r="C9" s="807" t="s">
        <v>1384</v>
      </c>
      <c r="D9" s="805" t="s">
        <v>1172</v>
      </c>
      <c r="E9" s="1016" t="s">
        <v>1173</v>
      </c>
      <c r="F9" s="612"/>
      <c r="G9" s="612">
        <v>0</v>
      </c>
      <c r="H9" s="612">
        <v>0</v>
      </c>
      <c r="I9" s="612">
        <v>0</v>
      </c>
      <c r="J9" s="612">
        <v>0</v>
      </c>
      <c r="K9" s="612">
        <v>0</v>
      </c>
      <c r="L9" s="612">
        <v>0</v>
      </c>
      <c r="M9" s="612">
        <v>0</v>
      </c>
      <c r="N9" s="612">
        <v>11931.322</v>
      </c>
      <c r="O9" s="612">
        <v>0</v>
      </c>
      <c r="P9" s="612">
        <v>0</v>
      </c>
      <c r="Q9" s="612">
        <v>0</v>
      </c>
      <c r="R9" s="1017">
        <v>0</v>
      </c>
    </row>
    <row r="10" spans="1:22" x14ac:dyDescent="0.25">
      <c r="A10" s="451" t="str">
        <f t="shared" si="0"/>
        <v>122142000_200</v>
      </c>
      <c r="B10" s="1004" t="s">
        <v>1383</v>
      </c>
      <c r="C10" s="807" t="s">
        <v>1384</v>
      </c>
      <c r="D10" s="805" t="s">
        <v>1181</v>
      </c>
      <c r="E10" s="1016" t="s">
        <v>1153</v>
      </c>
      <c r="F10" s="612">
        <v>-20688.638999999999</v>
      </c>
      <c r="G10" s="612">
        <v>0</v>
      </c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1017"/>
    </row>
    <row r="11" spans="1:22" x14ac:dyDescent="0.25">
      <c r="A11" s="451" t="str">
        <f t="shared" si="0"/>
        <v>122142000_210</v>
      </c>
      <c r="B11" s="1004" t="s">
        <v>1383</v>
      </c>
      <c r="C11" s="807" t="s">
        <v>1384</v>
      </c>
      <c r="D11" s="805" t="s">
        <v>1182</v>
      </c>
      <c r="E11" s="1016" t="s">
        <v>1183</v>
      </c>
      <c r="F11" s="612"/>
      <c r="G11" s="612">
        <v>-613.70600000000002</v>
      </c>
      <c r="H11" s="612">
        <v>-613.70600000000002</v>
      </c>
      <c r="I11" s="612">
        <v>-613.70600000000002</v>
      </c>
      <c r="J11" s="612">
        <v>-613.70600000000002</v>
      </c>
      <c r="K11" s="612">
        <v>-613.70600000000002</v>
      </c>
      <c r="L11" s="612">
        <v>-613.70600000000002</v>
      </c>
      <c r="M11" s="612">
        <v>-613.70600000000002</v>
      </c>
      <c r="N11" s="612">
        <v>-812.56100000000004</v>
      </c>
      <c r="O11" s="612">
        <v>-812.56100000000004</v>
      </c>
      <c r="P11" s="612">
        <v>-812.56100000000004</v>
      </c>
      <c r="Q11" s="612">
        <v>-812.56100000000004</v>
      </c>
      <c r="R11" s="1017">
        <v>-812.56100000000004</v>
      </c>
    </row>
    <row r="12" spans="1:22" x14ac:dyDescent="0.25">
      <c r="A12" s="451" t="str">
        <f t="shared" si="0"/>
        <v>122142000_Result</v>
      </c>
      <c r="B12" s="1004" t="s">
        <v>1383</v>
      </c>
      <c r="C12" s="807" t="s">
        <v>1384</v>
      </c>
      <c r="D12" s="834" t="s">
        <v>1160</v>
      </c>
      <c r="E12" s="1020"/>
      <c r="F12" s="833">
        <v>2909.4740000000002</v>
      </c>
      <c r="G12" s="833">
        <v>-613.70600000000002</v>
      </c>
      <c r="H12" s="833">
        <v>-613.70600000000002</v>
      </c>
      <c r="I12" s="833">
        <v>-613.70600000000002</v>
      </c>
      <c r="J12" s="833">
        <v>-613.70600000000002</v>
      </c>
      <c r="K12" s="833">
        <v>-613.70600000000002</v>
      </c>
      <c r="L12" s="833">
        <v>-613.70600000000002</v>
      </c>
      <c r="M12" s="833">
        <v>-613.70600000000002</v>
      </c>
      <c r="N12" s="833">
        <v>11118.761</v>
      </c>
      <c r="O12" s="833">
        <v>-812.56100000000004</v>
      </c>
      <c r="P12" s="833">
        <v>-812.56100000000004</v>
      </c>
      <c r="Q12" s="833">
        <v>-812.56100000000004</v>
      </c>
      <c r="R12" s="1018">
        <v>-812.56100000000004</v>
      </c>
    </row>
    <row r="13" spans="1:22" x14ac:dyDescent="0.25">
      <c r="A13" s="451" t="str">
        <f t="shared" si="0"/>
        <v>122600000_100</v>
      </c>
      <c r="B13" s="1001" t="s">
        <v>1169</v>
      </c>
      <c r="C13" s="806" t="s">
        <v>1170</v>
      </c>
      <c r="D13" s="805" t="s">
        <v>1171</v>
      </c>
      <c r="E13" s="1016" t="s">
        <v>1153</v>
      </c>
      <c r="F13" s="612">
        <v>63968662.454000004</v>
      </c>
      <c r="G13" s="612">
        <v>0</v>
      </c>
      <c r="H13" s="612"/>
      <c r="I13" s="612"/>
      <c r="J13" s="612"/>
      <c r="K13" s="612"/>
      <c r="L13" s="612"/>
      <c r="M13" s="612"/>
      <c r="N13" s="612"/>
      <c r="O13" s="612"/>
      <c r="P13" s="612"/>
      <c r="Q13" s="612"/>
      <c r="R13" s="1017"/>
    </row>
    <row r="14" spans="1:22" x14ac:dyDescent="0.25">
      <c r="A14" s="451" t="str">
        <f t="shared" si="0"/>
        <v>122600000_110</v>
      </c>
      <c r="B14" s="1001" t="s">
        <v>1169</v>
      </c>
      <c r="C14" s="806" t="s">
        <v>1170</v>
      </c>
      <c r="D14" s="805" t="s">
        <v>1172</v>
      </c>
      <c r="E14" s="1016" t="s">
        <v>1173</v>
      </c>
      <c r="F14" s="612"/>
      <c r="G14" s="612">
        <v>389920.56099999999</v>
      </c>
      <c r="H14" s="612">
        <v>3012131.307</v>
      </c>
      <c r="I14" s="612">
        <v>2716650.335</v>
      </c>
      <c r="J14" s="612">
        <v>567196.09900000005</v>
      </c>
      <c r="K14" s="612">
        <v>940106.33100000001</v>
      </c>
      <c r="L14" s="612">
        <v>207948.28</v>
      </c>
      <c r="M14" s="612">
        <v>175575.448</v>
      </c>
      <c r="N14" s="612">
        <v>1076994.0179999999</v>
      </c>
      <c r="O14" s="612">
        <v>342447.29499999998</v>
      </c>
      <c r="P14" s="612">
        <v>861149.89599999995</v>
      </c>
      <c r="Q14" s="612">
        <v>180896.823</v>
      </c>
      <c r="R14" s="1017">
        <v>519927.33500000002</v>
      </c>
    </row>
    <row r="15" spans="1:22" x14ac:dyDescent="0.25">
      <c r="A15" s="451" t="str">
        <f t="shared" si="0"/>
        <v>122600000_140</v>
      </c>
      <c r="B15" s="1001" t="s">
        <v>1169</v>
      </c>
      <c r="C15" s="806" t="s">
        <v>1170</v>
      </c>
      <c r="D15" s="805" t="s">
        <v>1582</v>
      </c>
      <c r="E15" s="1016" t="s">
        <v>1583</v>
      </c>
      <c r="F15" s="612"/>
      <c r="G15" s="612"/>
      <c r="H15" s="612"/>
      <c r="I15" s="612"/>
      <c r="J15" s="612"/>
      <c r="K15" s="612"/>
      <c r="L15" s="612"/>
      <c r="M15" s="612">
        <v>0</v>
      </c>
      <c r="N15" s="612"/>
      <c r="O15" s="612"/>
      <c r="P15" s="612"/>
      <c r="Q15" s="612"/>
      <c r="R15" s="1017"/>
    </row>
    <row r="16" spans="1:22" x14ac:dyDescent="0.25">
      <c r="A16" s="451" t="str">
        <f t="shared" si="0"/>
        <v>122600000_200</v>
      </c>
      <c r="B16" s="1001" t="s">
        <v>1169</v>
      </c>
      <c r="C16" s="806" t="s">
        <v>1170</v>
      </c>
      <c r="D16" s="805" t="s">
        <v>1181</v>
      </c>
      <c r="E16" s="1016" t="s">
        <v>1153</v>
      </c>
      <c r="F16" s="612">
        <v>-11088580.873</v>
      </c>
      <c r="G16" s="612"/>
      <c r="H16" s="612"/>
      <c r="I16" s="612"/>
      <c r="J16" s="612"/>
      <c r="K16" s="612"/>
      <c r="L16" s="612"/>
      <c r="M16" s="612"/>
      <c r="N16" s="612"/>
      <c r="O16" s="612"/>
      <c r="P16" s="612"/>
      <c r="Q16" s="612"/>
      <c r="R16" s="1017"/>
    </row>
    <row r="17" spans="1:18" x14ac:dyDescent="0.25">
      <c r="A17" s="451" t="str">
        <f t="shared" si="0"/>
        <v>122600000_210</v>
      </c>
      <c r="B17" s="1001" t="s">
        <v>1169</v>
      </c>
      <c r="C17" s="806" t="s">
        <v>1170</v>
      </c>
      <c r="D17" s="805" t="s">
        <v>1182</v>
      </c>
      <c r="E17" s="1016" t="s">
        <v>1183</v>
      </c>
      <c r="F17" s="612"/>
      <c r="G17" s="612">
        <v>-571253.59100000001</v>
      </c>
      <c r="H17" s="612">
        <v>-590597.86</v>
      </c>
      <c r="I17" s="612">
        <v>-614004.96400000004</v>
      </c>
      <c r="J17" s="612">
        <v>-619913.25699999998</v>
      </c>
      <c r="K17" s="612">
        <v>-625841.99199999997</v>
      </c>
      <c r="L17" s="612">
        <v>-628805.90300000005</v>
      </c>
      <c r="M17" s="612">
        <v>-631003.33900000004</v>
      </c>
      <c r="N17" s="612">
        <v>-635949.30700000003</v>
      </c>
      <c r="O17" s="612">
        <v>-637229.18000000005</v>
      </c>
      <c r="P17" s="612">
        <v>-637229.18000000005</v>
      </c>
      <c r="Q17" s="612">
        <v>-637295.79200000002</v>
      </c>
      <c r="R17" s="1017">
        <v>-646237.45900000003</v>
      </c>
    </row>
    <row r="18" spans="1:18" x14ac:dyDescent="0.25">
      <c r="A18" s="451" t="str">
        <f t="shared" si="0"/>
        <v>122600000_211</v>
      </c>
      <c r="B18" s="1001" t="s">
        <v>1169</v>
      </c>
      <c r="C18" s="806" t="s">
        <v>1170</v>
      </c>
      <c r="D18" s="805" t="s">
        <v>1184</v>
      </c>
      <c r="E18" s="1016" t="s">
        <v>1185</v>
      </c>
      <c r="F18" s="612"/>
      <c r="G18" s="612">
        <v>-92178.573999999993</v>
      </c>
      <c r="H18" s="612">
        <v>-112901.49099999999</v>
      </c>
      <c r="I18" s="612">
        <v>-116979.61599999999</v>
      </c>
      <c r="J18" s="612">
        <v>-116979.61599999999</v>
      </c>
      <c r="K18" s="612">
        <v>-118308.78200000001</v>
      </c>
      <c r="L18" s="612">
        <v>-118308.78200000001</v>
      </c>
      <c r="M18" s="612">
        <v>-118308.78200000001</v>
      </c>
      <c r="N18" s="612">
        <v>-118308.78200000001</v>
      </c>
      <c r="O18" s="612">
        <v>-118308.78200000001</v>
      </c>
      <c r="P18" s="612">
        <v>-118308.78200000001</v>
      </c>
      <c r="Q18" s="612">
        <v>-118308.78200000001</v>
      </c>
      <c r="R18" s="1017">
        <v>-123334.44899999999</v>
      </c>
    </row>
    <row r="19" spans="1:18" x14ac:dyDescent="0.25">
      <c r="A19" s="451" t="str">
        <f t="shared" si="0"/>
        <v>122600000_Result</v>
      </c>
      <c r="B19" s="1001" t="s">
        <v>1169</v>
      </c>
      <c r="C19" s="806" t="s">
        <v>1170</v>
      </c>
      <c r="D19" s="834" t="s">
        <v>1160</v>
      </c>
      <c r="E19" s="1020"/>
      <c r="F19" s="833">
        <v>52880081.581</v>
      </c>
      <c r="G19" s="833">
        <v>-273511.60399999999</v>
      </c>
      <c r="H19" s="833">
        <v>2308631.9559999998</v>
      </c>
      <c r="I19" s="833">
        <v>1985665.7549999999</v>
      </c>
      <c r="J19" s="833">
        <v>-169696.774</v>
      </c>
      <c r="K19" s="833">
        <v>195955.557</v>
      </c>
      <c r="L19" s="833">
        <v>-539166.40500000003</v>
      </c>
      <c r="M19" s="833">
        <v>-573736.67299999995</v>
      </c>
      <c r="N19" s="833">
        <v>322735.929</v>
      </c>
      <c r="O19" s="833">
        <v>-413090.66700000002</v>
      </c>
      <c r="P19" s="833">
        <v>105611.93399999999</v>
      </c>
      <c r="Q19" s="833">
        <v>-574707.75100000005</v>
      </c>
      <c r="R19" s="1018">
        <v>-249644.573</v>
      </c>
    </row>
    <row r="20" spans="1:18" x14ac:dyDescent="0.25">
      <c r="A20" s="451" t="str">
        <f t="shared" si="0"/>
        <v>122612000_100</v>
      </c>
      <c r="B20" s="1004" t="s">
        <v>1516</v>
      </c>
      <c r="C20" s="807" t="s">
        <v>1517</v>
      </c>
      <c r="D20" s="805" t="s">
        <v>1171</v>
      </c>
      <c r="E20" s="1016" t="s">
        <v>1153</v>
      </c>
      <c r="F20" s="612">
        <v>1146889.436</v>
      </c>
      <c r="G20" s="612"/>
      <c r="H20" s="612"/>
      <c r="I20" s="612"/>
      <c r="J20" s="612"/>
      <c r="K20" s="612"/>
      <c r="L20" s="612"/>
      <c r="M20" s="612"/>
      <c r="N20" s="612"/>
      <c r="O20" s="612"/>
      <c r="P20" s="612"/>
      <c r="Q20" s="612"/>
      <c r="R20" s="1017"/>
    </row>
    <row r="21" spans="1:18" x14ac:dyDescent="0.25">
      <c r="A21" s="451" t="str">
        <f t="shared" si="0"/>
        <v>122612000_Result</v>
      </c>
      <c r="B21" s="1004" t="s">
        <v>1516</v>
      </c>
      <c r="C21" s="807" t="s">
        <v>1517</v>
      </c>
      <c r="D21" s="834" t="s">
        <v>1160</v>
      </c>
      <c r="E21" s="1020"/>
      <c r="F21" s="833">
        <v>1146889.436</v>
      </c>
      <c r="G21" s="833"/>
      <c r="H21" s="833"/>
      <c r="I21" s="833"/>
      <c r="J21" s="833"/>
      <c r="K21" s="833"/>
      <c r="L21" s="833"/>
      <c r="M21" s="833"/>
      <c r="N21" s="833"/>
      <c r="O21" s="833"/>
      <c r="P21" s="833"/>
      <c r="Q21" s="833"/>
      <c r="R21" s="1018"/>
    </row>
    <row r="22" spans="1:18" x14ac:dyDescent="0.25">
      <c r="A22" s="451" t="str">
        <f t="shared" si="0"/>
        <v>122613000_100</v>
      </c>
      <c r="B22" s="1004" t="s">
        <v>1192</v>
      </c>
      <c r="C22" s="807" t="s">
        <v>1193</v>
      </c>
      <c r="D22" s="805" t="s">
        <v>1171</v>
      </c>
      <c r="E22" s="1016" t="s">
        <v>1153</v>
      </c>
      <c r="F22" s="612">
        <v>67086.634000000005</v>
      </c>
      <c r="G22" s="612"/>
      <c r="H22" s="612"/>
      <c r="I22" s="612"/>
      <c r="J22" s="612"/>
      <c r="K22" s="612"/>
      <c r="L22" s="612"/>
      <c r="M22" s="612"/>
      <c r="N22" s="612"/>
      <c r="O22" s="612"/>
      <c r="P22" s="612"/>
      <c r="Q22" s="612"/>
      <c r="R22" s="1017"/>
    </row>
    <row r="23" spans="1:18" x14ac:dyDescent="0.25">
      <c r="A23" s="451" t="str">
        <f t="shared" si="0"/>
        <v>122613000_200</v>
      </c>
      <c r="B23" s="1004" t="s">
        <v>1192</v>
      </c>
      <c r="C23" s="807" t="s">
        <v>1193</v>
      </c>
      <c r="D23" s="805" t="s">
        <v>1181</v>
      </c>
      <c r="E23" s="1016" t="s">
        <v>1153</v>
      </c>
      <c r="F23" s="612">
        <v>-55480.652999999998</v>
      </c>
      <c r="G23" s="612"/>
      <c r="H23" s="612"/>
      <c r="I23" s="612"/>
      <c r="J23" s="612"/>
      <c r="K23" s="612"/>
      <c r="L23" s="612"/>
      <c r="M23" s="612"/>
      <c r="N23" s="612"/>
      <c r="O23" s="612"/>
      <c r="P23" s="612"/>
      <c r="Q23" s="612"/>
      <c r="R23" s="1017"/>
    </row>
    <row r="24" spans="1:18" x14ac:dyDescent="0.25">
      <c r="A24" s="451" t="str">
        <f t="shared" si="0"/>
        <v>122613000_Result</v>
      </c>
      <c r="B24" s="1004" t="s">
        <v>1192</v>
      </c>
      <c r="C24" s="807" t="s">
        <v>1193</v>
      </c>
      <c r="D24" s="834" t="s">
        <v>1160</v>
      </c>
      <c r="E24" s="1020"/>
      <c r="F24" s="833">
        <v>11605.981</v>
      </c>
      <c r="G24" s="833"/>
      <c r="H24" s="833"/>
      <c r="I24" s="833"/>
      <c r="J24" s="833"/>
      <c r="K24" s="833"/>
      <c r="L24" s="833"/>
      <c r="M24" s="833"/>
      <c r="N24" s="833"/>
      <c r="O24" s="833"/>
      <c r="P24" s="833"/>
      <c r="Q24" s="833"/>
      <c r="R24" s="1018"/>
    </row>
    <row r="25" spans="1:18" x14ac:dyDescent="0.25">
      <c r="A25" s="451" t="str">
        <f t="shared" si="0"/>
        <v>122617100_100</v>
      </c>
      <c r="B25" s="1004" t="s">
        <v>1194</v>
      </c>
      <c r="C25" s="807" t="s">
        <v>1195</v>
      </c>
      <c r="D25" s="805" t="s">
        <v>1171</v>
      </c>
      <c r="E25" s="1016" t="s">
        <v>1153</v>
      </c>
      <c r="F25" s="612">
        <v>5406747.54</v>
      </c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1017"/>
    </row>
    <row r="26" spans="1:18" x14ac:dyDescent="0.25">
      <c r="A26" s="451" t="str">
        <f t="shared" si="0"/>
        <v>122617100_110</v>
      </c>
      <c r="B26" s="1004" t="s">
        <v>1194</v>
      </c>
      <c r="C26" s="807" t="s">
        <v>1195</v>
      </c>
      <c r="D26" s="805" t="s">
        <v>1172</v>
      </c>
      <c r="E26" s="1016" t="s">
        <v>1173</v>
      </c>
      <c r="F26" s="612"/>
      <c r="G26" s="612">
        <v>342195.27100000001</v>
      </c>
      <c r="H26" s="612">
        <v>56247.663</v>
      </c>
      <c r="I26" s="612">
        <v>260720.872</v>
      </c>
      <c r="J26" s="612">
        <v>0</v>
      </c>
      <c r="K26" s="612">
        <v>304420.53399999999</v>
      </c>
      <c r="L26" s="612">
        <v>0</v>
      </c>
      <c r="M26" s="612">
        <v>0</v>
      </c>
      <c r="N26" s="612">
        <v>375556.783</v>
      </c>
      <c r="O26" s="612">
        <v>0</v>
      </c>
      <c r="P26" s="612">
        <v>370784.25400000002</v>
      </c>
      <c r="Q26" s="612">
        <v>0</v>
      </c>
      <c r="R26" s="1017">
        <v>296627.33500000002</v>
      </c>
    </row>
    <row r="27" spans="1:18" x14ac:dyDescent="0.25">
      <c r="A27" s="451" t="str">
        <f t="shared" si="0"/>
        <v>122617100_200</v>
      </c>
      <c r="B27" s="1004" t="s">
        <v>1194</v>
      </c>
      <c r="C27" s="807" t="s">
        <v>1195</v>
      </c>
      <c r="D27" s="805" t="s">
        <v>1181</v>
      </c>
      <c r="E27" s="1016" t="s">
        <v>1153</v>
      </c>
      <c r="F27" s="612">
        <v>-2289340.3560000001</v>
      </c>
      <c r="G27" s="612"/>
      <c r="H27" s="612"/>
      <c r="I27" s="612"/>
      <c r="J27" s="612"/>
      <c r="K27" s="612"/>
      <c r="L27" s="612"/>
      <c r="M27" s="612"/>
      <c r="N27" s="612"/>
      <c r="O27" s="612"/>
      <c r="P27" s="612"/>
      <c r="Q27" s="612"/>
      <c r="R27" s="1017"/>
    </row>
    <row r="28" spans="1:18" x14ac:dyDescent="0.25">
      <c r="A28" s="451" t="str">
        <f t="shared" si="0"/>
        <v>122617100_210</v>
      </c>
      <c r="B28" s="1004" t="s">
        <v>1194</v>
      </c>
      <c r="C28" s="807" t="s">
        <v>1195</v>
      </c>
      <c r="D28" s="805" t="s">
        <v>1182</v>
      </c>
      <c r="E28" s="1016" t="s">
        <v>1183</v>
      </c>
      <c r="F28" s="612"/>
      <c r="G28" s="612">
        <v>-38797.760000000002</v>
      </c>
      <c r="H28" s="612">
        <v>-38797.760000000002</v>
      </c>
      <c r="I28" s="612">
        <v>-38797.760000000002</v>
      </c>
      <c r="J28" s="612">
        <v>-38797.760000000002</v>
      </c>
      <c r="K28" s="612">
        <v>-38911.391000000003</v>
      </c>
      <c r="L28" s="612">
        <v>-39659.311000000002</v>
      </c>
      <c r="M28" s="612">
        <v>-39659.311000000002</v>
      </c>
      <c r="N28" s="612">
        <v>-41224.587</v>
      </c>
      <c r="O28" s="612">
        <v>-41311.231</v>
      </c>
      <c r="P28" s="612">
        <v>-41311.231</v>
      </c>
      <c r="Q28" s="612">
        <v>-41311.231</v>
      </c>
      <c r="R28" s="1017">
        <v>-41311.231</v>
      </c>
    </row>
    <row r="29" spans="1:18" x14ac:dyDescent="0.25">
      <c r="A29" s="451" t="str">
        <f t="shared" si="0"/>
        <v>122617100_Result</v>
      </c>
      <c r="B29" s="1004" t="s">
        <v>1194</v>
      </c>
      <c r="C29" s="807" t="s">
        <v>1195</v>
      </c>
      <c r="D29" s="834" t="s">
        <v>1160</v>
      </c>
      <c r="E29" s="1020"/>
      <c r="F29" s="833">
        <v>3117407.1839999999</v>
      </c>
      <c r="G29" s="833">
        <v>303397.511</v>
      </c>
      <c r="H29" s="833">
        <v>17449.902999999998</v>
      </c>
      <c r="I29" s="833">
        <v>221923.11199999999</v>
      </c>
      <c r="J29" s="833">
        <v>-38797.760000000002</v>
      </c>
      <c r="K29" s="833">
        <v>265509.14299999998</v>
      </c>
      <c r="L29" s="833">
        <v>-39659.311000000002</v>
      </c>
      <c r="M29" s="833">
        <v>-39659.311000000002</v>
      </c>
      <c r="N29" s="833">
        <v>334332.196</v>
      </c>
      <c r="O29" s="833">
        <v>-41311.231</v>
      </c>
      <c r="P29" s="833">
        <v>329473.02299999999</v>
      </c>
      <c r="Q29" s="833">
        <v>-41311.231</v>
      </c>
      <c r="R29" s="1018">
        <v>255316.10399999999</v>
      </c>
    </row>
    <row r="30" spans="1:18" x14ac:dyDescent="0.25">
      <c r="A30" s="451" t="str">
        <f t="shared" si="0"/>
        <v>122617200_100</v>
      </c>
      <c r="B30" s="1004" t="s">
        <v>1196</v>
      </c>
      <c r="C30" s="807" t="s">
        <v>1197</v>
      </c>
      <c r="D30" s="805" t="s">
        <v>1171</v>
      </c>
      <c r="E30" s="1016" t="s">
        <v>1153</v>
      </c>
      <c r="F30" s="612">
        <v>485443.18099999998</v>
      </c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12"/>
      <c r="R30" s="1017"/>
    </row>
    <row r="31" spans="1:18" x14ac:dyDescent="0.25">
      <c r="A31" s="451" t="str">
        <f t="shared" si="0"/>
        <v>122617200_200</v>
      </c>
      <c r="B31" s="1004" t="s">
        <v>1196</v>
      </c>
      <c r="C31" s="807" t="s">
        <v>1197</v>
      </c>
      <c r="D31" s="805" t="s">
        <v>1181</v>
      </c>
      <c r="E31" s="1016" t="s">
        <v>1153</v>
      </c>
      <c r="F31" s="612">
        <v>-177040.326</v>
      </c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1017"/>
    </row>
    <row r="32" spans="1:18" x14ac:dyDescent="0.25">
      <c r="A32" s="451" t="str">
        <f t="shared" si="0"/>
        <v>122617200_Result</v>
      </c>
      <c r="B32" s="1004" t="s">
        <v>1196</v>
      </c>
      <c r="C32" s="807" t="s">
        <v>1197</v>
      </c>
      <c r="D32" s="834" t="s">
        <v>1160</v>
      </c>
      <c r="E32" s="1020"/>
      <c r="F32" s="833">
        <v>308402.85499999998</v>
      </c>
      <c r="G32" s="833"/>
      <c r="H32" s="833"/>
      <c r="I32" s="833"/>
      <c r="J32" s="833"/>
      <c r="K32" s="833"/>
      <c r="L32" s="833"/>
      <c r="M32" s="833"/>
      <c r="N32" s="833"/>
      <c r="O32" s="833"/>
      <c r="P32" s="833"/>
      <c r="Q32" s="833"/>
      <c r="R32" s="1018"/>
    </row>
    <row r="33" spans="1:18" x14ac:dyDescent="0.25">
      <c r="A33" s="451" t="str">
        <f t="shared" si="0"/>
        <v>122622000_100</v>
      </c>
      <c r="B33" s="1004" t="s">
        <v>1198</v>
      </c>
      <c r="C33" s="807" t="s">
        <v>1199</v>
      </c>
      <c r="D33" s="805" t="s">
        <v>1171</v>
      </c>
      <c r="E33" s="1016" t="s">
        <v>1153</v>
      </c>
      <c r="F33" s="612">
        <v>35323623.670999996</v>
      </c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1017"/>
    </row>
    <row r="34" spans="1:18" x14ac:dyDescent="0.25">
      <c r="A34" s="451" t="str">
        <f t="shared" si="0"/>
        <v>122622000_110</v>
      </c>
      <c r="B34" s="1004" t="s">
        <v>1198</v>
      </c>
      <c r="C34" s="807" t="s">
        <v>1199</v>
      </c>
      <c r="D34" s="805" t="s">
        <v>1172</v>
      </c>
      <c r="E34" s="1016" t="s">
        <v>1173</v>
      </c>
      <c r="F34" s="612"/>
      <c r="G34" s="612">
        <v>47725.29</v>
      </c>
      <c r="H34" s="612">
        <v>1961183.6440000001</v>
      </c>
      <c r="I34" s="612">
        <v>2240918.9</v>
      </c>
      <c r="J34" s="612">
        <v>567196.09900000005</v>
      </c>
      <c r="K34" s="612">
        <v>571885.79700000002</v>
      </c>
      <c r="L34" s="612">
        <v>161988.826</v>
      </c>
      <c r="M34" s="612">
        <v>151027.60399999999</v>
      </c>
      <c r="N34" s="612">
        <v>550637.23499999999</v>
      </c>
      <c r="O34" s="612">
        <v>342447.29499999998</v>
      </c>
      <c r="P34" s="612">
        <v>490365.64199999999</v>
      </c>
      <c r="Q34" s="612">
        <v>116000</v>
      </c>
      <c r="R34" s="1017">
        <v>223300</v>
      </c>
    </row>
    <row r="35" spans="1:18" x14ac:dyDescent="0.25">
      <c r="A35" s="451" t="str">
        <f t="shared" si="0"/>
        <v>122622000_200</v>
      </c>
      <c r="B35" s="1004" t="s">
        <v>1198</v>
      </c>
      <c r="C35" s="807" t="s">
        <v>1199</v>
      </c>
      <c r="D35" s="805" t="s">
        <v>1181</v>
      </c>
      <c r="E35" s="1016" t="s">
        <v>1153</v>
      </c>
      <c r="F35" s="612">
        <v>-7647866.7309999997</v>
      </c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1017"/>
    </row>
    <row r="36" spans="1:18" x14ac:dyDescent="0.25">
      <c r="A36" s="451" t="str">
        <f t="shared" si="0"/>
        <v>122622000_210</v>
      </c>
      <c r="B36" s="1004" t="s">
        <v>1198</v>
      </c>
      <c r="C36" s="807" t="s">
        <v>1199</v>
      </c>
      <c r="D36" s="805" t="s">
        <v>1182</v>
      </c>
      <c r="E36" s="1016" t="s">
        <v>1183</v>
      </c>
      <c r="F36" s="612"/>
      <c r="G36" s="612">
        <v>-517515.60800000001</v>
      </c>
      <c r="H36" s="612">
        <v>-536859.87699999998</v>
      </c>
      <c r="I36" s="612">
        <v>-559945.97100000002</v>
      </c>
      <c r="J36" s="612">
        <v>-565854.26399999997</v>
      </c>
      <c r="K36" s="612">
        <v>-571669.36800000002</v>
      </c>
      <c r="L36" s="612">
        <v>-573119.36800000002</v>
      </c>
      <c r="M36" s="612">
        <v>-575255.15899999999</v>
      </c>
      <c r="N36" s="612">
        <v>-578635.85100000002</v>
      </c>
      <c r="O36" s="612">
        <v>-579829.07999999996</v>
      </c>
      <c r="P36" s="612">
        <v>-579829.07999999996</v>
      </c>
      <c r="Q36" s="612">
        <v>-579829.07999999996</v>
      </c>
      <c r="R36" s="1017">
        <v>-588770.74699999997</v>
      </c>
    </row>
    <row r="37" spans="1:18" x14ac:dyDescent="0.25">
      <c r="A37" s="451" t="str">
        <f t="shared" si="0"/>
        <v>122622000_Result</v>
      </c>
      <c r="B37" s="1004" t="s">
        <v>1198</v>
      </c>
      <c r="C37" s="807" t="s">
        <v>1199</v>
      </c>
      <c r="D37" s="834" t="s">
        <v>1160</v>
      </c>
      <c r="E37" s="1020"/>
      <c r="F37" s="833">
        <v>27675756.940000001</v>
      </c>
      <c r="G37" s="833">
        <v>-469790.31800000003</v>
      </c>
      <c r="H37" s="833">
        <v>1424323.767</v>
      </c>
      <c r="I37" s="833">
        <v>1680972.929</v>
      </c>
      <c r="J37" s="833">
        <v>1341.835</v>
      </c>
      <c r="K37" s="833">
        <v>216.429</v>
      </c>
      <c r="L37" s="833">
        <v>-411130.54200000002</v>
      </c>
      <c r="M37" s="833">
        <v>-424227.55499999999</v>
      </c>
      <c r="N37" s="833">
        <v>-27998.616000000002</v>
      </c>
      <c r="O37" s="833">
        <v>-237381.785</v>
      </c>
      <c r="P37" s="833">
        <v>-89463.437999999995</v>
      </c>
      <c r="Q37" s="833">
        <v>-463829.08</v>
      </c>
      <c r="R37" s="1018">
        <v>-365470.74699999997</v>
      </c>
    </row>
    <row r="38" spans="1:18" x14ac:dyDescent="0.25">
      <c r="A38" s="451" t="str">
        <f t="shared" si="0"/>
        <v>122627000_100</v>
      </c>
      <c r="B38" s="1004" t="s">
        <v>1200</v>
      </c>
      <c r="C38" s="807" t="s">
        <v>1201</v>
      </c>
      <c r="D38" s="805" t="s">
        <v>1171</v>
      </c>
      <c r="E38" s="1016" t="s">
        <v>1153</v>
      </c>
      <c r="F38" s="612">
        <v>939870.38</v>
      </c>
      <c r="G38" s="612">
        <v>0</v>
      </c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1017"/>
    </row>
    <row r="39" spans="1:18" x14ac:dyDescent="0.25">
      <c r="A39" s="451" t="str">
        <f t="shared" si="0"/>
        <v>122627000_110</v>
      </c>
      <c r="B39" s="1004" t="s">
        <v>1200</v>
      </c>
      <c r="C39" s="807" t="s">
        <v>1201</v>
      </c>
      <c r="D39" s="805" t="s">
        <v>1172</v>
      </c>
      <c r="E39" s="1016" t="s">
        <v>1173</v>
      </c>
      <c r="F39" s="612"/>
      <c r="G39" s="612">
        <v>0</v>
      </c>
      <c r="H39" s="612">
        <v>0</v>
      </c>
      <c r="I39" s="612">
        <v>19260.562999999998</v>
      </c>
      <c r="J39" s="612">
        <v>0</v>
      </c>
      <c r="K39" s="612">
        <v>0</v>
      </c>
      <c r="L39" s="612">
        <v>45959.453999999998</v>
      </c>
      <c r="M39" s="612">
        <v>3698.71</v>
      </c>
      <c r="N39" s="612">
        <v>0</v>
      </c>
      <c r="O39" s="612">
        <v>0</v>
      </c>
      <c r="P39" s="612">
        <v>0</v>
      </c>
      <c r="Q39" s="612">
        <v>3996.8229999999999</v>
      </c>
      <c r="R39" s="1017">
        <v>0</v>
      </c>
    </row>
    <row r="40" spans="1:18" x14ac:dyDescent="0.25">
      <c r="A40" s="451" t="str">
        <f t="shared" si="0"/>
        <v>122627000_200</v>
      </c>
      <c r="B40" s="1004" t="s">
        <v>1200</v>
      </c>
      <c r="C40" s="807" t="s">
        <v>1201</v>
      </c>
      <c r="D40" s="805" t="s">
        <v>1181</v>
      </c>
      <c r="E40" s="1016" t="s">
        <v>1153</v>
      </c>
      <c r="F40" s="612">
        <v>-381523.84700000001</v>
      </c>
      <c r="G40" s="612"/>
      <c r="H40" s="612"/>
      <c r="I40" s="612"/>
      <c r="J40" s="612"/>
      <c r="K40" s="612"/>
      <c r="L40" s="612"/>
      <c r="M40" s="612"/>
      <c r="N40" s="612"/>
      <c r="O40" s="612"/>
      <c r="P40" s="612"/>
      <c r="Q40" s="612"/>
      <c r="R40" s="1017"/>
    </row>
    <row r="41" spans="1:18" x14ac:dyDescent="0.25">
      <c r="A41" s="451" t="str">
        <f t="shared" si="0"/>
        <v>122627000_210</v>
      </c>
      <c r="B41" s="1004" t="s">
        <v>1200</v>
      </c>
      <c r="C41" s="807" t="s">
        <v>1201</v>
      </c>
      <c r="D41" s="805" t="s">
        <v>1182</v>
      </c>
      <c r="E41" s="1016" t="s">
        <v>1183</v>
      </c>
      <c r="F41" s="612"/>
      <c r="G41" s="612">
        <v>-13292.337</v>
      </c>
      <c r="H41" s="612">
        <v>-13292.337</v>
      </c>
      <c r="I41" s="612">
        <v>-13613.347</v>
      </c>
      <c r="J41" s="612">
        <v>-13613.347</v>
      </c>
      <c r="K41" s="612">
        <v>-13613.347</v>
      </c>
      <c r="L41" s="612">
        <v>-14379.338</v>
      </c>
      <c r="M41" s="612">
        <v>-14440.983</v>
      </c>
      <c r="N41" s="612">
        <v>-14440.983</v>
      </c>
      <c r="O41" s="612">
        <v>-14440.983</v>
      </c>
      <c r="P41" s="612">
        <v>-14440.983</v>
      </c>
      <c r="Q41" s="612">
        <v>-14507.594999999999</v>
      </c>
      <c r="R41" s="1017">
        <v>-14507.594999999999</v>
      </c>
    </row>
    <row r="42" spans="1:18" x14ac:dyDescent="0.25">
      <c r="A42" s="451" t="str">
        <f t="shared" si="0"/>
        <v>122627000_Result</v>
      </c>
      <c r="B42" s="1004" t="s">
        <v>1200</v>
      </c>
      <c r="C42" s="807" t="s">
        <v>1201</v>
      </c>
      <c r="D42" s="834" t="s">
        <v>1160</v>
      </c>
      <c r="E42" s="1020"/>
      <c r="F42" s="833">
        <v>558346.53300000005</v>
      </c>
      <c r="G42" s="833">
        <v>-13292.337</v>
      </c>
      <c r="H42" s="833">
        <v>-13292.337</v>
      </c>
      <c r="I42" s="833">
        <v>5647.2160000000003</v>
      </c>
      <c r="J42" s="833">
        <v>-13613.347</v>
      </c>
      <c r="K42" s="833">
        <v>-13613.347</v>
      </c>
      <c r="L42" s="833">
        <v>31580.116000000002</v>
      </c>
      <c r="M42" s="833">
        <v>-10742.272999999999</v>
      </c>
      <c r="N42" s="833">
        <v>-14440.983</v>
      </c>
      <c r="O42" s="833">
        <v>-14440.983</v>
      </c>
      <c r="P42" s="833">
        <v>-14440.983</v>
      </c>
      <c r="Q42" s="833">
        <v>-10510.772000000001</v>
      </c>
      <c r="R42" s="1018">
        <v>-14507.594999999999</v>
      </c>
    </row>
    <row r="43" spans="1:18" x14ac:dyDescent="0.25">
      <c r="A43" s="451" t="str">
        <f t="shared" si="0"/>
        <v>122628000_100</v>
      </c>
      <c r="B43" s="1004" t="s">
        <v>1202</v>
      </c>
      <c r="C43" s="807" t="s">
        <v>1203</v>
      </c>
      <c r="D43" s="805" t="s">
        <v>1171</v>
      </c>
      <c r="E43" s="1016" t="s">
        <v>1153</v>
      </c>
      <c r="F43" s="612">
        <v>155783.215</v>
      </c>
      <c r="G43" s="612"/>
      <c r="H43" s="612"/>
      <c r="I43" s="612"/>
      <c r="J43" s="612"/>
      <c r="K43" s="612"/>
      <c r="L43" s="612"/>
      <c r="M43" s="612"/>
      <c r="N43" s="612"/>
      <c r="O43" s="612"/>
      <c r="P43" s="612"/>
      <c r="Q43" s="612"/>
      <c r="R43" s="1017"/>
    </row>
    <row r="44" spans="1:18" x14ac:dyDescent="0.25">
      <c r="A44" s="451" t="str">
        <f t="shared" si="0"/>
        <v>122628000_110</v>
      </c>
      <c r="B44" s="1004" t="s">
        <v>1202</v>
      </c>
      <c r="C44" s="807" t="s">
        <v>1203</v>
      </c>
      <c r="D44" s="805" t="s">
        <v>1172</v>
      </c>
      <c r="E44" s="1016" t="s">
        <v>1173</v>
      </c>
      <c r="F44" s="612"/>
      <c r="G44" s="612">
        <v>0</v>
      </c>
      <c r="H44" s="612">
        <v>0</v>
      </c>
      <c r="I44" s="612">
        <v>0</v>
      </c>
      <c r="J44" s="612">
        <v>0</v>
      </c>
      <c r="K44" s="612">
        <v>0</v>
      </c>
      <c r="L44" s="612">
        <v>0</v>
      </c>
      <c r="M44" s="612">
        <v>20849.133999999998</v>
      </c>
      <c r="N44" s="612">
        <v>0</v>
      </c>
      <c r="O44" s="612">
        <v>0</v>
      </c>
      <c r="P44" s="612">
        <v>0</v>
      </c>
      <c r="Q44" s="612">
        <v>0</v>
      </c>
      <c r="R44" s="1017">
        <v>0</v>
      </c>
    </row>
    <row r="45" spans="1:18" x14ac:dyDescent="0.25">
      <c r="A45" s="451" t="str">
        <f t="shared" si="0"/>
        <v>122628000_140</v>
      </c>
      <c r="B45" s="1004" t="s">
        <v>1202</v>
      </c>
      <c r="C45" s="807" t="s">
        <v>1203</v>
      </c>
      <c r="D45" s="805" t="s">
        <v>1582</v>
      </c>
      <c r="E45" s="1016" t="s">
        <v>1583</v>
      </c>
      <c r="F45" s="612"/>
      <c r="G45" s="612"/>
      <c r="H45" s="612"/>
      <c r="I45" s="612"/>
      <c r="J45" s="612"/>
      <c r="K45" s="612"/>
      <c r="L45" s="612"/>
      <c r="M45" s="612">
        <v>0</v>
      </c>
      <c r="N45" s="612"/>
      <c r="O45" s="612"/>
      <c r="P45" s="612"/>
      <c r="Q45" s="612"/>
      <c r="R45" s="1017"/>
    </row>
    <row r="46" spans="1:18" x14ac:dyDescent="0.25">
      <c r="A46" s="451" t="str">
        <f t="shared" si="0"/>
        <v>122628000_200</v>
      </c>
      <c r="B46" s="1004" t="s">
        <v>1202</v>
      </c>
      <c r="C46" s="807" t="s">
        <v>1203</v>
      </c>
      <c r="D46" s="805" t="s">
        <v>1181</v>
      </c>
      <c r="E46" s="1016" t="s">
        <v>1153</v>
      </c>
      <c r="F46" s="612">
        <v>-90210.763999999996</v>
      </c>
      <c r="G46" s="612"/>
      <c r="H46" s="612"/>
      <c r="I46" s="612"/>
      <c r="J46" s="612"/>
      <c r="K46" s="612"/>
      <c r="L46" s="612"/>
      <c r="M46" s="612"/>
      <c r="N46" s="612"/>
      <c r="O46" s="612"/>
      <c r="P46" s="612"/>
      <c r="Q46" s="612"/>
      <c r="R46" s="1017"/>
    </row>
    <row r="47" spans="1:18" x14ac:dyDescent="0.25">
      <c r="A47" s="451" t="str">
        <f t="shared" si="0"/>
        <v>122628000_210</v>
      </c>
      <c r="B47" s="1004" t="s">
        <v>1202</v>
      </c>
      <c r="C47" s="807" t="s">
        <v>1203</v>
      </c>
      <c r="D47" s="805" t="s">
        <v>1182</v>
      </c>
      <c r="E47" s="1016" t="s">
        <v>1183</v>
      </c>
      <c r="F47" s="612"/>
      <c r="G47" s="612">
        <v>-1647.886</v>
      </c>
      <c r="H47" s="612">
        <v>-1647.886</v>
      </c>
      <c r="I47" s="612">
        <v>-1647.886</v>
      </c>
      <c r="J47" s="612">
        <v>-1647.886</v>
      </c>
      <c r="K47" s="612">
        <v>-1647.886</v>
      </c>
      <c r="L47" s="612">
        <v>-1647.886</v>
      </c>
      <c r="M47" s="612">
        <v>-1647.886</v>
      </c>
      <c r="N47" s="612">
        <v>-1647.886</v>
      </c>
      <c r="O47" s="612">
        <v>-1647.886</v>
      </c>
      <c r="P47" s="612">
        <v>-1647.886</v>
      </c>
      <c r="Q47" s="612">
        <v>-1647.886</v>
      </c>
      <c r="R47" s="1017">
        <v>-1647.886</v>
      </c>
    </row>
    <row r="48" spans="1:18" x14ac:dyDescent="0.25">
      <c r="A48" s="451" t="str">
        <f t="shared" si="0"/>
        <v>122628000_Result</v>
      </c>
      <c r="B48" s="1004" t="s">
        <v>1202</v>
      </c>
      <c r="C48" s="807" t="s">
        <v>1203</v>
      </c>
      <c r="D48" s="834" t="s">
        <v>1160</v>
      </c>
      <c r="E48" s="1020"/>
      <c r="F48" s="833">
        <v>65572.451000000001</v>
      </c>
      <c r="G48" s="833">
        <v>-1647.886</v>
      </c>
      <c r="H48" s="833">
        <v>-1647.886</v>
      </c>
      <c r="I48" s="833">
        <v>-1647.886</v>
      </c>
      <c r="J48" s="833">
        <v>-1647.886</v>
      </c>
      <c r="K48" s="833">
        <v>-1647.886</v>
      </c>
      <c r="L48" s="833">
        <v>-1647.886</v>
      </c>
      <c r="M48" s="833">
        <v>19201.248</v>
      </c>
      <c r="N48" s="833">
        <v>-1647.886</v>
      </c>
      <c r="O48" s="833">
        <v>-1647.886</v>
      </c>
      <c r="P48" s="833">
        <v>-1647.886</v>
      </c>
      <c r="Q48" s="833">
        <v>-1647.886</v>
      </c>
      <c r="R48" s="1018">
        <v>-1647.886</v>
      </c>
    </row>
    <row r="49" spans="1:18" x14ac:dyDescent="0.25">
      <c r="A49" s="451" t="str">
        <f t="shared" si="0"/>
        <v>122632000_100</v>
      </c>
      <c r="B49" s="1004" t="s">
        <v>1204</v>
      </c>
      <c r="C49" s="807" t="s">
        <v>1205</v>
      </c>
      <c r="D49" s="805" t="s">
        <v>1171</v>
      </c>
      <c r="E49" s="1016" t="s">
        <v>1153</v>
      </c>
      <c r="F49" s="612">
        <v>16688835.497</v>
      </c>
      <c r="G49" s="612"/>
      <c r="H49" s="612"/>
      <c r="I49" s="612"/>
      <c r="J49" s="612"/>
      <c r="K49" s="612"/>
      <c r="L49" s="612"/>
      <c r="M49" s="612"/>
      <c r="N49" s="612"/>
      <c r="O49" s="612"/>
      <c r="P49" s="612"/>
      <c r="Q49" s="612"/>
      <c r="R49" s="1017"/>
    </row>
    <row r="50" spans="1:18" x14ac:dyDescent="0.25">
      <c r="A50" s="451" t="str">
        <f t="shared" si="0"/>
        <v>122632000_Result</v>
      </c>
      <c r="B50" s="1004" t="s">
        <v>1204</v>
      </c>
      <c r="C50" s="807" t="s">
        <v>1205</v>
      </c>
      <c r="D50" s="834" t="s">
        <v>1160</v>
      </c>
      <c r="E50" s="1020"/>
      <c r="F50" s="833">
        <v>16688835.497</v>
      </c>
      <c r="G50" s="833"/>
      <c r="H50" s="833"/>
      <c r="I50" s="833"/>
      <c r="J50" s="833"/>
      <c r="K50" s="833"/>
      <c r="L50" s="833"/>
      <c r="M50" s="833"/>
      <c r="N50" s="833"/>
      <c r="O50" s="833"/>
      <c r="P50" s="833"/>
      <c r="Q50" s="833"/>
      <c r="R50" s="1018"/>
    </row>
    <row r="51" spans="1:18" x14ac:dyDescent="0.25">
      <c r="A51" s="451" t="str">
        <f t="shared" si="0"/>
        <v>122637000_100</v>
      </c>
      <c r="B51" s="1004" t="s">
        <v>1206</v>
      </c>
      <c r="C51" s="807" t="s">
        <v>1207</v>
      </c>
      <c r="D51" s="805" t="s">
        <v>1171</v>
      </c>
      <c r="E51" s="1016" t="s">
        <v>1153</v>
      </c>
      <c r="F51" s="612">
        <v>3754382.9</v>
      </c>
      <c r="G51" s="612"/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1017"/>
    </row>
    <row r="52" spans="1:18" x14ac:dyDescent="0.25">
      <c r="A52" s="451" t="str">
        <f t="shared" si="0"/>
        <v>122637000_110</v>
      </c>
      <c r="B52" s="1004" t="s">
        <v>1206</v>
      </c>
      <c r="C52" s="807" t="s">
        <v>1207</v>
      </c>
      <c r="D52" s="805" t="s">
        <v>1172</v>
      </c>
      <c r="E52" s="1016" t="s">
        <v>1173</v>
      </c>
      <c r="F52" s="612"/>
      <c r="G52" s="612"/>
      <c r="H52" s="612">
        <v>994700</v>
      </c>
      <c r="I52" s="612">
        <v>195750</v>
      </c>
      <c r="J52" s="612"/>
      <c r="K52" s="612">
        <v>63800</v>
      </c>
      <c r="L52" s="612"/>
      <c r="M52" s="612"/>
      <c r="N52" s="612">
        <v>150800</v>
      </c>
      <c r="O52" s="612"/>
      <c r="P52" s="612"/>
      <c r="Q52" s="612">
        <v>60900</v>
      </c>
      <c r="R52" s="1017"/>
    </row>
    <row r="53" spans="1:18" x14ac:dyDescent="0.25">
      <c r="A53" s="451" t="str">
        <f t="shared" si="0"/>
        <v>122637000_200</v>
      </c>
      <c r="B53" s="1004" t="s">
        <v>1206</v>
      </c>
      <c r="C53" s="807" t="s">
        <v>1207</v>
      </c>
      <c r="D53" s="805" t="s">
        <v>1181</v>
      </c>
      <c r="E53" s="1016" t="s">
        <v>1153</v>
      </c>
      <c r="F53" s="612">
        <v>-447118.196</v>
      </c>
      <c r="G53" s="612"/>
      <c r="H53" s="612"/>
      <c r="I53" s="612"/>
      <c r="J53" s="612"/>
      <c r="K53" s="612"/>
      <c r="L53" s="612"/>
      <c r="M53" s="612"/>
      <c r="N53" s="612"/>
      <c r="O53" s="612"/>
      <c r="P53" s="612"/>
      <c r="Q53" s="612"/>
      <c r="R53" s="1017"/>
    </row>
    <row r="54" spans="1:18" x14ac:dyDescent="0.25">
      <c r="A54" s="451" t="str">
        <f t="shared" si="0"/>
        <v>122637000_211</v>
      </c>
      <c r="B54" s="1004" t="s">
        <v>1206</v>
      </c>
      <c r="C54" s="807" t="s">
        <v>1207</v>
      </c>
      <c r="D54" s="805" t="s">
        <v>1184</v>
      </c>
      <c r="E54" s="1016" t="s">
        <v>1185</v>
      </c>
      <c r="F54" s="612"/>
      <c r="G54" s="612">
        <v>-92178.573999999993</v>
      </c>
      <c r="H54" s="612">
        <v>-112901.49099999999</v>
      </c>
      <c r="I54" s="612">
        <v>-116979.61599999999</v>
      </c>
      <c r="J54" s="612">
        <v>-116979.61599999999</v>
      </c>
      <c r="K54" s="612">
        <v>-118308.78200000001</v>
      </c>
      <c r="L54" s="612">
        <v>-118308.78200000001</v>
      </c>
      <c r="M54" s="612">
        <v>-118308.78200000001</v>
      </c>
      <c r="N54" s="612">
        <v>-118308.78200000001</v>
      </c>
      <c r="O54" s="612">
        <v>-118308.78200000001</v>
      </c>
      <c r="P54" s="612">
        <v>-118308.78200000001</v>
      </c>
      <c r="Q54" s="612">
        <v>-118308.78200000001</v>
      </c>
      <c r="R54" s="1017">
        <v>-123334.44899999999</v>
      </c>
    </row>
    <row r="55" spans="1:18" x14ac:dyDescent="0.25">
      <c r="A55" s="451" t="str">
        <f t="shared" si="0"/>
        <v>122637000_Result</v>
      </c>
      <c r="B55" s="1004" t="s">
        <v>1206</v>
      </c>
      <c r="C55" s="807" t="s">
        <v>1207</v>
      </c>
      <c r="D55" s="834" t="s">
        <v>1160</v>
      </c>
      <c r="E55" s="1020"/>
      <c r="F55" s="833">
        <v>3307264.7039999999</v>
      </c>
      <c r="G55" s="833">
        <v>-92178.573999999993</v>
      </c>
      <c r="H55" s="833">
        <v>881798.50899999996</v>
      </c>
      <c r="I55" s="833">
        <v>78770.384000000005</v>
      </c>
      <c r="J55" s="833">
        <v>-116979.61599999999</v>
      </c>
      <c r="K55" s="833">
        <v>-54508.781999999999</v>
      </c>
      <c r="L55" s="833">
        <v>-118308.78200000001</v>
      </c>
      <c r="M55" s="833">
        <v>-118308.78200000001</v>
      </c>
      <c r="N55" s="833">
        <v>32491.218000000001</v>
      </c>
      <c r="O55" s="833">
        <v>-118308.78200000001</v>
      </c>
      <c r="P55" s="833">
        <v>-118308.78200000001</v>
      </c>
      <c r="Q55" s="833">
        <v>-57408.781999999999</v>
      </c>
      <c r="R55" s="1018">
        <v>-123334.44899999999</v>
      </c>
    </row>
    <row r="56" spans="1:18" x14ac:dyDescent="0.25">
      <c r="A56" s="451" t="str">
        <f t="shared" si="0"/>
        <v>131100000_300</v>
      </c>
      <c r="B56" s="1001" t="s">
        <v>873</v>
      </c>
      <c r="C56" s="806" t="s">
        <v>431</v>
      </c>
      <c r="D56" s="805" t="s">
        <v>1152</v>
      </c>
      <c r="E56" s="1016" t="s">
        <v>1153</v>
      </c>
      <c r="F56" s="612">
        <v>6035063.9309999999</v>
      </c>
      <c r="G56" s="612"/>
      <c r="H56" s="612"/>
      <c r="I56" s="612"/>
      <c r="J56" s="612"/>
      <c r="K56" s="612"/>
      <c r="L56" s="612"/>
      <c r="M56" s="612"/>
      <c r="N56" s="612"/>
      <c r="O56" s="612"/>
      <c r="P56" s="612"/>
      <c r="Q56" s="612"/>
      <c r="R56" s="1017"/>
    </row>
    <row r="57" spans="1:18" x14ac:dyDescent="0.25">
      <c r="A57" s="451" t="str">
        <f t="shared" si="0"/>
        <v>131100000_310</v>
      </c>
      <c r="B57" s="1001" t="s">
        <v>873</v>
      </c>
      <c r="C57" s="806" t="s">
        <v>431</v>
      </c>
      <c r="D57" s="805" t="s">
        <v>1154</v>
      </c>
      <c r="E57" s="1016" t="s">
        <v>1155</v>
      </c>
      <c r="F57" s="612"/>
      <c r="G57" s="612">
        <v>1733557.925</v>
      </c>
      <c r="H57" s="612">
        <v>-13097.757</v>
      </c>
      <c r="I57" s="612">
        <v>-764247.96100000001</v>
      </c>
      <c r="J57" s="612">
        <v>-397788.06400000001</v>
      </c>
      <c r="K57" s="612">
        <v>-228990.598</v>
      </c>
      <c r="L57" s="612">
        <v>3281291.5219999999</v>
      </c>
      <c r="M57" s="612">
        <v>480188.17300000001</v>
      </c>
      <c r="N57" s="612">
        <v>-1760714.3759999999</v>
      </c>
      <c r="O57" s="612">
        <v>-511880.402</v>
      </c>
      <c r="P57" s="612">
        <v>776110.94499999995</v>
      </c>
      <c r="Q57" s="612">
        <v>-24736.905999999999</v>
      </c>
      <c r="R57" s="1017">
        <v>494396.62800000003</v>
      </c>
    </row>
    <row r="58" spans="1:18" x14ac:dyDescent="0.25">
      <c r="A58" s="451" t="str">
        <f t="shared" si="0"/>
        <v>131100000_400</v>
      </c>
      <c r="B58" s="1001" t="s">
        <v>873</v>
      </c>
      <c r="C58" s="806" t="s">
        <v>431</v>
      </c>
      <c r="D58" s="805" t="s">
        <v>1157</v>
      </c>
      <c r="E58" s="1016" t="s">
        <v>1153</v>
      </c>
      <c r="F58" s="612">
        <v>-369990.54599999997</v>
      </c>
      <c r="G58" s="612"/>
      <c r="H58" s="612"/>
      <c r="I58" s="612"/>
      <c r="J58" s="612"/>
      <c r="K58" s="612"/>
      <c r="L58" s="612"/>
      <c r="M58" s="612"/>
      <c r="N58" s="612"/>
      <c r="O58" s="612"/>
      <c r="P58" s="612"/>
      <c r="Q58" s="612"/>
      <c r="R58" s="1017"/>
    </row>
    <row r="59" spans="1:18" x14ac:dyDescent="0.25">
      <c r="A59" s="451" t="str">
        <f t="shared" si="0"/>
        <v>131100000_Result</v>
      </c>
      <c r="B59" s="1001" t="s">
        <v>873</v>
      </c>
      <c r="C59" s="806" t="s">
        <v>431</v>
      </c>
      <c r="D59" s="834" t="s">
        <v>1160</v>
      </c>
      <c r="E59" s="1020"/>
      <c r="F59" s="833">
        <v>5665073.3849999998</v>
      </c>
      <c r="G59" s="833">
        <v>1733557.925</v>
      </c>
      <c r="H59" s="833">
        <v>-13097.757</v>
      </c>
      <c r="I59" s="833">
        <v>-764247.96100000001</v>
      </c>
      <c r="J59" s="833">
        <v>-397788.06400000001</v>
      </c>
      <c r="K59" s="833">
        <v>-228990.598</v>
      </c>
      <c r="L59" s="833">
        <v>3281291.5219999999</v>
      </c>
      <c r="M59" s="833">
        <v>480188.17300000001</v>
      </c>
      <c r="N59" s="833">
        <v>-1760714.3759999999</v>
      </c>
      <c r="O59" s="833">
        <v>-511880.402</v>
      </c>
      <c r="P59" s="833">
        <v>776110.94499999995</v>
      </c>
      <c r="Q59" s="833">
        <v>-24736.905999999999</v>
      </c>
      <c r="R59" s="1018">
        <v>494396.62800000003</v>
      </c>
    </row>
    <row r="60" spans="1:18" x14ac:dyDescent="0.25">
      <c r="A60" s="451" t="str">
        <f t="shared" si="0"/>
        <v>131111000_300</v>
      </c>
      <c r="B60" s="1002" t="s">
        <v>872</v>
      </c>
      <c r="C60" s="807" t="s">
        <v>871</v>
      </c>
      <c r="D60" s="805" t="s">
        <v>1152</v>
      </c>
      <c r="E60" s="1016" t="s">
        <v>1153</v>
      </c>
      <c r="F60" s="612">
        <v>3238757.1809999999</v>
      </c>
      <c r="G60" s="612"/>
      <c r="H60" s="612"/>
      <c r="I60" s="612"/>
      <c r="J60" s="612"/>
      <c r="K60" s="612"/>
      <c r="L60" s="612"/>
      <c r="M60" s="612"/>
      <c r="N60" s="612"/>
      <c r="O60" s="612"/>
      <c r="P60" s="612"/>
      <c r="Q60" s="612"/>
      <c r="R60" s="1017"/>
    </row>
    <row r="61" spans="1:18" x14ac:dyDescent="0.25">
      <c r="A61" s="451" t="str">
        <f t="shared" si="0"/>
        <v>131111000_310</v>
      </c>
      <c r="B61" s="1002" t="s">
        <v>872</v>
      </c>
      <c r="C61" s="807" t="s">
        <v>871</v>
      </c>
      <c r="D61" s="805" t="s">
        <v>1154</v>
      </c>
      <c r="E61" s="1016" t="s">
        <v>1155</v>
      </c>
      <c r="F61" s="612"/>
      <c r="G61" s="612">
        <v>1808659.18</v>
      </c>
      <c r="H61" s="612">
        <v>-803123.95600000001</v>
      </c>
      <c r="I61" s="612">
        <v>-490058.41899999999</v>
      </c>
      <c r="J61" s="612">
        <v>98388.911999999997</v>
      </c>
      <c r="K61" s="612">
        <v>-281846.50099999999</v>
      </c>
      <c r="L61" s="612">
        <v>221523.622</v>
      </c>
      <c r="M61" s="612">
        <v>108702.149</v>
      </c>
      <c r="N61" s="612">
        <v>-739345.08799999999</v>
      </c>
      <c r="O61" s="612">
        <v>156387.35800000001</v>
      </c>
      <c r="P61" s="612">
        <v>166222.49900000001</v>
      </c>
      <c r="Q61" s="612">
        <v>-654785.12699999998</v>
      </c>
      <c r="R61" s="1017">
        <v>331874.84899999999</v>
      </c>
    </row>
    <row r="62" spans="1:18" x14ac:dyDescent="0.25">
      <c r="A62" s="451" t="str">
        <f t="shared" si="0"/>
        <v>131111000_400</v>
      </c>
      <c r="B62" s="1002" t="s">
        <v>872</v>
      </c>
      <c r="C62" s="807" t="s">
        <v>871</v>
      </c>
      <c r="D62" s="805" t="s">
        <v>1157</v>
      </c>
      <c r="E62" s="1016" t="s">
        <v>1153</v>
      </c>
      <c r="F62" s="612">
        <v>-94530.796000000002</v>
      </c>
      <c r="G62" s="612"/>
      <c r="H62" s="612"/>
      <c r="I62" s="612"/>
      <c r="J62" s="612"/>
      <c r="K62" s="612"/>
      <c r="L62" s="612"/>
      <c r="M62" s="612"/>
      <c r="N62" s="612"/>
      <c r="O62" s="612"/>
      <c r="P62" s="612"/>
      <c r="Q62" s="612"/>
      <c r="R62" s="1017"/>
    </row>
    <row r="63" spans="1:18" x14ac:dyDescent="0.25">
      <c r="A63" s="451" t="str">
        <f t="shared" si="0"/>
        <v>131111000_Result</v>
      </c>
      <c r="B63" s="1002" t="s">
        <v>872</v>
      </c>
      <c r="C63" s="807" t="s">
        <v>871</v>
      </c>
      <c r="D63" s="834" t="s">
        <v>1160</v>
      </c>
      <c r="E63" s="1020"/>
      <c r="F63" s="833">
        <v>3144226.3849999998</v>
      </c>
      <c r="G63" s="833">
        <v>1808659.18</v>
      </c>
      <c r="H63" s="833">
        <v>-803123.95600000001</v>
      </c>
      <c r="I63" s="833">
        <v>-490058.41899999999</v>
      </c>
      <c r="J63" s="833">
        <v>98388.911999999997</v>
      </c>
      <c r="K63" s="833">
        <v>-281846.50099999999</v>
      </c>
      <c r="L63" s="833">
        <v>221523.622</v>
      </c>
      <c r="M63" s="833">
        <v>108702.149</v>
      </c>
      <c r="N63" s="833">
        <v>-739345.08799999999</v>
      </c>
      <c r="O63" s="833">
        <v>156387.35800000001</v>
      </c>
      <c r="P63" s="833">
        <v>166222.49900000001</v>
      </c>
      <c r="Q63" s="833">
        <v>-654785.12699999998</v>
      </c>
      <c r="R63" s="1018">
        <v>331874.84899999999</v>
      </c>
    </row>
    <row r="64" spans="1:18" x14ac:dyDescent="0.25">
      <c r="A64" s="451" t="str">
        <f t="shared" si="0"/>
        <v>131111100_300</v>
      </c>
      <c r="B64" s="1003" t="s">
        <v>870</v>
      </c>
      <c r="C64" s="808" t="s">
        <v>869</v>
      </c>
      <c r="D64" s="805" t="s">
        <v>1152</v>
      </c>
      <c r="E64" s="1016" t="s">
        <v>1153</v>
      </c>
      <c r="F64" s="612">
        <v>3238757.1809999999</v>
      </c>
      <c r="G64" s="612"/>
      <c r="H64" s="612"/>
      <c r="I64" s="612"/>
      <c r="J64" s="612"/>
      <c r="K64" s="612"/>
      <c r="L64" s="612"/>
      <c r="M64" s="612"/>
      <c r="N64" s="612"/>
      <c r="O64" s="612"/>
      <c r="P64" s="612"/>
      <c r="Q64" s="612"/>
      <c r="R64" s="1017"/>
    </row>
    <row r="65" spans="1:18" x14ac:dyDescent="0.25">
      <c r="A65" s="451" t="str">
        <f t="shared" si="0"/>
        <v>131111100_310</v>
      </c>
      <c r="B65" s="1003" t="s">
        <v>870</v>
      </c>
      <c r="C65" s="808" t="s">
        <v>869</v>
      </c>
      <c r="D65" s="805" t="s">
        <v>1154</v>
      </c>
      <c r="E65" s="1016" t="s">
        <v>1155</v>
      </c>
      <c r="F65" s="612"/>
      <c r="G65" s="612">
        <v>1808659.18</v>
      </c>
      <c r="H65" s="612">
        <v>-803123.95600000001</v>
      </c>
      <c r="I65" s="612">
        <v>-490058.41899999999</v>
      </c>
      <c r="J65" s="612">
        <v>98388.911999999997</v>
      </c>
      <c r="K65" s="612">
        <v>-281846.50099999999</v>
      </c>
      <c r="L65" s="612">
        <v>221523.622</v>
      </c>
      <c r="M65" s="612">
        <v>108702.149</v>
      </c>
      <c r="N65" s="612">
        <v>-739345.08799999999</v>
      </c>
      <c r="O65" s="612">
        <v>156387.35800000001</v>
      </c>
      <c r="P65" s="612">
        <v>166222.49900000001</v>
      </c>
      <c r="Q65" s="612">
        <v>-654785.12699999998</v>
      </c>
      <c r="R65" s="1017">
        <v>331874.84899999999</v>
      </c>
    </row>
    <row r="66" spans="1:18" x14ac:dyDescent="0.25">
      <c r="A66" s="451" t="str">
        <f t="shared" si="0"/>
        <v>131111100_400</v>
      </c>
      <c r="B66" s="1003" t="s">
        <v>870</v>
      </c>
      <c r="C66" s="808" t="s">
        <v>869</v>
      </c>
      <c r="D66" s="805" t="s">
        <v>1157</v>
      </c>
      <c r="E66" s="1016" t="s">
        <v>1153</v>
      </c>
      <c r="F66" s="612">
        <v>-94530.796000000002</v>
      </c>
      <c r="G66" s="612"/>
      <c r="H66" s="612"/>
      <c r="I66" s="612"/>
      <c r="J66" s="612"/>
      <c r="K66" s="612"/>
      <c r="L66" s="612"/>
      <c r="M66" s="612"/>
      <c r="N66" s="612"/>
      <c r="O66" s="612"/>
      <c r="P66" s="612"/>
      <c r="Q66" s="612"/>
      <c r="R66" s="1017"/>
    </row>
    <row r="67" spans="1:18" x14ac:dyDescent="0.25">
      <c r="A67" s="451" t="str">
        <f t="shared" si="0"/>
        <v>131111100_Result</v>
      </c>
      <c r="B67" s="1003" t="s">
        <v>870</v>
      </c>
      <c r="C67" s="808" t="s">
        <v>869</v>
      </c>
      <c r="D67" s="834" t="s">
        <v>1160</v>
      </c>
      <c r="E67" s="1020"/>
      <c r="F67" s="833">
        <v>3144226.3849999998</v>
      </c>
      <c r="G67" s="833">
        <v>1808659.18</v>
      </c>
      <c r="H67" s="833">
        <v>-803123.95600000001</v>
      </c>
      <c r="I67" s="833">
        <v>-490058.41899999999</v>
      </c>
      <c r="J67" s="833">
        <v>98388.911999999997</v>
      </c>
      <c r="K67" s="833">
        <v>-281846.50099999999</v>
      </c>
      <c r="L67" s="833">
        <v>221523.622</v>
      </c>
      <c r="M67" s="833">
        <v>108702.149</v>
      </c>
      <c r="N67" s="833">
        <v>-739345.08799999999</v>
      </c>
      <c r="O67" s="833">
        <v>156387.35800000001</v>
      </c>
      <c r="P67" s="833">
        <v>166222.49900000001</v>
      </c>
      <c r="Q67" s="833">
        <v>-654785.12699999998</v>
      </c>
      <c r="R67" s="1018">
        <v>331874.84899999999</v>
      </c>
    </row>
    <row r="68" spans="1:18" x14ac:dyDescent="0.25">
      <c r="A68" s="451" t="str">
        <f t="shared" ref="A68:A131" si="1" xml:space="preserve"> IFERROR(+B68*1,B68)&amp;"_"&amp;IFERROR(+D68*1,D68)</f>
        <v>131116000_300</v>
      </c>
      <c r="B68" s="1004" t="s">
        <v>868</v>
      </c>
      <c r="C68" s="807" t="s">
        <v>867</v>
      </c>
      <c r="D68" s="805" t="s">
        <v>1152</v>
      </c>
      <c r="E68" s="1016" t="s">
        <v>1153</v>
      </c>
      <c r="F68" s="612">
        <v>1229971</v>
      </c>
      <c r="G68" s="612"/>
      <c r="H68" s="612"/>
      <c r="I68" s="612"/>
      <c r="J68" s="612"/>
      <c r="K68" s="612"/>
      <c r="L68" s="612"/>
      <c r="M68" s="612"/>
      <c r="N68" s="612"/>
      <c r="O68" s="612"/>
      <c r="P68" s="612"/>
      <c r="Q68" s="612"/>
      <c r="R68" s="1017"/>
    </row>
    <row r="69" spans="1:18" x14ac:dyDescent="0.25">
      <c r="A69" s="451" t="str">
        <f t="shared" si="1"/>
        <v>131116000_310</v>
      </c>
      <c r="B69" s="1004" t="s">
        <v>868</v>
      </c>
      <c r="C69" s="807" t="s">
        <v>867</v>
      </c>
      <c r="D69" s="805" t="s">
        <v>1154</v>
      </c>
      <c r="E69" s="1016" t="s">
        <v>1155</v>
      </c>
      <c r="F69" s="612"/>
      <c r="G69" s="612">
        <v>-17892.718000000001</v>
      </c>
      <c r="H69" s="612">
        <v>391526.22499999998</v>
      </c>
      <c r="I69" s="612">
        <v>-135884.603</v>
      </c>
      <c r="J69" s="612">
        <v>-245898.552</v>
      </c>
      <c r="K69" s="612">
        <v>26194.666000000001</v>
      </c>
      <c r="L69" s="612">
        <v>2857051.9330000002</v>
      </c>
      <c r="M69" s="612">
        <v>141726.405</v>
      </c>
      <c r="N69" s="612">
        <v>-619315.32700000005</v>
      </c>
      <c r="O69" s="612">
        <v>-500492.54399999999</v>
      </c>
      <c r="P69" s="612">
        <v>471560.55099999998</v>
      </c>
      <c r="Q69" s="612">
        <v>312243.31800000003</v>
      </c>
      <c r="R69" s="1017">
        <v>480326.68199999997</v>
      </c>
    </row>
    <row r="70" spans="1:18" x14ac:dyDescent="0.25">
      <c r="A70" s="451" t="str">
        <f t="shared" si="1"/>
        <v>131116000_Result</v>
      </c>
      <c r="B70" s="1004" t="s">
        <v>868</v>
      </c>
      <c r="C70" s="807" t="s">
        <v>867</v>
      </c>
      <c r="D70" s="834" t="s">
        <v>1160</v>
      </c>
      <c r="E70" s="1020"/>
      <c r="F70" s="833">
        <v>1229971</v>
      </c>
      <c r="G70" s="833">
        <v>-17892.718000000001</v>
      </c>
      <c r="H70" s="833">
        <v>391526.22499999998</v>
      </c>
      <c r="I70" s="833">
        <v>-135884.603</v>
      </c>
      <c r="J70" s="833">
        <v>-245898.552</v>
      </c>
      <c r="K70" s="833">
        <v>26194.666000000001</v>
      </c>
      <c r="L70" s="833">
        <v>2857051.9330000002</v>
      </c>
      <c r="M70" s="833">
        <v>141726.405</v>
      </c>
      <c r="N70" s="833">
        <v>-619315.32700000005</v>
      </c>
      <c r="O70" s="833">
        <v>-500492.54399999999</v>
      </c>
      <c r="P70" s="833">
        <v>471560.55099999998</v>
      </c>
      <c r="Q70" s="833">
        <v>312243.31800000003</v>
      </c>
      <c r="R70" s="1018">
        <v>480326.68199999997</v>
      </c>
    </row>
    <row r="71" spans="1:18" x14ac:dyDescent="0.25">
      <c r="A71" s="451" t="str">
        <f t="shared" si="1"/>
        <v>131121000_300</v>
      </c>
      <c r="B71" s="1002" t="s">
        <v>866</v>
      </c>
      <c r="C71" s="807" t="s">
        <v>728</v>
      </c>
      <c r="D71" s="805" t="s">
        <v>1152</v>
      </c>
      <c r="E71" s="1016" t="s">
        <v>1153</v>
      </c>
      <c r="F71" s="612">
        <v>1566335.75</v>
      </c>
      <c r="G71" s="612"/>
      <c r="H71" s="612"/>
      <c r="I71" s="612"/>
      <c r="J71" s="612"/>
      <c r="K71" s="612"/>
      <c r="L71" s="612"/>
      <c r="M71" s="612"/>
      <c r="N71" s="612"/>
      <c r="O71" s="612"/>
      <c r="P71" s="612"/>
      <c r="Q71" s="612"/>
      <c r="R71" s="1017"/>
    </row>
    <row r="72" spans="1:18" x14ac:dyDescent="0.25">
      <c r="A72" s="451" t="str">
        <f t="shared" si="1"/>
        <v>131121000_310</v>
      </c>
      <c r="B72" s="1002" t="s">
        <v>866</v>
      </c>
      <c r="C72" s="807" t="s">
        <v>728</v>
      </c>
      <c r="D72" s="805" t="s">
        <v>1154</v>
      </c>
      <c r="E72" s="1016" t="s">
        <v>1155</v>
      </c>
      <c r="F72" s="612"/>
      <c r="G72" s="612">
        <v>-57208.536999999997</v>
      </c>
      <c r="H72" s="612">
        <v>398499.97399999999</v>
      </c>
      <c r="I72" s="612">
        <v>-138304.93900000001</v>
      </c>
      <c r="J72" s="612">
        <v>-250278.424</v>
      </c>
      <c r="K72" s="612">
        <v>26661.237000000001</v>
      </c>
      <c r="L72" s="612">
        <v>202715.967</v>
      </c>
      <c r="M72" s="612">
        <v>229759.61900000001</v>
      </c>
      <c r="N72" s="612">
        <v>-402053.96100000001</v>
      </c>
      <c r="O72" s="612">
        <v>-167775.21599999999</v>
      </c>
      <c r="P72" s="612">
        <v>138327.89499999999</v>
      </c>
      <c r="Q72" s="612">
        <v>317804.90299999999</v>
      </c>
      <c r="R72" s="1017">
        <v>-317804.90299999999</v>
      </c>
    </row>
    <row r="73" spans="1:18" x14ac:dyDescent="0.25">
      <c r="A73" s="451" t="str">
        <f t="shared" si="1"/>
        <v>131121000_400</v>
      </c>
      <c r="B73" s="1002" t="s">
        <v>866</v>
      </c>
      <c r="C73" s="807" t="s">
        <v>728</v>
      </c>
      <c r="D73" s="805" t="s">
        <v>1157</v>
      </c>
      <c r="E73" s="1016" t="s">
        <v>1153</v>
      </c>
      <c r="F73" s="612">
        <v>-275459.75</v>
      </c>
      <c r="G73" s="612"/>
      <c r="H73" s="612"/>
      <c r="I73" s="612"/>
      <c r="J73" s="612"/>
      <c r="K73" s="612"/>
      <c r="L73" s="612"/>
      <c r="M73" s="612"/>
      <c r="N73" s="612"/>
      <c r="O73" s="612"/>
      <c r="P73" s="612"/>
      <c r="Q73" s="612"/>
      <c r="R73" s="1017"/>
    </row>
    <row r="74" spans="1:18" x14ac:dyDescent="0.25">
      <c r="A74" s="451" t="str">
        <f t="shared" si="1"/>
        <v>131121000_Result</v>
      </c>
      <c r="B74" s="1002" t="s">
        <v>866</v>
      </c>
      <c r="C74" s="807" t="s">
        <v>728</v>
      </c>
      <c r="D74" s="834" t="s">
        <v>1160</v>
      </c>
      <c r="E74" s="1020"/>
      <c r="F74" s="833">
        <v>1290876</v>
      </c>
      <c r="G74" s="833">
        <v>-57208.536999999997</v>
      </c>
      <c r="H74" s="833">
        <v>398499.97399999999</v>
      </c>
      <c r="I74" s="833">
        <v>-138304.93900000001</v>
      </c>
      <c r="J74" s="833">
        <v>-250278.424</v>
      </c>
      <c r="K74" s="833">
        <v>26661.237000000001</v>
      </c>
      <c r="L74" s="833">
        <v>202715.967</v>
      </c>
      <c r="M74" s="833">
        <v>229759.61900000001</v>
      </c>
      <c r="N74" s="833">
        <v>-402053.96100000001</v>
      </c>
      <c r="O74" s="833">
        <v>-167775.21599999999</v>
      </c>
      <c r="P74" s="833">
        <v>138327.89499999999</v>
      </c>
      <c r="Q74" s="833">
        <v>317804.90299999999</v>
      </c>
      <c r="R74" s="1018">
        <v>-317804.90299999999</v>
      </c>
    </row>
    <row r="75" spans="1:18" x14ac:dyDescent="0.25">
      <c r="A75" s="451" t="str">
        <f t="shared" si="1"/>
        <v>131121100_300</v>
      </c>
      <c r="B75" s="1003" t="s">
        <v>865</v>
      </c>
      <c r="C75" s="808" t="s">
        <v>864</v>
      </c>
      <c r="D75" s="805" t="s">
        <v>1152</v>
      </c>
      <c r="E75" s="1016" t="s">
        <v>1153</v>
      </c>
      <c r="F75" s="612">
        <v>1566335.75</v>
      </c>
      <c r="G75" s="612"/>
      <c r="H75" s="612"/>
      <c r="I75" s="612"/>
      <c r="J75" s="612"/>
      <c r="K75" s="612"/>
      <c r="L75" s="612"/>
      <c r="M75" s="612"/>
      <c r="N75" s="612"/>
      <c r="O75" s="612"/>
      <c r="P75" s="612"/>
      <c r="Q75" s="612"/>
      <c r="R75" s="1017"/>
    </row>
    <row r="76" spans="1:18" x14ac:dyDescent="0.25">
      <c r="A76" s="451" t="str">
        <f t="shared" si="1"/>
        <v>131121100_310</v>
      </c>
      <c r="B76" s="1003" t="s">
        <v>865</v>
      </c>
      <c r="C76" s="808" t="s">
        <v>864</v>
      </c>
      <c r="D76" s="805" t="s">
        <v>1154</v>
      </c>
      <c r="E76" s="1016" t="s">
        <v>1155</v>
      </c>
      <c r="F76" s="612"/>
      <c r="G76" s="612">
        <v>-57208.536999999997</v>
      </c>
      <c r="H76" s="612">
        <v>398499.97399999999</v>
      </c>
      <c r="I76" s="612">
        <v>-138304.93900000001</v>
      </c>
      <c r="J76" s="612">
        <v>-250278.424</v>
      </c>
      <c r="K76" s="612">
        <v>26661.237000000001</v>
      </c>
      <c r="L76" s="612">
        <v>202715.967</v>
      </c>
      <c r="M76" s="612">
        <v>229759.61900000001</v>
      </c>
      <c r="N76" s="612">
        <v>-402053.96100000001</v>
      </c>
      <c r="O76" s="612">
        <v>-167775.21599999999</v>
      </c>
      <c r="P76" s="612">
        <v>138327.89499999999</v>
      </c>
      <c r="Q76" s="612">
        <v>317804.90299999999</v>
      </c>
      <c r="R76" s="1017">
        <v>-317804.90299999999</v>
      </c>
    </row>
    <row r="77" spans="1:18" x14ac:dyDescent="0.25">
      <c r="A77" s="451" t="str">
        <f t="shared" si="1"/>
        <v>131121100_400</v>
      </c>
      <c r="B77" s="1003" t="s">
        <v>865</v>
      </c>
      <c r="C77" s="808" t="s">
        <v>864</v>
      </c>
      <c r="D77" s="805" t="s">
        <v>1157</v>
      </c>
      <c r="E77" s="1016" t="s">
        <v>1153</v>
      </c>
      <c r="F77" s="612">
        <v>-275459.75</v>
      </c>
      <c r="G77" s="612"/>
      <c r="H77" s="612"/>
      <c r="I77" s="612"/>
      <c r="J77" s="612"/>
      <c r="K77" s="612"/>
      <c r="L77" s="612"/>
      <c r="M77" s="612"/>
      <c r="N77" s="612"/>
      <c r="O77" s="612"/>
      <c r="P77" s="612"/>
      <c r="Q77" s="612"/>
      <c r="R77" s="1017"/>
    </row>
    <row r="78" spans="1:18" x14ac:dyDescent="0.25">
      <c r="A78" s="451" t="str">
        <f t="shared" si="1"/>
        <v>131121100_Result</v>
      </c>
      <c r="B78" s="1003" t="s">
        <v>865</v>
      </c>
      <c r="C78" s="808" t="s">
        <v>864</v>
      </c>
      <c r="D78" s="834" t="s">
        <v>1160</v>
      </c>
      <c r="E78" s="1020"/>
      <c r="F78" s="833">
        <v>1290876</v>
      </c>
      <c r="G78" s="833">
        <v>-57208.536999999997</v>
      </c>
      <c r="H78" s="833">
        <v>398499.97399999999</v>
      </c>
      <c r="I78" s="833">
        <v>-138304.93900000001</v>
      </c>
      <c r="J78" s="833">
        <v>-250278.424</v>
      </c>
      <c r="K78" s="833">
        <v>26661.237000000001</v>
      </c>
      <c r="L78" s="833">
        <v>202715.967</v>
      </c>
      <c r="M78" s="833">
        <v>229759.61900000001</v>
      </c>
      <c r="N78" s="833">
        <v>-402053.96100000001</v>
      </c>
      <c r="O78" s="833">
        <v>-167775.21599999999</v>
      </c>
      <c r="P78" s="833">
        <v>138327.89499999999</v>
      </c>
      <c r="Q78" s="833">
        <v>317804.90299999999</v>
      </c>
      <c r="R78" s="1018">
        <v>-317804.90299999999</v>
      </c>
    </row>
    <row r="79" spans="1:18" x14ac:dyDescent="0.25">
      <c r="A79" s="451" t="str">
        <f t="shared" si="1"/>
        <v>131600000_300</v>
      </c>
      <c r="B79" s="1001" t="s">
        <v>863</v>
      </c>
      <c r="C79" s="806" t="s">
        <v>727</v>
      </c>
      <c r="D79" s="805" t="s">
        <v>1152</v>
      </c>
      <c r="E79" s="1016" t="s">
        <v>1153</v>
      </c>
      <c r="F79" s="612">
        <v>19604347.820999999</v>
      </c>
      <c r="G79" s="612"/>
      <c r="H79" s="612"/>
      <c r="I79" s="612"/>
      <c r="J79" s="612"/>
      <c r="K79" s="612"/>
      <c r="L79" s="612"/>
      <c r="M79" s="612"/>
      <c r="N79" s="612"/>
      <c r="O79" s="612"/>
      <c r="P79" s="612"/>
      <c r="Q79" s="612"/>
      <c r="R79" s="1017"/>
    </row>
    <row r="80" spans="1:18" x14ac:dyDescent="0.25">
      <c r="A80" s="451" t="str">
        <f t="shared" si="1"/>
        <v>131600000_310</v>
      </c>
      <c r="B80" s="1001" t="s">
        <v>863</v>
      </c>
      <c r="C80" s="806" t="s">
        <v>727</v>
      </c>
      <c r="D80" s="805" t="s">
        <v>1154</v>
      </c>
      <c r="E80" s="1016" t="s">
        <v>1155</v>
      </c>
      <c r="F80" s="612"/>
      <c r="G80" s="612">
        <v>7243622.1200000001</v>
      </c>
      <c r="H80" s="612">
        <v>-1750053.0630000001</v>
      </c>
      <c r="I80" s="612">
        <v>-578318.06099999999</v>
      </c>
      <c r="J80" s="612">
        <v>582216.99899999995</v>
      </c>
      <c r="K80" s="612">
        <v>528456.07400000002</v>
      </c>
      <c r="L80" s="612">
        <v>-744509.47</v>
      </c>
      <c r="M80" s="612">
        <v>1397234.0109999999</v>
      </c>
      <c r="N80" s="612">
        <v>-2942167.6129999999</v>
      </c>
      <c r="O80" s="612">
        <v>-821520.36100000003</v>
      </c>
      <c r="P80" s="612">
        <v>2279424.713</v>
      </c>
      <c r="Q80" s="612">
        <v>1256363.595</v>
      </c>
      <c r="R80" s="1017">
        <v>-191208.617</v>
      </c>
    </row>
    <row r="81" spans="1:18" x14ac:dyDescent="0.25">
      <c r="A81" s="451" t="str">
        <f t="shared" si="1"/>
        <v>131600000_400</v>
      </c>
      <c r="B81" s="1001" t="s">
        <v>863</v>
      </c>
      <c r="C81" s="806" t="s">
        <v>727</v>
      </c>
      <c r="D81" s="805" t="s">
        <v>1157</v>
      </c>
      <c r="E81" s="1016" t="s">
        <v>1153</v>
      </c>
      <c r="F81" s="612">
        <v>-33784.42</v>
      </c>
      <c r="G81" s="612"/>
      <c r="H81" s="612"/>
      <c r="I81" s="612"/>
      <c r="J81" s="612"/>
      <c r="K81" s="612"/>
      <c r="L81" s="612"/>
      <c r="M81" s="612"/>
      <c r="N81" s="612"/>
      <c r="O81" s="612"/>
      <c r="P81" s="612"/>
      <c r="Q81" s="612"/>
      <c r="R81" s="1017"/>
    </row>
    <row r="82" spans="1:18" x14ac:dyDescent="0.25">
      <c r="A82" s="451" t="str">
        <f t="shared" si="1"/>
        <v>131600000_Result</v>
      </c>
      <c r="B82" s="1001" t="s">
        <v>863</v>
      </c>
      <c r="C82" s="806" t="s">
        <v>727</v>
      </c>
      <c r="D82" s="834" t="s">
        <v>1160</v>
      </c>
      <c r="E82" s="1020"/>
      <c r="F82" s="833">
        <v>19570563.401000001</v>
      </c>
      <c r="G82" s="833">
        <v>7243622.1200000001</v>
      </c>
      <c r="H82" s="833">
        <v>-1750053.0630000001</v>
      </c>
      <c r="I82" s="833">
        <v>-578318.06099999999</v>
      </c>
      <c r="J82" s="833">
        <v>582216.99899999995</v>
      </c>
      <c r="K82" s="833">
        <v>528456.07400000002</v>
      </c>
      <c r="L82" s="833">
        <v>-744509.47</v>
      </c>
      <c r="M82" s="833">
        <v>1397234.0109999999</v>
      </c>
      <c r="N82" s="833">
        <v>-2942167.6129999999</v>
      </c>
      <c r="O82" s="833">
        <v>-821520.36100000003</v>
      </c>
      <c r="P82" s="833">
        <v>2279424.713</v>
      </c>
      <c r="Q82" s="833">
        <v>1256363.595</v>
      </c>
      <c r="R82" s="1018">
        <v>-191208.617</v>
      </c>
    </row>
    <row r="83" spans="1:18" x14ac:dyDescent="0.25">
      <c r="A83" s="451" t="str">
        <f t="shared" si="1"/>
        <v>131611000_300</v>
      </c>
      <c r="B83" s="1002" t="s">
        <v>862</v>
      </c>
      <c r="C83" s="807" t="s">
        <v>860</v>
      </c>
      <c r="D83" s="805" t="s">
        <v>1152</v>
      </c>
      <c r="E83" s="1016" t="s">
        <v>1153</v>
      </c>
      <c r="F83" s="612">
        <v>19604347.820999999</v>
      </c>
      <c r="G83" s="612"/>
      <c r="H83" s="612"/>
      <c r="I83" s="612"/>
      <c r="J83" s="612"/>
      <c r="K83" s="612"/>
      <c r="L83" s="612"/>
      <c r="M83" s="612"/>
      <c r="N83" s="612"/>
      <c r="O83" s="612"/>
      <c r="P83" s="612"/>
      <c r="Q83" s="612"/>
      <c r="R83" s="1017"/>
    </row>
    <row r="84" spans="1:18" x14ac:dyDescent="0.25">
      <c r="A84" s="451" t="str">
        <f t="shared" si="1"/>
        <v>131611000_310</v>
      </c>
      <c r="B84" s="1002" t="s">
        <v>862</v>
      </c>
      <c r="C84" s="807" t="s">
        <v>860</v>
      </c>
      <c r="D84" s="805" t="s">
        <v>1154</v>
      </c>
      <c r="E84" s="1016" t="s">
        <v>1155</v>
      </c>
      <c r="F84" s="612"/>
      <c r="G84" s="612">
        <v>7243622.1200000001</v>
      </c>
      <c r="H84" s="612">
        <v>-1750053.0630000001</v>
      </c>
      <c r="I84" s="612">
        <v>-578318.06099999999</v>
      </c>
      <c r="J84" s="612">
        <v>582216.99899999995</v>
      </c>
      <c r="K84" s="612">
        <v>528456.07400000002</v>
      </c>
      <c r="L84" s="612">
        <v>-744509.47</v>
      </c>
      <c r="M84" s="612">
        <v>1397234.0109999999</v>
      </c>
      <c r="N84" s="612">
        <v>-2942167.6129999999</v>
      </c>
      <c r="O84" s="612">
        <v>-821520.36100000003</v>
      </c>
      <c r="P84" s="612">
        <v>2279424.713</v>
      </c>
      <c r="Q84" s="612">
        <v>1256363.595</v>
      </c>
      <c r="R84" s="1017">
        <v>-191208.617</v>
      </c>
    </row>
    <row r="85" spans="1:18" x14ac:dyDescent="0.25">
      <c r="A85" s="451" t="str">
        <f t="shared" si="1"/>
        <v>131611000_400</v>
      </c>
      <c r="B85" s="1002" t="s">
        <v>862</v>
      </c>
      <c r="C85" s="807" t="s">
        <v>860</v>
      </c>
      <c r="D85" s="805" t="s">
        <v>1157</v>
      </c>
      <c r="E85" s="1016" t="s">
        <v>1153</v>
      </c>
      <c r="F85" s="612">
        <v>-33784.42</v>
      </c>
      <c r="G85" s="612"/>
      <c r="H85" s="612"/>
      <c r="I85" s="612"/>
      <c r="J85" s="612"/>
      <c r="K85" s="612"/>
      <c r="L85" s="612"/>
      <c r="M85" s="612"/>
      <c r="N85" s="612"/>
      <c r="O85" s="612"/>
      <c r="P85" s="612"/>
      <c r="Q85" s="612"/>
      <c r="R85" s="1017"/>
    </row>
    <row r="86" spans="1:18" x14ac:dyDescent="0.25">
      <c r="A86" s="451" t="str">
        <f t="shared" si="1"/>
        <v>131611000_Result</v>
      </c>
      <c r="B86" s="1002" t="s">
        <v>862</v>
      </c>
      <c r="C86" s="807" t="s">
        <v>860</v>
      </c>
      <c r="D86" s="834" t="s">
        <v>1160</v>
      </c>
      <c r="E86" s="1020"/>
      <c r="F86" s="833">
        <v>19570563.401000001</v>
      </c>
      <c r="G86" s="833">
        <v>7243622.1200000001</v>
      </c>
      <c r="H86" s="833">
        <v>-1750053.0630000001</v>
      </c>
      <c r="I86" s="833">
        <v>-578318.06099999999</v>
      </c>
      <c r="J86" s="833">
        <v>582216.99899999995</v>
      </c>
      <c r="K86" s="833">
        <v>528456.07400000002</v>
      </c>
      <c r="L86" s="833">
        <v>-744509.47</v>
      </c>
      <c r="M86" s="833">
        <v>1397234.0109999999</v>
      </c>
      <c r="N86" s="833">
        <v>-2942167.6129999999</v>
      </c>
      <c r="O86" s="833">
        <v>-821520.36100000003</v>
      </c>
      <c r="P86" s="833">
        <v>2279424.713</v>
      </c>
      <c r="Q86" s="833">
        <v>1256363.595</v>
      </c>
      <c r="R86" s="1018">
        <v>-191208.617</v>
      </c>
    </row>
    <row r="87" spans="1:18" x14ac:dyDescent="0.25">
      <c r="A87" s="451" t="str">
        <f t="shared" si="1"/>
        <v>131611110_300</v>
      </c>
      <c r="B87" s="1003" t="s">
        <v>861</v>
      </c>
      <c r="C87" s="808" t="s">
        <v>860</v>
      </c>
      <c r="D87" s="805" t="s">
        <v>1152</v>
      </c>
      <c r="E87" s="1016" t="s">
        <v>1153</v>
      </c>
      <c r="F87" s="612">
        <v>19577770.502</v>
      </c>
      <c r="G87" s="612"/>
      <c r="H87" s="612"/>
      <c r="I87" s="612"/>
      <c r="J87" s="612"/>
      <c r="K87" s="612"/>
      <c r="L87" s="612"/>
      <c r="M87" s="612"/>
      <c r="N87" s="612"/>
      <c r="O87" s="612"/>
      <c r="P87" s="612"/>
      <c r="Q87" s="612"/>
      <c r="R87" s="1017"/>
    </row>
    <row r="88" spans="1:18" x14ac:dyDescent="0.25">
      <c r="A88" s="451" t="str">
        <f t="shared" si="1"/>
        <v>131611110_310</v>
      </c>
      <c r="B88" s="1003" t="s">
        <v>861</v>
      </c>
      <c r="C88" s="808" t="s">
        <v>860</v>
      </c>
      <c r="D88" s="805" t="s">
        <v>1154</v>
      </c>
      <c r="E88" s="1016" t="s">
        <v>1155</v>
      </c>
      <c r="F88" s="612"/>
      <c r="G88" s="612">
        <v>7243622.1200000001</v>
      </c>
      <c r="H88" s="612">
        <v>-1750053.0630000001</v>
      </c>
      <c r="I88" s="612">
        <v>-578318.06099999999</v>
      </c>
      <c r="J88" s="612">
        <v>582216.99899999995</v>
      </c>
      <c r="K88" s="612">
        <v>528456.07400000002</v>
      </c>
      <c r="L88" s="612">
        <v>-744509.47</v>
      </c>
      <c r="M88" s="612">
        <v>1397234.0109999999</v>
      </c>
      <c r="N88" s="612">
        <v>-2942167.6129999999</v>
      </c>
      <c r="O88" s="612">
        <v>-821520.36100000003</v>
      </c>
      <c r="P88" s="612">
        <v>2279424.713</v>
      </c>
      <c r="Q88" s="612">
        <v>1256363.595</v>
      </c>
      <c r="R88" s="1017">
        <v>-191208.617</v>
      </c>
    </row>
    <row r="89" spans="1:18" x14ac:dyDescent="0.25">
      <c r="A89" s="451" t="str">
        <f t="shared" si="1"/>
        <v>131611110_400</v>
      </c>
      <c r="B89" s="1003" t="s">
        <v>861</v>
      </c>
      <c r="C89" s="808" t="s">
        <v>860</v>
      </c>
      <c r="D89" s="805" t="s">
        <v>1157</v>
      </c>
      <c r="E89" s="1016" t="s">
        <v>1153</v>
      </c>
      <c r="F89" s="612">
        <v>-7207.1009999999997</v>
      </c>
      <c r="G89" s="612"/>
      <c r="H89" s="612"/>
      <c r="I89" s="612"/>
      <c r="J89" s="612"/>
      <c r="K89" s="612"/>
      <c r="L89" s="612"/>
      <c r="M89" s="612"/>
      <c r="N89" s="612"/>
      <c r="O89" s="612"/>
      <c r="P89" s="612"/>
      <c r="Q89" s="612"/>
      <c r="R89" s="1017"/>
    </row>
    <row r="90" spans="1:18" x14ac:dyDescent="0.25">
      <c r="A90" s="451" t="str">
        <f t="shared" si="1"/>
        <v>131611110_Result</v>
      </c>
      <c r="B90" s="1003" t="s">
        <v>861</v>
      </c>
      <c r="C90" s="808" t="s">
        <v>860</v>
      </c>
      <c r="D90" s="834" t="s">
        <v>1160</v>
      </c>
      <c r="E90" s="1020"/>
      <c r="F90" s="833">
        <v>19570563.401000001</v>
      </c>
      <c r="G90" s="833">
        <v>7243622.1200000001</v>
      </c>
      <c r="H90" s="833">
        <v>-1750053.0630000001</v>
      </c>
      <c r="I90" s="833">
        <v>-578318.06099999999</v>
      </c>
      <c r="J90" s="833">
        <v>582216.99899999995</v>
      </c>
      <c r="K90" s="833">
        <v>528456.07400000002</v>
      </c>
      <c r="L90" s="833">
        <v>-744509.47</v>
      </c>
      <c r="M90" s="833">
        <v>1397234.0109999999</v>
      </c>
      <c r="N90" s="833">
        <v>-2942167.6129999999</v>
      </c>
      <c r="O90" s="833">
        <v>-821520.36100000003</v>
      </c>
      <c r="P90" s="833">
        <v>2279424.713</v>
      </c>
      <c r="Q90" s="833">
        <v>1256363.595</v>
      </c>
      <c r="R90" s="1018">
        <v>-191208.617</v>
      </c>
    </row>
    <row r="91" spans="1:18" x14ac:dyDescent="0.25">
      <c r="A91" s="451" t="str">
        <f t="shared" si="1"/>
        <v>131611500_300</v>
      </c>
      <c r="B91" s="1003" t="s">
        <v>1096</v>
      </c>
      <c r="C91" s="808" t="s">
        <v>1097</v>
      </c>
      <c r="D91" s="805" t="s">
        <v>1152</v>
      </c>
      <c r="E91" s="1016" t="s">
        <v>1153</v>
      </c>
      <c r="F91" s="612">
        <v>2396.779</v>
      </c>
      <c r="G91" s="612"/>
      <c r="H91" s="612"/>
      <c r="I91" s="612"/>
      <c r="J91" s="612"/>
      <c r="K91" s="612"/>
      <c r="L91" s="612"/>
      <c r="M91" s="612"/>
      <c r="N91" s="612"/>
      <c r="O91" s="612"/>
      <c r="P91" s="612"/>
      <c r="Q91" s="612"/>
      <c r="R91" s="1017"/>
    </row>
    <row r="92" spans="1:18" x14ac:dyDescent="0.25">
      <c r="A92" s="451" t="str">
        <f t="shared" si="1"/>
        <v>131611500_400</v>
      </c>
      <c r="B92" s="1003" t="s">
        <v>1096</v>
      </c>
      <c r="C92" s="808" t="s">
        <v>1097</v>
      </c>
      <c r="D92" s="805" t="s">
        <v>1157</v>
      </c>
      <c r="E92" s="1016" t="s">
        <v>1153</v>
      </c>
      <c r="F92" s="612">
        <v>-2396.779</v>
      </c>
      <c r="G92" s="612"/>
      <c r="H92" s="612"/>
      <c r="I92" s="612"/>
      <c r="J92" s="612"/>
      <c r="K92" s="612"/>
      <c r="L92" s="612"/>
      <c r="M92" s="612"/>
      <c r="N92" s="612"/>
      <c r="O92" s="612"/>
      <c r="P92" s="612"/>
      <c r="Q92" s="612"/>
      <c r="R92" s="1017"/>
    </row>
    <row r="93" spans="1:18" x14ac:dyDescent="0.25">
      <c r="A93" s="451" t="str">
        <f t="shared" si="1"/>
        <v>131611500_Result</v>
      </c>
      <c r="B93" s="1003" t="s">
        <v>1096</v>
      </c>
      <c r="C93" s="808" t="s">
        <v>1097</v>
      </c>
      <c r="D93" s="834" t="s">
        <v>1160</v>
      </c>
      <c r="E93" s="1020"/>
      <c r="F93" s="833">
        <v>0</v>
      </c>
      <c r="G93" s="833"/>
      <c r="H93" s="833"/>
      <c r="I93" s="833"/>
      <c r="J93" s="833"/>
      <c r="K93" s="833"/>
      <c r="L93" s="833"/>
      <c r="M93" s="833"/>
      <c r="N93" s="833"/>
      <c r="O93" s="833"/>
      <c r="P93" s="833"/>
      <c r="Q93" s="833"/>
      <c r="R93" s="1018"/>
    </row>
    <row r="94" spans="1:18" x14ac:dyDescent="0.25">
      <c r="A94" s="451" t="str">
        <f t="shared" si="1"/>
        <v>131611900_300</v>
      </c>
      <c r="B94" s="1003" t="s">
        <v>859</v>
      </c>
      <c r="C94" s="808" t="s">
        <v>858</v>
      </c>
      <c r="D94" s="805" t="s">
        <v>1152</v>
      </c>
      <c r="E94" s="1016" t="s">
        <v>1153</v>
      </c>
      <c r="F94" s="612">
        <v>24180.54</v>
      </c>
      <c r="G94" s="612"/>
      <c r="H94" s="612"/>
      <c r="I94" s="612"/>
      <c r="J94" s="612"/>
      <c r="K94" s="612"/>
      <c r="L94" s="612"/>
      <c r="M94" s="612"/>
      <c r="N94" s="612"/>
      <c r="O94" s="612"/>
      <c r="P94" s="612"/>
      <c r="Q94" s="612"/>
      <c r="R94" s="1017"/>
    </row>
    <row r="95" spans="1:18" x14ac:dyDescent="0.25">
      <c r="A95" s="451" t="str">
        <f t="shared" si="1"/>
        <v>131611900_400</v>
      </c>
      <c r="B95" s="1003" t="s">
        <v>859</v>
      </c>
      <c r="C95" s="808" t="s">
        <v>858</v>
      </c>
      <c r="D95" s="805" t="s">
        <v>1157</v>
      </c>
      <c r="E95" s="1016" t="s">
        <v>1153</v>
      </c>
      <c r="F95" s="612">
        <v>-24180.54</v>
      </c>
      <c r="G95" s="612"/>
      <c r="H95" s="612"/>
      <c r="I95" s="612"/>
      <c r="J95" s="612"/>
      <c r="K95" s="612"/>
      <c r="L95" s="612"/>
      <c r="M95" s="612"/>
      <c r="N95" s="612"/>
      <c r="O95" s="612"/>
      <c r="P95" s="612"/>
      <c r="Q95" s="612"/>
      <c r="R95" s="1017"/>
    </row>
    <row r="96" spans="1:18" x14ac:dyDescent="0.25">
      <c r="A96" s="451" t="str">
        <f t="shared" si="1"/>
        <v>131611900_Result</v>
      </c>
      <c r="B96" s="1003" t="s">
        <v>859</v>
      </c>
      <c r="C96" s="808" t="s">
        <v>858</v>
      </c>
      <c r="D96" s="834" t="s">
        <v>1160</v>
      </c>
      <c r="E96" s="1020"/>
      <c r="F96" s="833">
        <v>0</v>
      </c>
      <c r="G96" s="833"/>
      <c r="H96" s="833"/>
      <c r="I96" s="833"/>
      <c r="J96" s="833"/>
      <c r="K96" s="833"/>
      <c r="L96" s="833"/>
      <c r="M96" s="833"/>
      <c r="N96" s="833"/>
      <c r="O96" s="833"/>
      <c r="P96" s="833"/>
      <c r="Q96" s="833"/>
      <c r="R96" s="1018"/>
    </row>
    <row r="97" spans="1:18" x14ac:dyDescent="0.25">
      <c r="A97" s="451" t="str">
        <f t="shared" si="1"/>
        <v>231100000_700</v>
      </c>
      <c r="B97" s="1001" t="s">
        <v>857</v>
      </c>
      <c r="C97" s="806" t="s">
        <v>856</v>
      </c>
      <c r="D97" s="805" t="s">
        <v>1165</v>
      </c>
      <c r="E97" s="1016" t="s">
        <v>1153</v>
      </c>
      <c r="F97" s="612">
        <v>26697199.857999999</v>
      </c>
      <c r="G97" s="612">
        <v>0</v>
      </c>
      <c r="H97" s="612"/>
      <c r="I97" s="612"/>
      <c r="J97" s="612"/>
      <c r="K97" s="612"/>
      <c r="L97" s="612"/>
      <c r="M97" s="612"/>
      <c r="N97" s="612"/>
      <c r="O97" s="612"/>
      <c r="P97" s="612"/>
      <c r="Q97" s="612"/>
      <c r="R97" s="1017"/>
    </row>
    <row r="98" spans="1:18" x14ac:dyDescent="0.25">
      <c r="A98" s="451" t="str">
        <f t="shared" si="1"/>
        <v>231100000_710</v>
      </c>
      <c r="B98" s="1001" t="s">
        <v>857</v>
      </c>
      <c r="C98" s="806" t="s">
        <v>856</v>
      </c>
      <c r="D98" s="805" t="s">
        <v>1166</v>
      </c>
      <c r="E98" s="1016" t="s">
        <v>1155</v>
      </c>
      <c r="F98" s="612"/>
      <c r="G98" s="612">
        <v>8683279.7949999999</v>
      </c>
      <c r="H98" s="612">
        <v>-798401.87100000004</v>
      </c>
      <c r="I98" s="612">
        <v>1387142.74</v>
      </c>
      <c r="J98" s="612">
        <v>-1022538.498</v>
      </c>
      <c r="K98" s="612">
        <v>-762664.71100000001</v>
      </c>
      <c r="L98" s="612">
        <v>-618292.29500000004</v>
      </c>
      <c r="M98" s="612">
        <v>752846.83299999998</v>
      </c>
      <c r="N98" s="612">
        <v>-810279.50600000005</v>
      </c>
      <c r="O98" s="612">
        <v>-1646265.071</v>
      </c>
      <c r="P98" s="612">
        <v>2119753.932</v>
      </c>
      <c r="Q98" s="612">
        <v>1565641.8589999999</v>
      </c>
      <c r="R98" s="1017">
        <v>-814656.07400000002</v>
      </c>
    </row>
    <row r="99" spans="1:18" x14ac:dyDescent="0.25">
      <c r="A99" s="451" t="str">
        <f t="shared" si="1"/>
        <v>231100000_Result</v>
      </c>
      <c r="B99" s="1001" t="s">
        <v>857</v>
      </c>
      <c r="C99" s="806" t="s">
        <v>856</v>
      </c>
      <c r="D99" s="834" t="s">
        <v>1160</v>
      </c>
      <c r="E99" s="1020"/>
      <c r="F99" s="833">
        <v>26697199.857999999</v>
      </c>
      <c r="G99" s="833">
        <v>8683279.7949999999</v>
      </c>
      <c r="H99" s="833">
        <v>-798401.87100000004</v>
      </c>
      <c r="I99" s="833">
        <v>1387142.74</v>
      </c>
      <c r="J99" s="833">
        <v>-1022538.498</v>
      </c>
      <c r="K99" s="833">
        <v>-762664.71100000001</v>
      </c>
      <c r="L99" s="833">
        <v>-618292.29500000004</v>
      </c>
      <c r="M99" s="833">
        <v>752846.83299999998</v>
      </c>
      <c r="N99" s="833">
        <v>-810279.50600000005</v>
      </c>
      <c r="O99" s="833">
        <v>-1646265.071</v>
      </c>
      <c r="P99" s="833">
        <v>2119753.932</v>
      </c>
      <c r="Q99" s="833">
        <v>1565641.8589999999</v>
      </c>
      <c r="R99" s="1018">
        <v>-814656.07400000002</v>
      </c>
    </row>
    <row r="100" spans="1:18" x14ac:dyDescent="0.25">
      <c r="A100" s="451" t="str">
        <f t="shared" si="1"/>
        <v>231111000_700</v>
      </c>
      <c r="B100" s="1004" t="s">
        <v>855</v>
      </c>
      <c r="C100" s="807" t="s">
        <v>854</v>
      </c>
      <c r="D100" s="805" t="s">
        <v>1165</v>
      </c>
      <c r="E100" s="1016" t="s">
        <v>1153</v>
      </c>
      <c r="F100" s="612">
        <v>23499145.057999998</v>
      </c>
      <c r="G100" s="612">
        <v>0</v>
      </c>
      <c r="H100" s="612"/>
      <c r="I100" s="612"/>
      <c r="J100" s="612"/>
      <c r="K100" s="612"/>
      <c r="L100" s="612"/>
      <c r="M100" s="612"/>
      <c r="N100" s="612"/>
      <c r="O100" s="612"/>
      <c r="P100" s="612"/>
      <c r="Q100" s="612"/>
      <c r="R100" s="1017"/>
    </row>
    <row r="101" spans="1:18" x14ac:dyDescent="0.25">
      <c r="A101" s="451" t="str">
        <f t="shared" si="1"/>
        <v>231111000_710</v>
      </c>
      <c r="B101" s="1004" t="s">
        <v>855</v>
      </c>
      <c r="C101" s="807" t="s">
        <v>854</v>
      </c>
      <c r="D101" s="805" t="s">
        <v>1166</v>
      </c>
      <c r="E101" s="1016" t="s">
        <v>1155</v>
      </c>
      <c r="F101" s="612"/>
      <c r="G101" s="612">
        <v>8760044.8760000002</v>
      </c>
      <c r="H101" s="612">
        <v>-1522456.763</v>
      </c>
      <c r="I101" s="612">
        <v>-403505.092</v>
      </c>
      <c r="J101" s="612">
        <v>864952.22699999996</v>
      </c>
      <c r="K101" s="612">
        <v>1345570.8230000001</v>
      </c>
      <c r="L101" s="612">
        <v>-428509.29200000002</v>
      </c>
      <c r="M101" s="612">
        <v>1100999.341</v>
      </c>
      <c r="N101" s="612">
        <v>-1922199.6969999999</v>
      </c>
      <c r="O101" s="612">
        <v>-1436952.7439999999</v>
      </c>
      <c r="P101" s="612">
        <v>730754.97199999995</v>
      </c>
      <c r="Q101" s="612">
        <v>1929870.375</v>
      </c>
      <c r="R101" s="1017">
        <v>723427.66</v>
      </c>
    </row>
    <row r="102" spans="1:18" x14ac:dyDescent="0.25">
      <c r="A102" s="451" t="str">
        <f t="shared" si="1"/>
        <v>231111000_Result</v>
      </c>
      <c r="B102" s="1004" t="s">
        <v>855</v>
      </c>
      <c r="C102" s="807" t="s">
        <v>854</v>
      </c>
      <c r="D102" s="834" t="s">
        <v>1160</v>
      </c>
      <c r="E102" s="1020"/>
      <c r="F102" s="833">
        <v>23499145.057999998</v>
      </c>
      <c r="G102" s="833">
        <v>8760044.8760000002</v>
      </c>
      <c r="H102" s="833">
        <v>-1522456.763</v>
      </c>
      <c r="I102" s="833">
        <v>-403505.092</v>
      </c>
      <c r="J102" s="833">
        <v>864952.22699999996</v>
      </c>
      <c r="K102" s="833">
        <v>1345570.8230000001</v>
      </c>
      <c r="L102" s="833">
        <v>-428509.29200000002</v>
      </c>
      <c r="M102" s="833">
        <v>1100999.341</v>
      </c>
      <c r="N102" s="833">
        <v>-1922199.6969999999</v>
      </c>
      <c r="O102" s="833">
        <v>-1436952.7439999999</v>
      </c>
      <c r="P102" s="833">
        <v>730754.97199999995</v>
      </c>
      <c r="Q102" s="833">
        <v>1929870.375</v>
      </c>
      <c r="R102" s="1018">
        <v>723427.66</v>
      </c>
    </row>
    <row r="103" spans="1:18" x14ac:dyDescent="0.25">
      <c r="A103" s="451" t="str">
        <f t="shared" si="1"/>
        <v>231116000_700</v>
      </c>
      <c r="B103" s="1004" t="s">
        <v>853</v>
      </c>
      <c r="C103" s="807" t="s">
        <v>852</v>
      </c>
      <c r="D103" s="805" t="s">
        <v>1165</v>
      </c>
      <c r="E103" s="1016" t="s">
        <v>1153</v>
      </c>
      <c r="F103" s="612">
        <v>3198054.8</v>
      </c>
      <c r="G103" s="612"/>
      <c r="H103" s="612"/>
      <c r="I103" s="612"/>
      <c r="J103" s="612"/>
      <c r="K103" s="612"/>
      <c r="L103" s="612"/>
      <c r="M103" s="612"/>
      <c r="N103" s="612"/>
      <c r="O103" s="612"/>
      <c r="P103" s="612"/>
      <c r="Q103" s="612"/>
      <c r="R103" s="1017"/>
    </row>
    <row r="104" spans="1:18" x14ac:dyDescent="0.25">
      <c r="A104" s="451" t="str">
        <f t="shared" si="1"/>
        <v>231116000_710</v>
      </c>
      <c r="B104" s="1004" t="s">
        <v>853</v>
      </c>
      <c r="C104" s="807" t="s">
        <v>852</v>
      </c>
      <c r="D104" s="805" t="s">
        <v>1166</v>
      </c>
      <c r="E104" s="1016" t="s">
        <v>1155</v>
      </c>
      <c r="F104" s="612"/>
      <c r="G104" s="612">
        <v>-2097702.4989999998</v>
      </c>
      <c r="H104" s="612">
        <v>1946618.871</v>
      </c>
      <c r="I104" s="612">
        <v>2589021.2710000002</v>
      </c>
      <c r="J104" s="612">
        <v>-1887490.7250000001</v>
      </c>
      <c r="K104" s="612">
        <v>-2108235.534</v>
      </c>
      <c r="L104" s="612">
        <v>-189783.003</v>
      </c>
      <c r="M104" s="612">
        <v>-348152.50799999997</v>
      </c>
      <c r="N104" s="612">
        <v>1111920.1910000001</v>
      </c>
      <c r="O104" s="612">
        <v>-209312.32699999999</v>
      </c>
      <c r="P104" s="612">
        <v>1388998.96</v>
      </c>
      <c r="Q104" s="612">
        <v>-364228.516</v>
      </c>
      <c r="R104" s="1017">
        <v>-1538083.7339999999</v>
      </c>
    </row>
    <row r="105" spans="1:18" x14ac:dyDescent="0.25">
      <c r="A105" s="451" t="str">
        <f t="shared" si="1"/>
        <v>231116000_Result</v>
      </c>
      <c r="B105" s="1004" t="s">
        <v>853</v>
      </c>
      <c r="C105" s="807" t="s">
        <v>852</v>
      </c>
      <c r="D105" s="834" t="s">
        <v>1160</v>
      </c>
      <c r="E105" s="1020"/>
      <c r="F105" s="833">
        <v>3198054.8</v>
      </c>
      <c r="G105" s="833">
        <v>-2097702.4989999998</v>
      </c>
      <c r="H105" s="833">
        <v>1946618.871</v>
      </c>
      <c r="I105" s="833">
        <v>2589021.2710000002</v>
      </c>
      <c r="J105" s="833">
        <v>-1887490.7250000001</v>
      </c>
      <c r="K105" s="833">
        <v>-2108235.534</v>
      </c>
      <c r="L105" s="833">
        <v>-189783.003</v>
      </c>
      <c r="M105" s="833">
        <v>-348152.50799999997</v>
      </c>
      <c r="N105" s="833">
        <v>1111920.1910000001</v>
      </c>
      <c r="O105" s="833">
        <v>-209312.32699999999</v>
      </c>
      <c r="P105" s="833">
        <v>1388998.96</v>
      </c>
      <c r="Q105" s="833">
        <v>-364228.516</v>
      </c>
      <c r="R105" s="1018">
        <v>-1538083.7339999999</v>
      </c>
    </row>
    <row r="106" spans="1:18" x14ac:dyDescent="0.25">
      <c r="A106" s="451" t="str">
        <f t="shared" si="1"/>
        <v>231117000_700</v>
      </c>
      <c r="B106" s="1004" t="s">
        <v>851</v>
      </c>
      <c r="C106" s="807" t="s">
        <v>1072</v>
      </c>
      <c r="D106" s="805" t="s">
        <v>1165</v>
      </c>
      <c r="E106" s="1016" t="s">
        <v>1153</v>
      </c>
      <c r="F106" s="612">
        <v>0</v>
      </c>
      <c r="G106" s="612"/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1017"/>
    </row>
    <row r="107" spans="1:18" x14ac:dyDescent="0.25">
      <c r="A107" s="451" t="str">
        <f t="shared" si="1"/>
        <v>231117000_710</v>
      </c>
      <c r="B107" s="1004" t="s">
        <v>851</v>
      </c>
      <c r="C107" s="807" t="s">
        <v>1072</v>
      </c>
      <c r="D107" s="805" t="s">
        <v>1166</v>
      </c>
      <c r="E107" s="1016" t="s">
        <v>1155</v>
      </c>
      <c r="F107" s="612"/>
      <c r="G107" s="612">
        <v>2020937.4180000001</v>
      </c>
      <c r="H107" s="612">
        <v>-1222563.9790000001</v>
      </c>
      <c r="I107" s="612">
        <v>-798373.43900000001</v>
      </c>
      <c r="J107" s="612"/>
      <c r="K107" s="612"/>
      <c r="L107" s="612"/>
      <c r="M107" s="612"/>
      <c r="N107" s="612"/>
      <c r="O107" s="612"/>
      <c r="P107" s="612"/>
      <c r="Q107" s="612"/>
      <c r="R107" s="1017"/>
    </row>
    <row r="108" spans="1:18" x14ac:dyDescent="0.25">
      <c r="A108" s="451" t="str">
        <f t="shared" si="1"/>
        <v>231117000_Result</v>
      </c>
      <c r="B108" s="1004" t="s">
        <v>851</v>
      </c>
      <c r="C108" s="807" t="s">
        <v>1072</v>
      </c>
      <c r="D108" s="834" t="s">
        <v>1160</v>
      </c>
      <c r="E108" s="1020"/>
      <c r="F108" s="833">
        <v>0</v>
      </c>
      <c r="G108" s="833">
        <v>2020937.4180000001</v>
      </c>
      <c r="H108" s="833">
        <v>-1222563.9790000001</v>
      </c>
      <c r="I108" s="833">
        <v>-798373.43900000001</v>
      </c>
      <c r="J108" s="833"/>
      <c r="K108" s="833"/>
      <c r="L108" s="833"/>
      <c r="M108" s="833"/>
      <c r="N108" s="833"/>
      <c r="O108" s="833"/>
      <c r="P108" s="833"/>
      <c r="Q108" s="833"/>
      <c r="R108" s="1018"/>
    </row>
    <row r="109" spans="1:18" x14ac:dyDescent="0.25">
      <c r="A109" s="451" t="str">
        <f t="shared" si="1"/>
        <v>302500000_#</v>
      </c>
      <c r="B109" s="1001" t="s">
        <v>796</v>
      </c>
      <c r="C109" s="806" t="s">
        <v>156</v>
      </c>
      <c r="D109" s="805" t="s">
        <v>1167</v>
      </c>
      <c r="E109" s="1016" t="s">
        <v>1168</v>
      </c>
      <c r="F109" s="612"/>
      <c r="G109" s="612">
        <v>-3784481.4380000001</v>
      </c>
      <c r="H109" s="612">
        <v>-3617320.139</v>
      </c>
      <c r="I109" s="612">
        <v>-3653498.4070000001</v>
      </c>
      <c r="J109" s="612">
        <v>-3583263.8029999998</v>
      </c>
      <c r="K109" s="612">
        <v>-3724288.9509999999</v>
      </c>
      <c r="L109" s="612">
        <v>1050424.94</v>
      </c>
      <c r="M109" s="612">
        <v>643963.48600000003</v>
      </c>
      <c r="N109" s="612">
        <v>445306.31900000002</v>
      </c>
      <c r="O109" s="612">
        <v>-105110.548</v>
      </c>
      <c r="P109" s="612">
        <v>506641.603</v>
      </c>
      <c r="Q109" s="612">
        <v>492120.89799999999</v>
      </c>
      <c r="R109" s="1017">
        <v>2016837.0149999999</v>
      </c>
    </row>
    <row r="110" spans="1:18" x14ac:dyDescent="0.25">
      <c r="A110" s="451" t="str">
        <f t="shared" si="1"/>
        <v>302500000_Result</v>
      </c>
      <c r="B110" s="1001" t="s">
        <v>796</v>
      </c>
      <c r="C110" s="806" t="s">
        <v>156</v>
      </c>
      <c r="D110" s="834" t="s">
        <v>1160</v>
      </c>
      <c r="E110" s="1020"/>
      <c r="F110" s="833"/>
      <c r="G110" s="833">
        <v>-3784481.4380000001</v>
      </c>
      <c r="H110" s="833">
        <v>-3617320.139</v>
      </c>
      <c r="I110" s="833">
        <v>-3653498.4070000001</v>
      </c>
      <c r="J110" s="833">
        <v>-3583263.8029999998</v>
      </c>
      <c r="K110" s="833">
        <v>-3724288.9509999999</v>
      </c>
      <c r="L110" s="833">
        <v>1050424.94</v>
      </c>
      <c r="M110" s="833">
        <v>643963.48600000003</v>
      </c>
      <c r="N110" s="833">
        <v>445306.31900000002</v>
      </c>
      <c r="O110" s="833">
        <v>-105110.548</v>
      </c>
      <c r="P110" s="833">
        <v>506641.603</v>
      </c>
      <c r="Q110" s="833">
        <v>492120.89799999999</v>
      </c>
      <c r="R110" s="1018">
        <v>2016837.0149999999</v>
      </c>
    </row>
    <row r="111" spans="1:18" x14ac:dyDescent="0.25">
      <c r="A111" s="451" t="str">
        <f t="shared" si="1"/>
        <v>303000000_#</v>
      </c>
      <c r="B111" s="1002" t="s">
        <v>795</v>
      </c>
      <c r="C111" s="807" t="s">
        <v>794</v>
      </c>
      <c r="D111" s="805" t="s">
        <v>1167</v>
      </c>
      <c r="E111" s="1016" t="s">
        <v>1168</v>
      </c>
      <c r="F111" s="612"/>
      <c r="G111" s="612">
        <v>-3784481.4380000001</v>
      </c>
      <c r="H111" s="612">
        <v>-3617320.139</v>
      </c>
      <c r="I111" s="612">
        <v>-3653498.4070000001</v>
      </c>
      <c r="J111" s="612">
        <v>-3583263.8029999998</v>
      </c>
      <c r="K111" s="612">
        <v>-3724288.9509999999</v>
      </c>
      <c r="L111" s="612">
        <v>1050424.94</v>
      </c>
      <c r="M111" s="612">
        <v>643963.48600000003</v>
      </c>
      <c r="N111" s="612">
        <v>445306.31900000002</v>
      </c>
      <c r="O111" s="612">
        <v>-105110.548</v>
      </c>
      <c r="P111" s="612">
        <v>506641.603</v>
      </c>
      <c r="Q111" s="612">
        <v>492120.89799999999</v>
      </c>
      <c r="R111" s="1017">
        <v>2016837.0149999999</v>
      </c>
    </row>
    <row r="112" spans="1:18" x14ac:dyDescent="0.25">
      <c r="A112" s="451" t="str">
        <f t="shared" si="1"/>
        <v>303000000_Result</v>
      </c>
      <c r="B112" s="1002" t="s">
        <v>795</v>
      </c>
      <c r="C112" s="807" t="s">
        <v>794</v>
      </c>
      <c r="D112" s="834" t="s">
        <v>1160</v>
      </c>
      <c r="E112" s="1020"/>
      <c r="F112" s="833"/>
      <c r="G112" s="833">
        <v>-3784481.4380000001</v>
      </c>
      <c r="H112" s="833">
        <v>-3617320.139</v>
      </c>
      <c r="I112" s="833">
        <v>-3653498.4070000001</v>
      </c>
      <c r="J112" s="833">
        <v>-3583263.8029999998</v>
      </c>
      <c r="K112" s="833">
        <v>-3724288.9509999999</v>
      </c>
      <c r="L112" s="833">
        <v>1050424.94</v>
      </c>
      <c r="M112" s="833">
        <v>643963.48600000003</v>
      </c>
      <c r="N112" s="833">
        <v>445306.31900000002</v>
      </c>
      <c r="O112" s="833">
        <v>-105110.548</v>
      </c>
      <c r="P112" s="833">
        <v>506641.603</v>
      </c>
      <c r="Q112" s="833">
        <v>492120.89799999999</v>
      </c>
      <c r="R112" s="1018">
        <v>2016837.0149999999</v>
      </c>
    </row>
    <row r="113" spans="1:18" x14ac:dyDescent="0.25">
      <c r="A113" s="451" t="str">
        <f t="shared" si="1"/>
        <v>303500000_#</v>
      </c>
      <c r="B113" s="1005" t="s">
        <v>793</v>
      </c>
      <c r="C113" s="808" t="s">
        <v>655</v>
      </c>
      <c r="D113" s="805" t="s">
        <v>1167</v>
      </c>
      <c r="E113" s="1016" t="s">
        <v>1168</v>
      </c>
      <c r="F113" s="612"/>
      <c r="G113" s="612">
        <v>-1804977.5349999999</v>
      </c>
      <c r="H113" s="612">
        <v>-1725447.5889999999</v>
      </c>
      <c r="I113" s="612">
        <v>-1760995.97</v>
      </c>
      <c r="J113" s="612">
        <v>-1699473.59</v>
      </c>
      <c r="K113" s="612">
        <v>-1835698.4790000001</v>
      </c>
      <c r="L113" s="612">
        <v>2937458.98</v>
      </c>
      <c r="M113" s="612">
        <v>2553153.5529999998</v>
      </c>
      <c r="N113" s="612">
        <v>2337299.1970000002</v>
      </c>
      <c r="O113" s="612">
        <v>1787879.25</v>
      </c>
      <c r="P113" s="612">
        <v>2393481.2379999999</v>
      </c>
      <c r="Q113" s="612">
        <v>2380666.8760000002</v>
      </c>
      <c r="R113" s="1017">
        <v>3907017.7850000001</v>
      </c>
    </row>
    <row r="114" spans="1:18" x14ac:dyDescent="0.25">
      <c r="A114" s="451" t="str">
        <f t="shared" si="1"/>
        <v>303500000_Result</v>
      </c>
      <c r="B114" s="1005" t="s">
        <v>793</v>
      </c>
      <c r="C114" s="808" t="s">
        <v>655</v>
      </c>
      <c r="D114" s="834" t="s">
        <v>1160</v>
      </c>
      <c r="E114" s="1020"/>
      <c r="F114" s="833"/>
      <c r="G114" s="833">
        <v>-1804977.5349999999</v>
      </c>
      <c r="H114" s="833">
        <v>-1725447.5889999999</v>
      </c>
      <c r="I114" s="833">
        <v>-1760995.97</v>
      </c>
      <c r="J114" s="833">
        <v>-1699473.59</v>
      </c>
      <c r="K114" s="833">
        <v>-1835698.4790000001</v>
      </c>
      <c r="L114" s="833">
        <v>2937458.98</v>
      </c>
      <c r="M114" s="833">
        <v>2553153.5529999998</v>
      </c>
      <c r="N114" s="833">
        <v>2337299.1970000002</v>
      </c>
      <c r="O114" s="833">
        <v>1787879.25</v>
      </c>
      <c r="P114" s="833">
        <v>2393481.2379999999</v>
      </c>
      <c r="Q114" s="833">
        <v>2380666.8760000002</v>
      </c>
      <c r="R114" s="1018">
        <v>3907017.7850000001</v>
      </c>
    </row>
    <row r="115" spans="1:18" x14ac:dyDescent="0.25">
      <c r="A115" s="451" t="str">
        <f t="shared" si="1"/>
        <v>304000000_#</v>
      </c>
      <c r="B115" s="1007" t="s">
        <v>792</v>
      </c>
      <c r="C115" s="809" t="s">
        <v>791</v>
      </c>
      <c r="D115" s="805" t="s">
        <v>1167</v>
      </c>
      <c r="E115" s="1016" t="s">
        <v>1168</v>
      </c>
      <c r="F115" s="612"/>
      <c r="G115" s="612">
        <v>-162103.45499999999</v>
      </c>
      <c r="H115" s="612">
        <v>-22683.742999999999</v>
      </c>
      <c r="I115" s="612">
        <v>-90504.351999999999</v>
      </c>
      <c r="J115" s="612">
        <v>-113277.675</v>
      </c>
      <c r="K115" s="612">
        <v>-205086.33199999999</v>
      </c>
      <c r="L115" s="612">
        <v>4554597.6720000003</v>
      </c>
      <c r="M115" s="612">
        <v>4315479.7</v>
      </c>
      <c r="N115" s="612">
        <v>4116695.5759999999</v>
      </c>
      <c r="O115" s="612">
        <v>3485855.07</v>
      </c>
      <c r="P115" s="612">
        <v>4070968.8319999999</v>
      </c>
      <c r="Q115" s="612">
        <v>4049218.8319999999</v>
      </c>
      <c r="R115" s="1017">
        <v>5578666.2659999998</v>
      </c>
    </row>
    <row r="116" spans="1:18" x14ac:dyDescent="0.25">
      <c r="A116" s="451" t="str">
        <f t="shared" si="1"/>
        <v>304000000_Result</v>
      </c>
      <c r="B116" s="1007" t="s">
        <v>792</v>
      </c>
      <c r="C116" s="809" t="s">
        <v>791</v>
      </c>
      <c r="D116" s="834" t="s">
        <v>1160</v>
      </c>
      <c r="E116" s="1020"/>
      <c r="F116" s="833"/>
      <c r="G116" s="833">
        <v>-162103.45499999999</v>
      </c>
      <c r="H116" s="833">
        <v>-22683.742999999999</v>
      </c>
      <c r="I116" s="833">
        <v>-90504.351999999999</v>
      </c>
      <c r="J116" s="833">
        <v>-113277.675</v>
      </c>
      <c r="K116" s="833">
        <v>-205086.33199999999</v>
      </c>
      <c r="L116" s="833">
        <v>4554597.6720000003</v>
      </c>
      <c r="M116" s="833">
        <v>4315479.7</v>
      </c>
      <c r="N116" s="833">
        <v>4116695.5759999999</v>
      </c>
      <c r="O116" s="833">
        <v>3485855.07</v>
      </c>
      <c r="P116" s="833">
        <v>4070968.8319999999</v>
      </c>
      <c r="Q116" s="833">
        <v>4049218.8319999999</v>
      </c>
      <c r="R116" s="1018">
        <v>5578666.2659999998</v>
      </c>
    </row>
    <row r="117" spans="1:18" x14ac:dyDescent="0.25">
      <c r="A117" s="451" t="str">
        <f t="shared" si="1"/>
        <v>304500000_#</v>
      </c>
      <c r="B117" s="1008" t="s">
        <v>790</v>
      </c>
      <c r="C117" s="835" t="s">
        <v>167</v>
      </c>
      <c r="D117" s="805" t="s">
        <v>1167</v>
      </c>
      <c r="E117" s="1016" t="s">
        <v>1168</v>
      </c>
      <c r="F117" s="612"/>
      <c r="G117" s="612">
        <v>15924993.796</v>
      </c>
      <c r="H117" s="612">
        <v>14138873.407</v>
      </c>
      <c r="I117" s="612">
        <v>15464984.203</v>
      </c>
      <c r="J117" s="612">
        <v>16060070.305</v>
      </c>
      <c r="K117" s="612">
        <v>16393335.776000001</v>
      </c>
      <c r="L117" s="612">
        <v>15267090.880000001</v>
      </c>
      <c r="M117" s="612">
        <v>17520240.607000001</v>
      </c>
      <c r="N117" s="612">
        <v>13577475.045</v>
      </c>
      <c r="O117" s="612">
        <v>14709743.471000001</v>
      </c>
      <c r="P117" s="612">
        <v>16405514.567</v>
      </c>
      <c r="Q117" s="612">
        <v>16405514.567</v>
      </c>
      <c r="R117" s="1017">
        <v>16405514.564999999</v>
      </c>
    </row>
    <row r="118" spans="1:18" x14ac:dyDescent="0.25">
      <c r="A118" s="451" t="str">
        <f t="shared" si="1"/>
        <v>304500000_Result</v>
      </c>
      <c r="B118" s="1008" t="s">
        <v>790</v>
      </c>
      <c r="C118" s="835" t="s">
        <v>167</v>
      </c>
      <c r="D118" s="834" t="s">
        <v>1160</v>
      </c>
      <c r="E118" s="1020"/>
      <c r="F118" s="833"/>
      <c r="G118" s="833">
        <v>15924993.796</v>
      </c>
      <c r="H118" s="833">
        <v>14138873.407</v>
      </c>
      <c r="I118" s="833">
        <v>15464984.203</v>
      </c>
      <c r="J118" s="833">
        <v>16060070.305</v>
      </c>
      <c r="K118" s="833">
        <v>16393335.776000001</v>
      </c>
      <c r="L118" s="833">
        <v>15267090.880000001</v>
      </c>
      <c r="M118" s="833">
        <v>17520240.607000001</v>
      </c>
      <c r="N118" s="833">
        <v>13577475.045</v>
      </c>
      <c r="O118" s="833">
        <v>14709743.471000001</v>
      </c>
      <c r="P118" s="833">
        <v>16405514.567</v>
      </c>
      <c r="Q118" s="833">
        <v>16405514.567</v>
      </c>
      <c r="R118" s="1018">
        <v>16405514.564999999</v>
      </c>
    </row>
    <row r="119" spans="1:18" x14ac:dyDescent="0.25">
      <c r="A119" s="451" t="str">
        <f t="shared" si="1"/>
        <v>305000000_#</v>
      </c>
      <c r="B119" s="1009" t="s">
        <v>789</v>
      </c>
      <c r="C119" s="810" t="s">
        <v>697</v>
      </c>
      <c r="D119" s="805" t="s">
        <v>1167</v>
      </c>
      <c r="E119" s="1016" t="s">
        <v>1168</v>
      </c>
      <c r="F119" s="612"/>
      <c r="G119" s="612">
        <v>15924993.796</v>
      </c>
      <c r="H119" s="612">
        <v>14138873.407</v>
      </c>
      <c r="I119" s="612">
        <v>15464984.203</v>
      </c>
      <c r="J119" s="612">
        <v>16060070.305</v>
      </c>
      <c r="K119" s="612">
        <v>16393335.776000001</v>
      </c>
      <c r="L119" s="612">
        <v>15267090.880000001</v>
      </c>
      <c r="M119" s="612">
        <v>17520240.607000001</v>
      </c>
      <c r="N119" s="612">
        <v>13577475.045</v>
      </c>
      <c r="O119" s="612">
        <v>14709743.471000001</v>
      </c>
      <c r="P119" s="612">
        <v>16405514.567</v>
      </c>
      <c r="Q119" s="612">
        <v>16405514.567</v>
      </c>
      <c r="R119" s="1017">
        <v>16405514.564999999</v>
      </c>
    </row>
    <row r="120" spans="1:18" x14ac:dyDescent="0.25">
      <c r="A120" s="451" t="str">
        <f t="shared" si="1"/>
        <v>305000000_Result</v>
      </c>
      <c r="B120" s="1009" t="s">
        <v>789</v>
      </c>
      <c r="C120" s="810" t="s">
        <v>697</v>
      </c>
      <c r="D120" s="834" t="s">
        <v>1160</v>
      </c>
      <c r="E120" s="1020"/>
      <c r="F120" s="833"/>
      <c r="G120" s="833">
        <v>15924993.796</v>
      </c>
      <c r="H120" s="833">
        <v>14138873.407</v>
      </c>
      <c r="I120" s="833">
        <v>15464984.203</v>
      </c>
      <c r="J120" s="833">
        <v>16060070.305</v>
      </c>
      <c r="K120" s="833">
        <v>16393335.776000001</v>
      </c>
      <c r="L120" s="833">
        <v>15267090.880000001</v>
      </c>
      <c r="M120" s="833">
        <v>17520240.607000001</v>
      </c>
      <c r="N120" s="833">
        <v>13577475.045</v>
      </c>
      <c r="O120" s="833">
        <v>14709743.471000001</v>
      </c>
      <c r="P120" s="833">
        <v>16405514.567</v>
      </c>
      <c r="Q120" s="833">
        <v>16405514.567</v>
      </c>
      <c r="R120" s="1018">
        <v>16405514.564999999</v>
      </c>
    </row>
    <row r="121" spans="1:18" x14ac:dyDescent="0.25">
      <c r="A121" s="451" t="str">
        <f t="shared" si="1"/>
        <v>305002100_#</v>
      </c>
      <c r="B121" s="1010" t="s">
        <v>785</v>
      </c>
      <c r="C121" s="811" t="s">
        <v>693</v>
      </c>
      <c r="D121" s="805" t="s">
        <v>1167</v>
      </c>
      <c r="E121" s="1016" t="s">
        <v>1168</v>
      </c>
      <c r="F121" s="612"/>
      <c r="G121" s="612">
        <v>15924993.796</v>
      </c>
      <c r="H121" s="612">
        <v>14138873.407</v>
      </c>
      <c r="I121" s="612">
        <v>15464984.203</v>
      </c>
      <c r="J121" s="612">
        <v>16060070.305</v>
      </c>
      <c r="K121" s="612">
        <v>16393335.776000001</v>
      </c>
      <c r="L121" s="612">
        <v>15267090.880000001</v>
      </c>
      <c r="M121" s="612">
        <v>17520240.607000001</v>
      </c>
      <c r="N121" s="612">
        <v>13577475.045</v>
      </c>
      <c r="O121" s="612">
        <v>14709743.471000001</v>
      </c>
      <c r="P121" s="612">
        <v>16405514.567</v>
      </c>
      <c r="Q121" s="612">
        <v>16405514.567</v>
      </c>
      <c r="R121" s="1017">
        <v>16405514.564999999</v>
      </c>
    </row>
    <row r="122" spans="1:18" x14ac:dyDescent="0.25">
      <c r="A122" s="451" t="str">
        <f t="shared" si="1"/>
        <v>305002100_Result</v>
      </c>
      <c r="B122" s="1010" t="s">
        <v>785</v>
      </c>
      <c r="C122" s="811" t="s">
        <v>693</v>
      </c>
      <c r="D122" s="834" t="s">
        <v>1160</v>
      </c>
      <c r="E122" s="1020"/>
      <c r="F122" s="833"/>
      <c r="G122" s="833">
        <v>15924993.796</v>
      </c>
      <c r="H122" s="833">
        <v>14138873.407</v>
      </c>
      <c r="I122" s="833">
        <v>15464984.203</v>
      </c>
      <c r="J122" s="833">
        <v>16060070.305</v>
      </c>
      <c r="K122" s="833">
        <v>16393335.776000001</v>
      </c>
      <c r="L122" s="833">
        <v>15267090.880000001</v>
      </c>
      <c r="M122" s="833">
        <v>17520240.607000001</v>
      </c>
      <c r="N122" s="833">
        <v>13577475.045</v>
      </c>
      <c r="O122" s="833">
        <v>14709743.471000001</v>
      </c>
      <c r="P122" s="833">
        <v>16405514.567</v>
      </c>
      <c r="Q122" s="833">
        <v>16405514.567</v>
      </c>
      <c r="R122" s="1018">
        <v>16405514.564999999</v>
      </c>
    </row>
    <row r="123" spans="1:18" x14ac:dyDescent="0.25">
      <c r="A123" s="451" t="str">
        <f t="shared" si="1"/>
        <v>306000000_#</v>
      </c>
      <c r="B123" s="1008" t="s">
        <v>784</v>
      </c>
      <c r="C123" s="835" t="s">
        <v>689</v>
      </c>
      <c r="D123" s="805" t="s">
        <v>1167</v>
      </c>
      <c r="E123" s="1016" t="s">
        <v>1168</v>
      </c>
      <c r="F123" s="612"/>
      <c r="G123" s="612">
        <v>-16087097.251</v>
      </c>
      <c r="H123" s="612">
        <v>-14161557.15</v>
      </c>
      <c r="I123" s="612">
        <v>-15555488.555</v>
      </c>
      <c r="J123" s="612">
        <v>-16173347.98</v>
      </c>
      <c r="K123" s="612">
        <v>-16598422.107999999</v>
      </c>
      <c r="L123" s="612">
        <v>-10712493.208000001</v>
      </c>
      <c r="M123" s="612">
        <v>-13204760.907</v>
      </c>
      <c r="N123" s="612">
        <v>-9460779.4690000005</v>
      </c>
      <c r="O123" s="612">
        <v>-11223888.401000001</v>
      </c>
      <c r="P123" s="612">
        <v>-12334545.734999999</v>
      </c>
      <c r="Q123" s="612">
        <v>-12356295.734999999</v>
      </c>
      <c r="R123" s="1017">
        <v>-10826848.299000001</v>
      </c>
    </row>
    <row r="124" spans="1:18" x14ac:dyDescent="0.25">
      <c r="A124" s="451" t="str">
        <f t="shared" si="1"/>
        <v>306000000_Result</v>
      </c>
      <c r="B124" s="1008" t="s">
        <v>784</v>
      </c>
      <c r="C124" s="835" t="s">
        <v>689</v>
      </c>
      <c r="D124" s="834" t="s">
        <v>1160</v>
      </c>
      <c r="E124" s="1020"/>
      <c r="F124" s="833"/>
      <c r="G124" s="833">
        <v>-16087097.251</v>
      </c>
      <c r="H124" s="833">
        <v>-14161557.15</v>
      </c>
      <c r="I124" s="833">
        <v>-15555488.555</v>
      </c>
      <c r="J124" s="833">
        <v>-16173347.98</v>
      </c>
      <c r="K124" s="833">
        <v>-16598422.107999999</v>
      </c>
      <c r="L124" s="833">
        <v>-10712493.208000001</v>
      </c>
      <c r="M124" s="833">
        <v>-13204760.907</v>
      </c>
      <c r="N124" s="833">
        <v>-9460779.4690000005</v>
      </c>
      <c r="O124" s="833">
        <v>-11223888.401000001</v>
      </c>
      <c r="P124" s="833">
        <v>-12334545.734999999</v>
      </c>
      <c r="Q124" s="833">
        <v>-12356295.734999999</v>
      </c>
      <c r="R124" s="1018">
        <v>-10826848.299000001</v>
      </c>
    </row>
    <row r="125" spans="1:18" x14ac:dyDescent="0.25">
      <c r="A125" s="451" t="str">
        <f t="shared" si="1"/>
        <v>306500000_#</v>
      </c>
      <c r="B125" s="1009" t="s">
        <v>783</v>
      </c>
      <c r="C125" s="810" t="s">
        <v>782</v>
      </c>
      <c r="D125" s="805" t="s">
        <v>1167</v>
      </c>
      <c r="E125" s="1016" t="s">
        <v>1168</v>
      </c>
      <c r="F125" s="612"/>
      <c r="G125" s="612">
        <v>-15524536.229</v>
      </c>
      <c r="H125" s="612">
        <v>-13704343.478</v>
      </c>
      <c r="I125" s="612">
        <v>-15086607.59</v>
      </c>
      <c r="J125" s="612">
        <v>-15693523.884</v>
      </c>
      <c r="K125" s="612">
        <v>-16047857.499</v>
      </c>
      <c r="L125" s="612">
        <v>-10204233.527000001</v>
      </c>
      <c r="M125" s="612">
        <v>-12648127.624</v>
      </c>
      <c r="N125" s="612">
        <v>-9029757.3560000006</v>
      </c>
      <c r="O125" s="612">
        <v>-10762035.914000001</v>
      </c>
      <c r="P125" s="612">
        <v>-11896827.493000001</v>
      </c>
      <c r="Q125" s="612">
        <v>-11896827.493000001</v>
      </c>
      <c r="R125" s="1017">
        <v>-10496430.055</v>
      </c>
    </row>
    <row r="126" spans="1:18" x14ac:dyDescent="0.25">
      <c r="A126" s="451" t="str">
        <f t="shared" si="1"/>
        <v>306500000_Result</v>
      </c>
      <c r="B126" s="1009" t="s">
        <v>783</v>
      </c>
      <c r="C126" s="810" t="s">
        <v>782</v>
      </c>
      <c r="D126" s="834" t="s">
        <v>1160</v>
      </c>
      <c r="E126" s="1020"/>
      <c r="F126" s="833"/>
      <c r="G126" s="833">
        <v>-15524536.229</v>
      </c>
      <c r="H126" s="833">
        <v>-13704343.478</v>
      </c>
      <c r="I126" s="833">
        <v>-15086607.59</v>
      </c>
      <c r="J126" s="833">
        <v>-15693523.884</v>
      </c>
      <c r="K126" s="833">
        <v>-16047857.499</v>
      </c>
      <c r="L126" s="833">
        <v>-10204233.527000001</v>
      </c>
      <c r="M126" s="833">
        <v>-12648127.624</v>
      </c>
      <c r="N126" s="833">
        <v>-9029757.3560000006</v>
      </c>
      <c r="O126" s="833">
        <v>-10762035.914000001</v>
      </c>
      <c r="P126" s="833">
        <v>-11896827.493000001</v>
      </c>
      <c r="Q126" s="833">
        <v>-11896827.493000001</v>
      </c>
      <c r="R126" s="1018">
        <v>-10496430.055</v>
      </c>
    </row>
    <row r="127" spans="1:18" x14ac:dyDescent="0.25">
      <c r="A127" s="451" t="str">
        <f t="shared" si="1"/>
        <v>306501600_#</v>
      </c>
      <c r="B127" s="1010" t="s">
        <v>780</v>
      </c>
      <c r="C127" s="811" t="s">
        <v>779</v>
      </c>
      <c r="D127" s="805" t="s">
        <v>1167</v>
      </c>
      <c r="E127" s="1016" t="s">
        <v>1168</v>
      </c>
      <c r="F127" s="612"/>
      <c r="G127" s="612">
        <v>-15342358.956</v>
      </c>
      <c r="H127" s="612">
        <v>-13543719.783</v>
      </c>
      <c r="I127" s="612">
        <v>-14912298.009</v>
      </c>
      <c r="J127" s="612">
        <v>-15512031.254000001</v>
      </c>
      <c r="K127" s="612">
        <v>-15863189.937000001</v>
      </c>
      <c r="L127" s="612">
        <v>-10032858.168</v>
      </c>
      <c r="M127" s="612">
        <v>-12450161.941</v>
      </c>
      <c r="N127" s="612">
        <v>-8878322.0099999998</v>
      </c>
      <c r="O127" s="612">
        <v>-10597207.592</v>
      </c>
      <c r="P127" s="612">
        <v>-11711955.495999999</v>
      </c>
      <c r="Q127" s="612">
        <v>-11711955.495999999</v>
      </c>
      <c r="R127" s="1017">
        <v>-10311558.058</v>
      </c>
    </row>
    <row r="128" spans="1:18" x14ac:dyDescent="0.25">
      <c r="A128" s="451" t="str">
        <f t="shared" si="1"/>
        <v>306501600_Result</v>
      </c>
      <c r="B128" s="1010" t="s">
        <v>780</v>
      </c>
      <c r="C128" s="811" t="s">
        <v>779</v>
      </c>
      <c r="D128" s="834" t="s">
        <v>1160</v>
      </c>
      <c r="E128" s="1020"/>
      <c r="F128" s="833"/>
      <c r="G128" s="833">
        <v>-15342358.956</v>
      </c>
      <c r="H128" s="833">
        <v>-13543719.783</v>
      </c>
      <c r="I128" s="833">
        <v>-14912298.009</v>
      </c>
      <c r="J128" s="833">
        <v>-15512031.254000001</v>
      </c>
      <c r="K128" s="833">
        <v>-15863189.937000001</v>
      </c>
      <c r="L128" s="833">
        <v>-10032858.168</v>
      </c>
      <c r="M128" s="833">
        <v>-12450161.941</v>
      </c>
      <c r="N128" s="833">
        <v>-8878322.0099999998</v>
      </c>
      <c r="O128" s="833">
        <v>-10597207.592</v>
      </c>
      <c r="P128" s="833">
        <v>-11711955.495999999</v>
      </c>
      <c r="Q128" s="833">
        <v>-11711955.495999999</v>
      </c>
      <c r="R128" s="1018">
        <v>-10311558.058</v>
      </c>
    </row>
    <row r="129" spans="1:18" x14ac:dyDescent="0.25">
      <c r="A129" s="451" t="str">
        <f t="shared" si="1"/>
        <v>307000000_#</v>
      </c>
      <c r="B129" s="1011" t="s">
        <v>778</v>
      </c>
      <c r="C129" s="811" t="s">
        <v>777</v>
      </c>
      <c r="D129" s="805" t="s">
        <v>1167</v>
      </c>
      <c r="E129" s="1016" t="s">
        <v>1168</v>
      </c>
      <c r="F129" s="612"/>
      <c r="G129" s="612">
        <v>-182177.27299999999</v>
      </c>
      <c r="H129" s="612">
        <v>-160623.69500000001</v>
      </c>
      <c r="I129" s="612">
        <v>-174309.58100000001</v>
      </c>
      <c r="J129" s="612">
        <v>-181492.63</v>
      </c>
      <c r="K129" s="612">
        <v>-184667.56200000001</v>
      </c>
      <c r="L129" s="612">
        <v>-171375.359</v>
      </c>
      <c r="M129" s="612">
        <v>-197965.68299999999</v>
      </c>
      <c r="N129" s="612">
        <v>-151435.34599999999</v>
      </c>
      <c r="O129" s="612">
        <v>-164828.32199999999</v>
      </c>
      <c r="P129" s="612">
        <v>-184871.997</v>
      </c>
      <c r="Q129" s="612">
        <v>-184871.997</v>
      </c>
      <c r="R129" s="1017">
        <v>-184871.997</v>
      </c>
    </row>
    <row r="130" spans="1:18" x14ac:dyDescent="0.25">
      <c r="A130" s="451" t="str">
        <f t="shared" si="1"/>
        <v>307000000_Result</v>
      </c>
      <c r="B130" s="1011" t="s">
        <v>778</v>
      </c>
      <c r="C130" s="811" t="s">
        <v>777</v>
      </c>
      <c r="D130" s="834" t="s">
        <v>1160</v>
      </c>
      <c r="E130" s="1020"/>
      <c r="F130" s="833"/>
      <c r="G130" s="833">
        <v>-182177.27299999999</v>
      </c>
      <c r="H130" s="833">
        <v>-160623.69500000001</v>
      </c>
      <c r="I130" s="833">
        <v>-174309.58100000001</v>
      </c>
      <c r="J130" s="833">
        <v>-181492.63</v>
      </c>
      <c r="K130" s="833">
        <v>-184667.56200000001</v>
      </c>
      <c r="L130" s="833">
        <v>-171375.359</v>
      </c>
      <c r="M130" s="833">
        <v>-197965.68299999999</v>
      </c>
      <c r="N130" s="833">
        <v>-151435.34599999999</v>
      </c>
      <c r="O130" s="833">
        <v>-164828.32199999999</v>
      </c>
      <c r="P130" s="833">
        <v>-184871.997</v>
      </c>
      <c r="Q130" s="833">
        <v>-184871.997</v>
      </c>
      <c r="R130" s="1018">
        <v>-184871.997</v>
      </c>
    </row>
    <row r="131" spans="1:18" x14ac:dyDescent="0.25">
      <c r="A131" s="451" t="str">
        <f t="shared" si="1"/>
        <v>307001600_#</v>
      </c>
      <c r="B131" s="1012" t="s">
        <v>776</v>
      </c>
      <c r="C131" s="811" t="s">
        <v>684</v>
      </c>
      <c r="D131" s="805" t="s">
        <v>1167</v>
      </c>
      <c r="E131" s="1016" t="s">
        <v>1168</v>
      </c>
      <c r="F131" s="612"/>
      <c r="G131" s="612">
        <v>-114175.917</v>
      </c>
      <c r="H131" s="612">
        <v>-100686.323</v>
      </c>
      <c r="I131" s="612">
        <v>-109930.33</v>
      </c>
      <c r="J131" s="612">
        <v>-114425.25900000001</v>
      </c>
      <c r="K131" s="612">
        <v>-116655.686</v>
      </c>
      <c r="L131" s="612">
        <v>-108238.166</v>
      </c>
      <c r="M131" s="612">
        <v>-125077.622</v>
      </c>
      <c r="N131" s="612">
        <v>-95610.365000000005</v>
      </c>
      <c r="O131" s="612">
        <v>-104081.696</v>
      </c>
      <c r="P131" s="612">
        <v>-116764.694</v>
      </c>
      <c r="Q131" s="612">
        <v>-116764.694</v>
      </c>
      <c r="R131" s="1017">
        <v>-116764.694</v>
      </c>
    </row>
    <row r="132" spans="1:18" x14ac:dyDescent="0.25">
      <c r="A132" s="451" t="str">
        <f t="shared" ref="A132:A195" si="2" xml:space="preserve"> IFERROR(+B132*1,B132)&amp;"_"&amp;IFERROR(+D132*1,D132)</f>
        <v>307001600_Result</v>
      </c>
      <c r="B132" s="1012" t="s">
        <v>776</v>
      </c>
      <c r="C132" s="811" t="s">
        <v>684</v>
      </c>
      <c r="D132" s="834" t="s">
        <v>1160</v>
      </c>
      <c r="E132" s="1020"/>
      <c r="F132" s="833"/>
      <c r="G132" s="833">
        <v>-114175.917</v>
      </c>
      <c r="H132" s="833">
        <v>-100686.323</v>
      </c>
      <c r="I132" s="833">
        <v>-109930.33</v>
      </c>
      <c r="J132" s="833">
        <v>-114425.25900000001</v>
      </c>
      <c r="K132" s="833">
        <v>-116655.686</v>
      </c>
      <c r="L132" s="833">
        <v>-108238.166</v>
      </c>
      <c r="M132" s="833">
        <v>-125077.622</v>
      </c>
      <c r="N132" s="833">
        <v>-95610.365000000005</v>
      </c>
      <c r="O132" s="833">
        <v>-104081.696</v>
      </c>
      <c r="P132" s="833">
        <v>-116764.694</v>
      </c>
      <c r="Q132" s="833">
        <v>-116764.694</v>
      </c>
      <c r="R132" s="1018">
        <v>-116764.694</v>
      </c>
    </row>
    <row r="133" spans="1:18" x14ac:dyDescent="0.25">
      <c r="A133" s="451" t="str">
        <f t="shared" si="2"/>
        <v>307002100_#</v>
      </c>
      <c r="B133" s="1012" t="s">
        <v>775</v>
      </c>
      <c r="C133" s="811" t="s">
        <v>683</v>
      </c>
      <c r="D133" s="805" t="s">
        <v>1167</v>
      </c>
      <c r="E133" s="1016" t="s">
        <v>1168</v>
      </c>
      <c r="F133" s="612"/>
      <c r="G133" s="612">
        <v>-68001.356</v>
      </c>
      <c r="H133" s="612">
        <v>-59937.372000000003</v>
      </c>
      <c r="I133" s="612">
        <v>-64379.250999999997</v>
      </c>
      <c r="J133" s="612">
        <v>-67067.370999999999</v>
      </c>
      <c r="K133" s="612">
        <v>-68011.876000000004</v>
      </c>
      <c r="L133" s="612">
        <v>-63137.192999999999</v>
      </c>
      <c r="M133" s="612">
        <v>-72888.061000000002</v>
      </c>
      <c r="N133" s="612">
        <v>-55824.981</v>
      </c>
      <c r="O133" s="612">
        <v>-60746.625999999997</v>
      </c>
      <c r="P133" s="612">
        <v>-68107.303</v>
      </c>
      <c r="Q133" s="612">
        <v>-68107.303</v>
      </c>
      <c r="R133" s="1017">
        <v>-68107.303</v>
      </c>
    </row>
    <row r="134" spans="1:18" x14ac:dyDescent="0.25">
      <c r="A134" s="451" t="str">
        <f t="shared" si="2"/>
        <v>307002100_Result</v>
      </c>
      <c r="B134" s="1012" t="s">
        <v>775</v>
      </c>
      <c r="C134" s="811" t="s">
        <v>683</v>
      </c>
      <c r="D134" s="834" t="s">
        <v>1160</v>
      </c>
      <c r="E134" s="1020"/>
      <c r="F134" s="833"/>
      <c r="G134" s="833">
        <v>-68001.356</v>
      </c>
      <c r="H134" s="833">
        <v>-59937.372000000003</v>
      </c>
      <c r="I134" s="833">
        <v>-64379.250999999997</v>
      </c>
      <c r="J134" s="833">
        <v>-67067.370999999999</v>
      </c>
      <c r="K134" s="833">
        <v>-68011.876000000004</v>
      </c>
      <c r="L134" s="833">
        <v>-63137.192999999999</v>
      </c>
      <c r="M134" s="833">
        <v>-72888.061000000002</v>
      </c>
      <c r="N134" s="833">
        <v>-55824.981</v>
      </c>
      <c r="O134" s="833">
        <v>-60746.625999999997</v>
      </c>
      <c r="P134" s="833">
        <v>-68107.303</v>
      </c>
      <c r="Q134" s="833">
        <v>-68107.303</v>
      </c>
      <c r="R134" s="1018">
        <v>-68107.303</v>
      </c>
    </row>
    <row r="135" spans="1:18" x14ac:dyDescent="0.25">
      <c r="A135" s="451" t="str">
        <f t="shared" si="2"/>
        <v>307500000_#</v>
      </c>
      <c r="B135" s="1009" t="s">
        <v>774</v>
      </c>
      <c r="C135" s="810" t="s">
        <v>681</v>
      </c>
      <c r="D135" s="805" t="s">
        <v>1167</v>
      </c>
      <c r="E135" s="1016" t="s">
        <v>1168</v>
      </c>
      <c r="F135" s="612"/>
      <c r="G135" s="612">
        <v>-562561.022</v>
      </c>
      <c r="H135" s="612">
        <v>-457213.67200000002</v>
      </c>
      <c r="I135" s="612">
        <v>-468880.96500000003</v>
      </c>
      <c r="J135" s="612">
        <v>-479824.09600000002</v>
      </c>
      <c r="K135" s="612">
        <v>-550564.60900000005</v>
      </c>
      <c r="L135" s="612">
        <v>-508259.68099999998</v>
      </c>
      <c r="M135" s="612">
        <v>-556633.28300000005</v>
      </c>
      <c r="N135" s="612">
        <v>-431022.11300000001</v>
      </c>
      <c r="O135" s="612">
        <v>-461852.48700000002</v>
      </c>
      <c r="P135" s="612">
        <v>-437718.24200000003</v>
      </c>
      <c r="Q135" s="612">
        <v>-459468.24200000003</v>
      </c>
      <c r="R135" s="1017">
        <v>-330418.24400000001</v>
      </c>
    </row>
    <row r="136" spans="1:18" x14ac:dyDescent="0.25">
      <c r="A136" s="451" t="str">
        <f t="shared" si="2"/>
        <v>307500000_Result</v>
      </c>
      <c r="B136" s="1009" t="s">
        <v>774</v>
      </c>
      <c r="C136" s="810" t="s">
        <v>681</v>
      </c>
      <c r="D136" s="834" t="s">
        <v>1160</v>
      </c>
      <c r="E136" s="1020"/>
      <c r="F136" s="833"/>
      <c r="G136" s="833">
        <v>-562561.022</v>
      </c>
      <c r="H136" s="833">
        <v>-457213.67200000002</v>
      </c>
      <c r="I136" s="833">
        <v>-468880.96500000003</v>
      </c>
      <c r="J136" s="833">
        <v>-479824.09600000002</v>
      </c>
      <c r="K136" s="833">
        <v>-550564.60900000005</v>
      </c>
      <c r="L136" s="833">
        <v>-508259.68099999998</v>
      </c>
      <c r="M136" s="833">
        <v>-556633.28300000005</v>
      </c>
      <c r="N136" s="833">
        <v>-431022.11300000001</v>
      </c>
      <c r="O136" s="833">
        <v>-461852.48700000002</v>
      </c>
      <c r="P136" s="833">
        <v>-437718.24200000003</v>
      </c>
      <c r="Q136" s="833">
        <v>-459468.24200000003</v>
      </c>
      <c r="R136" s="1018">
        <v>-330418.24400000001</v>
      </c>
    </row>
    <row r="137" spans="1:18" x14ac:dyDescent="0.25">
      <c r="A137" s="451" t="str">
        <f t="shared" si="2"/>
        <v>308500000_#</v>
      </c>
      <c r="B137" s="1011" t="s">
        <v>770</v>
      </c>
      <c r="C137" s="811" t="s">
        <v>769</v>
      </c>
      <c r="D137" s="805" t="s">
        <v>1167</v>
      </c>
      <c r="E137" s="1016" t="s">
        <v>1168</v>
      </c>
      <c r="F137" s="612"/>
      <c r="G137" s="612">
        <v>-486678.86599999998</v>
      </c>
      <c r="H137" s="612">
        <v>-390262.11700000003</v>
      </c>
      <c r="I137" s="612">
        <v>-395298.85600000003</v>
      </c>
      <c r="J137" s="612">
        <v>-403266.55699999997</v>
      </c>
      <c r="K137" s="612">
        <v>-472340.74300000002</v>
      </c>
      <c r="L137" s="612">
        <v>-435667.03899999999</v>
      </c>
      <c r="M137" s="612">
        <v>-472774.89199999999</v>
      </c>
      <c r="N137" s="612">
        <v>-366877.55</v>
      </c>
      <c r="O137" s="612">
        <v>-392046.58199999999</v>
      </c>
      <c r="P137" s="612">
        <v>-359433.48200000002</v>
      </c>
      <c r="Q137" s="612">
        <v>-381183.48200000002</v>
      </c>
      <c r="R137" s="1017">
        <v>-252133.484</v>
      </c>
    </row>
    <row r="138" spans="1:18" x14ac:dyDescent="0.25">
      <c r="A138" s="451" t="str">
        <f t="shared" si="2"/>
        <v>308500000_Result</v>
      </c>
      <c r="B138" s="1011" t="s">
        <v>770</v>
      </c>
      <c r="C138" s="811" t="s">
        <v>769</v>
      </c>
      <c r="D138" s="834" t="s">
        <v>1160</v>
      </c>
      <c r="E138" s="1020"/>
      <c r="F138" s="833"/>
      <c r="G138" s="833">
        <v>-486678.86599999998</v>
      </c>
      <c r="H138" s="833">
        <v>-390262.11700000003</v>
      </c>
      <c r="I138" s="833">
        <v>-395298.85600000003</v>
      </c>
      <c r="J138" s="833">
        <v>-403266.55699999997</v>
      </c>
      <c r="K138" s="833">
        <v>-472340.74300000002</v>
      </c>
      <c r="L138" s="833">
        <v>-435667.03899999999</v>
      </c>
      <c r="M138" s="833">
        <v>-472774.89199999999</v>
      </c>
      <c r="N138" s="833">
        <v>-366877.55</v>
      </c>
      <c r="O138" s="833">
        <v>-392046.58199999999</v>
      </c>
      <c r="P138" s="833">
        <v>-359433.48200000002</v>
      </c>
      <c r="Q138" s="833">
        <v>-381183.48200000002</v>
      </c>
      <c r="R138" s="1018">
        <v>-252133.484</v>
      </c>
    </row>
    <row r="139" spans="1:18" x14ac:dyDescent="0.25">
      <c r="A139" s="451" t="str">
        <f t="shared" si="2"/>
        <v>309500000_#</v>
      </c>
      <c r="B139" s="1013" t="s">
        <v>768</v>
      </c>
      <c r="C139" s="811" t="s">
        <v>767</v>
      </c>
      <c r="D139" s="805" t="s">
        <v>1167</v>
      </c>
      <c r="E139" s="1016" t="s">
        <v>1168</v>
      </c>
      <c r="F139" s="612"/>
      <c r="G139" s="612">
        <v>-486678.86599999998</v>
      </c>
      <c r="H139" s="612">
        <v>-390262.11700000003</v>
      </c>
      <c r="I139" s="612">
        <v>-395298.85600000003</v>
      </c>
      <c r="J139" s="612">
        <v>-403266.55699999997</v>
      </c>
      <c r="K139" s="612">
        <v>-472340.74300000002</v>
      </c>
      <c r="L139" s="612">
        <v>-435667.03899999999</v>
      </c>
      <c r="M139" s="612">
        <v>-472774.89199999999</v>
      </c>
      <c r="N139" s="612">
        <v>-366877.55</v>
      </c>
      <c r="O139" s="612">
        <v>-392046.58199999999</v>
      </c>
      <c r="P139" s="612">
        <v>-359433.48200000002</v>
      </c>
      <c r="Q139" s="612">
        <v>-381183.48200000002</v>
      </c>
      <c r="R139" s="1017">
        <v>-252133.484</v>
      </c>
    </row>
    <row r="140" spans="1:18" x14ac:dyDescent="0.25">
      <c r="A140" s="451" t="str">
        <f t="shared" si="2"/>
        <v>309500000_Result</v>
      </c>
      <c r="B140" s="1013" t="s">
        <v>768</v>
      </c>
      <c r="C140" s="811" t="s">
        <v>767</v>
      </c>
      <c r="D140" s="834" t="s">
        <v>1160</v>
      </c>
      <c r="E140" s="1020"/>
      <c r="F140" s="833"/>
      <c r="G140" s="833">
        <v>-486678.86599999998</v>
      </c>
      <c r="H140" s="833">
        <v>-390262.11700000003</v>
      </c>
      <c r="I140" s="833">
        <v>-395298.85600000003</v>
      </c>
      <c r="J140" s="833">
        <v>-403266.55699999997</v>
      </c>
      <c r="K140" s="833">
        <v>-472340.74300000002</v>
      </c>
      <c r="L140" s="833">
        <v>-435667.03899999999</v>
      </c>
      <c r="M140" s="833">
        <v>-472774.89199999999</v>
      </c>
      <c r="N140" s="833">
        <v>-366877.55</v>
      </c>
      <c r="O140" s="833">
        <v>-392046.58199999999</v>
      </c>
      <c r="P140" s="833">
        <v>-359433.48200000002</v>
      </c>
      <c r="Q140" s="833">
        <v>-381183.48200000002</v>
      </c>
      <c r="R140" s="1018">
        <v>-252133.484</v>
      </c>
    </row>
    <row r="141" spans="1:18" x14ac:dyDescent="0.25">
      <c r="A141" s="451" t="str">
        <f t="shared" si="2"/>
        <v>309503100_#</v>
      </c>
      <c r="B141" s="1014" t="s">
        <v>766</v>
      </c>
      <c r="C141" s="811" t="s">
        <v>765</v>
      </c>
      <c r="D141" s="805" t="s">
        <v>1167</v>
      </c>
      <c r="E141" s="1016" t="s">
        <v>1168</v>
      </c>
      <c r="F141" s="612"/>
      <c r="G141" s="612">
        <v>-240178.86600000001</v>
      </c>
      <c r="H141" s="612">
        <v>-211912.117</v>
      </c>
      <c r="I141" s="612">
        <v>-232898.856</v>
      </c>
      <c r="J141" s="612">
        <v>-242316.557</v>
      </c>
      <c r="K141" s="612">
        <v>-247590.74299999999</v>
      </c>
      <c r="L141" s="612">
        <v>-229767.03899999999</v>
      </c>
      <c r="M141" s="612">
        <v>-265424.89199999999</v>
      </c>
      <c r="N141" s="612">
        <v>-203027.55</v>
      </c>
      <c r="O141" s="612">
        <v>-220946.58199999999</v>
      </c>
      <c r="P141" s="612">
        <v>-247783.48199999999</v>
      </c>
      <c r="Q141" s="612">
        <v>-247783.48199999999</v>
      </c>
      <c r="R141" s="1017">
        <v>-247783.484</v>
      </c>
    </row>
    <row r="142" spans="1:18" x14ac:dyDescent="0.25">
      <c r="A142" s="451" t="str">
        <f t="shared" si="2"/>
        <v>309503100_Result</v>
      </c>
      <c r="B142" s="1014" t="s">
        <v>766</v>
      </c>
      <c r="C142" s="811" t="s">
        <v>765</v>
      </c>
      <c r="D142" s="834" t="s">
        <v>1160</v>
      </c>
      <c r="E142" s="1020"/>
      <c r="F142" s="833"/>
      <c r="G142" s="833">
        <v>-240178.86600000001</v>
      </c>
      <c r="H142" s="833">
        <v>-211912.117</v>
      </c>
      <c r="I142" s="833">
        <v>-232898.856</v>
      </c>
      <c r="J142" s="833">
        <v>-242316.557</v>
      </c>
      <c r="K142" s="833">
        <v>-247590.74299999999</v>
      </c>
      <c r="L142" s="833">
        <v>-229767.03899999999</v>
      </c>
      <c r="M142" s="833">
        <v>-265424.89199999999</v>
      </c>
      <c r="N142" s="833">
        <v>-203027.55</v>
      </c>
      <c r="O142" s="833">
        <v>-220946.58199999999</v>
      </c>
      <c r="P142" s="833">
        <v>-247783.48199999999</v>
      </c>
      <c r="Q142" s="833">
        <v>-247783.48199999999</v>
      </c>
      <c r="R142" s="1018">
        <v>-247783.484</v>
      </c>
    </row>
    <row r="143" spans="1:18" x14ac:dyDescent="0.25">
      <c r="A143" s="451" t="str">
        <f t="shared" si="2"/>
        <v>309504100_#</v>
      </c>
      <c r="B143" s="1014" t="s">
        <v>1527</v>
      </c>
      <c r="C143" s="811" t="s">
        <v>1528</v>
      </c>
      <c r="D143" s="805" t="s">
        <v>1167</v>
      </c>
      <c r="E143" s="1016" t="s">
        <v>1168</v>
      </c>
      <c r="F143" s="612"/>
      <c r="G143" s="612">
        <v>-246500</v>
      </c>
      <c r="H143" s="612">
        <v>-178350</v>
      </c>
      <c r="I143" s="612">
        <v>-162400</v>
      </c>
      <c r="J143" s="612">
        <v>-160950</v>
      </c>
      <c r="K143" s="612">
        <v>-224750</v>
      </c>
      <c r="L143" s="612">
        <v>-205900</v>
      </c>
      <c r="M143" s="612">
        <v>-207350</v>
      </c>
      <c r="N143" s="612">
        <v>-163850</v>
      </c>
      <c r="O143" s="612">
        <v>-171100</v>
      </c>
      <c r="P143" s="612">
        <v>-111650</v>
      </c>
      <c r="Q143" s="612">
        <v>-133400</v>
      </c>
      <c r="R143" s="1017">
        <v>-4350</v>
      </c>
    </row>
    <row r="144" spans="1:18" x14ac:dyDescent="0.25">
      <c r="A144" s="451" t="str">
        <f t="shared" si="2"/>
        <v>309504100_Result</v>
      </c>
      <c r="B144" s="1014" t="s">
        <v>1527</v>
      </c>
      <c r="C144" s="811" t="s">
        <v>1528</v>
      </c>
      <c r="D144" s="834" t="s">
        <v>1160</v>
      </c>
      <c r="E144" s="1020"/>
      <c r="F144" s="833"/>
      <c r="G144" s="833">
        <v>-246500</v>
      </c>
      <c r="H144" s="833">
        <v>-178350</v>
      </c>
      <c r="I144" s="833">
        <v>-162400</v>
      </c>
      <c r="J144" s="833">
        <v>-160950</v>
      </c>
      <c r="K144" s="833">
        <v>-224750</v>
      </c>
      <c r="L144" s="833">
        <v>-205900</v>
      </c>
      <c r="M144" s="833">
        <v>-207350</v>
      </c>
      <c r="N144" s="833">
        <v>-163850</v>
      </c>
      <c r="O144" s="833">
        <v>-171100</v>
      </c>
      <c r="P144" s="833">
        <v>-111650</v>
      </c>
      <c r="Q144" s="833">
        <v>-133400</v>
      </c>
      <c r="R144" s="1018">
        <v>-4350</v>
      </c>
    </row>
    <row r="145" spans="1:18" x14ac:dyDescent="0.25">
      <c r="A145" s="451" t="str">
        <f t="shared" si="2"/>
        <v>310000000_#</v>
      </c>
      <c r="B145" s="1011" t="s">
        <v>763</v>
      </c>
      <c r="C145" s="811" t="s">
        <v>762</v>
      </c>
      <c r="D145" s="805" t="s">
        <v>1167</v>
      </c>
      <c r="E145" s="1016" t="s">
        <v>1168</v>
      </c>
      <c r="F145" s="612"/>
      <c r="G145" s="612">
        <v>-75882.156000000003</v>
      </c>
      <c r="H145" s="612">
        <v>-66951.554999999993</v>
      </c>
      <c r="I145" s="612">
        <v>-73582.108999999997</v>
      </c>
      <c r="J145" s="612">
        <v>-76557.539000000004</v>
      </c>
      <c r="K145" s="612">
        <v>-78223.865999999995</v>
      </c>
      <c r="L145" s="612">
        <v>-72592.642000000007</v>
      </c>
      <c r="M145" s="612">
        <v>-83858.391000000003</v>
      </c>
      <c r="N145" s="612">
        <v>-64144.563000000002</v>
      </c>
      <c r="O145" s="612">
        <v>-69805.904999999999</v>
      </c>
      <c r="P145" s="612">
        <v>-78284.759999999995</v>
      </c>
      <c r="Q145" s="612">
        <v>-78284.759999999995</v>
      </c>
      <c r="R145" s="1017">
        <v>-78284.759999999995</v>
      </c>
    </row>
    <row r="146" spans="1:18" x14ac:dyDescent="0.25">
      <c r="A146" s="451" t="str">
        <f t="shared" si="2"/>
        <v>310000000_Result</v>
      </c>
      <c r="B146" s="1011" t="s">
        <v>763</v>
      </c>
      <c r="C146" s="811" t="s">
        <v>762</v>
      </c>
      <c r="D146" s="834" t="s">
        <v>1160</v>
      </c>
      <c r="E146" s="1020"/>
      <c r="F146" s="833"/>
      <c r="G146" s="833">
        <v>-75882.156000000003</v>
      </c>
      <c r="H146" s="833">
        <v>-66951.554999999993</v>
      </c>
      <c r="I146" s="833">
        <v>-73582.108999999997</v>
      </c>
      <c r="J146" s="833">
        <v>-76557.539000000004</v>
      </c>
      <c r="K146" s="833">
        <v>-78223.865999999995</v>
      </c>
      <c r="L146" s="833">
        <v>-72592.642000000007</v>
      </c>
      <c r="M146" s="833">
        <v>-83858.391000000003</v>
      </c>
      <c r="N146" s="833">
        <v>-64144.563000000002</v>
      </c>
      <c r="O146" s="833">
        <v>-69805.904999999999</v>
      </c>
      <c r="P146" s="833">
        <v>-78284.759999999995</v>
      </c>
      <c r="Q146" s="833">
        <v>-78284.759999999995</v>
      </c>
      <c r="R146" s="1018">
        <v>-78284.759999999995</v>
      </c>
    </row>
    <row r="147" spans="1:18" x14ac:dyDescent="0.25">
      <c r="A147" s="451" t="str">
        <f t="shared" si="2"/>
        <v>310003100_#</v>
      </c>
      <c r="B147" s="1012" t="s">
        <v>761</v>
      </c>
      <c r="C147" s="811" t="s">
        <v>760</v>
      </c>
      <c r="D147" s="805" t="s">
        <v>1167</v>
      </c>
      <c r="E147" s="1016" t="s">
        <v>1168</v>
      </c>
      <c r="F147" s="612"/>
      <c r="G147" s="612">
        <v>-75882.156000000003</v>
      </c>
      <c r="H147" s="612">
        <v>-66951.554999999993</v>
      </c>
      <c r="I147" s="612">
        <v>-73582.108999999997</v>
      </c>
      <c r="J147" s="612">
        <v>-76557.539000000004</v>
      </c>
      <c r="K147" s="612">
        <v>-78223.865999999995</v>
      </c>
      <c r="L147" s="612">
        <v>-72592.642000000007</v>
      </c>
      <c r="M147" s="612">
        <v>-83858.391000000003</v>
      </c>
      <c r="N147" s="612">
        <v>-64144.563000000002</v>
      </c>
      <c r="O147" s="612">
        <v>-69805.904999999999</v>
      </c>
      <c r="P147" s="612">
        <v>-78284.759999999995</v>
      </c>
      <c r="Q147" s="612">
        <v>-78284.759999999995</v>
      </c>
      <c r="R147" s="1017">
        <v>-78284.759999999995</v>
      </c>
    </row>
    <row r="148" spans="1:18" x14ac:dyDescent="0.25">
      <c r="A148" s="451" t="str">
        <f t="shared" si="2"/>
        <v>310003100_Result</v>
      </c>
      <c r="B148" s="1012" t="s">
        <v>761</v>
      </c>
      <c r="C148" s="811" t="s">
        <v>760</v>
      </c>
      <c r="D148" s="834" t="s">
        <v>1160</v>
      </c>
      <c r="E148" s="1020"/>
      <c r="F148" s="833"/>
      <c r="G148" s="833">
        <v>-75882.156000000003</v>
      </c>
      <c r="H148" s="833">
        <v>-66951.554999999993</v>
      </c>
      <c r="I148" s="833">
        <v>-73582.108999999997</v>
      </c>
      <c r="J148" s="833">
        <v>-76557.539000000004</v>
      </c>
      <c r="K148" s="833">
        <v>-78223.865999999995</v>
      </c>
      <c r="L148" s="833">
        <v>-72592.642000000007</v>
      </c>
      <c r="M148" s="833">
        <v>-83858.391000000003</v>
      </c>
      <c r="N148" s="833">
        <v>-64144.563000000002</v>
      </c>
      <c r="O148" s="833">
        <v>-69805.904999999999</v>
      </c>
      <c r="P148" s="833">
        <v>-78284.759999999995</v>
      </c>
      <c r="Q148" s="833">
        <v>-78284.759999999995</v>
      </c>
      <c r="R148" s="1018">
        <v>-78284.759999999995</v>
      </c>
    </row>
    <row r="149" spans="1:18" x14ac:dyDescent="0.25">
      <c r="A149" s="451" t="str">
        <f t="shared" si="2"/>
        <v>310500000_#</v>
      </c>
      <c r="B149" s="1007" t="s">
        <v>759</v>
      </c>
      <c r="C149" s="809" t="s">
        <v>758</v>
      </c>
      <c r="D149" s="805" t="s">
        <v>1167</v>
      </c>
      <c r="E149" s="1016" t="s">
        <v>1168</v>
      </c>
      <c r="F149" s="612"/>
      <c r="G149" s="612">
        <v>-1642874.08</v>
      </c>
      <c r="H149" s="612">
        <v>-1702763.8459999999</v>
      </c>
      <c r="I149" s="612">
        <v>-1670491.618</v>
      </c>
      <c r="J149" s="612">
        <v>-1586195.915</v>
      </c>
      <c r="K149" s="612">
        <v>-1630612.1470000001</v>
      </c>
      <c r="L149" s="612">
        <v>-1617138.692</v>
      </c>
      <c r="M149" s="612">
        <v>-1762326.1470000001</v>
      </c>
      <c r="N149" s="612">
        <v>-1779396.379</v>
      </c>
      <c r="O149" s="612">
        <v>-1697975.82</v>
      </c>
      <c r="P149" s="612">
        <v>-1677487.594</v>
      </c>
      <c r="Q149" s="612">
        <v>-1668551.956</v>
      </c>
      <c r="R149" s="1017">
        <v>-1671648.4809999999</v>
      </c>
    </row>
    <row r="150" spans="1:18" x14ac:dyDescent="0.25">
      <c r="A150" s="451" t="str">
        <f t="shared" si="2"/>
        <v>310500000_Result</v>
      </c>
      <c r="B150" s="1007" t="s">
        <v>759</v>
      </c>
      <c r="C150" s="809" t="s">
        <v>758</v>
      </c>
      <c r="D150" s="834" t="s">
        <v>1160</v>
      </c>
      <c r="E150" s="1020"/>
      <c r="F150" s="833"/>
      <c r="G150" s="833">
        <v>-1642874.08</v>
      </c>
      <c r="H150" s="833">
        <v>-1702763.8459999999</v>
      </c>
      <c r="I150" s="833">
        <v>-1670491.618</v>
      </c>
      <c r="J150" s="833">
        <v>-1586195.915</v>
      </c>
      <c r="K150" s="833">
        <v>-1630612.1470000001</v>
      </c>
      <c r="L150" s="833">
        <v>-1617138.692</v>
      </c>
      <c r="M150" s="833">
        <v>-1762326.1470000001</v>
      </c>
      <c r="N150" s="833">
        <v>-1779396.379</v>
      </c>
      <c r="O150" s="833">
        <v>-1697975.82</v>
      </c>
      <c r="P150" s="833">
        <v>-1677487.594</v>
      </c>
      <c r="Q150" s="833">
        <v>-1668551.956</v>
      </c>
      <c r="R150" s="1018">
        <v>-1671648.4809999999</v>
      </c>
    </row>
    <row r="151" spans="1:18" x14ac:dyDescent="0.25">
      <c r="A151" s="451" t="str">
        <f t="shared" si="2"/>
        <v>310501100_#</v>
      </c>
      <c r="B151" s="1015" t="s">
        <v>757</v>
      </c>
      <c r="C151" s="835" t="s">
        <v>662</v>
      </c>
      <c r="D151" s="805" t="s">
        <v>1167</v>
      </c>
      <c r="E151" s="1016" t="s">
        <v>1168</v>
      </c>
      <c r="F151" s="612"/>
      <c r="G151" s="612">
        <v>-1228609.858</v>
      </c>
      <c r="H151" s="612">
        <v>-1293643.6529999999</v>
      </c>
      <c r="I151" s="612">
        <v>-1269647.689</v>
      </c>
      <c r="J151" s="612">
        <v>-1198266.6189999999</v>
      </c>
      <c r="K151" s="612">
        <v>-1229670.378</v>
      </c>
      <c r="L151" s="612">
        <v>-195174.87599999999</v>
      </c>
      <c r="M151" s="612">
        <v>-329479.70199999999</v>
      </c>
      <c r="N151" s="612">
        <v>-461555.69400000002</v>
      </c>
      <c r="O151" s="612">
        <v>-505270.26299999998</v>
      </c>
      <c r="P151" s="612">
        <v>-345907.17300000001</v>
      </c>
      <c r="Q151" s="612">
        <v>-344691.49699999997</v>
      </c>
      <c r="R151" s="1017">
        <v>-31829.413</v>
      </c>
    </row>
    <row r="152" spans="1:18" x14ac:dyDescent="0.25">
      <c r="A152" s="451" t="str">
        <f t="shared" si="2"/>
        <v>310501100_Result</v>
      </c>
      <c r="B152" s="1015" t="s">
        <v>757</v>
      </c>
      <c r="C152" s="835" t="s">
        <v>662</v>
      </c>
      <c r="D152" s="834" t="s">
        <v>1160</v>
      </c>
      <c r="E152" s="1020"/>
      <c r="F152" s="833"/>
      <c r="G152" s="833">
        <v>-1228609.858</v>
      </c>
      <c r="H152" s="833">
        <v>-1293643.6529999999</v>
      </c>
      <c r="I152" s="833">
        <v>-1269647.689</v>
      </c>
      <c r="J152" s="833">
        <v>-1198266.6189999999</v>
      </c>
      <c r="K152" s="833">
        <v>-1229670.378</v>
      </c>
      <c r="L152" s="833">
        <v>-195174.87599999999</v>
      </c>
      <c r="M152" s="833">
        <v>-329479.70199999999</v>
      </c>
      <c r="N152" s="833">
        <v>-461555.69400000002</v>
      </c>
      <c r="O152" s="833">
        <v>-505270.26299999998</v>
      </c>
      <c r="P152" s="833">
        <v>-345907.17300000001</v>
      </c>
      <c r="Q152" s="833">
        <v>-344691.49699999997</v>
      </c>
      <c r="R152" s="1018">
        <v>-31829.413</v>
      </c>
    </row>
    <row r="153" spans="1:18" x14ac:dyDescent="0.25">
      <c r="A153" s="451" t="str">
        <f t="shared" si="2"/>
        <v>310501600_#</v>
      </c>
      <c r="B153" s="1015" t="s">
        <v>756</v>
      </c>
      <c r="C153" s="835" t="s">
        <v>755</v>
      </c>
      <c r="D153" s="805" t="s">
        <v>1167</v>
      </c>
      <c r="E153" s="1016" t="s">
        <v>1168</v>
      </c>
      <c r="F153" s="612"/>
      <c r="G153" s="612">
        <v>-335178.58899999998</v>
      </c>
      <c r="H153" s="612">
        <v>-327990.55099999998</v>
      </c>
      <c r="I153" s="612">
        <v>-318020.592</v>
      </c>
      <c r="J153" s="612">
        <v>-310763.76500000001</v>
      </c>
      <c r="K153" s="612">
        <v>-315774.33100000001</v>
      </c>
      <c r="L153" s="612">
        <v>-316922.54100000003</v>
      </c>
      <c r="M153" s="612">
        <v>-349227.40299999999</v>
      </c>
      <c r="N153" s="612">
        <v>-334037.12599999999</v>
      </c>
      <c r="O153" s="612">
        <v>-335623.99900000001</v>
      </c>
      <c r="P153" s="612">
        <v>-346677.20500000002</v>
      </c>
      <c r="Q153" s="612">
        <v>-343882.66899999999</v>
      </c>
      <c r="R153" s="1017">
        <v>-346548.44</v>
      </c>
    </row>
    <row r="154" spans="1:18" x14ac:dyDescent="0.25">
      <c r="A154" s="451" t="str">
        <f t="shared" si="2"/>
        <v>310501600_Result</v>
      </c>
      <c r="B154" s="1015" t="s">
        <v>756</v>
      </c>
      <c r="C154" s="835" t="s">
        <v>755</v>
      </c>
      <c r="D154" s="834" t="s">
        <v>1160</v>
      </c>
      <c r="E154" s="1020"/>
      <c r="F154" s="833"/>
      <c r="G154" s="833">
        <v>-335178.58899999998</v>
      </c>
      <c r="H154" s="833">
        <v>-327990.55099999998</v>
      </c>
      <c r="I154" s="833">
        <v>-318020.592</v>
      </c>
      <c r="J154" s="833">
        <v>-310763.76500000001</v>
      </c>
      <c r="K154" s="833">
        <v>-315774.33100000001</v>
      </c>
      <c r="L154" s="833">
        <v>-316922.54100000003</v>
      </c>
      <c r="M154" s="833">
        <v>-349227.40299999999</v>
      </c>
      <c r="N154" s="833">
        <v>-334037.12599999999</v>
      </c>
      <c r="O154" s="833">
        <v>-335623.99900000001</v>
      </c>
      <c r="P154" s="833">
        <v>-346677.20500000002</v>
      </c>
      <c r="Q154" s="833">
        <v>-343882.66899999999</v>
      </c>
      <c r="R154" s="1018">
        <v>-346548.44</v>
      </c>
    </row>
    <row r="155" spans="1:18" x14ac:dyDescent="0.25">
      <c r="A155" s="451" t="str">
        <f t="shared" si="2"/>
        <v>310502100_#</v>
      </c>
      <c r="B155" s="1015" t="s">
        <v>754</v>
      </c>
      <c r="C155" s="835" t="s">
        <v>753</v>
      </c>
      <c r="D155" s="805" t="s">
        <v>1167</v>
      </c>
      <c r="E155" s="1016" t="s">
        <v>1168</v>
      </c>
      <c r="F155" s="612"/>
      <c r="G155" s="612">
        <v>-79085.633000000002</v>
      </c>
      <c r="H155" s="612">
        <v>-81129.642000000007</v>
      </c>
      <c r="I155" s="612">
        <v>-82823.337</v>
      </c>
      <c r="J155" s="612">
        <v>-77165.531000000003</v>
      </c>
      <c r="K155" s="612">
        <v>-85167.437999999995</v>
      </c>
      <c r="L155" s="612">
        <v>-89054.854000000007</v>
      </c>
      <c r="M155" s="612">
        <v>-99746.698999999993</v>
      </c>
      <c r="N155" s="612">
        <v>-85669.744999999995</v>
      </c>
      <c r="O155" s="612">
        <v>-87252.574999999997</v>
      </c>
      <c r="P155" s="612">
        <v>-86769.402000000002</v>
      </c>
      <c r="Q155" s="612">
        <v>-81843.975999999995</v>
      </c>
      <c r="R155" s="1017">
        <v>-92173.816999999995</v>
      </c>
    </row>
    <row r="156" spans="1:18" x14ac:dyDescent="0.25">
      <c r="A156" s="451" t="str">
        <f t="shared" si="2"/>
        <v>310502100_Result</v>
      </c>
      <c r="B156" s="1015" t="s">
        <v>754</v>
      </c>
      <c r="C156" s="835" t="s">
        <v>753</v>
      </c>
      <c r="D156" s="834" t="s">
        <v>1160</v>
      </c>
      <c r="E156" s="1020"/>
      <c r="F156" s="833"/>
      <c r="G156" s="833">
        <v>-79085.633000000002</v>
      </c>
      <c r="H156" s="833">
        <v>-81129.642000000007</v>
      </c>
      <c r="I156" s="833">
        <v>-82823.337</v>
      </c>
      <c r="J156" s="833">
        <v>-77165.531000000003</v>
      </c>
      <c r="K156" s="833">
        <v>-85167.437999999995</v>
      </c>
      <c r="L156" s="833">
        <v>-89054.854000000007</v>
      </c>
      <c r="M156" s="833">
        <v>-99746.698999999993</v>
      </c>
      <c r="N156" s="833">
        <v>-85669.744999999995</v>
      </c>
      <c r="O156" s="833">
        <v>-87252.574999999997</v>
      </c>
      <c r="P156" s="833">
        <v>-86769.402000000002</v>
      </c>
      <c r="Q156" s="833">
        <v>-81843.975999999995</v>
      </c>
      <c r="R156" s="1018">
        <v>-92173.816999999995</v>
      </c>
    </row>
    <row r="157" spans="1:18" x14ac:dyDescent="0.25">
      <c r="A157" s="451" t="str">
        <f t="shared" si="2"/>
        <v>310503100_#</v>
      </c>
      <c r="B157" s="1015" t="s">
        <v>752</v>
      </c>
      <c r="C157" s="835" t="s">
        <v>313</v>
      </c>
      <c r="D157" s="805" t="s">
        <v>1167</v>
      </c>
      <c r="E157" s="1016" t="s">
        <v>1168</v>
      </c>
      <c r="F157" s="612"/>
      <c r="G157" s="612"/>
      <c r="H157" s="612"/>
      <c r="I157" s="612"/>
      <c r="J157" s="612"/>
      <c r="K157" s="612"/>
      <c r="L157" s="612">
        <v>-1015986.421</v>
      </c>
      <c r="M157" s="612">
        <v>-983872.34299999999</v>
      </c>
      <c r="N157" s="612">
        <v>-898133.81400000001</v>
      </c>
      <c r="O157" s="612">
        <v>-769828.98300000001</v>
      </c>
      <c r="P157" s="612">
        <v>-898133.81400000001</v>
      </c>
      <c r="Q157" s="612">
        <v>-898133.81400000001</v>
      </c>
      <c r="R157" s="1017">
        <v>-1201096.811</v>
      </c>
    </row>
    <row r="158" spans="1:18" x14ac:dyDescent="0.25">
      <c r="A158" s="451" t="str">
        <f t="shared" si="2"/>
        <v>310503100_Result</v>
      </c>
      <c r="B158" s="1015" t="s">
        <v>752</v>
      </c>
      <c r="C158" s="835" t="s">
        <v>313</v>
      </c>
      <c r="D158" s="834" t="s">
        <v>1160</v>
      </c>
      <c r="E158" s="1020"/>
      <c r="F158" s="833"/>
      <c r="G158" s="833"/>
      <c r="H158" s="833"/>
      <c r="I158" s="833"/>
      <c r="J158" s="833"/>
      <c r="K158" s="833"/>
      <c r="L158" s="833">
        <v>-1015986.421</v>
      </c>
      <c r="M158" s="833">
        <v>-983872.34299999999</v>
      </c>
      <c r="N158" s="833">
        <v>-898133.81400000001</v>
      </c>
      <c r="O158" s="833">
        <v>-769828.98300000001</v>
      </c>
      <c r="P158" s="833">
        <v>-898133.81400000001</v>
      </c>
      <c r="Q158" s="833">
        <v>-898133.81400000001</v>
      </c>
      <c r="R158" s="1018">
        <v>-1201096.811</v>
      </c>
    </row>
    <row r="159" spans="1:18" x14ac:dyDescent="0.25">
      <c r="A159" s="451" t="str">
        <f t="shared" si="2"/>
        <v>311500000_#</v>
      </c>
      <c r="B159" s="1005" t="s">
        <v>751</v>
      </c>
      <c r="C159" s="808" t="s">
        <v>654</v>
      </c>
      <c r="D159" s="805" t="s">
        <v>1167</v>
      </c>
      <c r="E159" s="1016" t="s">
        <v>1168</v>
      </c>
      <c r="F159" s="612"/>
      <c r="G159" s="612">
        <v>-1329832.5900000001</v>
      </c>
      <c r="H159" s="612">
        <v>-1329832.5900000001</v>
      </c>
      <c r="I159" s="612">
        <v>-1329832.5900000001</v>
      </c>
      <c r="J159" s="612">
        <v>-1329832.5900000001</v>
      </c>
      <c r="K159" s="612">
        <v>-1329832.5900000001</v>
      </c>
      <c r="L159" s="612">
        <v>-1329832.5900000001</v>
      </c>
      <c r="M159" s="612">
        <v>-1329832.5900000001</v>
      </c>
      <c r="N159" s="612">
        <v>-1329832.5900000001</v>
      </c>
      <c r="O159" s="612">
        <v>-1329832.5900000001</v>
      </c>
      <c r="P159" s="612">
        <v>-1329832.5900000001</v>
      </c>
      <c r="Q159" s="612">
        <v>-1329832.5900000001</v>
      </c>
      <c r="R159" s="1017">
        <v>-1329832.5900000001</v>
      </c>
    </row>
    <row r="160" spans="1:18" x14ac:dyDescent="0.25">
      <c r="A160" s="451" t="str">
        <f t="shared" si="2"/>
        <v>311500000_Result</v>
      </c>
      <c r="B160" s="1005" t="s">
        <v>751</v>
      </c>
      <c r="C160" s="808" t="s">
        <v>654</v>
      </c>
      <c r="D160" s="834" t="s">
        <v>1160</v>
      </c>
      <c r="E160" s="1020"/>
      <c r="F160" s="833"/>
      <c r="G160" s="833">
        <v>-1329832.5900000001</v>
      </c>
      <c r="H160" s="833">
        <v>-1329832.5900000001</v>
      </c>
      <c r="I160" s="833">
        <v>-1329832.5900000001</v>
      </c>
      <c r="J160" s="833">
        <v>-1329832.5900000001</v>
      </c>
      <c r="K160" s="833">
        <v>-1329832.5900000001</v>
      </c>
      <c r="L160" s="833">
        <v>-1329832.5900000001</v>
      </c>
      <c r="M160" s="833">
        <v>-1329832.5900000001</v>
      </c>
      <c r="N160" s="833">
        <v>-1329832.5900000001</v>
      </c>
      <c r="O160" s="833">
        <v>-1329832.5900000001</v>
      </c>
      <c r="P160" s="833">
        <v>-1329832.5900000001</v>
      </c>
      <c r="Q160" s="833">
        <v>-1329832.5900000001</v>
      </c>
      <c r="R160" s="1018">
        <v>-1329832.5900000001</v>
      </c>
    </row>
    <row r="161" spans="1:18" x14ac:dyDescent="0.25">
      <c r="A161" s="451" t="str">
        <f t="shared" si="2"/>
        <v>311503100_#</v>
      </c>
      <c r="B161" s="1006" t="s">
        <v>750</v>
      </c>
      <c r="C161" s="809" t="s">
        <v>749</v>
      </c>
      <c r="D161" s="805" t="s">
        <v>1167</v>
      </c>
      <c r="E161" s="1016" t="s">
        <v>1168</v>
      </c>
      <c r="F161" s="612"/>
      <c r="G161" s="612">
        <v>-1329832.5900000001</v>
      </c>
      <c r="H161" s="612">
        <v>-1329832.5900000001</v>
      </c>
      <c r="I161" s="612">
        <v>-1329832.5900000001</v>
      </c>
      <c r="J161" s="612">
        <v>-1329832.5900000001</v>
      </c>
      <c r="K161" s="612">
        <v>-1329832.5900000001</v>
      </c>
      <c r="L161" s="612">
        <v>-1329832.5900000001</v>
      </c>
      <c r="M161" s="612">
        <v>-1329832.5900000001</v>
      </c>
      <c r="N161" s="612">
        <v>-1329832.5900000001</v>
      </c>
      <c r="O161" s="612">
        <v>-1329832.5900000001</v>
      </c>
      <c r="P161" s="612">
        <v>-1329832.5900000001</v>
      </c>
      <c r="Q161" s="612">
        <v>-1329832.5900000001</v>
      </c>
      <c r="R161" s="1017">
        <v>-1329832.5900000001</v>
      </c>
    </row>
    <row r="162" spans="1:18" x14ac:dyDescent="0.25">
      <c r="A162" s="451" t="str">
        <f t="shared" si="2"/>
        <v>311503100_Result</v>
      </c>
      <c r="B162" s="1006" t="s">
        <v>750</v>
      </c>
      <c r="C162" s="809" t="s">
        <v>749</v>
      </c>
      <c r="D162" s="834" t="s">
        <v>1160</v>
      </c>
      <c r="E162" s="1020"/>
      <c r="F162" s="833"/>
      <c r="G162" s="833">
        <v>-1329832.5900000001</v>
      </c>
      <c r="H162" s="833">
        <v>-1329832.5900000001</v>
      </c>
      <c r="I162" s="833">
        <v>-1329832.5900000001</v>
      </c>
      <c r="J162" s="833">
        <v>-1329832.5900000001</v>
      </c>
      <c r="K162" s="833">
        <v>-1329832.5900000001</v>
      </c>
      <c r="L162" s="833">
        <v>-1329832.5900000001</v>
      </c>
      <c r="M162" s="833">
        <v>-1329832.5900000001</v>
      </c>
      <c r="N162" s="833">
        <v>-1329832.5900000001</v>
      </c>
      <c r="O162" s="833">
        <v>-1329832.5900000001</v>
      </c>
      <c r="P162" s="833">
        <v>-1329832.5900000001</v>
      </c>
      <c r="Q162" s="833">
        <v>-1329832.5900000001</v>
      </c>
      <c r="R162" s="1018">
        <v>-1329832.5900000001</v>
      </c>
    </row>
    <row r="163" spans="1:18" x14ac:dyDescent="0.25">
      <c r="A163" s="451" t="str">
        <f t="shared" si="2"/>
        <v>312000000_#</v>
      </c>
      <c r="B163" s="1005" t="s">
        <v>748</v>
      </c>
      <c r="C163" s="808" t="s">
        <v>747</v>
      </c>
      <c r="D163" s="805" t="s">
        <v>1167</v>
      </c>
      <c r="E163" s="1016" t="s">
        <v>1168</v>
      </c>
      <c r="F163" s="612"/>
      <c r="G163" s="612">
        <v>-265231.83600000001</v>
      </c>
      <c r="H163" s="612">
        <v>-253091.79500000001</v>
      </c>
      <c r="I163" s="612">
        <v>-252401.19</v>
      </c>
      <c r="J163" s="612">
        <v>-246558.37100000001</v>
      </c>
      <c r="K163" s="612">
        <v>-251019.06</v>
      </c>
      <c r="L163" s="612">
        <v>-248948.158</v>
      </c>
      <c r="M163" s="612">
        <v>-268002.05499999999</v>
      </c>
      <c r="N163" s="612">
        <v>-253097.05499999999</v>
      </c>
      <c r="O163" s="612">
        <v>-253776.00599999999</v>
      </c>
      <c r="P163" s="612">
        <v>-249050.98300000001</v>
      </c>
      <c r="Q163" s="612">
        <v>-250565.59599999999</v>
      </c>
      <c r="R163" s="1017">
        <v>-251207.03599999999</v>
      </c>
    </row>
    <row r="164" spans="1:18" x14ac:dyDescent="0.25">
      <c r="A164" s="451" t="str">
        <f t="shared" si="2"/>
        <v>312000000_Result</v>
      </c>
      <c r="B164" s="1005" t="s">
        <v>748</v>
      </c>
      <c r="C164" s="808" t="s">
        <v>747</v>
      </c>
      <c r="D164" s="834" t="s">
        <v>1160</v>
      </c>
      <c r="E164" s="1020"/>
      <c r="F164" s="833"/>
      <c r="G164" s="833">
        <v>-265231.83600000001</v>
      </c>
      <c r="H164" s="833">
        <v>-253091.79500000001</v>
      </c>
      <c r="I164" s="833">
        <v>-252401.19</v>
      </c>
      <c r="J164" s="833">
        <v>-246558.37100000001</v>
      </c>
      <c r="K164" s="833">
        <v>-251019.06</v>
      </c>
      <c r="L164" s="833">
        <v>-248948.158</v>
      </c>
      <c r="M164" s="833">
        <v>-268002.05499999999</v>
      </c>
      <c r="N164" s="833">
        <v>-253097.05499999999</v>
      </c>
      <c r="O164" s="833">
        <v>-253776.00599999999</v>
      </c>
      <c r="P164" s="833">
        <v>-249050.98300000001</v>
      </c>
      <c r="Q164" s="833">
        <v>-250565.59599999999</v>
      </c>
      <c r="R164" s="1018">
        <v>-251207.03599999999</v>
      </c>
    </row>
    <row r="165" spans="1:18" x14ac:dyDescent="0.25">
      <c r="A165" s="451" t="str">
        <f t="shared" si="2"/>
        <v>312001100_#</v>
      </c>
      <c r="B165" s="1006" t="s">
        <v>746</v>
      </c>
      <c r="C165" s="809" t="s">
        <v>638</v>
      </c>
      <c r="D165" s="805" t="s">
        <v>1167</v>
      </c>
      <c r="E165" s="1016" t="s">
        <v>1168</v>
      </c>
      <c r="F165" s="612"/>
      <c r="G165" s="612">
        <v>-167525.995</v>
      </c>
      <c r="H165" s="612">
        <v>-167525.995</v>
      </c>
      <c r="I165" s="612">
        <v>-167525.995</v>
      </c>
      <c r="J165" s="612">
        <v>-167525.995</v>
      </c>
      <c r="K165" s="612">
        <v>-167525.995</v>
      </c>
      <c r="L165" s="612">
        <v>-167525.995</v>
      </c>
      <c r="M165" s="612">
        <v>-167525.995</v>
      </c>
      <c r="N165" s="612">
        <v>-167525.995</v>
      </c>
      <c r="O165" s="612">
        <v>-167525.995</v>
      </c>
      <c r="P165" s="612">
        <v>-167525.995</v>
      </c>
      <c r="Q165" s="612">
        <v>-167525.995</v>
      </c>
      <c r="R165" s="1017">
        <v>-167525.995</v>
      </c>
    </row>
    <row r="166" spans="1:18" x14ac:dyDescent="0.25">
      <c r="A166" s="451" t="str">
        <f t="shared" si="2"/>
        <v>312001100_Result</v>
      </c>
      <c r="B166" s="1006" t="s">
        <v>746</v>
      </c>
      <c r="C166" s="809" t="s">
        <v>638</v>
      </c>
      <c r="D166" s="834" t="s">
        <v>1160</v>
      </c>
      <c r="E166" s="1020"/>
      <c r="F166" s="833"/>
      <c r="G166" s="833">
        <v>-167525.995</v>
      </c>
      <c r="H166" s="833">
        <v>-167525.995</v>
      </c>
      <c r="I166" s="833">
        <v>-167525.995</v>
      </c>
      <c r="J166" s="833">
        <v>-167525.995</v>
      </c>
      <c r="K166" s="833">
        <v>-167525.995</v>
      </c>
      <c r="L166" s="833">
        <v>-167525.995</v>
      </c>
      <c r="M166" s="833">
        <v>-167525.995</v>
      </c>
      <c r="N166" s="833">
        <v>-167525.995</v>
      </c>
      <c r="O166" s="833">
        <v>-167525.995</v>
      </c>
      <c r="P166" s="833">
        <v>-167525.995</v>
      </c>
      <c r="Q166" s="833">
        <v>-167525.995</v>
      </c>
      <c r="R166" s="1018">
        <v>-167525.995</v>
      </c>
    </row>
    <row r="167" spans="1:18" x14ac:dyDescent="0.25">
      <c r="A167" s="451" t="str">
        <f t="shared" si="2"/>
        <v>312001600_#</v>
      </c>
      <c r="B167" s="1006" t="s">
        <v>745</v>
      </c>
      <c r="C167" s="809" t="s">
        <v>637</v>
      </c>
      <c r="D167" s="805" t="s">
        <v>1167</v>
      </c>
      <c r="E167" s="1016" t="s">
        <v>1168</v>
      </c>
      <c r="F167" s="612"/>
      <c r="G167" s="612">
        <v>-7054.3339999999998</v>
      </c>
      <c r="H167" s="612">
        <v>-7054.3339999999998</v>
      </c>
      <c r="I167" s="612">
        <v>-7054.3339999999998</v>
      </c>
      <c r="J167" s="612">
        <v>-7054.3339999999998</v>
      </c>
      <c r="K167" s="612">
        <v>-7054.3339999999998</v>
      </c>
      <c r="L167" s="612">
        <v>-7054.3339999999998</v>
      </c>
      <c r="M167" s="612">
        <v>-7054.3339999999998</v>
      </c>
      <c r="N167" s="612">
        <v>-7054.3339999999998</v>
      </c>
      <c r="O167" s="612">
        <v>-7054.3339999999998</v>
      </c>
      <c r="P167" s="612">
        <v>-7054.3339999999998</v>
      </c>
      <c r="Q167" s="612">
        <v>-7054.3339999999998</v>
      </c>
      <c r="R167" s="1017">
        <v>-7054.3339999999998</v>
      </c>
    </row>
    <row r="168" spans="1:18" x14ac:dyDescent="0.25">
      <c r="A168" s="451" t="str">
        <f t="shared" si="2"/>
        <v>312001600_Result</v>
      </c>
      <c r="B168" s="1006" t="s">
        <v>745</v>
      </c>
      <c r="C168" s="809" t="s">
        <v>637</v>
      </c>
      <c r="D168" s="834" t="s">
        <v>1160</v>
      </c>
      <c r="E168" s="1020"/>
      <c r="F168" s="833"/>
      <c r="G168" s="833">
        <v>-7054.3339999999998</v>
      </c>
      <c r="H168" s="833">
        <v>-7054.3339999999998</v>
      </c>
      <c r="I168" s="833">
        <v>-7054.3339999999998</v>
      </c>
      <c r="J168" s="833">
        <v>-7054.3339999999998</v>
      </c>
      <c r="K168" s="833">
        <v>-7054.3339999999998</v>
      </c>
      <c r="L168" s="833">
        <v>-7054.3339999999998</v>
      </c>
      <c r="M168" s="833">
        <v>-7054.3339999999998</v>
      </c>
      <c r="N168" s="833">
        <v>-7054.3339999999998</v>
      </c>
      <c r="O168" s="833">
        <v>-7054.3339999999998</v>
      </c>
      <c r="P168" s="833">
        <v>-7054.3339999999998</v>
      </c>
      <c r="Q168" s="833">
        <v>-7054.3339999999998</v>
      </c>
      <c r="R168" s="1018">
        <v>-7054.3339999999998</v>
      </c>
    </row>
    <row r="169" spans="1:18" x14ac:dyDescent="0.25">
      <c r="A169" s="451" t="str">
        <f t="shared" si="2"/>
        <v>312002100_#</v>
      </c>
      <c r="B169" s="1006" t="s">
        <v>744</v>
      </c>
      <c r="C169" s="809" t="s">
        <v>302</v>
      </c>
      <c r="D169" s="805" t="s">
        <v>1167</v>
      </c>
      <c r="E169" s="1016" t="s">
        <v>1168</v>
      </c>
      <c r="F169" s="612"/>
      <c r="G169" s="612">
        <v>-90651.506999999998</v>
      </c>
      <c r="H169" s="612">
        <v>-78511.466</v>
      </c>
      <c r="I169" s="612">
        <v>-77820.861000000004</v>
      </c>
      <c r="J169" s="612">
        <v>-71978.042000000001</v>
      </c>
      <c r="K169" s="612">
        <v>-76438.731</v>
      </c>
      <c r="L169" s="612">
        <v>-74367.828999999998</v>
      </c>
      <c r="M169" s="612">
        <v>-93421.725999999995</v>
      </c>
      <c r="N169" s="612">
        <v>-78516.725999999995</v>
      </c>
      <c r="O169" s="612">
        <v>-79195.676999999996</v>
      </c>
      <c r="P169" s="612">
        <v>-74470.653999999995</v>
      </c>
      <c r="Q169" s="612">
        <v>-75985.267000000007</v>
      </c>
      <c r="R169" s="1017">
        <v>-76626.706999999995</v>
      </c>
    </row>
    <row r="170" spans="1:18" x14ac:dyDescent="0.25">
      <c r="A170" s="451" t="str">
        <f t="shared" si="2"/>
        <v>312002100_Result</v>
      </c>
      <c r="B170" s="1006" t="s">
        <v>744</v>
      </c>
      <c r="C170" s="809" t="s">
        <v>302</v>
      </c>
      <c r="D170" s="834" t="s">
        <v>1160</v>
      </c>
      <c r="E170" s="1020"/>
      <c r="F170" s="833"/>
      <c r="G170" s="833">
        <v>-90651.506999999998</v>
      </c>
      <c r="H170" s="833">
        <v>-78511.466</v>
      </c>
      <c r="I170" s="833">
        <v>-77820.861000000004</v>
      </c>
      <c r="J170" s="833">
        <v>-71978.042000000001</v>
      </c>
      <c r="K170" s="833">
        <v>-76438.731</v>
      </c>
      <c r="L170" s="833">
        <v>-74367.828999999998</v>
      </c>
      <c r="M170" s="833">
        <v>-93421.725999999995</v>
      </c>
      <c r="N170" s="833">
        <v>-78516.725999999995</v>
      </c>
      <c r="O170" s="833">
        <v>-79195.676999999996</v>
      </c>
      <c r="P170" s="833">
        <v>-74470.653999999995</v>
      </c>
      <c r="Q170" s="833">
        <v>-75985.267000000007</v>
      </c>
      <c r="R170" s="1018">
        <v>-76626.706999999995</v>
      </c>
    </row>
    <row r="171" spans="1:18" x14ac:dyDescent="0.25">
      <c r="A171" s="451" t="str">
        <f t="shared" si="2"/>
        <v>312200000_#</v>
      </c>
      <c r="B171" s="1005" t="s">
        <v>743</v>
      </c>
      <c r="C171" s="808" t="s">
        <v>742</v>
      </c>
      <c r="D171" s="805" t="s">
        <v>1167</v>
      </c>
      <c r="E171" s="1016" t="s">
        <v>1168</v>
      </c>
      <c r="F171" s="612"/>
      <c r="G171" s="612">
        <v>-384439.47700000001</v>
      </c>
      <c r="H171" s="612">
        <v>-308948.16499999998</v>
      </c>
      <c r="I171" s="612">
        <v>-310268.65700000001</v>
      </c>
      <c r="J171" s="612">
        <v>-307399.25199999998</v>
      </c>
      <c r="K171" s="612">
        <v>-307738.82199999999</v>
      </c>
      <c r="L171" s="612">
        <v>-308253.29200000002</v>
      </c>
      <c r="M171" s="612">
        <v>-311355.42200000002</v>
      </c>
      <c r="N171" s="612">
        <v>-309063.23300000001</v>
      </c>
      <c r="O171" s="612">
        <v>-309381.20199999999</v>
      </c>
      <c r="P171" s="612">
        <v>-307956.06199999998</v>
      </c>
      <c r="Q171" s="612">
        <v>-308147.79200000002</v>
      </c>
      <c r="R171" s="1017">
        <v>-309141.14399999997</v>
      </c>
    </row>
    <row r="172" spans="1:18" x14ac:dyDescent="0.25">
      <c r="A172" s="451" t="str">
        <f t="shared" si="2"/>
        <v>312200000_Result</v>
      </c>
      <c r="B172" s="1005" t="s">
        <v>743</v>
      </c>
      <c r="C172" s="808" t="s">
        <v>742</v>
      </c>
      <c r="D172" s="834" t="s">
        <v>1160</v>
      </c>
      <c r="E172" s="1020"/>
      <c r="F172" s="833"/>
      <c r="G172" s="833">
        <v>-384439.47700000001</v>
      </c>
      <c r="H172" s="833">
        <v>-308948.16499999998</v>
      </c>
      <c r="I172" s="833">
        <v>-310268.65700000001</v>
      </c>
      <c r="J172" s="833">
        <v>-307399.25199999998</v>
      </c>
      <c r="K172" s="833">
        <v>-307738.82199999999</v>
      </c>
      <c r="L172" s="833">
        <v>-308253.29200000002</v>
      </c>
      <c r="M172" s="833">
        <v>-311355.42200000002</v>
      </c>
      <c r="N172" s="833">
        <v>-309063.23300000001</v>
      </c>
      <c r="O172" s="833">
        <v>-309381.20199999999</v>
      </c>
      <c r="P172" s="833">
        <v>-307956.06199999998</v>
      </c>
      <c r="Q172" s="833">
        <v>-308147.79200000002</v>
      </c>
      <c r="R172" s="1018">
        <v>-309141.14399999997</v>
      </c>
    </row>
    <row r="173" spans="1:18" x14ac:dyDescent="0.25">
      <c r="A173" s="451" t="str">
        <f t="shared" si="2"/>
        <v>312201100_#</v>
      </c>
      <c r="B173" s="1006" t="s">
        <v>741</v>
      </c>
      <c r="C173" s="809" t="s">
        <v>740</v>
      </c>
      <c r="D173" s="805" t="s">
        <v>1167</v>
      </c>
      <c r="E173" s="1016" t="s">
        <v>1168</v>
      </c>
      <c r="F173" s="612"/>
      <c r="G173" s="612">
        <v>-384439.47700000001</v>
      </c>
      <c r="H173" s="612">
        <v>-308948.16499999998</v>
      </c>
      <c r="I173" s="612">
        <v>-310268.65700000001</v>
      </c>
      <c r="J173" s="612">
        <v>-307399.25199999998</v>
      </c>
      <c r="K173" s="612">
        <v>-307738.82199999999</v>
      </c>
      <c r="L173" s="612">
        <v>-308253.29200000002</v>
      </c>
      <c r="M173" s="612">
        <v>-311355.42200000002</v>
      </c>
      <c r="N173" s="612">
        <v>-309063.23300000001</v>
      </c>
      <c r="O173" s="612">
        <v>-309381.20199999999</v>
      </c>
      <c r="P173" s="612">
        <v>-307956.06199999998</v>
      </c>
      <c r="Q173" s="612">
        <v>-308147.79200000002</v>
      </c>
      <c r="R173" s="1017">
        <v>-309141.14399999997</v>
      </c>
    </row>
    <row r="174" spans="1:18" x14ac:dyDescent="0.25">
      <c r="A174" s="451" t="str">
        <f t="shared" si="2"/>
        <v>312201100_Result</v>
      </c>
      <c r="B174" s="1006" t="s">
        <v>741</v>
      </c>
      <c r="C174" s="809" t="s">
        <v>740</v>
      </c>
      <c r="D174" s="834" t="s">
        <v>1160</v>
      </c>
      <c r="E174" s="1020"/>
      <c r="F174" s="833"/>
      <c r="G174" s="833">
        <v>-384439.47700000001</v>
      </c>
      <c r="H174" s="833">
        <v>-308948.16499999998</v>
      </c>
      <c r="I174" s="833">
        <v>-310268.65700000001</v>
      </c>
      <c r="J174" s="833">
        <v>-307399.25199999998</v>
      </c>
      <c r="K174" s="833">
        <v>-307738.82199999999</v>
      </c>
      <c r="L174" s="833">
        <v>-308253.29200000002</v>
      </c>
      <c r="M174" s="833">
        <v>-311355.42200000002</v>
      </c>
      <c r="N174" s="833">
        <v>-309063.23300000001</v>
      </c>
      <c r="O174" s="833">
        <v>-309381.20199999999</v>
      </c>
      <c r="P174" s="833">
        <v>-307956.06199999998</v>
      </c>
      <c r="Q174" s="833">
        <v>-308147.79200000002</v>
      </c>
      <c r="R174" s="1018">
        <v>-309141.14399999997</v>
      </c>
    </row>
    <row r="175" spans="1:18" x14ac:dyDescent="0.25">
      <c r="A175" s="451" t="str">
        <f t="shared" si="2"/>
        <v>CO-010000000_#</v>
      </c>
      <c r="B175" s="1001" t="s">
        <v>848</v>
      </c>
      <c r="C175" s="806" t="s">
        <v>847</v>
      </c>
      <c r="D175" s="805" t="s">
        <v>1167</v>
      </c>
      <c r="E175" s="1016" t="s">
        <v>1168</v>
      </c>
      <c r="F175" s="612"/>
      <c r="G175" s="612">
        <v>144</v>
      </c>
      <c r="H175" s="612"/>
      <c r="I175" s="612"/>
      <c r="J175" s="612"/>
      <c r="K175" s="612"/>
      <c r="L175" s="612"/>
      <c r="M175" s="612"/>
      <c r="N175" s="612"/>
      <c r="O175" s="612"/>
      <c r="P175" s="612"/>
      <c r="Q175" s="612"/>
      <c r="R175" s="1017"/>
    </row>
    <row r="176" spans="1:18" x14ac:dyDescent="0.25">
      <c r="A176" s="451" t="str">
        <f t="shared" si="2"/>
        <v>CO-010000000_Result</v>
      </c>
      <c r="B176" s="1001" t="s">
        <v>848</v>
      </c>
      <c r="C176" s="806" t="s">
        <v>847</v>
      </c>
      <c r="D176" s="834" t="s">
        <v>1160</v>
      </c>
      <c r="E176" s="1020"/>
      <c r="F176" s="833"/>
      <c r="G176" s="833">
        <v>144</v>
      </c>
      <c r="H176" s="833"/>
      <c r="I176" s="833"/>
      <c r="J176" s="833"/>
      <c r="K176" s="833"/>
      <c r="L176" s="833"/>
      <c r="M176" s="833"/>
      <c r="N176" s="833"/>
      <c r="O176" s="833"/>
      <c r="P176" s="833"/>
      <c r="Q176" s="833"/>
      <c r="R176" s="1018"/>
    </row>
    <row r="177" spans="1:18" x14ac:dyDescent="0.25">
      <c r="A177" s="451" t="str">
        <f t="shared" si="2"/>
        <v>CO-010100000_#</v>
      </c>
      <c r="B177" s="1002" t="s">
        <v>846</v>
      </c>
      <c r="C177" s="807" t="s">
        <v>715</v>
      </c>
      <c r="D177" s="805" t="s">
        <v>1167</v>
      </c>
      <c r="E177" s="1016" t="s">
        <v>1168</v>
      </c>
      <c r="F177" s="612"/>
      <c r="G177" s="612">
        <v>144</v>
      </c>
      <c r="H177" s="612"/>
      <c r="I177" s="612"/>
      <c r="J177" s="612"/>
      <c r="K177" s="612"/>
      <c r="L177" s="612"/>
      <c r="M177" s="612"/>
      <c r="N177" s="612"/>
      <c r="O177" s="612"/>
      <c r="P177" s="612"/>
      <c r="Q177" s="612"/>
      <c r="R177" s="1017"/>
    </row>
    <row r="178" spans="1:18" x14ac:dyDescent="0.25">
      <c r="A178" s="451" t="str">
        <f t="shared" si="2"/>
        <v>CO-010100000_Result</v>
      </c>
      <c r="B178" s="1002" t="s">
        <v>846</v>
      </c>
      <c r="C178" s="807" t="s">
        <v>715</v>
      </c>
      <c r="D178" s="834" t="s">
        <v>1160</v>
      </c>
      <c r="E178" s="1020"/>
      <c r="F178" s="833"/>
      <c r="G178" s="833">
        <v>144</v>
      </c>
      <c r="H178" s="833"/>
      <c r="I178" s="833"/>
      <c r="J178" s="833"/>
      <c r="K178" s="833"/>
      <c r="L178" s="833"/>
      <c r="M178" s="833"/>
      <c r="N178" s="833"/>
      <c r="O178" s="833"/>
      <c r="P178" s="833"/>
      <c r="Q178" s="833"/>
      <c r="R178" s="1018"/>
    </row>
    <row r="179" spans="1:18" x14ac:dyDescent="0.25">
      <c r="A179" s="451" t="str">
        <f t="shared" si="2"/>
        <v>CO-010101000_#</v>
      </c>
      <c r="B179" s="1005" t="s">
        <v>845</v>
      </c>
      <c r="C179" s="808" t="s">
        <v>723</v>
      </c>
      <c r="D179" s="805" t="s">
        <v>1167</v>
      </c>
      <c r="E179" s="1016" t="s">
        <v>1168</v>
      </c>
      <c r="F179" s="612"/>
      <c r="G179" s="612">
        <v>107</v>
      </c>
      <c r="H179" s="612"/>
      <c r="I179" s="612"/>
      <c r="J179" s="612"/>
      <c r="K179" s="612"/>
      <c r="L179" s="612"/>
      <c r="M179" s="612"/>
      <c r="N179" s="612"/>
      <c r="O179" s="612"/>
      <c r="P179" s="612"/>
      <c r="Q179" s="612"/>
      <c r="R179" s="1017"/>
    </row>
    <row r="180" spans="1:18" x14ac:dyDescent="0.25">
      <c r="A180" s="451" t="str">
        <f t="shared" si="2"/>
        <v>CO-010101000_Result</v>
      </c>
      <c r="B180" s="1005" t="s">
        <v>845</v>
      </c>
      <c r="C180" s="808" t="s">
        <v>723</v>
      </c>
      <c r="D180" s="834" t="s">
        <v>1160</v>
      </c>
      <c r="E180" s="1020"/>
      <c r="F180" s="833"/>
      <c r="G180" s="833">
        <v>107</v>
      </c>
      <c r="H180" s="833"/>
      <c r="I180" s="833"/>
      <c r="J180" s="833"/>
      <c r="K180" s="833"/>
      <c r="L180" s="833"/>
      <c r="M180" s="833"/>
      <c r="N180" s="833"/>
      <c r="O180" s="833"/>
      <c r="P180" s="833"/>
      <c r="Q180" s="833"/>
      <c r="R180" s="1018"/>
    </row>
    <row r="181" spans="1:18" x14ac:dyDescent="0.25">
      <c r="A181" s="451" t="str">
        <f t="shared" si="2"/>
        <v>CO-010101100_#</v>
      </c>
      <c r="B181" s="1006" t="s">
        <v>844</v>
      </c>
      <c r="C181" s="809" t="s">
        <v>719</v>
      </c>
      <c r="D181" s="805" t="s">
        <v>1167</v>
      </c>
      <c r="E181" s="1016" t="s">
        <v>1168</v>
      </c>
      <c r="F181" s="612"/>
      <c r="G181" s="612">
        <v>107</v>
      </c>
      <c r="H181" s="612"/>
      <c r="I181" s="612"/>
      <c r="J181" s="612"/>
      <c r="K181" s="612"/>
      <c r="L181" s="612"/>
      <c r="M181" s="612"/>
      <c r="N181" s="612"/>
      <c r="O181" s="612"/>
      <c r="P181" s="612"/>
      <c r="Q181" s="612"/>
      <c r="R181" s="1017"/>
    </row>
    <row r="182" spans="1:18" x14ac:dyDescent="0.25">
      <c r="A182" s="451" t="str">
        <f t="shared" si="2"/>
        <v>CO-010101100_Result</v>
      </c>
      <c r="B182" s="1006" t="s">
        <v>844</v>
      </c>
      <c r="C182" s="809" t="s">
        <v>719</v>
      </c>
      <c r="D182" s="834" t="s">
        <v>1160</v>
      </c>
      <c r="E182" s="1020"/>
      <c r="F182" s="833"/>
      <c r="G182" s="833">
        <v>107</v>
      </c>
      <c r="H182" s="833"/>
      <c r="I182" s="833"/>
      <c r="J182" s="833"/>
      <c r="K182" s="833"/>
      <c r="L182" s="833"/>
      <c r="M182" s="833"/>
      <c r="N182" s="833"/>
      <c r="O182" s="833"/>
      <c r="P182" s="833"/>
      <c r="Q182" s="833"/>
      <c r="R182" s="1018"/>
    </row>
    <row r="183" spans="1:18" x14ac:dyDescent="0.25">
      <c r="A183" s="451" t="str">
        <f t="shared" si="2"/>
        <v>CO-010106000_#</v>
      </c>
      <c r="B183" s="1005" t="s">
        <v>843</v>
      </c>
      <c r="C183" s="808" t="s">
        <v>722</v>
      </c>
      <c r="D183" s="805" t="s">
        <v>1167</v>
      </c>
      <c r="E183" s="1016" t="s">
        <v>1168</v>
      </c>
      <c r="F183" s="612"/>
      <c r="G183" s="612">
        <v>37</v>
      </c>
      <c r="H183" s="612"/>
      <c r="I183" s="612"/>
      <c r="J183" s="612"/>
      <c r="K183" s="612"/>
      <c r="L183" s="612"/>
      <c r="M183" s="612"/>
      <c r="N183" s="612"/>
      <c r="O183" s="612"/>
      <c r="P183" s="612"/>
      <c r="Q183" s="612"/>
      <c r="R183" s="1017"/>
    </row>
    <row r="184" spans="1:18" x14ac:dyDescent="0.25">
      <c r="A184" s="451" t="str">
        <f t="shared" si="2"/>
        <v>CO-010106000_Result</v>
      </c>
      <c r="B184" s="1005" t="s">
        <v>843</v>
      </c>
      <c r="C184" s="808" t="s">
        <v>722</v>
      </c>
      <c r="D184" s="834" t="s">
        <v>1160</v>
      </c>
      <c r="E184" s="1020"/>
      <c r="F184" s="833"/>
      <c r="G184" s="833">
        <v>37</v>
      </c>
      <c r="H184" s="833"/>
      <c r="I184" s="833"/>
      <c r="J184" s="833"/>
      <c r="K184" s="833"/>
      <c r="L184" s="833"/>
      <c r="M184" s="833"/>
      <c r="N184" s="833"/>
      <c r="O184" s="833"/>
      <c r="P184" s="833"/>
      <c r="Q184" s="833"/>
      <c r="R184" s="1018"/>
    </row>
    <row r="185" spans="1:18" x14ac:dyDescent="0.25">
      <c r="A185" s="451" t="str">
        <f t="shared" si="2"/>
        <v>CO-010106100_#</v>
      </c>
      <c r="B185" s="1006" t="s">
        <v>842</v>
      </c>
      <c r="C185" s="809" t="s">
        <v>718</v>
      </c>
      <c r="D185" s="805" t="s">
        <v>1167</v>
      </c>
      <c r="E185" s="1016" t="s">
        <v>1168</v>
      </c>
      <c r="F185" s="612"/>
      <c r="G185" s="612">
        <v>36</v>
      </c>
      <c r="H185" s="612"/>
      <c r="I185" s="612"/>
      <c r="J185" s="612"/>
      <c r="K185" s="612"/>
      <c r="L185" s="612"/>
      <c r="M185" s="612"/>
      <c r="N185" s="612"/>
      <c r="O185" s="612"/>
      <c r="P185" s="612"/>
      <c r="Q185" s="612"/>
      <c r="R185" s="1017"/>
    </row>
    <row r="186" spans="1:18" x14ac:dyDescent="0.25">
      <c r="A186" s="451" t="str">
        <f t="shared" si="2"/>
        <v>CO-010106100_Result</v>
      </c>
      <c r="B186" s="1006" t="s">
        <v>842</v>
      </c>
      <c r="C186" s="809" t="s">
        <v>718</v>
      </c>
      <c r="D186" s="834" t="s">
        <v>1160</v>
      </c>
      <c r="E186" s="1020"/>
      <c r="F186" s="833"/>
      <c r="G186" s="833">
        <v>36</v>
      </c>
      <c r="H186" s="833"/>
      <c r="I186" s="833"/>
      <c r="J186" s="833"/>
      <c r="K186" s="833"/>
      <c r="L186" s="833"/>
      <c r="M186" s="833"/>
      <c r="N186" s="833"/>
      <c r="O186" s="833"/>
      <c r="P186" s="833"/>
      <c r="Q186" s="833"/>
      <c r="R186" s="1018"/>
    </row>
    <row r="187" spans="1:18" x14ac:dyDescent="0.25">
      <c r="A187" s="451" t="str">
        <f t="shared" si="2"/>
        <v>CO-010106600_#</v>
      </c>
      <c r="B187" s="1006" t="s">
        <v>841</v>
      </c>
      <c r="C187" s="809" t="s">
        <v>720</v>
      </c>
      <c r="D187" s="805" t="s">
        <v>1167</v>
      </c>
      <c r="E187" s="1016" t="s">
        <v>1168</v>
      </c>
      <c r="F187" s="612"/>
      <c r="G187" s="612">
        <v>1</v>
      </c>
      <c r="H187" s="612"/>
      <c r="I187" s="612"/>
      <c r="J187" s="612"/>
      <c r="K187" s="612"/>
      <c r="L187" s="612"/>
      <c r="M187" s="612"/>
      <c r="N187" s="612"/>
      <c r="O187" s="612"/>
      <c r="P187" s="612"/>
      <c r="Q187" s="612"/>
      <c r="R187" s="1017"/>
    </row>
    <row r="188" spans="1:18" x14ac:dyDescent="0.25">
      <c r="A188" s="451" t="str">
        <f t="shared" si="2"/>
        <v>CO-010106600_Result</v>
      </c>
      <c r="B188" s="1006" t="s">
        <v>841</v>
      </c>
      <c r="C188" s="809" t="s">
        <v>720</v>
      </c>
      <c r="D188" s="834" t="s">
        <v>1160</v>
      </c>
      <c r="E188" s="1020"/>
      <c r="F188" s="833"/>
      <c r="G188" s="833">
        <v>1</v>
      </c>
      <c r="H188" s="833"/>
      <c r="I188" s="833"/>
      <c r="J188" s="833"/>
      <c r="K188" s="833"/>
      <c r="L188" s="833"/>
      <c r="M188" s="833"/>
      <c r="N188" s="833"/>
      <c r="O188" s="833"/>
      <c r="P188" s="833"/>
      <c r="Q188" s="833"/>
      <c r="R188" s="1018"/>
    </row>
    <row r="189" spans="1:18" x14ac:dyDescent="0.25">
      <c r="A189" s="451" t="str">
        <f t="shared" si="2"/>
        <v>CO-210000000_#</v>
      </c>
      <c r="B189" s="1001" t="s">
        <v>840</v>
      </c>
      <c r="C189" s="806" t="s">
        <v>839</v>
      </c>
      <c r="D189" s="805" t="s">
        <v>1167</v>
      </c>
      <c r="E189" s="1016" t="s">
        <v>1168</v>
      </c>
      <c r="F189" s="612"/>
      <c r="G189" s="612">
        <v>-1642874.08</v>
      </c>
      <c r="H189" s="612">
        <v>-1702763.8459999999</v>
      </c>
      <c r="I189" s="612">
        <v>-1670491.618</v>
      </c>
      <c r="J189" s="612">
        <v>-1586195.915</v>
      </c>
      <c r="K189" s="612">
        <v>-1630612.1470000001</v>
      </c>
      <c r="L189" s="612">
        <v>-601152.27099999995</v>
      </c>
      <c r="M189" s="612">
        <v>-778453.804</v>
      </c>
      <c r="N189" s="612">
        <v>-881262.56499999994</v>
      </c>
      <c r="O189" s="612">
        <v>-928146.83700000006</v>
      </c>
      <c r="P189" s="612">
        <v>-779353.78</v>
      </c>
      <c r="Q189" s="612">
        <v>-770418.14199999999</v>
      </c>
      <c r="R189" s="1017">
        <v>-470551.67</v>
      </c>
    </row>
    <row r="190" spans="1:18" x14ac:dyDescent="0.25">
      <c r="A190" s="451" t="str">
        <f t="shared" si="2"/>
        <v>CO-210000000_Result</v>
      </c>
      <c r="B190" s="1001" t="s">
        <v>840</v>
      </c>
      <c r="C190" s="806" t="s">
        <v>839</v>
      </c>
      <c r="D190" s="834" t="s">
        <v>1160</v>
      </c>
      <c r="E190" s="1020"/>
      <c r="F190" s="833"/>
      <c r="G190" s="833">
        <v>-1642874.08</v>
      </c>
      <c r="H190" s="833">
        <v>-1702763.8459999999</v>
      </c>
      <c r="I190" s="833">
        <v>-1670491.618</v>
      </c>
      <c r="J190" s="833">
        <v>-1586195.915</v>
      </c>
      <c r="K190" s="833">
        <v>-1630612.1470000001</v>
      </c>
      <c r="L190" s="833">
        <v>-601152.27099999995</v>
      </c>
      <c r="M190" s="833">
        <v>-778453.804</v>
      </c>
      <c r="N190" s="833">
        <v>-881262.56499999994</v>
      </c>
      <c r="O190" s="833">
        <v>-928146.83700000006</v>
      </c>
      <c r="P190" s="833">
        <v>-779353.78</v>
      </c>
      <c r="Q190" s="833">
        <v>-770418.14199999999</v>
      </c>
      <c r="R190" s="1018">
        <v>-470551.67</v>
      </c>
    </row>
    <row r="191" spans="1:18" x14ac:dyDescent="0.25">
      <c r="A191" s="451" t="str">
        <f t="shared" si="2"/>
        <v>CO-210000329_#</v>
      </c>
      <c r="B191" s="1004" t="s">
        <v>838</v>
      </c>
      <c r="C191" s="807" t="s">
        <v>316</v>
      </c>
      <c r="D191" s="805" t="s">
        <v>1167</v>
      </c>
      <c r="E191" s="1016" t="s">
        <v>1168</v>
      </c>
      <c r="F191" s="612"/>
      <c r="G191" s="612">
        <v>-27705.281999999999</v>
      </c>
      <c r="H191" s="612">
        <v>-44906.260999999999</v>
      </c>
      <c r="I191" s="612">
        <v>-35680.697</v>
      </c>
      <c r="J191" s="612">
        <v>-34679.364000000001</v>
      </c>
      <c r="K191" s="612">
        <v>-30554.492999999999</v>
      </c>
      <c r="L191" s="612">
        <v>-32556.473000000002</v>
      </c>
      <c r="M191" s="612">
        <v>-32360.457999999999</v>
      </c>
      <c r="N191" s="612">
        <v>-58594.993999999999</v>
      </c>
      <c r="O191" s="612">
        <v>-32462.166000000001</v>
      </c>
      <c r="P191" s="612">
        <v>-44109.247000000003</v>
      </c>
      <c r="Q191" s="612">
        <v>-28572.978999999999</v>
      </c>
      <c r="R191" s="1017">
        <v>-26494.525000000001</v>
      </c>
    </row>
    <row r="192" spans="1:18" x14ac:dyDescent="0.25">
      <c r="A192" s="451" t="str">
        <f t="shared" si="2"/>
        <v>CO-210000329_Result</v>
      </c>
      <c r="B192" s="1004" t="s">
        <v>838</v>
      </c>
      <c r="C192" s="807" t="s">
        <v>316</v>
      </c>
      <c r="D192" s="834" t="s">
        <v>1160</v>
      </c>
      <c r="E192" s="1020"/>
      <c r="F192" s="833"/>
      <c r="G192" s="833">
        <v>-27705.281999999999</v>
      </c>
      <c r="H192" s="833">
        <v>-44906.260999999999</v>
      </c>
      <c r="I192" s="833">
        <v>-35680.697</v>
      </c>
      <c r="J192" s="833">
        <v>-34679.364000000001</v>
      </c>
      <c r="K192" s="833">
        <v>-30554.492999999999</v>
      </c>
      <c r="L192" s="833">
        <v>-32556.473000000002</v>
      </c>
      <c r="M192" s="833">
        <v>-32360.457999999999</v>
      </c>
      <c r="N192" s="833">
        <v>-58594.993999999999</v>
      </c>
      <c r="O192" s="833">
        <v>-32462.166000000001</v>
      </c>
      <c r="P192" s="833">
        <v>-44109.247000000003</v>
      </c>
      <c r="Q192" s="833">
        <v>-28572.978999999999</v>
      </c>
      <c r="R192" s="1018">
        <v>-26494.525000000001</v>
      </c>
    </row>
    <row r="193" spans="1:18" x14ac:dyDescent="0.25">
      <c r="A193" s="451" t="str">
        <f t="shared" si="2"/>
        <v>CO-210000326_#</v>
      </c>
      <c r="B193" s="1004" t="s">
        <v>837</v>
      </c>
      <c r="C193" s="807" t="s">
        <v>1112</v>
      </c>
      <c r="D193" s="805" t="s">
        <v>1167</v>
      </c>
      <c r="E193" s="1016" t="s">
        <v>1168</v>
      </c>
      <c r="F193" s="612"/>
      <c r="G193" s="612">
        <v>-15708.333000000001</v>
      </c>
      <c r="H193" s="612">
        <v>-15708.333000000001</v>
      </c>
      <c r="I193" s="612">
        <v>-15708.333000000001</v>
      </c>
      <c r="J193" s="612">
        <v>-15708.333000000001</v>
      </c>
      <c r="K193" s="612">
        <v>-15708.333000000001</v>
      </c>
      <c r="L193" s="612">
        <v>-15708.333000000001</v>
      </c>
      <c r="M193" s="612">
        <v>-15708.333000000001</v>
      </c>
      <c r="N193" s="612">
        <v>-15708.333000000001</v>
      </c>
      <c r="O193" s="612">
        <v>-15708.333000000001</v>
      </c>
      <c r="P193" s="612">
        <v>-15708.333000000001</v>
      </c>
      <c r="Q193" s="612">
        <v>-15708.333000000001</v>
      </c>
      <c r="R193" s="1017">
        <v>-15708.333000000001</v>
      </c>
    </row>
    <row r="194" spans="1:18" x14ac:dyDescent="0.25">
      <c r="A194" s="451" t="str">
        <f t="shared" si="2"/>
        <v>CO-210000326_Result</v>
      </c>
      <c r="B194" s="1004" t="s">
        <v>837</v>
      </c>
      <c r="C194" s="807" t="s">
        <v>1112</v>
      </c>
      <c r="D194" s="834" t="s">
        <v>1160</v>
      </c>
      <c r="E194" s="1020"/>
      <c r="F194" s="833"/>
      <c r="G194" s="833">
        <v>-15708.333000000001</v>
      </c>
      <c r="H194" s="833">
        <v>-15708.333000000001</v>
      </c>
      <c r="I194" s="833">
        <v>-15708.333000000001</v>
      </c>
      <c r="J194" s="833">
        <v>-15708.333000000001</v>
      </c>
      <c r="K194" s="833">
        <v>-15708.333000000001</v>
      </c>
      <c r="L194" s="833">
        <v>-15708.333000000001</v>
      </c>
      <c r="M194" s="833">
        <v>-15708.333000000001</v>
      </c>
      <c r="N194" s="833">
        <v>-15708.333000000001</v>
      </c>
      <c r="O194" s="833">
        <v>-15708.333000000001</v>
      </c>
      <c r="P194" s="833">
        <v>-15708.333000000001</v>
      </c>
      <c r="Q194" s="833">
        <v>-15708.333000000001</v>
      </c>
      <c r="R194" s="1018">
        <v>-15708.333000000001</v>
      </c>
    </row>
    <row r="195" spans="1:18" x14ac:dyDescent="0.25">
      <c r="A195" s="451" t="str">
        <f t="shared" si="2"/>
        <v>CO-210000325_#</v>
      </c>
      <c r="B195" s="1004" t="s">
        <v>836</v>
      </c>
      <c r="C195" s="807" t="s">
        <v>1113</v>
      </c>
      <c r="D195" s="805" t="s">
        <v>1167</v>
      </c>
      <c r="E195" s="1016" t="s">
        <v>1168</v>
      </c>
      <c r="F195" s="612"/>
      <c r="G195" s="612">
        <v>-11415.487999999999</v>
      </c>
      <c r="H195" s="612">
        <v>-11415.487999999999</v>
      </c>
      <c r="I195" s="612">
        <v>-11415.487999999999</v>
      </c>
      <c r="J195" s="612">
        <v>-11415.487999999999</v>
      </c>
      <c r="K195" s="612">
        <v>-11415.487999999999</v>
      </c>
      <c r="L195" s="612">
        <v>-11415.487999999999</v>
      </c>
      <c r="M195" s="612">
        <v>-11415.487999999999</v>
      </c>
      <c r="N195" s="612">
        <v>-11415.487999999999</v>
      </c>
      <c r="O195" s="612">
        <v>-11415.487999999999</v>
      </c>
      <c r="P195" s="612">
        <v>-11415.487999999999</v>
      </c>
      <c r="Q195" s="612">
        <v>-11415.487999999999</v>
      </c>
      <c r="R195" s="1017">
        <v>-11415.487999999999</v>
      </c>
    </row>
    <row r="196" spans="1:18" x14ac:dyDescent="0.25">
      <c r="A196" s="451" t="str">
        <f t="shared" ref="A196:A259" si="3" xml:space="preserve"> IFERROR(+B196*1,B196)&amp;"_"&amp;IFERROR(+D196*1,D196)</f>
        <v>CO-210000325_Result</v>
      </c>
      <c r="B196" s="1004" t="s">
        <v>836</v>
      </c>
      <c r="C196" s="807" t="s">
        <v>1113</v>
      </c>
      <c r="D196" s="834" t="s">
        <v>1160</v>
      </c>
      <c r="E196" s="1020"/>
      <c r="F196" s="833"/>
      <c r="G196" s="833">
        <v>-11415.487999999999</v>
      </c>
      <c r="H196" s="833">
        <v>-11415.487999999999</v>
      </c>
      <c r="I196" s="833">
        <v>-11415.487999999999</v>
      </c>
      <c r="J196" s="833">
        <v>-11415.487999999999</v>
      </c>
      <c r="K196" s="833">
        <v>-11415.487999999999</v>
      </c>
      <c r="L196" s="833">
        <v>-11415.487999999999</v>
      </c>
      <c r="M196" s="833">
        <v>-11415.487999999999</v>
      </c>
      <c r="N196" s="833">
        <v>-11415.487999999999</v>
      </c>
      <c r="O196" s="833">
        <v>-11415.487999999999</v>
      </c>
      <c r="P196" s="833">
        <v>-11415.487999999999</v>
      </c>
      <c r="Q196" s="833">
        <v>-11415.487999999999</v>
      </c>
      <c r="R196" s="1018">
        <v>-11415.487999999999</v>
      </c>
    </row>
    <row r="197" spans="1:18" x14ac:dyDescent="0.25">
      <c r="A197" s="451" t="str">
        <f t="shared" si="3"/>
        <v>CO-210000323_#</v>
      </c>
      <c r="B197" s="1004" t="s">
        <v>835</v>
      </c>
      <c r="C197" s="807" t="s">
        <v>834</v>
      </c>
      <c r="D197" s="805" t="s">
        <v>1167</v>
      </c>
      <c r="E197" s="1016" t="s">
        <v>1168</v>
      </c>
      <c r="F197" s="612"/>
      <c r="G197" s="612">
        <v>-504032.94</v>
      </c>
      <c r="H197" s="612">
        <v>-519620.43900000001</v>
      </c>
      <c r="I197" s="612">
        <v>-542488.14800000004</v>
      </c>
      <c r="J197" s="612">
        <v>-548273.04299999995</v>
      </c>
      <c r="K197" s="612">
        <v>-554088.147</v>
      </c>
      <c r="L197" s="612">
        <v>-555538.14800000004</v>
      </c>
      <c r="M197" s="612">
        <v>-555538.14800000004</v>
      </c>
      <c r="N197" s="612">
        <v>-556673.98100000003</v>
      </c>
      <c r="O197" s="612">
        <v>-557867.21100000001</v>
      </c>
      <c r="P197" s="612">
        <v>-557867.21100000001</v>
      </c>
      <c r="Q197" s="612">
        <v>-557867.21100000001</v>
      </c>
      <c r="R197" s="1017">
        <v>-566808.87699999998</v>
      </c>
    </row>
    <row r="198" spans="1:18" x14ac:dyDescent="0.25">
      <c r="A198" s="451" t="str">
        <f t="shared" si="3"/>
        <v>CO-210000323_Result</v>
      </c>
      <c r="B198" s="1004" t="s">
        <v>835</v>
      </c>
      <c r="C198" s="807" t="s">
        <v>834</v>
      </c>
      <c r="D198" s="834" t="s">
        <v>1160</v>
      </c>
      <c r="E198" s="1020"/>
      <c r="F198" s="833"/>
      <c r="G198" s="833">
        <v>-504032.94</v>
      </c>
      <c r="H198" s="833">
        <v>-519620.43900000001</v>
      </c>
      <c r="I198" s="833">
        <v>-542488.14800000004</v>
      </c>
      <c r="J198" s="833">
        <v>-548273.04299999995</v>
      </c>
      <c r="K198" s="833">
        <v>-554088.147</v>
      </c>
      <c r="L198" s="833">
        <v>-555538.14800000004</v>
      </c>
      <c r="M198" s="833">
        <v>-555538.14800000004</v>
      </c>
      <c r="N198" s="833">
        <v>-556673.98100000003</v>
      </c>
      <c r="O198" s="833">
        <v>-557867.21100000001</v>
      </c>
      <c r="P198" s="833">
        <v>-557867.21100000001</v>
      </c>
      <c r="Q198" s="833">
        <v>-557867.21100000001</v>
      </c>
      <c r="R198" s="1018">
        <v>-566808.87699999998</v>
      </c>
    </row>
    <row r="199" spans="1:18" x14ac:dyDescent="0.25">
      <c r="A199" s="451" t="str">
        <f t="shared" si="3"/>
        <v>CO-210000321_#</v>
      </c>
      <c r="B199" s="1004" t="s">
        <v>832</v>
      </c>
      <c r="C199" s="807" t="s">
        <v>831</v>
      </c>
      <c r="D199" s="805" t="s">
        <v>1167</v>
      </c>
      <c r="E199" s="1016" t="s">
        <v>1168</v>
      </c>
      <c r="F199" s="612"/>
      <c r="G199" s="612">
        <v>-2540.482</v>
      </c>
      <c r="H199" s="612">
        <v>-1040.4829999999999</v>
      </c>
      <c r="I199" s="612">
        <v>-1040.4829999999999</v>
      </c>
      <c r="J199" s="612">
        <v>-3040.4830000000002</v>
      </c>
      <c r="K199" s="612">
        <v>-4040.482</v>
      </c>
      <c r="L199" s="612">
        <v>-1040.4829999999999</v>
      </c>
      <c r="M199" s="612">
        <v>-2540.482</v>
      </c>
      <c r="N199" s="612">
        <v>-60040.483</v>
      </c>
      <c r="O199" s="612">
        <v>-1040.4829999999999</v>
      </c>
      <c r="P199" s="612">
        <v>-6040.4830000000002</v>
      </c>
      <c r="Q199" s="612">
        <v>-1040.4829999999999</v>
      </c>
      <c r="R199" s="1017">
        <v>-1040.4829999999999</v>
      </c>
    </row>
    <row r="200" spans="1:18" x14ac:dyDescent="0.25">
      <c r="A200" s="451" t="str">
        <f t="shared" si="3"/>
        <v>CO-210000321_Result</v>
      </c>
      <c r="B200" s="1004" t="s">
        <v>832</v>
      </c>
      <c r="C200" s="807" t="s">
        <v>831</v>
      </c>
      <c r="D200" s="834" t="s">
        <v>1160</v>
      </c>
      <c r="E200" s="1020"/>
      <c r="F200" s="833"/>
      <c r="G200" s="833">
        <v>-2540.482</v>
      </c>
      <c r="H200" s="833">
        <v>-1040.4829999999999</v>
      </c>
      <c r="I200" s="833">
        <v>-1040.4829999999999</v>
      </c>
      <c r="J200" s="833">
        <v>-3040.4830000000002</v>
      </c>
      <c r="K200" s="833">
        <v>-4040.482</v>
      </c>
      <c r="L200" s="833">
        <v>-1040.4829999999999</v>
      </c>
      <c r="M200" s="833">
        <v>-2540.482</v>
      </c>
      <c r="N200" s="833">
        <v>-60040.483</v>
      </c>
      <c r="O200" s="833">
        <v>-1040.4829999999999</v>
      </c>
      <c r="P200" s="833">
        <v>-6040.4830000000002</v>
      </c>
      <c r="Q200" s="833">
        <v>-1040.4829999999999</v>
      </c>
      <c r="R200" s="1018">
        <v>-1040.4829999999999</v>
      </c>
    </row>
    <row r="201" spans="1:18" x14ac:dyDescent="0.25">
      <c r="A201" s="451" t="str">
        <f t="shared" si="3"/>
        <v>CO-210000320_#</v>
      </c>
      <c r="B201" s="1004" t="s">
        <v>830</v>
      </c>
      <c r="C201" s="807" t="s">
        <v>829</v>
      </c>
      <c r="D201" s="805" t="s">
        <v>1167</v>
      </c>
      <c r="E201" s="1016" t="s">
        <v>1168</v>
      </c>
      <c r="F201" s="612"/>
      <c r="G201" s="612">
        <v>-174371.33199999999</v>
      </c>
      <c r="H201" s="612">
        <v>-205801.08100000001</v>
      </c>
      <c r="I201" s="612">
        <v>-158228.53099999999</v>
      </c>
      <c r="J201" s="612">
        <v>-102979.909</v>
      </c>
      <c r="K201" s="612">
        <v>-124304.068</v>
      </c>
      <c r="L201" s="612">
        <v>-102718.327</v>
      </c>
      <c r="M201" s="612">
        <v>-130567.876</v>
      </c>
      <c r="N201" s="612">
        <v>-103503.268</v>
      </c>
      <c r="O201" s="612">
        <v>-141985.32399999999</v>
      </c>
      <c r="P201" s="612">
        <v>-103505.28200000001</v>
      </c>
      <c r="Q201" s="612">
        <v>-122923.92</v>
      </c>
      <c r="R201" s="1017">
        <v>-104268.548</v>
      </c>
    </row>
    <row r="202" spans="1:18" x14ac:dyDescent="0.25">
      <c r="A202" s="451" t="str">
        <f t="shared" si="3"/>
        <v>CO-210000320_Result</v>
      </c>
      <c r="B202" s="1004" t="s">
        <v>830</v>
      </c>
      <c r="C202" s="807" t="s">
        <v>829</v>
      </c>
      <c r="D202" s="834" t="s">
        <v>1160</v>
      </c>
      <c r="E202" s="1020"/>
      <c r="F202" s="833"/>
      <c r="G202" s="833">
        <v>-174371.33199999999</v>
      </c>
      <c r="H202" s="833">
        <v>-205801.08100000001</v>
      </c>
      <c r="I202" s="833">
        <v>-158228.53099999999</v>
      </c>
      <c r="J202" s="833">
        <v>-102979.909</v>
      </c>
      <c r="K202" s="833">
        <v>-124304.068</v>
      </c>
      <c r="L202" s="833">
        <v>-102718.327</v>
      </c>
      <c r="M202" s="833">
        <v>-130567.876</v>
      </c>
      <c r="N202" s="833">
        <v>-103503.268</v>
      </c>
      <c r="O202" s="833">
        <v>-141985.32399999999</v>
      </c>
      <c r="P202" s="833">
        <v>-103505.28200000001</v>
      </c>
      <c r="Q202" s="833">
        <v>-122923.92</v>
      </c>
      <c r="R202" s="1018">
        <v>-104268.548</v>
      </c>
    </row>
    <row r="203" spans="1:18" x14ac:dyDescent="0.25">
      <c r="A203" s="451" t="str">
        <f t="shared" si="3"/>
        <v>CO-210000314_#</v>
      </c>
      <c r="B203" s="1004" t="s">
        <v>828</v>
      </c>
      <c r="C203" s="807" t="s">
        <v>1115</v>
      </c>
      <c r="D203" s="805" t="s">
        <v>1167</v>
      </c>
      <c r="E203" s="1016" t="s">
        <v>1168</v>
      </c>
      <c r="F203" s="612"/>
      <c r="G203" s="612">
        <v>105649.02099999999</v>
      </c>
      <c r="H203" s="612">
        <v>105649.02099999999</v>
      </c>
      <c r="I203" s="612">
        <v>105649.02099999999</v>
      </c>
      <c r="J203" s="612">
        <v>105649.02099999999</v>
      </c>
      <c r="K203" s="612">
        <v>105649.02099999999</v>
      </c>
      <c r="L203" s="612">
        <v>1121635.442</v>
      </c>
      <c r="M203" s="612">
        <v>1089521.3640000001</v>
      </c>
      <c r="N203" s="612">
        <v>1003782.835</v>
      </c>
      <c r="O203" s="612">
        <v>875478.00399999996</v>
      </c>
      <c r="P203" s="612">
        <v>1003782.835</v>
      </c>
      <c r="Q203" s="612">
        <v>1003782.835</v>
      </c>
      <c r="R203" s="1017">
        <v>1306745.835</v>
      </c>
    </row>
    <row r="204" spans="1:18" x14ac:dyDescent="0.25">
      <c r="A204" s="451" t="str">
        <f t="shared" si="3"/>
        <v>CO-210000314_Result</v>
      </c>
      <c r="B204" s="1004" t="s">
        <v>828</v>
      </c>
      <c r="C204" s="807" t="s">
        <v>1115</v>
      </c>
      <c r="D204" s="834" t="s">
        <v>1160</v>
      </c>
      <c r="E204" s="1020"/>
      <c r="F204" s="833"/>
      <c r="G204" s="833">
        <v>105649.02099999999</v>
      </c>
      <c r="H204" s="833">
        <v>105649.02099999999</v>
      </c>
      <c r="I204" s="833">
        <v>105649.02099999999</v>
      </c>
      <c r="J204" s="833">
        <v>105649.02099999999</v>
      </c>
      <c r="K204" s="833">
        <v>105649.02099999999</v>
      </c>
      <c r="L204" s="833">
        <v>1121635.442</v>
      </c>
      <c r="M204" s="833">
        <v>1089521.3640000001</v>
      </c>
      <c r="N204" s="833">
        <v>1003782.835</v>
      </c>
      <c r="O204" s="833">
        <v>875478.00399999996</v>
      </c>
      <c r="P204" s="833">
        <v>1003782.835</v>
      </c>
      <c r="Q204" s="833">
        <v>1003782.835</v>
      </c>
      <c r="R204" s="1018">
        <v>1306745.835</v>
      </c>
    </row>
    <row r="205" spans="1:18" x14ac:dyDescent="0.25">
      <c r="A205" s="451" t="str">
        <f t="shared" si="3"/>
        <v>CO-210000313_#</v>
      </c>
      <c r="B205" s="1004" t="s">
        <v>1501</v>
      </c>
      <c r="C205" s="807" t="s">
        <v>1502</v>
      </c>
      <c r="D205" s="805" t="s">
        <v>1167</v>
      </c>
      <c r="E205" s="1016" t="s">
        <v>1168</v>
      </c>
      <c r="F205" s="612"/>
      <c r="G205" s="612">
        <v>-24299.433000000001</v>
      </c>
      <c r="H205" s="612">
        <v>-21474.04</v>
      </c>
      <c r="I205" s="612">
        <v>-23299.741999999998</v>
      </c>
      <c r="J205" s="612">
        <v>-20025.524000000001</v>
      </c>
      <c r="K205" s="612">
        <v>-20643.78</v>
      </c>
      <c r="L205" s="612">
        <v>-19847.84</v>
      </c>
      <c r="M205" s="612">
        <v>-25603.786</v>
      </c>
      <c r="N205" s="612">
        <v>-19357.576000000001</v>
      </c>
      <c r="O205" s="612">
        <v>-21009.716</v>
      </c>
      <c r="P205" s="612">
        <v>-21476.274000000001</v>
      </c>
      <c r="Q205" s="612">
        <v>-20709.050999999999</v>
      </c>
      <c r="R205" s="1017">
        <v>-20996.880000000001</v>
      </c>
    </row>
    <row r="206" spans="1:18" x14ac:dyDescent="0.25">
      <c r="A206" s="451" t="str">
        <f t="shared" si="3"/>
        <v>CO-210000313_Result</v>
      </c>
      <c r="B206" s="1004" t="s">
        <v>1501</v>
      </c>
      <c r="C206" s="807" t="s">
        <v>1502</v>
      </c>
      <c r="D206" s="834" t="s">
        <v>1160</v>
      </c>
      <c r="E206" s="1020"/>
      <c r="F206" s="833"/>
      <c r="G206" s="833">
        <v>-24299.433000000001</v>
      </c>
      <c r="H206" s="833">
        <v>-21474.04</v>
      </c>
      <c r="I206" s="833">
        <v>-23299.741999999998</v>
      </c>
      <c r="J206" s="833">
        <v>-20025.524000000001</v>
      </c>
      <c r="K206" s="833">
        <v>-20643.78</v>
      </c>
      <c r="L206" s="833">
        <v>-19847.84</v>
      </c>
      <c r="M206" s="833">
        <v>-25603.786</v>
      </c>
      <c r="N206" s="833">
        <v>-19357.576000000001</v>
      </c>
      <c r="O206" s="833">
        <v>-21009.716</v>
      </c>
      <c r="P206" s="833">
        <v>-21476.274000000001</v>
      </c>
      <c r="Q206" s="833">
        <v>-20709.050999999999</v>
      </c>
      <c r="R206" s="1018">
        <v>-20996.880000000001</v>
      </c>
    </row>
    <row r="207" spans="1:18" x14ac:dyDescent="0.25">
      <c r="A207" s="451" t="str">
        <f t="shared" si="3"/>
        <v>CO-210000312_#</v>
      </c>
      <c r="B207" s="1004" t="s">
        <v>827</v>
      </c>
      <c r="C207" s="807" t="s">
        <v>826</v>
      </c>
      <c r="D207" s="805" t="s">
        <v>1167</v>
      </c>
      <c r="E207" s="1016" t="s">
        <v>1168</v>
      </c>
      <c r="F207" s="612"/>
      <c r="G207" s="612">
        <v>-381948.70799999998</v>
      </c>
      <c r="H207" s="612">
        <v>-381945.63900000002</v>
      </c>
      <c r="I207" s="612">
        <v>-381778.114</v>
      </c>
      <c r="J207" s="612">
        <v>-349221.68900000001</v>
      </c>
      <c r="K207" s="612">
        <v>-369005.27399999998</v>
      </c>
      <c r="L207" s="612">
        <v>-377461.51799999998</v>
      </c>
      <c r="M207" s="612">
        <v>-487739.49400000001</v>
      </c>
      <c r="N207" s="612">
        <v>-453250.174</v>
      </c>
      <c r="O207" s="612">
        <v>-415635.01699999999</v>
      </c>
      <c r="P207" s="612">
        <v>-416513.19400000002</v>
      </c>
      <c r="Q207" s="612">
        <v>-409462.40899999999</v>
      </c>
      <c r="R207" s="1017">
        <v>-424063.26799999998</v>
      </c>
    </row>
    <row r="208" spans="1:18" x14ac:dyDescent="0.25">
      <c r="A208" s="451" t="str">
        <f t="shared" si="3"/>
        <v>CO-210000312_Result</v>
      </c>
      <c r="B208" s="1004" t="s">
        <v>827</v>
      </c>
      <c r="C208" s="807" t="s">
        <v>826</v>
      </c>
      <c r="D208" s="834" t="s">
        <v>1160</v>
      </c>
      <c r="E208" s="1020"/>
      <c r="F208" s="833"/>
      <c r="G208" s="833">
        <v>-381948.70799999998</v>
      </c>
      <c r="H208" s="833">
        <v>-381945.63900000002</v>
      </c>
      <c r="I208" s="833">
        <v>-381778.114</v>
      </c>
      <c r="J208" s="833">
        <v>-349221.68900000001</v>
      </c>
      <c r="K208" s="833">
        <v>-369005.27399999998</v>
      </c>
      <c r="L208" s="833">
        <v>-377461.51799999998</v>
      </c>
      <c r="M208" s="833">
        <v>-487739.49400000001</v>
      </c>
      <c r="N208" s="833">
        <v>-453250.174</v>
      </c>
      <c r="O208" s="833">
        <v>-415635.01699999999</v>
      </c>
      <c r="P208" s="833">
        <v>-416513.19400000002</v>
      </c>
      <c r="Q208" s="833">
        <v>-409462.40899999999</v>
      </c>
      <c r="R208" s="1018">
        <v>-424063.26799999998</v>
      </c>
    </row>
    <row r="209" spans="1:18" x14ac:dyDescent="0.25">
      <c r="A209" s="451" t="str">
        <f t="shared" si="3"/>
        <v>CO-210000311_#</v>
      </c>
      <c r="B209" s="1004" t="s">
        <v>825</v>
      </c>
      <c r="C209" s="807" t="s">
        <v>824</v>
      </c>
      <c r="D209" s="805" t="s">
        <v>1167</v>
      </c>
      <c r="E209" s="1016" t="s">
        <v>1168</v>
      </c>
      <c r="F209" s="612"/>
      <c r="G209" s="612">
        <v>-187800.26300000001</v>
      </c>
      <c r="H209" s="612">
        <v>-187800.26300000001</v>
      </c>
      <c r="I209" s="612">
        <v>-187800.26300000001</v>
      </c>
      <c r="J209" s="612">
        <v>-187800.26300000001</v>
      </c>
      <c r="K209" s="612">
        <v>-187800.26300000001</v>
      </c>
      <c r="L209" s="612">
        <v>-187800.26300000001</v>
      </c>
      <c r="M209" s="612">
        <v>-187800.26300000001</v>
      </c>
      <c r="N209" s="612">
        <v>-187800.26300000001</v>
      </c>
      <c r="O209" s="612">
        <v>-187800.26300000001</v>
      </c>
      <c r="P209" s="612">
        <v>-187800.26300000001</v>
      </c>
      <c r="Q209" s="612">
        <v>-187800.26300000001</v>
      </c>
      <c r="R209" s="1017">
        <v>-187800.26300000001</v>
      </c>
    </row>
    <row r="210" spans="1:18" x14ac:dyDescent="0.25">
      <c r="A210" s="451" t="str">
        <f t="shared" si="3"/>
        <v>CO-210000311_Result</v>
      </c>
      <c r="B210" s="1004" t="s">
        <v>825</v>
      </c>
      <c r="C210" s="807" t="s">
        <v>824</v>
      </c>
      <c r="D210" s="834" t="s">
        <v>1160</v>
      </c>
      <c r="E210" s="1020"/>
      <c r="F210" s="833"/>
      <c r="G210" s="833">
        <v>-187800.26300000001</v>
      </c>
      <c r="H210" s="833">
        <v>-187800.26300000001</v>
      </c>
      <c r="I210" s="833">
        <v>-187800.26300000001</v>
      </c>
      <c r="J210" s="833">
        <v>-187800.26300000001</v>
      </c>
      <c r="K210" s="833">
        <v>-187800.26300000001</v>
      </c>
      <c r="L210" s="833">
        <v>-187800.26300000001</v>
      </c>
      <c r="M210" s="833">
        <v>-187800.26300000001</v>
      </c>
      <c r="N210" s="833">
        <v>-187800.26300000001</v>
      </c>
      <c r="O210" s="833">
        <v>-187800.26300000001</v>
      </c>
      <c r="P210" s="833">
        <v>-187800.26300000001</v>
      </c>
      <c r="Q210" s="833">
        <v>-187800.26300000001</v>
      </c>
      <c r="R210" s="1018">
        <v>-187800.26300000001</v>
      </c>
    </row>
    <row r="211" spans="1:18" x14ac:dyDescent="0.25">
      <c r="A211" s="451" t="str">
        <f t="shared" si="3"/>
        <v>CO-210000310_#</v>
      </c>
      <c r="B211" s="1004" t="s">
        <v>823</v>
      </c>
      <c r="C211" s="807" t="s">
        <v>822</v>
      </c>
      <c r="D211" s="805" t="s">
        <v>1167</v>
      </c>
      <c r="E211" s="1016" t="s">
        <v>1168</v>
      </c>
      <c r="F211" s="612"/>
      <c r="G211" s="612">
        <v>-418700.84</v>
      </c>
      <c r="H211" s="612">
        <v>-418700.84</v>
      </c>
      <c r="I211" s="612">
        <v>-418700.84</v>
      </c>
      <c r="J211" s="612">
        <v>-418700.84</v>
      </c>
      <c r="K211" s="612">
        <v>-418700.84</v>
      </c>
      <c r="L211" s="612">
        <v>-418700.84</v>
      </c>
      <c r="M211" s="612">
        <v>-418700.84</v>
      </c>
      <c r="N211" s="612">
        <v>-418700.84</v>
      </c>
      <c r="O211" s="612">
        <v>-418700.84</v>
      </c>
      <c r="P211" s="612">
        <v>-418700.84</v>
      </c>
      <c r="Q211" s="612">
        <v>-418700.84</v>
      </c>
      <c r="R211" s="1017">
        <v>-418700.84</v>
      </c>
    </row>
    <row r="212" spans="1:18" x14ac:dyDescent="0.25">
      <c r="A212" s="451" t="str">
        <f t="shared" si="3"/>
        <v>CO-210000310_Result</v>
      </c>
      <c r="B212" s="1004" t="s">
        <v>823</v>
      </c>
      <c r="C212" s="1021" t="s">
        <v>822</v>
      </c>
      <c r="D212" s="1022" t="s">
        <v>1160</v>
      </c>
      <c r="E212" s="1020"/>
      <c r="F212" s="999"/>
      <c r="G212" s="999">
        <v>-418700.84</v>
      </c>
      <c r="H212" s="999">
        <v>-418700.84</v>
      </c>
      <c r="I212" s="999">
        <v>-418700.84</v>
      </c>
      <c r="J212" s="999">
        <v>-418700.84</v>
      </c>
      <c r="K212" s="999">
        <v>-418700.84</v>
      </c>
      <c r="L212" s="999">
        <v>-418700.84</v>
      </c>
      <c r="M212" s="999">
        <v>-418700.84</v>
      </c>
      <c r="N212" s="999">
        <v>-418700.84</v>
      </c>
      <c r="O212" s="999">
        <v>-418700.84</v>
      </c>
      <c r="P212" s="999">
        <v>-418700.84</v>
      </c>
      <c r="Q212" s="999">
        <v>-418700.84</v>
      </c>
      <c r="R212" s="1018">
        <v>-418700.84</v>
      </c>
    </row>
    <row r="213" spans="1:18" x14ac:dyDescent="0.25">
      <c r="A213" s="451" t="str">
        <f t="shared" si="3"/>
        <v>0_0</v>
      </c>
    </row>
    <row r="214" spans="1:18" x14ac:dyDescent="0.25">
      <c r="A214" s="451" t="str">
        <f t="shared" si="3"/>
        <v>0_0</v>
      </c>
    </row>
    <row r="215" spans="1:18" x14ac:dyDescent="0.25">
      <c r="A215" s="451" t="str">
        <f t="shared" si="3"/>
        <v>0_0</v>
      </c>
    </row>
    <row r="216" spans="1:18" x14ac:dyDescent="0.25">
      <c r="A216" s="451" t="str">
        <f t="shared" si="3"/>
        <v>0_0</v>
      </c>
    </row>
    <row r="217" spans="1:18" x14ac:dyDescent="0.25">
      <c r="A217" s="451" t="str">
        <f t="shared" si="3"/>
        <v>0_0</v>
      </c>
    </row>
    <row r="218" spans="1:18" x14ac:dyDescent="0.25">
      <c r="A218" s="451" t="str">
        <f t="shared" si="3"/>
        <v>0_0</v>
      </c>
    </row>
    <row r="219" spans="1:18" x14ac:dyDescent="0.25">
      <c r="A219" s="451" t="str">
        <f t="shared" si="3"/>
        <v>0_0</v>
      </c>
    </row>
    <row r="220" spans="1:18" x14ac:dyDescent="0.25">
      <c r="A220" s="451" t="str">
        <f t="shared" si="3"/>
        <v>0_0</v>
      </c>
    </row>
    <row r="221" spans="1:18" x14ac:dyDescent="0.25">
      <c r="A221" s="451" t="str">
        <f t="shared" si="3"/>
        <v>0_0</v>
      </c>
    </row>
    <row r="222" spans="1:18" x14ac:dyDescent="0.25">
      <c r="A222" s="451" t="str">
        <f t="shared" si="3"/>
        <v>0_0</v>
      </c>
    </row>
    <row r="223" spans="1:18" x14ac:dyDescent="0.25">
      <c r="A223" s="451" t="str">
        <f t="shared" si="3"/>
        <v>0_0</v>
      </c>
    </row>
    <row r="224" spans="1:18" x14ac:dyDescent="0.25">
      <c r="A224" s="451" t="str">
        <f t="shared" si="3"/>
        <v>0_0</v>
      </c>
    </row>
    <row r="225" spans="1:1" x14ac:dyDescent="0.25">
      <c r="A225" s="451" t="str">
        <f t="shared" si="3"/>
        <v>0_0</v>
      </c>
    </row>
    <row r="226" spans="1:1" x14ac:dyDescent="0.25">
      <c r="A226" s="451" t="str">
        <f t="shared" si="3"/>
        <v>0_0</v>
      </c>
    </row>
    <row r="227" spans="1:1" x14ac:dyDescent="0.25">
      <c r="A227" s="451" t="str">
        <f t="shared" si="3"/>
        <v>0_0</v>
      </c>
    </row>
    <row r="228" spans="1:1" x14ac:dyDescent="0.25">
      <c r="A228" s="451" t="str">
        <f t="shared" si="3"/>
        <v>0_0</v>
      </c>
    </row>
    <row r="229" spans="1:1" x14ac:dyDescent="0.25">
      <c r="A229" s="451" t="str">
        <f t="shared" si="3"/>
        <v>0_0</v>
      </c>
    </row>
    <row r="230" spans="1:1" x14ac:dyDescent="0.25">
      <c r="A230" s="451" t="str">
        <f t="shared" si="3"/>
        <v>0_0</v>
      </c>
    </row>
    <row r="231" spans="1:1" x14ac:dyDescent="0.25">
      <c r="A231" s="451" t="str">
        <f t="shared" si="3"/>
        <v>0_0</v>
      </c>
    </row>
    <row r="232" spans="1:1" x14ac:dyDescent="0.25">
      <c r="A232" s="451" t="str">
        <f t="shared" si="3"/>
        <v>0_0</v>
      </c>
    </row>
    <row r="233" spans="1:1" x14ac:dyDescent="0.25">
      <c r="A233" s="451" t="str">
        <f t="shared" si="3"/>
        <v>0_0</v>
      </c>
    </row>
    <row r="234" spans="1:1" x14ac:dyDescent="0.25">
      <c r="A234" s="451" t="str">
        <f t="shared" si="3"/>
        <v>0_0</v>
      </c>
    </row>
    <row r="235" spans="1:1" x14ac:dyDescent="0.25">
      <c r="A235" s="451" t="str">
        <f t="shared" si="3"/>
        <v>0_0</v>
      </c>
    </row>
    <row r="236" spans="1:1" x14ac:dyDescent="0.25">
      <c r="A236" s="451" t="str">
        <f t="shared" si="3"/>
        <v>0_0</v>
      </c>
    </row>
    <row r="237" spans="1:1" x14ac:dyDescent="0.25">
      <c r="A237" s="451" t="str">
        <f t="shared" si="3"/>
        <v>0_0</v>
      </c>
    </row>
    <row r="238" spans="1:1" x14ac:dyDescent="0.25">
      <c r="A238" s="451" t="str">
        <f t="shared" si="3"/>
        <v>0_0</v>
      </c>
    </row>
    <row r="239" spans="1:1" x14ac:dyDescent="0.25">
      <c r="A239" s="451" t="str">
        <f t="shared" si="3"/>
        <v>0_0</v>
      </c>
    </row>
    <row r="240" spans="1:1" x14ac:dyDescent="0.25">
      <c r="A240" s="451" t="str">
        <f t="shared" si="3"/>
        <v>0_0</v>
      </c>
    </row>
    <row r="241" spans="1:1" x14ac:dyDescent="0.25">
      <c r="A241" s="451" t="str">
        <f t="shared" si="3"/>
        <v>0_0</v>
      </c>
    </row>
    <row r="242" spans="1:1" x14ac:dyDescent="0.25">
      <c r="A242" s="451" t="str">
        <f t="shared" si="3"/>
        <v>0_0</v>
      </c>
    </row>
    <row r="243" spans="1:1" x14ac:dyDescent="0.25">
      <c r="A243" s="451" t="str">
        <f t="shared" si="3"/>
        <v>0_0</v>
      </c>
    </row>
    <row r="244" spans="1:1" x14ac:dyDescent="0.25">
      <c r="A244" s="451" t="str">
        <f t="shared" si="3"/>
        <v>0_0</v>
      </c>
    </row>
    <row r="245" spans="1:1" x14ac:dyDescent="0.25">
      <c r="A245" s="451" t="str">
        <f t="shared" si="3"/>
        <v>0_0</v>
      </c>
    </row>
    <row r="246" spans="1:1" x14ac:dyDescent="0.25">
      <c r="A246" s="451" t="str">
        <f t="shared" si="3"/>
        <v>0_0</v>
      </c>
    </row>
    <row r="247" spans="1:1" x14ac:dyDescent="0.25">
      <c r="A247" s="451" t="str">
        <f t="shared" si="3"/>
        <v>0_0</v>
      </c>
    </row>
    <row r="248" spans="1:1" x14ac:dyDescent="0.25">
      <c r="A248" s="451" t="str">
        <f t="shared" si="3"/>
        <v>0_0</v>
      </c>
    </row>
    <row r="249" spans="1:1" x14ac:dyDescent="0.25">
      <c r="A249" s="451" t="str">
        <f t="shared" si="3"/>
        <v>0_0</v>
      </c>
    </row>
    <row r="250" spans="1:1" x14ac:dyDescent="0.25">
      <c r="A250" s="451" t="str">
        <f t="shared" si="3"/>
        <v>0_0</v>
      </c>
    </row>
    <row r="251" spans="1:1" x14ac:dyDescent="0.25">
      <c r="A251" s="451" t="str">
        <f t="shared" si="3"/>
        <v>0_0</v>
      </c>
    </row>
    <row r="252" spans="1:1" x14ac:dyDescent="0.25">
      <c r="A252" s="451" t="str">
        <f t="shared" si="3"/>
        <v>0_0</v>
      </c>
    </row>
    <row r="253" spans="1:1" x14ac:dyDescent="0.25">
      <c r="A253" s="451" t="str">
        <f t="shared" si="3"/>
        <v>0_0</v>
      </c>
    </row>
    <row r="254" spans="1:1" x14ac:dyDescent="0.25">
      <c r="A254" s="451" t="str">
        <f t="shared" si="3"/>
        <v>0_0</v>
      </c>
    </row>
    <row r="255" spans="1:1" x14ac:dyDescent="0.25">
      <c r="A255" s="451" t="str">
        <f t="shared" si="3"/>
        <v>0_0</v>
      </c>
    </row>
    <row r="256" spans="1:1" x14ac:dyDescent="0.25">
      <c r="A256" s="451" t="str">
        <f t="shared" si="3"/>
        <v>0_0</v>
      </c>
    </row>
    <row r="257" spans="1:1" x14ac:dyDescent="0.25">
      <c r="A257" s="451" t="str">
        <f t="shared" si="3"/>
        <v>0_0</v>
      </c>
    </row>
    <row r="258" spans="1:1" x14ac:dyDescent="0.25">
      <c r="A258" s="451" t="str">
        <f t="shared" si="3"/>
        <v>0_0</v>
      </c>
    </row>
    <row r="259" spans="1:1" x14ac:dyDescent="0.25">
      <c r="A259" s="451" t="str">
        <f t="shared" si="3"/>
        <v>0_0</v>
      </c>
    </row>
    <row r="260" spans="1:1" x14ac:dyDescent="0.25">
      <c r="A260" s="451" t="str">
        <f t="shared" ref="A260:A323" si="4" xml:space="preserve"> IFERROR(+B260*1,B260)&amp;"_"&amp;IFERROR(+D260*1,D260)</f>
        <v>0_0</v>
      </c>
    </row>
    <row r="261" spans="1:1" x14ac:dyDescent="0.25">
      <c r="A261" s="451" t="str">
        <f t="shared" si="4"/>
        <v>0_0</v>
      </c>
    </row>
    <row r="262" spans="1:1" x14ac:dyDescent="0.25">
      <c r="A262" s="451" t="str">
        <f t="shared" si="4"/>
        <v>0_0</v>
      </c>
    </row>
    <row r="263" spans="1:1" x14ac:dyDescent="0.25">
      <c r="A263" s="451" t="str">
        <f t="shared" si="4"/>
        <v>0_0</v>
      </c>
    </row>
    <row r="264" spans="1:1" x14ac:dyDescent="0.25">
      <c r="A264" s="451" t="str">
        <f t="shared" si="4"/>
        <v>0_0</v>
      </c>
    </row>
    <row r="265" spans="1:1" x14ac:dyDescent="0.25">
      <c r="A265" s="451" t="str">
        <f t="shared" si="4"/>
        <v>0_0</v>
      </c>
    </row>
    <row r="266" spans="1:1" x14ac:dyDescent="0.25">
      <c r="A266" s="451" t="str">
        <f t="shared" si="4"/>
        <v>0_0</v>
      </c>
    </row>
    <row r="267" spans="1:1" x14ac:dyDescent="0.25">
      <c r="A267" s="451" t="str">
        <f t="shared" si="4"/>
        <v>0_0</v>
      </c>
    </row>
    <row r="268" spans="1:1" x14ac:dyDescent="0.25">
      <c r="A268" s="451" t="str">
        <f t="shared" si="4"/>
        <v>0_0</v>
      </c>
    </row>
    <row r="269" spans="1:1" x14ac:dyDescent="0.25">
      <c r="A269" s="451" t="str">
        <f t="shared" si="4"/>
        <v>0_0</v>
      </c>
    </row>
    <row r="270" spans="1:1" x14ac:dyDescent="0.25">
      <c r="A270" s="451" t="str">
        <f t="shared" si="4"/>
        <v>0_0</v>
      </c>
    </row>
    <row r="271" spans="1:1" x14ac:dyDescent="0.25">
      <c r="A271" s="451" t="str">
        <f t="shared" si="4"/>
        <v>0_0</v>
      </c>
    </row>
    <row r="272" spans="1:1" x14ac:dyDescent="0.25">
      <c r="A272" s="451" t="str">
        <f t="shared" si="4"/>
        <v>0_0</v>
      </c>
    </row>
    <row r="273" spans="1:1" x14ac:dyDescent="0.25">
      <c r="A273" s="451" t="str">
        <f t="shared" si="4"/>
        <v>0_0</v>
      </c>
    </row>
    <row r="274" spans="1:1" x14ac:dyDescent="0.25">
      <c r="A274" s="451" t="str">
        <f t="shared" si="4"/>
        <v>0_0</v>
      </c>
    </row>
    <row r="275" spans="1:1" x14ac:dyDescent="0.25">
      <c r="A275" s="451" t="str">
        <f t="shared" si="4"/>
        <v>0_0</v>
      </c>
    </row>
    <row r="276" spans="1:1" x14ac:dyDescent="0.25">
      <c r="A276" s="451" t="str">
        <f t="shared" si="4"/>
        <v>0_0</v>
      </c>
    </row>
    <row r="277" spans="1:1" x14ac:dyDescent="0.25">
      <c r="A277" s="451" t="str">
        <f t="shared" si="4"/>
        <v>0_0</v>
      </c>
    </row>
    <row r="278" spans="1:1" x14ac:dyDescent="0.25">
      <c r="A278" s="451" t="str">
        <f t="shared" si="4"/>
        <v>0_0</v>
      </c>
    </row>
    <row r="279" spans="1:1" x14ac:dyDescent="0.25">
      <c r="A279" s="451" t="str">
        <f t="shared" si="4"/>
        <v>0_0</v>
      </c>
    </row>
    <row r="280" spans="1:1" x14ac:dyDescent="0.25">
      <c r="A280" s="451" t="str">
        <f t="shared" si="4"/>
        <v>0_0</v>
      </c>
    </row>
    <row r="281" spans="1:1" x14ac:dyDescent="0.25">
      <c r="A281" s="451" t="str">
        <f t="shared" si="4"/>
        <v>0_0</v>
      </c>
    </row>
    <row r="282" spans="1:1" x14ac:dyDescent="0.25">
      <c r="A282" s="451" t="str">
        <f t="shared" si="4"/>
        <v>0_0</v>
      </c>
    </row>
    <row r="283" spans="1:1" x14ac:dyDescent="0.25">
      <c r="A283" s="451" t="str">
        <f t="shared" si="4"/>
        <v>0_0</v>
      </c>
    </row>
    <row r="284" spans="1:1" x14ac:dyDescent="0.25">
      <c r="A284" s="451" t="str">
        <f t="shared" si="4"/>
        <v>0_0</v>
      </c>
    </row>
    <row r="285" spans="1:1" x14ac:dyDescent="0.25">
      <c r="A285" s="451" t="str">
        <f t="shared" si="4"/>
        <v>0_0</v>
      </c>
    </row>
    <row r="286" spans="1:1" x14ac:dyDescent="0.25">
      <c r="A286" s="451" t="str">
        <f t="shared" si="4"/>
        <v>0_0</v>
      </c>
    </row>
    <row r="287" spans="1:1" x14ac:dyDescent="0.25">
      <c r="A287" s="451" t="str">
        <f t="shared" si="4"/>
        <v>0_0</v>
      </c>
    </row>
    <row r="288" spans="1:1" x14ac:dyDescent="0.25">
      <c r="A288" s="451" t="str">
        <f t="shared" si="4"/>
        <v>0_0</v>
      </c>
    </row>
    <row r="289" spans="1:1" x14ac:dyDescent="0.25">
      <c r="A289" s="451" t="str">
        <f t="shared" si="4"/>
        <v>0_0</v>
      </c>
    </row>
    <row r="290" spans="1:1" x14ac:dyDescent="0.25">
      <c r="A290" s="451" t="str">
        <f t="shared" si="4"/>
        <v>0_0</v>
      </c>
    </row>
    <row r="291" spans="1:1" x14ac:dyDescent="0.25">
      <c r="A291" s="451" t="str">
        <f t="shared" si="4"/>
        <v>0_0</v>
      </c>
    </row>
    <row r="292" spans="1:1" x14ac:dyDescent="0.25">
      <c r="A292" s="451" t="str">
        <f t="shared" si="4"/>
        <v>0_0</v>
      </c>
    </row>
    <row r="293" spans="1:1" x14ac:dyDescent="0.25">
      <c r="A293" s="451" t="str">
        <f t="shared" si="4"/>
        <v>0_0</v>
      </c>
    </row>
    <row r="294" spans="1:1" x14ac:dyDescent="0.25">
      <c r="A294" s="451" t="str">
        <f t="shared" si="4"/>
        <v>0_0</v>
      </c>
    </row>
    <row r="295" spans="1:1" x14ac:dyDescent="0.25">
      <c r="A295" s="451" t="str">
        <f t="shared" si="4"/>
        <v>0_0</v>
      </c>
    </row>
    <row r="296" spans="1:1" x14ac:dyDescent="0.25">
      <c r="A296" s="451" t="str">
        <f t="shared" si="4"/>
        <v>0_0</v>
      </c>
    </row>
    <row r="297" spans="1:1" x14ac:dyDescent="0.25">
      <c r="A297" s="451" t="str">
        <f t="shared" si="4"/>
        <v>0_0</v>
      </c>
    </row>
    <row r="298" spans="1:1" x14ac:dyDescent="0.25">
      <c r="A298" s="451" t="str">
        <f t="shared" si="4"/>
        <v>0_0</v>
      </c>
    </row>
    <row r="299" spans="1:1" x14ac:dyDescent="0.25">
      <c r="A299" s="451" t="str">
        <f t="shared" si="4"/>
        <v>0_0</v>
      </c>
    </row>
    <row r="300" spans="1:1" x14ac:dyDescent="0.25">
      <c r="A300" s="451" t="str">
        <f t="shared" si="4"/>
        <v>0_0</v>
      </c>
    </row>
    <row r="301" spans="1:1" x14ac:dyDescent="0.25">
      <c r="A301" s="451" t="str">
        <f t="shared" si="4"/>
        <v>0_0</v>
      </c>
    </row>
    <row r="302" spans="1:1" x14ac:dyDescent="0.25">
      <c r="A302" s="451" t="str">
        <f t="shared" si="4"/>
        <v>0_0</v>
      </c>
    </row>
    <row r="303" spans="1:1" x14ac:dyDescent="0.25">
      <c r="A303" s="451" t="str">
        <f t="shared" si="4"/>
        <v>0_0</v>
      </c>
    </row>
    <row r="304" spans="1:1" x14ac:dyDescent="0.25">
      <c r="A304" s="451" t="str">
        <f t="shared" si="4"/>
        <v>0_0</v>
      </c>
    </row>
    <row r="305" spans="1:1" x14ac:dyDescent="0.25">
      <c r="A305" s="451" t="str">
        <f t="shared" si="4"/>
        <v>0_0</v>
      </c>
    </row>
    <row r="306" spans="1:1" x14ac:dyDescent="0.25">
      <c r="A306" s="451" t="str">
        <f t="shared" si="4"/>
        <v>0_0</v>
      </c>
    </row>
    <row r="307" spans="1:1" x14ac:dyDescent="0.25">
      <c r="A307" s="451" t="str">
        <f t="shared" si="4"/>
        <v>0_0</v>
      </c>
    </row>
    <row r="308" spans="1:1" x14ac:dyDescent="0.25">
      <c r="A308" s="451" t="str">
        <f t="shared" si="4"/>
        <v>0_0</v>
      </c>
    </row>
    <row r="309" spans="1:1" x14ac:dyDescent="0.25">
      <c r="A309" s="451" t="str">
        <f t="shared" si="4"/>
        <v>0_0</v>
      </c>
    </row>
    <row r="310" spans="1:1" x14ac:dyDescent="0.25">
      <c r="A310" s="451" t="str">
        <f t="shared" si="4"/>
        <v>0_0</v>
      </c>
    </row>
    <row r="311" spans="1:1" x14ac:dyDescent="0.25">
      <c r="A311" s="451" t="str">
        <f t="shared" si="4"/>
        <v>0_0</v>
      </c>
    </row>
    <row r="312" spans="1:1" x14ac:dyDescent="0.25">
      <c r="A312" s="451" t="str">
        <f t="shared" si="4"/>
        <v>0_0</v>
      </c>
    </row>
    <row r="313" spans="1:1" x14ac:dyDescent="0.25">
      <c r="A313" s="451" t="str">
        <f t="shared" si="4"/>
        <v>0_0</v>
      </c>
    </row>
    <row r="314" spans="1:1" x14ac:dyDescent="0.25">
      <c r="A314" s="451" t="str">
        <f t="shared" si="4"/>
        <v>0_0</v>
      </c>
    </row>
    <row r="315" spans="1:1" x14ac:dyDescent="0.25">
      <c r="A315" s="451" t="str">
        <f t="shared" si="4"/>
        <v>0_0</v>
      </c>
    </row>
    <row r="316" spans="1:1" x14ac:dyDescent="0.25">
      <c r="A316" s="451" t="str">
        <f t="shared" si="4"/>
        <v>0_0</v>
      </c>
    </row>
    <row r="317" spans="1:1" x14ac:dyDescent="0.25">
      <c r="A317" s="451" t="str">
        <f t="shared" si="4"/>
        <v>0_0</v>
      </c>
    </row>
    <row r="318" spans="1:1" x14ac:dyDescent="0.25">
      <c r="A318" s="451" t="str">
        <f t="shared" si="4"/>
        <v>0_0</v>
      </c>
    </row>
    <row r="319" spans="1:1" x14ac:dyDescent="0.25">
      <c r="A319" s="451" t="str">
        <f t="shared" si="4"/>
        <v>0_0</v>
      </c>
    </row>
    <row r="320" spans="1:1" x14ac:dyDescent="0.25">
      <c r="A320" s="451" t="str">
        <f t="shared" si="4"/>
        <v>0_0</v>
      </c>
    </row>
    <row r="321" spans="1:1" x14ac:dyDescent="0.25">
      <c r="A321" s="451" t="str">
        <f t="shared" si="4"/>
        <v>0_0</v>
      </c>
    </row>
    <row r="322" spans="1:1" x14ac:dyDescent="0.25">
      <c r="A322" s="451" t="str">
        <f t="shared" si="4"/>
        <v>0_0</v>
      </c>
    </row>
    <row r="323" spans="1:1" x14ac:dyDescent="0.25">
      <c r="A323" s="451" t="str">
        <f t="shared" si="4"/>
        <v>0_0</v>
      </c>
    </row>
    <row r="324" spans="1:1" x14ac:dyDescent="0.25">
      <c r="A324" s="451" t="str">
        <f t="shared" ref="A324:A387" si="5" xml:space="preserve"> IFERROR(+B324*1,B324)&amp;"_"&amp;IFERROR(+D324*1,D324)</f>
        <v>0_0</v>
      </c>
    </row>
    <row r="325" spans="1:1" x14ac:dyDescent="0.25">
      <c r="A325" s="451" t="str">
        <f t="shared" si="5"/>
        <v>0_0</v>
      </c>
    </row>
    <row r="326" spans="1:1" x14ac:dyDescent="0.25">
      <c r="A326" s="451" t="str">
        <f t="shared" si="5"/>
        <v>0_0</v>
      </c>
    </row>
    <row r="327" spans="1:1" x14ac:dyDescent="0.25">
      <c r="A327" s="451" t="str">
        <f t="shared" si="5"/>
        <v>0_0</v>
      </c>
    </row>
    <row r="328" spans="1:1" x14ac:dyDescent="0.25">
      <c r="A328" s="451" t="str">
        <f t="shared" si="5"/>
        <v>0_0</v>
      </c>
    </row>
    <row r="329" spans="1:1" x14ac:dyDescent="0.25">
      <c r="A329" s="451" t="str">
        <f t="shared" si="5"/>
        <v>0_0</v>
      </c>
    </row>
    <row r="330" spans="1:1" x14ac:dyDescent="0.25">
      <c r="A330" s="451" t="str">
        <f t="shared" si="5"/>
        <v>0_0</v>
      </c>
    </row>
    <row r="331" spans="1:1" x14ac:dyDescent="0.25">
      <c r="A331" s="451" t="str">
        <f t="shared" si="5"/>
        <v>0_0</v>
      </c>
    </row>
    <row r="332" spans="1:1" x14ac:dyDescent="0.25">
      <c r="A332" s="451" t="str">
        <f t="shared" si="5"/>
        <v>0_0</v>
      </c>
    </row>
    <row r="333" spans="1:1" x14ac:dyDescent="0.25">
      <c r="A333" s="451" t="str">
        <f t="shared" si="5"/>
        <v>0_0</v>
      </c>
    </row>
    <row r="334" spans="1:1" x14ac:dyDescent="0.25">
      <c r="A334" s="451" t="str">
        <f t="shared" si="5"/>
        <v>0_0</v>
      </c>
    </row>
    <row r="335" spans="1:1" x14ac:dyDescent="0.25">
      <c r="A335" s="451" t="str">
        <f t="shared" si="5"/>
        <v>0_0</v>
      </c>
    </row>
    <row r="336" spans="1:1" x14ac:dyDescent="0.25">
      <c r="A336" s="451" t="str">
        <f t="shared" si="5"/>
        <v>0_0</v>
      </c>
    </row>
    <row r="337" spans="1:1" x14ac:dyDescent="0.25">
      <c r="A337" s="451" t="str">
        <f t="shared" si="5"/>
        <v>0_0</v>
      </c>
    </row>
    <row r="338" spans="1:1" x14ac:dyDescent="0.25">
      <c r="A338" s="451" t="str">
        <f t="shared" si="5"/>
        <v>0_0</v>
      </c>
    </row>
    <row r="339" spans="1:1" x14ac:dyDescent="0.25">
      <c r="A339" s="451" t="str">
        <f t="shared" si="5"/>
        <v>0_0</v>
      </c>
    </row>
    <row r="340" spans="1:1" x14ac:dyDescent="0.25">
      <c r="A340" s="451" t="str">
        <f t="shared" si="5"/>
        <v>0_0</v>
      </c>
    </row>
    <row r="341" spans="1:1" x14ac:dyDescent="0.25">
      <c r="A341" s="451" t="str">
        <f t="shared" si="5"/>
        <v>0_0</v>
      </c>
    </row>
    <row r="342" spans="1:1" x14ac:dyDescent="0.25">
      <c r="A342" s="451" t="str">
        <f t="shared" si="5"/>
        <v>0_0</v>
      </c>
    </row>
    <row r="343" spans="1:1" x14ac:dyDescent="0.25">
      <c r="A343" s="451" t="str">
        <f t="shared" si="5"/>
        <v>0_0</v>
      </c>
    </row>
    <row r="344" spans="1:1" x14ac:dyDescent="0.25">
      <c r="A344" s="451" t="str">
        <f t="shared" si="5"/>
        <v>0_0</v>
      </c>
    </row>
    <row r="345" spans="1:1" x14ac:dyDescent="0.25">
      <c r="A345" s="451" t="str">
        <f t="shared" si="5"/>
        <v>0_0</v>
      </c>
    </row>
    <row r="346" spans="1:1" x14ac:dyDescent="0.25">
      <c r="A346" s="451" t="str">
        <f t="shared" si="5"/>
        <v>0_0</v>
      </c>
    </row>
    <row r="347" spans="1:1" x14ac:dyDescent="0.25">
      <c r="A347" s="451" t="str">
        <f t="shared" si="5"/>
        <v>0_0</v>
      </c>
    </row>
    <row r="348" spans="1:1" x14ac:dyDescent="0.25">
      <c r="A348" s="451" t="str">
        <f t="shared" si="5"/>
        <v>0_0</v>
      </c>
    </row>
    <row r="349" spans="1:1" x14ac:dyDescent="0.25">
      <c r="A349" s="451" t="str">
        <f t="shared" si="5"/>
        <v>0_0</v>
      </c>
    </row>
    <row r="350" spans="1:1" x14ac:dyDescent="0.25">
      <c r="A350" s="451" t="str">
        <f t="shared" si="5"/>
        <v>0_0</v>
      </c>
    </row>
    <row r="351" spans="1:1" x14ac:dyDescent="0.25">
      <c r="A351" s="451" t="str">
        <f t="shared" si="5"/>
        <v>0_0</v>
      </c>
    </row>
    <row r="352" spans="1:1" x14ac:dyDescent="0.25">
      <c r="A352" s="451" t="str">
        <f t="shared" si="5"/>
        <v>0_0</v>
      </c>
    </row>
    <row r="353" spans="1:1" x14ac:dyDescent="0.25">
      <c r="A353" s="451" t="str">
        <f t="shared" si="5"/>
        <v>0_0</v>
      </c>
    </row>
    <row r="354" spans="1:1" x14ac:dyDescent="0.25">
      <c r="A354" s="451" t="str">
        <f t="shared" si="5"/>
        <v>0_0</v>
      </c>
    </row>
    <row r="355" spans="1:1" x14ac:dyDescent="0.25">
      <c r="A355" s="451" t="str">
        <f t="shared" si="5"/>
        <v>0_0</v>
      </c>
    </row>
    <row r="356" spans="1:1" x14ac:dyDescent="0.25">
      <c r="A356" s="451" t="str">
        <f t="shared" si="5"/>
        <v>0_0</v>
      </c>
    </row>
    <row r="357" spans="1:1" x14ac:dyDescent="0.25">
      <c r="A357" s="451" t="str">
        <f t="shared" si="5"/>
        <v>0_0</v>
      </c>
    </row>
    <row r="358" spans="1:1" x14ac:dyDescent="0.25">
      <c r="A358" s="451" t="str">
        <f t="shared" si="5"/>
        <v>0_0</v>
      </c>
    </row>
    <row r="359" spans="1:1" x14ac:dyDescent="0.25">
      <c r="A359" s="451" t="str">
        <f t="shared" si="5"/>
        <v>0_0</v>
      </c>
    </row>
    <row r="360" spans="1:1" x14ac:dyDescent="0.25">
      <c r="A360" s="451" t="str">
        <f t="shared" si="5"/>
        <v>0_0</v>
      </c>
    </row>
    <row r="361" spans="1:1" x14ac:dyDescent="0.25">
      <c r="A361" s="451" t="str">
        <f t="shared" si="5"/>
        <v>0_0</v>
      </c>
    </row>
    <row r="362" spans="1:1" x14ac:dyDescent="0.25">
      <c r="A362" s="451" t="str">
        <f t="shared" si="5"/>
        <v>0_0</v>
      </c>
    </row>
    <row r="363" spans="1:1" x14ac:dyDescent="0.25">
      <c r="A363" s="451" t="str">
        <f t="shared" si="5"/>
        <v>0_0</v>
      </c>
    </row>
    <row r="364" spans="1:1" x14ac:dyDescent="0.25">
      <c r="A364" s="451" t="str">
        <f t="shared" si="5"/>
        <v>0_0</v>
      </c>
    </row>
    <row r="365" spans="1:1" x14ac:dyDescent="0.25">
      <c r="A365" s="451" t="str">
        <f t="shared" si="5"/>
        <v>0_0</v>
      </c>
    </row>
    <row r="366" spans="1:1" x14ac:dyDescent="0.25">
      <c r="A366" s="451" t="str">
        <f t="shared" si="5"/>
        <v>0_0</v>
      </c>
    </row>
    <row r="367" spans="1:1" x14ac:dyDescent="0.25">
      <c r="A367" s="451" t="str">
        <f t="shared" si="5"/>
        <v>0_0</v>
      </c>
    </row>
    <row r="368" spans="1:1" x14ac:dyDescent="0.25">
      <c r="A368" s="451" t="str">
        <f t="shared" si="5"/>
        <v>0_0</v>
      </c>
    </row>
    <row r="369" spans="1:1" x14ac:dyDescent="0.25">
      <c r="A369" s="451" t="str">
        <f t="shared" si="5"/>
        <v>0_0</v>
      </c>
    </row>
    <row r="370" spans="1:1" x14ac:dyDescent="0.25">
      <c r="A370" s="451" t="str">
        <f t="shared" si="5"/>
        <v>0_0</v>
      </c>
    </row>
    <row r="371" spans="1:1" x14ac:dyDescent="0.25">
      <c r="A371" s="451" t="str">
        <f t="shared" si="5"/>
        <v>0_0</v>
      </c>
    </row>
    <row r="372" spans="1:1" x14ac:dyDescent="0.25">
      <c r="A372" s="451" t="str">
        <f t="shared" si="5"/>
        <v>0_0</v>
      </c>
    </row>
    <row r="373" spans="1:1" x14ac:dyDescent="0.25">
      <c r="A373" s="451" t="str">
        <f t="shared" si="5"/>
        <v>0_0</v>
      </c>
    </row>
    <row r="374" spans="1:1" x14ac:dyDescent="0.25">
      <c r="A374" s="451" t="str">
        <f t="shared" si="5"/>
        <v>0_0</v>
      </c>
    </row>
    <row r="375" spans="1:1" x14ac:dyDescent="0.25">
      <c r="A375" s="451" t="str">
        <f t="shared" si="5"/>
        <v>0_0</v>
      </c>
    </row>
    <row r="376" spans="1:1" x14ac:dyDescent="0.25">
      <c r="A376" s="451" t="str">
        <f t="shared" si="5"/>
        <v>0_0</v>
      </c>
    </row>
    <row r="377" spans="1:1" x14ac:dyDescent="0.25">
      <c r="A377" s="451" t="str">
        <f t="shared" si="5"/>
        <v>0_0</v>
      </c>
    </row>
    <row r="378" spans="1:1" x14ac:dyDescent="0.25">
      <c r="A378" s="451" t="str">
        <f t="shared" si="5"/>
        <v>0_0</v>
      </c>
    </row>
    <row r="379" spans="1:1" x14ac:dyDescent="0.25">
      <c r="A379" s="451" t="str">
        <f t="shared" si="5"/>
        <v>0_0</v>
      </c>
    </row>
    <row r="380" spans="1:1" x14ac:dyDescent="0.25">
      <c r="A380" s="451" t="str">
        <f t="shared" si="5"/>
        <v>0_0</v>
      </c>
    </row>
    <row r="381" spans="1:1" x14ac:dyDescent="0.25">
      <c r="A381" s="451" t="str">
        <f t="shared" si="5"/>
        <v>0_0</v>
      </c>
    </row>
    <row r="382" spans="1:1" x14ac:dyDescent="0.25">
      <c r="A382" s="451" t="str">
        <f t="shared" si="5"/>
        <v>0_0</v>
      </c>
    </row>
    <row r="383" spans="1:1" x14ac:dyDescent="0.25">
      <c r="A383" s="451" t="str">
        <f t="shared" si="5"/>
        <v>0_0</v>
      </c>
    </row>
    <row r="384" spans="1:1" x14ac:dyDescent="0.25">
      <c r="A384" s="451" t="str">
        <f t="shared" si="5"/>
        <v>0_0</v>
      </c>
    </row>
    <row r="385" spans="1:1" x14ac:dyDescent="0.25">
      <c r="A385" s="451" t="str">
        <f t="shared" si="5"/>
        <v>0_0</v>
      </c>
    </row>
    <row r="386" spans="1:1" x14ac:dyDescent="0.25">
      <c r="A386" s="451" t="str">
        <f t="shared" si="5"/>
        <v>0_0</v>
      </c>
    </row>
    <row r="387" spans="1:1" x14ac:dyDescent="0.25">
      <c r="A387" s="451" t="str">
        <f t="shared" si="5"/>
        <v>0_0</v>
      </c>
    </row>
    <row r="388" spans="1:1" x14ac:dyDescent="0.25">
      <c r="A388" s="451" t="str">
        <f t="shared" ref="A388:A450" si="6" xml:space="preserve"> IFERROR(+B388*1,B388)&amp;"_"&amp;IFERROR(+D388*1,D388)</f>
        <v>0_0</v>
      </c>
    </row>
    <row r="389" spans="1:1" x14ac:dyDescent="0.25">
      <c r="A389" s="451" t="str">
        <f t="shared" si="6"/>
        <v>0_0</v>
      </c>
    </row>
    <row r="390" spans="1:1" x14ac:dyDescent="0.25">
      <c r="A390" s="451" t="str">
        <f t="shared" si="6"/>
        <v>0_0</v>
      </c>
    </row>
    <row r="391" spans="1:1" x14ac:dyDescent="0.25">
      <c r="A391" s="451" t="str">
        <f t="shared" si="6"/>
        <v>0_0</v>
      </c>
    </row>
    <row r="392" spans="1:1" x14ac:dyDescent="0.25">
      <c r="A392" s="451" t="str">
        <f t="shared" si="6"/>
        <v>0_0</v>
      </c>
    </row>
    <row r="393" spans="1:1" x14ac:dyDescent="0.25">
      <c r="A393" s="451" t="str">
        <f t="shared" si="6"/>
        <v>0_0</v>
      </c>
    </row>
    <row r="394" spans="1:1" x14ac:dyDescent="0.25">
      <c r="A394" s="451" t="str">
        <f t="shared" si="6"/>
        <v>0_0</v>
      </c>
    </row>
    <row r="395" spans="1:1" x14ac:dyDescent="0.25">
      <c r="A395" s="451" t="str">
        <f t="shared" si="6"/>
        <v>0_0</v>
      </c>
    </row>
    <row r="396" spans="1:1" x14ac:dyDescent="0.25">
      <c r="A396" s="451" t="str">
        <f t="shared" si="6"/>
        <v>0_0</v>
      </c>
    </row>
    <row r="397" spans="1:1" x14ac:dyDescent="0.25">
      <c r="A397" s="451" t="str">
        <f t="shared" si="6"/>
        <v>0_0</v>
      </c>
    </row>
    <row r="398" spans="1:1" x14ac:dyDescent="0.25">
      <c r="A398" s="451" t="str">
        <f t="shared" si="6"/>
        <v>0_0</v>
      </c>
    </row>
    <row r="399" spans="1:1" x14ac:dyDescent="0.25">
      <c r="A399" s="451" t="str">
        <f t="shared" si="6"/>
        <v>0_0</v>
      </c>
    </row>
    <row r="400" spans="1:1" x14ac:dyDescent="0.25">
      <c r="A400" s="451" t="str">
        <f t="shared" si="6"/>
        <v>0_0</v>
      </c>
    </row>
    <row r="401" spans="1:1" x14ac:dyDescent="0.25">
      <c r="A401" s="451" t="str">
        <f t="shared" si="6"/>
        <v>0_0</v>
      </c>
    </row>
    <row r="402" spans="1:1" x14ac:dyDescent="0.25">
      <c r="A402" s="451" t="str">
        <f t="shared" si="6"/>
        <v>0_0</v>
      </c>
    </row>
    <row r="403" spans="1:1" x14ac:dyDescent="0.25">
      <c r="A403" s="451" t="str">
        <f t="shared" si="6"/>
        <v>0_0</v>
      </c>
    </row>
    <row r="404" spans="1:1" x14ac:dyDescent="0.25">
      <c r="A404" s="451" t="str">
        <f t="shared" si="6"/>
        <v>0_0</v>
      </c>
    </row>
    <row r="405" spans="1:1" x14ac:dyDescent="0.25">
      <c r="A405" s="451" t="str">
        <f t="shared" si="6"/>
        <v>0_0</v>
      </c>
    </row>
    <row r="406" spans="1:1" x14ac:dyDescent="0.25">
      <c r="A406" s="451" t="str">
        <f t="shared" si="6"/>
        <v>0_0</v>
      </c>
    </row>
    <row r="407" spans="1:1" x14ac:dyDescent="0.25">
      <c r="A407" s="451" t="str">
        <f t="shared" si="6"/>
        <v>0_0</v>
      </c>
    </row>
    <row r="408" spans="1:1" x14ac:dyDescent="0.25">
      <c r="A408" s="451" t="str">
        <f t="shared" si="6"/>
        <v>0_0</v>
      </c>
    </row>
    <row r="409" spans="1:1" x14ac:dyDescent="0.25">
      <c r="A409" s="451" t="str">
        <f t="shared" si="6"/>
        <v>0_0</v>
      </c>
    </row>
    <row r="410" spans="1:1" x14ac:dyDescent="0.25">
      <c r="A410" s="451" t="str">
        <f t="shared" si="6"/>
        <v>0_0</v>
      </c>
    </row>
    <row r="411" spans="1:1" x14ac:dyDescent="0.25">
      <c r="A411" s="451" t="str">
        <f t="shared" si="6"/>
        <v>0_0</v>
      </c>
    </row>
    <row r="412" spans="1:1" x14ac:dyDescent="0.25">
      <c r="A412" s="451" t="str">
        <f t="shared" si="6"/>
        <v>0_0</v>
      </c>
    </row>
    <row r="413" spans="1:1" x14ac:dyDescent="0.25">
      <c r="A413" s="451" t="str">
        <f t="shared" si="6"/>
        <v>0_0</v>
      </c>
    </row>
    <row r="414" spans="1:1" x14ac:dyDescent="0.25">
      <c r="A414" s="451" t="str">
        <f t="shared" si="6"/>
        <v>0_0</v>
      </c>
    </row>
    <row r="415" spans="1:1" x14ac:dyDescent="0.25">
      <c r="A415" s="451" t="str">
        <f t="shared" si="6"/>
        <v>0_0</v>
      </c>
    </row>
    <row r="416" spans="1:1" x14ac:dyDescent="0.25">
      <c r="A416" s="451" t="str">
        <f t="shared" si="6"/>
        <v>0_0</v>
      </c>
    </row>
    <row r="417" spans="1:1" x14ac:dyDescent="0.25">
      <c r="A417" s="451" t="str">
        <f t="shared" si="6"/>
        <v>0_0</v>
      </c>
    </row>
    <row r="418" spans="1:1" x14ac:dyDescent="0.25">
      <c r="A418" s="451" t="str">
        <f t="shared" si="6"/>
        <v>0_0</v>
      </c>
    </row>
    <row r="419" spans="1:1" x14ac:dyDescent="0.25">
      <c r="A419" s="451" t="str">
        <f t="shared" si="6"/>
        <v>0_0</v>
      </c>
    </row>
    <row r="420" spans="1:1" x14ac:dyDescent="0.25">
      <c r="A420" s="451" t="str">
        <f t="shared" si="6"/>
        <v>0_0</v>
      </c>
    </row>
    <row r="421" spans="1:1" x14ac:dyDescent="0.25">
      <c r="A421" s="451" t="str">
        <f t="shared" si="6"/>
        <v>0_0</v>
      </c>
    </row>
    <row r="422" spans="1:1" x14ac:dyDescent="0.25">
      <c r="A422" s="451" t="str">
        <f t="shared" si="6"/>
        <v>0_0</v>
      </c>
    </row>
    <row r="423" spans="1:1" x14ac:dyDescent="0.25">
      <c r="A423" s="451" t="str">
        <f t="shared" si="6"/>
        <v>0_0</v>
      </c>
    </row>
    <row r="424" spans="1:1" x14ac:dyDescent="0.25">
      <c r="A424" s="451" t="str">
        <f t="shared" si="6"/>
        <v>0_0</v>
      </c>
    </row>
    <row r="425" spans="1:1" x14ac:dyDescent="0.25">
      <c r="A425" s="451" t="str">
        <f t="shared" si="6"/>
        <v>0_0</v>
      </c>
    </row>
    <row r="426" spans="1:1" x14ac:dyDescent="0.25">
      <c r="A426" s="451" t="str">
        <f t="shared" si="6"/>
        <v>0_0</v>
      </c>
    </row>
    <row r="427" spans="1:1" x14ac:dyDescent="0.25">
      <c r="A427" s="451" t="str">
        <f t="shared" si="6"/>
        <v>0_0</v>
      </c>
    </row>
    <row r="428" spans="1:1" x14ac:dyDescent="0.25">
      <c r="A428" s="451" t="str">
        <f t="shared" si="6"/>
        <v>0_0</v>
      </c>
    </row>
    <row r="429" spans="1:1" x14ac:dyDescent="0.25">
      <c r="A429" s="451" t="str">
        <f t="shared" si="6"/>
        <v>0_0</v>
      </c>
    </row>
    <row r="430" spans="1:1" x14ac:dyDescent="0.25">
      <c r="A430" s="451" t="str">
        <f t="shared" si="6"/>
        <v>0_0</v>
      </c>
    </row>
    <row r="431" spans="1:1" x14ac:dyDescent="0.25">
      <c r="A431" s="451" t="str">
        <f t="shared" si="6"/>
        <v>0_0</v>
      </c>
    </row>
    <row r="432" spans="1:1" x14ac:dyDescent="0.25">
      <c r="A432" s="451" t="str">
        <f t="shared" si="6"/>
        <v>0_0</v>
      </c>
    </row>
    <row r="433" spans="1:1" x14ac:dyDescent="0.25">
      <c r="A433" s="451" t="str">
        <f t="shared" si="6"/>
        <v>0_0</v>
      </c>
    </row>
    <row r="434" spans="1:1" x14ac:dyDescent="0.25">
      <c r="A434" s="451" t="str">
        <f t="shared" si="6"/>
        <v>0_0</v>
      </c>
    </row>
    <row r="435" spans="1:1" x14ac:dyDescent="0.25">
      <c r="A435" s="451" t="str">
        <f t="shared" si="6"/>
        <v>0_0</v>
      </c>
    </row>
    <row r="436" spans="1:1" x14ac:dyDescent="0.25">
      <c r="A436" s="451" t="str">
        <f t="shared" si="6"/>
        <v>0_0</v>
      </c>
    </row>
    <row r="437" spans="1:1" x14ac:dyDescent="0.25">
      <c r="A437" s="451" t="str">
        <f t="shared" si="6"/>
        <v>0_0</v>
      </c>
    </row>
    <row r="438" spans="1:1" x14ac:dyDescent="0.25">
      <c r="A438" s="451" t="str">
        <f t="shared" si="6"/>
        <v>0_0</v>
      </c>
    </row>
    <row r="439" spans="1:1" x14ac:dyDescent="0.25">
      <c r="A439" s="451" t="str">
        <f t="shared" si="6"/>
        <v>0_0</v>
      </c>
    </row>
    <row r="440" spans="1:1" x14ac:dyDescent="0.25">
      <c r="A440" s="451" t="str">
        <f t="shared" si="6"/>
        <v>0_0</v>
      </c>
    </row>
    <row r="441" spans="1:1" x14ac:dyDescent="0.25">
      <c r="A441" s="451" t="str">
        <f t="shared" si="6"/>
        <v>0_0</v>
      </c>
    </row>
    <row r="442" spans="1:1" x14ac:dyDescent="0.25">
      <c r="A442" s="451" t="str">
        <f t="shared" si="6"/>
        <v>0_0</v>
      </c>
    </row>
    <row r="443" spans="1:1" x14ac:dyDescent="0.25">
      <c r="A443" s="451" t="str">
        <f t="shared" si="6"/>
        <v>0_0</v>
      </c>
    </row>
    <row r="444" spans="1:1" x14ac:dyDescent="0.25">
      <c r="A444" s="451" t="str">
        <f t="shared" si="6"/>
        <v>0_0</v>
      </c>
    </row>
    <row r="445" spans="1:1" x14ac:dyDescent="0.25">
      <c r="A445" s="451" t="str">
        <f t="shared" si="6"/>
        <v>0_0</v>
      </c>
    </row>
    <row r="446" spans="1:1" x14ac:dyDescent="0.25">
      <c r="A446" s="451" t="str">
        <f t="shared" si="6"/>
        <v>0_0</v>
      </c>
    </row>
    <row r="447" spans="1:1" x14ac:dyDescent="0.25">
      <c r="A447" s="451" t="str">
        <f t="shared" si="6"/>
        <v>0_0</v>
      </c>
    </row>
    <row r="448" spans="1:1" x14ac:dyDescent="0.25">
      <c r="A448" s="451" t="str">
        <f t="shared" si="6"/>
        <v>0_0</v>
      </c>
    </row>
    <row r="449" spans="1:1" x14ac:dyDescent="0.25">
      <c r="A449" s="451" t="str">
        <f t="shared" si="6"/>
        <v>0_0</v>
      </c>
    </row>
    <row r="450" spans="1:1" x14ac:dyDescent="0.25">
      <c r="A450" s="451" t="str">
        <f t="shared" si="6"/>
        <v>0_0</v>
      </c>
    </row>
    <row r="451" spans="1:1" x14ac:dyDescent="0.25">
      <c r="A451" s="451" t="str">
        <f xml:space="preserve"> IFERROR(+B451*1,B451)&amp;"_"&amp;IFERROR(+D451*1,D451)</f>
        <v>0_0</v>
      </c>
    </row>
    <row r="452" spans="1:1" x14ac:dyDescent="0.25">
      <c r="A452" s="451" t="str">
        <f t="shared" ref="A452:A515" si="7" xml:space="preserve"> IFERROR(+B452*1,B452)&amp;"_"&amp;IFERROR(+D452*1,D452)</f>
        <v>0_0</v>
      </c>
    </row>
    <row r="453" spans="1:1" x14ac:dyDescent="0.25">
      <c r="A453" s="451" t="str">
        <f t="shared" si="7"/>
        <v>0_0</v>
      </c>
    </row>
    <row r="454" spans="1:1" x14ac:dyDescent="0.25">
      <c r="A454" s="451" t="str">
        <f t="shared" si="7"/>
        <v>0_0</v>
      </c>
    </row>
    <row r="455" spans="1:1" x14ac:dyDescent="0.25">
      <c r="A455" s="451" t="str">
        <f t="shared" si="7"/>
        <v>0_0</v>
      </c>
    </row>
    <row r="456" spans="1:1" x14ac:dyDescent="0.25">
      <c r="A456" s="451" t="str">
        <f t="shared" si="7"/>
        <v>0_0</v>
      </c>
    </row>
    <row r="457" spans="1:1" x14ac:dyDescent="0.25">
      <c r="A457" s="451" t="str">
        <f t="shared" si="7"/>
        <v>0_0</v>
      </c>
    </row>
    <row r="458" spans="1:1" x14ac:dyDescent="0.25">
      <c r="A458" s="451" t="str">
        <f t="shared" si="7"/>
        <v>0_0</v>
      </c>
    </row>
    <row r="459" spans="1:1" x14ac:dyDescent="0.25">
      <c r="A459" s="451" t="str">
        <f t="shared" si="7"/>
        <v>0_0</v>
      </c>
    </row>
    <row r="460" spans="1:1" x14ac:dyDescent="0.25">
      <c r="A460" s="451" t="str">
        <f t="shared" si="7"/>
        <v>0_0</v>
      </c>
    </row>
    <row r="461" spans="1:1" x14ac:dyDescent="0.25">
      <c r="A461" s="451" t="str">
        <f t="shared" si="7"/>
        <v>0_0</v>
      </c>
    </row>
    <row r="462" spans="1:1" x14ac:dyDescent="0.25">
      <c r="A462" s="451" t="str">
        <f t="shared" si="7"/>
        <v>0_0</v>
      </c>
    </row>
    <row r="463" spans="1:1" x14ac:dyDescent="0.25">
      <c r="A463" s="451" t="str">
        <f t="shared" si="7"/>
        <v>0_0</v>
      </c>
    </row>
    <row r="464" spans="1:1" x14ac:dyDescent="0.25">
      <c r="A464" s="451" t="str">
        <f t="shared" si="7"/>
        <v>0_0</v>
      </c>
    </row>
    <row r="465" spans="1:1" x14ac:dyDescent="0.25">
      <c r="A465" s="451" t="str">
        <f t="shared" si="7"/>
        <v>0_0</v>
      </c>
    </row>
    <row r="466" spans="1:1" x14ac:dyDescent="0.25">
      <c r="A466" s="451" t="str">
        <f t="shared" si="7"/>
        <v>0_0</v>
      </c>
    </row>
    <row r="467" spans="1:1" x14ac:dyDescent="0.25">
      <c r="A467" s="451" t="str">
        <f t="shared" si="7"/>
        <v>0_0</v>
      </c>
    </row>
    <row r="468" spans="1:1" x14ac:dyDescent="0.25">
      <c r="A468" s="451" t="str">
        <f t="shared" si="7"/>
        <v>0_0</v>
      </c>
    </row>
    <row r="469" spans="1:1" x14ac:dyDescent="0.25">
      <c r="A469" s="451" t="str">
        <f t="shared" si="7"/>
        <v>0_0</v>
      </c>
    </row>
    <row r="470" spans="1:1" x14ac:dyDescent="0.25">
      <c r="A470" s="451" t="str">
        <f t="shared" si="7"/>
        <v>0_0</v>
      </c>
    </row>
    <row r="471" spans="1:1" x14ac:dyDescent="0.25">
      <c r="A471" s="451" t="str">
        <f t="shared" si="7"/>
        <v>0_0</v>
      </c>
    </row>
    <row r="472" spans="1:1" x14ac:dyDescent="0.25">
      <c r="A472" s="451" t="str">
        <f t="shared" si="7"/>
        <v>0_0</v>
      </c>
    </row>
    <row r="473" spans="1:1" x14ac:dyDescent="0.25">
      <c r="A473" s="451" t="str">
        <f t="shared" si="7"/>
        <v>0_0</v>
      </c>
    </row>
    <row r="474" spans="1:1" x14ac:dyDescent="0.25">
      <c r="A474" s="451" t="str">
        <f t="shared" si="7"/>
        <v>0_0</v>
      </c>
    </row>
    <row r="475" spans="1:1" x14ac:dyDescent="0.25">
      <c r="A475" s="451" t="str">
        <f t="shared" si="7"/>
        <v>0_0</v>
      </c>
    </row>
    <row r="476" spans="1:1" x14ac:dyDescent="0.25">
      <c r="A476" s="451" t="str">
        <f t="shared" si="7"/>
        <v>0_0</v>
      </c>
    </row>
    <row r="477" spans="1:1" x14ac:dyDescent="0.25">
      <c r="A477" s="451" t="str">
        <f t="shared" si="7"/>
        <v>0_0</v>
      </c>
    </row>
    <row r="478" spans="1:1" x14ac:dyDescent="0.25">
      <c r="A478" s="451" t="str">
        <f t="shared" si="7"/>
        <v>0_0</v>
      </c>
    </row>
    <row r="479" spans="1:1" x14ac:dyDescent="0.25">
      <c r="A479" s="451" t="str">
        <f t="shared" si="7"/>
        <v>0_0</v>
      </c>
    </row>
    <row r="480" spans="1:1" x14ac:dyDescent="0.25">
      <c r="A480" s="451" t="str">
        <f t="shared" si="7"/>
        <v>0_0</v>
      </c>
    </row>
    <row r="481" spans="1:1" x14ac:dyDescent="0.25">
      <c r="A481" s="451" t="str">
        <f t="shared" si="7"/>
        <v>0_0</v>
      </c>
    </row>
    <row r="482" spans="1:1" x14ac:dyDescent="0.25">
      <c r="A482" s="451" t="str">
        <f t="shared" si="7"/>
        <v>0_0</v>
      </c>
    </row>
    <row r="483" spans="1:1" x14ac:dyDescent="0.25">
      <c r="A483" s="451" t="str">
        <f t="shared" si="7"/>
        <v>0_0</v>
      </c>
    </row>
    <row r="484" spans="1:1" x14ac:dyDescent="0.25">
      <c r="A484" s="451" t="str">
        <f t="shared" si="7"/>
        <v>0_0</v>
      </c>
    </row>
    <row r="485" spans="1:1" x14ac:dyDescent="0.25">
      <c r="A485" s="451" t="str">
        <f t="shared" si="7"/>
        <v>0_0</v>
      </c>
    </row>
    <row r="486" spans="1:1" x14ac:dyDescent="0.25">
      <c r="A486" s="451" t="str">
        <f t="shared" si="7"/>
        <v>0_0</v>
      </c>
    </row>
    <row r="487" spans="1:1" x14ac:dyDescent="0.25">
      <c r="A487" s="451" t="str">
        <f t="shared" si="7"/>
        <v>0_0</v>
      </c>
    </row>
    <row r="488" spans="1:1" x14ac:dyDescent="0.25">
      <c r="A488" s="451" t="str">
        <f t="shared" si="7"/>
        <v>0_0</v>
      </c>
    </row>
    <row r="489" spans="1:1" x14ac:dyDescent="0.25">
      <c r="A489" s="451" t="str">
        <f t="shared" si="7"/>
        <v>0_0</v>
      </c>
    </row>
    <row r="490" spans="1:1" x14ac:dyDescent="0.25">
      <c r="A490" s="451" t="str">
        <f t="shared" si="7"/>
        <v>0_0</v>
      </c>
    </row>
    <row r="491" spans="1:1" x14ac:dyDescent="0.25">
      <c r="A491" s="451" t="str">
        <f t="shared" si="7"/>
        <v>0_0</v>
      </c>
    </row>
    <row r="492" spans="1:1" x14ac:dyDescent="0.25">
      <c r="A492" s="451" t="str">
        <f t="shared" si="7"/>
        <v>0_0</v>
      </c>
    </row>
    <row r="493" spans="1:1" x14ac:dyDescent="0.25">
      <c r="A493" s="451" t="str">
        <f t="shared" si="7"/>
        <v>0_0</v>
      </c>
    </row>
    <row r="494" spans="1:1" x14ac:dyDescent="0.25">
      <c r="A494" s="451" t="str">
        <f t="shared" si="7"/>
        <v>0_0</v>
      </c>
    </row>
    <row r="495" spans="1:1" x14ac:dyDescent="0.25">
      <c r="A495" s="451" t="str">
        <f t="shared" si="7"/>
        <v>0_0</v>
      </c>
    </row>
    <row r="496" spans="1:1" x14ac:dyDescent="0.25">
      <c r="A496" s="451" t="str">
        <f t="shared" si="7"/>
        <v>0_0</v>
      </c>
    </row>
    <row r="497" spans="1:1" x14ac:dyDescent="0.25">
      <c r="A497" s="451" t="str">
        <f t="shared" si="7"/>
        <v>0_0</v>
      </c>
    </row>
    <row r="498" spans="1:1" x14ac:dyDescent="0.25">
      <c r="A498" s="451" t="str">
        <f t="shared" si="7"/>
        <v>0_0</v>
      </c>
    </row>
    <row r="499" spans="1:1" x14ac:dyDescent="0.25">
      <c r="A499" s="451" t="str">
        <f t="shared" si="7"/>
        <v>0_0</v>
      </c>
    </row>
    <row r="500" spans="1:1" x14ac:dyDescent="0.25">
      <c r="A500" s="451" t="str">
        <f t="shared" si="7"/>
        <v>0_0</v>
      </c>
    </row>
    <row r="501" spans="1:1" x14ac:dyDescent="0.25">
      <c r="A501" s="451" t="str">
        <f t="shared" si="7"/>
        <v>0_0</v>
      </c>
    </row>
    <row r="502" spans="1:1" x14ac:dyDescent="0.25">
      <c r="A502" s="451" t="str">
        <f t="shared" si="7"/>
        <v>0_0</v>
      </c>
    </row>
    <row r="503" spans="1:1" x14ac:dyDescent="0.25">
      <c r="A503" s="451" t="str">
        <f t="shared" si="7"/>
        <v>0_0</v>
      </c>
    </row>
    <row r="504" spans="1:1" x14ac:dyDescent="0.25">
      <c r="A504" s="451" t="str">
        <f t="shared" si="7"/>
        <v>0_0</v>
      </c>
    </row>
    <row r="505" spans="1:1" x14ac:dyDescent="0.25">
      <c r="A505" s="451" t="str">
        <f t="shared" si="7"/>
        <v>0_0</v>
      </c>
    </row>
    <row r="506" spans="1:1" x14ac:dyDescent="0.25">
      <c r="A506" s="451" t="str">
        <f t="shared" si="7"/>
        <v>0_0</v>
      </c>
    </row>
    <row r="507" spans="1:1" x14ac:dyDescent="0.25">
      <c r="A507" s="451" t="str">
        <f t="shared" si="7"/>
        <v>0_0</v>
      </c>
    </row>
    <row r="508" spans="1:1" x14ac:dyDescent="0.25">
      <c r="A508" s="451" t="str">
        <f t="shared" si="7"/>
        <v>0_0</v>
      </c>
    </row>
    <row r="509" spans="1:1" x14ac:dyDescent="0.25">
      <c r="A509" s="451" t="str">
        <f t="shared" si="7"/>
        <v>0_0</v>
      </c>
    </row>
    <row r="510" spans="1:1" x14ac:dyDescent="0.25">
      <c r="A510" s="451" t="str">
        <f t="shared" si="7"/>
        <v>0_0</v>
      </c>
    </row>
    <row r="511" spans="1:1" x14ac:dyDescent="0.25">
      <c r="A511" s="451" t="str">
        <f t="shared" si="7"/>
        <v>0_0</v>
      </c>
    </row>
    <row r="512" spans="1:1" x14ac:dyDescent="0.25">
      <c r="A512" s="451" t="str">
        <f t="shared" si="7"/>
        <v>0_0</v>
      </c>
    </row>
    <row r="513" spans="1:1" x14ac:dyDescent="0.25">
      <c r="A513" s="451" t="str">
        <f t="shared" si="7"/>
        <v>0_0</v>
      </c>
    </row>
    <row r="514" spans="1:1" x14ac:dyDescent="0.25">
      <c r="A514" s="451" t="str">
        <f t="shared" si="7"/>
        <v>0_0</v>
      </c>
    </row>
    <row r="515" spans="1:1" x14ac:dyDescent="0.25">
      <c r="A515" s="451" t="str">
        <f t="shared" si="7"/>
        <v>0_0</v>
      </c>
    </row>
    <row r="516" spans="1:1" x14ac:dyDescent="0.25">
      <c r="A516" s="451" t="str">
        <f t="shared" ref="A516:A579" si="8" xml:space="preserve"> IFERROR(+B516*1,B516)&amp;"_"&amp;IFERROR(+D516*1,D516)</f>
        <v>0_0</v>
      </c>
    </row>
    <row r="517" spans="1:1" x14ac:dyDescent="0.25">
      <c r="A517" s="451" t="str">
        <f t="shared" si="8"/>
        <v>0_0</v>
      </c>
    </row>
    <row r="518" spans="1:1" x14ac:dyDescent="0.25">
      <c r="A518" s="451" t="str">
        <f t="shared" si="8"/>
        <v>0_0</v>
      </c>
    </row>
    <row r="519" spans="1:1" x14ac:dyDescent="0.25">
      <c r="A519" s="451" t="str">
        <f t="shared" si="8"/>
        <v>0_0</v>
      </c>
    </row>
    <row r="520" spans="1:1" x14ac:dyDescent="0.25">
      <c r="A520" s="451" t="str">
        <f t="shared" si="8"/>
        <v>0_0</v>
      </c>
    </row>
    <row r="521" spans="1:1" x14ac:dyDescent="0.25">
      <c r="A521" s="451" t="str">
        <f t="shared" si="8"/>
        <v>0_0</v>
      </c>
    </row>
    <row r="522" spans="1:1" x14ac:dyDescent="0.25">
      <c r="A522" s="451" t="str">
        <f t="shared" si="8"/>
        <v>0_0</v>
      </c>
    </row>
    <row r="523" spans="1:1" x14ac:dyDescent="0.25">
      <c r="A523" s="451" t="str">
        <f t="shared" si="8"/>
        <v>0_0</v>
      </c>
    </row>
    <row r="524" spans="1:1" x14ac:dyDescent="0.25">
      <c r="A524" s="451" t="str">
        <f t="shared" si="8"/>
        <v>0_0</v>
      </c>
    </row>
    <row r="525" spans="1:1" x14ac:dyDescent="0.25">
      <c r="A525" s="451" t="str">
        <f t="shared" si="8"/>
        <v>0_0</v>
      </c>
    </row>
    <row r="526" spans="1:1" x14ac:dyDescent="0.25">
      <c r="A526" s="451" t="str">
        <f t="shared" si="8"/>
        <v>0_0</v>
      </c>
    </row>
    <row r="527" spans="1:1" x14ac:dyDescent="0.25">
      <c r="A527" s="451" t="str">
        <f t="shared" si="8"/>
        <v>0_0</v>
      </c>
    </row>
    <row r="528" spans="1:1" x14ac:dyDescent="0.25">
      <c r="A528" s="451" t="str">
        <f t="shared" si="8"/>
        <v>0_0</v>
      </c>
    </row>
    <row r="529" spans="1:1" x14ac:dyDescent="0.25">
      <c r="A529" s="451" t="str">
        <f t="shared" si="8"/>
        <v>0_0</v>
      </c>
    </row>
    <row r="530" spans="1:1" x14ac:dyDescent="0.25">
      <c r="A530" s="451" t="str">
        <f t="shared" si="8"/>
        <v>0_0</v>
      </c>
    </row>
    <row r="531" spans="1:1" x14ac:dyDescent="0.25">
      <c r="A531" s="451" t="str">
        <f t="shared" si="8"/>
        <v>0_0</v>
      </c>
    </row>
    <row r="532" spans="1:1" x14ac:dyDescent="0.25">
      <c r="A532" s="451" t="str">
        <f t="shared" si="8"/>
        <v>0_0</v>
      </c>
    </row>
    <row r="533" spans="1:1" x14ac:dyDescent="0.25">
      <c r="A533" s="451" t="str">
        <f t="shared" si="8"/>
        <v>0_0</v>
      </c>
    </row>
    <row r="534" spans="1:1" x14ac:dyDescent="0.25">
      <c r="A534" s="451" t="str">
        <f t="shared" si="8"/>
        <v>0_0</v>
      </c>
    </row>
    <row r="535" spans="1:1" x14ac:dyDescent="0.25">
      <c r="A535" s="451" t="str">
        <f t="shared" si="8"/>
        <v>0_0</v>
      </c>
    </row>
    <row r="536" spans="1:1" x14ac:dyDescent="0.25">
      <c r="A536" s="451" t="str">
        <f t="shared" si="8"/>
        <v>0_0</v>
      </c>
    </row>
    <row r="537" spans="1:1" x14ac:dyDescent="0.25">
      <c r="A537" s="451" t="str">
        <f t="shared" si="8"/>
        <v>0_0</v>
      </c>
    </row>
    <row r="538" spans="1:1" x14ac:dyDescent="0.25">
      <c r="A538" s="451" t="str">
        <f t="shared" si="8"/>
        <v>0_0</v>
      </c>
    </row>
    <row r="539" spans="1:1" x14ac:dyDescent="0.25">
      <c r="A539" s="451" t="str">
        <f t="shared" si="8"/>
        <v>0_0</v>
      </c>
    </row>
    <row r="540" spans="1:1" x14ac:dyDescent="0.25">
      <c r="A540" s="451" t="str">
        <f t="shared" si="8"/>
        <v>0_0</v>
      </c>
    </row>
    <row r="541" spans="1:1" x14ac:dyDescent="0.25">
      <c r="A541" s="451" t="str">
        <f t="shared" si="8"/>
        <v>0_0</v>
      </c>
    </row>
    <row r="542" spans="1:1" x14ac:dyDescent="0.25">
      <c r="A542" s="451" t="str">
        <f t="shared" si="8"/>
        <v>0_0</v>
      </c>
    </row>
    <row r="543" spans="1:1" x14ac:dyDescent="0.25">
      <c r="A543" s="451" t="str">
        <f t="shared" si="8"/>
        <v>0_0</v>
      </c>
    </row>
    <row r="544" spans="1:1" x14ac:dyDescent="0.25">
      <c r="A544" s="451" t="str">
        <f t="shared" si="8"/>
        <v>0_0</v>
      </c>
    </row>
    <row r="545" spans="1:1" x14ac:dyDescent="0.25">
      <c r="A545" s="451" t="str">
        <f t="shared" si="8"/>
        <v>0_0</v>
      </c>
    </row>
    <row r="546" spans="1:1" x14ac:dyDescent="0.25">
      <c r="A546" s="451" t="str">
        <f t="shared" si="8"/>
        <v>0_0</v>
      </c>
    </row>
    <row r="547" spans="1:1" x14ac:dyDescent="0.25">
      <c r="A547" s="451" t="str">
        <f t="shared" si="8"/>
        <v>0_0</v>
      </c>
    </row>
    <row r="548" spans="1:1" x14ac:dyDescent="0.25">
      <c r="A548" s="451" t="str">
        <f t="shared" si="8"/>
        <v>0_0</v>
      </c>
    </row>
    <row r="549" spans="1:1" x14ac:dyDescent="0.25">
      <c r="A549" s="451" t="str">
        <f t="shared" si="8"/>
        <v>0_0</v>
      </c>
    </row>
    <row r="550" spans="1:1" x14ac:dyDescent="0.25">
      <c r="A550" s="451" t="str">
        <f t="shared" si="8"/>
        <v>0_0</v>
      </c>
    </row>
    <row r="551" spans="1:1" x14ac:dyDescent="0.25">
      <c r="A551" s="451" t="str">
        <f t="shared" si="8"/>
        <v>0_0</v>
      </c>
    </row>
    <row r="552" spans="1:1" x14ac:dyDescent="0.25">
      <c r="A552" s="451" t="str">
        <f t="shared" si="8"/>
        <v>0_0</v>
      </c>
    </row>
    <row r="553" spans="1:1" x14ac:dyDescent="0.25">
      <c r="A553" s="451" t="str">
        <f t="shared" si="8"/>
        <v>0_0</v>
      </c>
    </row>
    <row r="554" spans="1:1" x14ac:dyDescent="0.25">
      <c r="A554" s="451" t="str">
        <f t="shared" si="8"/>
        <v>0_0</v>
      </c>
    </row>
    <row r="555" spans="1:1" x14ac:dyDescent="0.25">
      <c r="A555" s="451" t="str">
        <f t="shared" si="8"/>
        <v>0_0</v>
      </c>
    </row>
    <row r="556" spans="1:1" x14ac:dyDescent="0.25">
      <c r="A556" s="451" t="str">
        <f t="shared" si="8"/>
        <v>0_0</v>
      </c>
    </row>
    <row r="557" spans="1:1" x14ac:dyDescent="0.25">
      <c r="A557" s="451" t="str">
        <f t="shared" si="8"/>
        <v>0_0</v>
      </c>
    </row>
    <row r="558" spans="1:1" x14ac:dyDescent="0.25">
      <c r="A558" s="451" t="str">
        <f t="shared" si="8"/>
        <v>0_0</v>
      </c>
    </row>
    <row r="559" spans="1:1" x14ac:dyDescent="0.25">
      <c r="A559" s="451" t="str">
        <f t="shared" si="8"/>
        <v>0_0</v>
      </c>
    </row>
    <row r="560" spans="1:1" x14ac:dyDescent="0.25">
      <c r="A560" s="451" t="str">
        <f t="shared" si="8"/>
        <v>0_0</v>
      </c>
    </row>
    <row r="561" spans="1:1" x14ac:dyDescent="0.25">
      <c r="A561" s="451" t="str">
        <f t="shared" si="8"/>
        <v>0_0</v>
      </c>
    </row>
    <row r="562" spans="1:1" x14ac:dyDescent="0.25">
      <c r="A562" s="451" t="str">
        <f t="shared" si="8"/>
        <v>0_0</v>
      </c>
    </row>
    <row r="563" spans="1:1" x14ac:dyDescent="0.25">
      <c r="A563" s="451" t="str">
        <f t="shared" si="8"/>
        <v>0_0</v>
      </c>
    </row>
    <row r="564" spans="1:1" x14ac:dyDescent="0.25">
      <c r="A564" s="451" t="str">
        <f t="shared" si="8"/>
        <v>0_0</v>
      </c>
    </row>
    <row r="565" spans="1:1" x14ac:dyDescent="0.25">
      <c r="A565" s="451" t="str">
        <f t="shared" si="8"/>
        <v>0_0</v>
      </c>
    </row>
    <row r="566" spans="1:1" x14ac:dyDescent="0.25">
      <c r="A566" s="451" t="str">
        <f t="shared" si="8"/>
        <v>0_0</v>
      </c>
    </row>
    <row r="567" spans="1:1" x14ac:dyDescent="0.25">
      <c r="A567" s="451" t="str">
        <f t="shared" si="8"/>
        <v>0_0</v>
      </c>
    </row>
    <row r="568" spans="1:1" x14ac:dyDescent="0.25">
      <c r="A568" s="451" t="str">
        <f t="shared" si="8"/>
        <v>0_0</v>
      </c>
    </row>
    <row r="569" spans="1:1" x14ac:dyDescent="0.25">
      <c r="A569" s="451" t="str">
        <f t="shared" si="8"/>
        <v>0_0</v>
      </c>
    </row>
    <row r="570" spans="1:1" x14ac:dyDescent="0.25">
      <c r="A570" s="451" t="str">
        <f t="shared" si="8"/>
        <v>0_0</v>
      </c>
    </row>
    <row r="571" spans="1:1" x14ac:dyDescent="0.25">
      <c r="A571" s="451" t="str">
        <f t="shared" si="8"/>
        <v>0_0</v>
      </c>
    </row>
    <row r="572" spans="1:1" x14ac:dyDescent="0.25">
      <c r="A572" s="451" t="str">
        <f t="shared" si="8"/>
        <v>0_0</v>
      </c>
    </row>
    <row r="573" spans="1:1" x14ac:dyDescent="0.25">
      <c r="A573" s="451" t="str">
        <f t="shared" si="8"/>
        <v>0_0</v>
      </c>
    </row>
    <row r="574" spans="1:1" x14ac:dyDescent="0.25">
      <c r="A574" s="451" t="str">
        <f t="shared" si="8"/>
        <v>0_0</v>
      </c>
    </row>
    <row r="575" spans="1:1" x14ac:dyDescent="0.25">
      <c r="A575" s="451" t="str">
        <f t="shared" si="8"/>
        <v>0_0</v>
      </c>
    </row>
    <row r="576" spans="1:1" x14ac:dyDescent="0.25">
      <c r="A576" s="451" t="str">
        <f t="shared" si="8"/>
        <v>0_0</v>
      </c>
    </row>
    <row r="577" spans="1:1" x14ac:dyDescent="0.25">
      <c r="A577" s="451" t="str">
        <f t="shared" si="8"/>
        <v>0_0</v>
      </c>
    </row>
    <row r="578" spans="1:1" x14ac:dyDescent="0.25">
      <c r="A578" s="451" t="str">
        <f t="shared" si="8"/>
        <v>0_0</v>
      </c>
    </row>
    <row r="579" spans="1:1" x14ac:dyDescent="0.25">
      <c r="A579" s="451" t="str">
        <f t="shared" si="8"/>
        <v>0_0</v>
      </c>
    </row>
    <row r="580" spans="1:1" x14ac:dyDescent="0.25">
      <c r="A580" s="451" t="str">
        <f t="shared" ref="A580:A643" si="9" xml:space="preserve"> IFERROR(+B580*1,B580)&amp;"_"&amp;IFERROR(+D580*1,D580)</f>
        <v>0_0</v>
      </c>
    </row>
    <row r="581" spans="1:1" x14ac:dyDescent="0.25">
      <c r="A581" s="451" t="str">
        <f t="shared" si="9"/>
        <v>0_0</v>
      </c>
    </row>
    <row r="582" spans="1:1" x14ac:dyDescent="0.25">
      <c r="A582" s="451" t="str">
        <f t="shared" si="9"/>
        <v>0_0</v>
      </c>
    </row>
    <row r="583" spans="1:1" x14ac:dyDescent="0.25">
      <c r="A583" s="451" t="str">
        <f t="shared" si="9"/>
        <v>0_0</v>
      </c>
    </row>
    <row r="584" spans="1:1" x14ac:dyDescent="0.25">
      <c r="A584" s="451" t="str">
        <f t="shared" si="9"/>
        <v>0_0</v>
      </c>
    </row>
    <row r="585" spans="1:1" x14ac:dyDescent="0.25">
      <c r="A585" s="451" t="str">
        <f t="shared" si="9"/>
        <v>0_0</v>
      </c>
    </row>
    <row r="586" spans="1:1" x14ac:dyDescent="0.25">
      <c r="A586" s="451" t="str">
        <f t="shared" si="9"/>
        <v>0_0</v>
      </c>
    </row>
    <row r="587" spans="1:1" x14ac:dyDescent="0.25">
      <c r="A587" s="451" t="str">
        <f t="shared" si="9"/>
        <v>0_0</v>
      </c>
    </row>
    <row r="588" spans="1:1" x14ac:dyDescent="0.25">
      <c r="A588" s="451" t="str">
        <f t="shared" si="9"/>
        <v>0_0</v>
      </c>
    </row>
    <row r="589" spans="1:1" x14ac:dyDescent="0.25">
      <c r="A589" s="451" t="str">
        <f t="shared" si="9"/>
        <v>0_0</v>
      </c>
    </row>
    <row r="590" spans="1:1" x14ac:dyDescent="0.25">
      <c r="A590" s="451" t="str">
        <f t="shared" si="9"/>
        <v>0_0</v>
      </c>
    </row>
    <row r="591" spans="1:1" x14ac:dyDescent="0.25">
      <c r="A591" s="451" t="str">
        <f t="shared" si="9"/>
        <v>0_0</v>
      </c>
    </row>
    <row r="592" spans="1:1" x14ac:dyDescent="0.25">
      <c r="A592" s="451" t="str">
        <f t="shared" si="9"/>
        <v>0_0</v>
      </c>
    </row>
    <row r="593" spans="1:1" x14ac:dyDescent="0.25">
      <c r="A593" s="451" t="str">
        <f t="shared" si="9"/>
        <v>0_0</v>
      </c>
    </row>
    <row r="594" spans="1:1" x14ac:dyDescent="0.25">
      <c r="A594" s="451" t="str">
        <f t="shared" si="9"/>
        <v>0_0</v>
      </c>
    </row>
    <row r="595" spans="1:1" x14ac:dyDescent="0.25">
      <c r="A595" s="451" t="str">
        <f t="shared" si="9"/>
        <v>0_0</v>
      </c>
    </row>
    <row r="596" spans="1:1" x14ac:dyDescent="0.25">
      <c r="A596" s="451" t="str">
        <f t="shared" si="9"/>
        <v>0_0</v>
      </c>
    </row>
    <row r="597" spans="1:1" x14ac:dyDescent="0.25">
      <c r="A597" s="451" t="str">
        <f t="shared" si="9"/>
        <v>0_0</v>
      </c>
    </row>
    <row r="598" spans="1:1" x14ac:dyDescent="0.25">
      <c r="A598" s="451" t="str">
        <f t="shared" si="9"/>
        <v>0_0</v>
      </c>
    </row>
    <row r="599" spans="1:1" x14ac:dyDescent="0.25">
      <c r="A599" s="451" t="str">
        <f t="shared" si="9"/>
        <v>0_0</v>
      </c>
    </row>
    <row r="600" spans="1:1" x14ac:dyDescent="0.25">
      <c r="A600" s="451" t="str">
        <f t="shared" si="9"/>
        <v>0_0</v>
      </c>
    </row>
    <row r="601" spans="1:1" x14ac:dyDescent="0.25">
      <c r="A601" s="451" t="str">
        <f t="shared" si="9"/>
        <v>0_0</v>
      </c>
    </row>
    <row r="602" spans="1:1" x14ac:dyDescent="0.25">
      <c r="A602" s="451" t="str">
        <f t="shared" si="9"/>
        <v>0_0</v>
      </c>
    </row>
    <row r="603" spans="1:1" x14ac:dyDescent="0.25">
      <c r="A603" s="451" t="str">
        <f t="shared" si="9"/>
        <v>0_0</v>
      </c>
    </row>
    <row r="604" spans="1:1" x14ac:dyDescent="0.25">
      <c r="A604" s="451" t="str">
        <f t="shared" si="9"/>
        <v>0_0</v>
      </c>
    </row>
    <row r="605" spans="1:1" x14ac:dyDescent="0.25">
      <c r="A605" s="451" t="str">
        <f t="shared" si="9"/>
        <v>0_0</v>
      </c>
    </row>
    <row r="606" spans="1:1" x14ac:dyDescent="0.25">
      <c r="A606" s="451" t="str">
        <f t="shared" si="9"/>
        <v>0_0</v>
      </c>
    </row>
    <row r="607" spans="1:1" x14ac:dyDescent="0.25">
      <c r="A607" s="451" t="str">
        <f t="shared" si="9"/>
        <v>0_0</v>
      </c>
    </row>
    <row r="608" spans="1:1" x14ac:dyDescent="0.25">
      <c r="A608" s="451" t="str">
        <f t="shared" si="9"/>
        <v>0_0</v>
      </c>
    </row>
    <row r="609" spans="1:1" x14ac:dyDescent="0.25">
      <c r="A609" s="451" t="str">
        <f t="shared" si="9"/>
        <v>0_0</v>
      </c>
    </row>
    <row r="610" spans="1:1" x14ac:dyDescent="0.25">
      <c r="A610" s="451" t="str">
        <f t="shared" si="9"/>
        <v>0_0</v>
      </c>
    </row>
    <row r="611" spans="1:1" x14ac:dyDescent="0.25">
      <c r="A611" s="451" t="str">
        <f t="shared" si="9"/>
        <v>0_0</v>
      </c>
    </row>
    <row r="612" spans="1:1" x14ac:dyDescent="0.25">
      <c r="A612" s="451" t="str">
        <f t="shared" si="9"/>
        <v>0_0</v>
      </c>
    </row>
    <row r="613" spans="1:1" x14ac:dyDescent="0.25">
      <c r="A613" s="451" t="str">
        <f t="shared" si="9"/>
        <v>0_0</v>
      </c>
    </row>
    <row r="614" spans="1:1" x14ac:dyDescent="0.25">
      <c r="A614" s="451" t="str">
        <f t="shared" si="9"/>
        <v>0_0</v>
      </c>
    </row>
    <row r="615" spans="1:1" x14ac:dyDescent="0.25">
      <c r="A615" s="451" t="str">
        <f t="shared" si="9"/>
        <v>0_0</v>
      </c>
    </row>
    <row r="616" spans="1:1" x14ac:dyDescent="0.25">
      <c r="A616" s="451" t="str">
        <f t="shared" si="9"/>
        <v>0_0</v>
      </c>
    </row>
    <row r="617" spans="1:1" x14ac:dyDescent="0.25">
      <c r="A617" s="451" t="str">
        <f t="shared" si="9"/>
        <v>0_0</v>
      </c>
    </row>
    <row r="618" spans="1:1" x14ac:dyDescent="0.25">
      <c r="A618" s="451" t="str">
        <f t="shared" si="9"/>
        <v>0_0</v>
      </c>
    </row>
    <row r="619" spans="1:1" x14ac:dyDescent="0.25">
      <c r="A619" s="451" t="str">
        <f t="shared" si="9"/>
        <v>0_0</v>
      </c>
    </row>
    <row r="620" spans="1:1" x14ac:dyDescent="0.25">
      <c r="A620" s="451" t="str">
        <f t="shared" si="9"/>
        <v>0_0</v>
      </c>
    </row>
    <row r="621" spans="1:1" x14ac:dyDescent="0.25">
      <c r="A621" s="451" t="str">
        <f t="shared" si="9"/>
        <v>0_0</v>
      </c>
    </row>
    <row r="622" spans="1:1" x14ac:dyDescent="0.25">
      <c r="A622" s="451" t="str">
        <f t="shared" si="9"/>
        <v>0_0</v>
      </c>
    </row>
    <row r="623" spans="1:1" x14ac:dyDescent="0.25">
      <c r="A623" s="451" t="str">
        <f t="shared" si="9"/>
        <v>0_0</v>
      </c>
    </row>
    <row r="624" spans="1:1" x14ac:dyDescent="0.25">
      <c r="A624" s="451" t="str">
        <f t="shared" si="9"/>
        <v>0_0</v>
      </c>
    </row>
    <row r="625" spans="1:1" x14ac:dyDescent="0.25">
      <c r="A625" s="451" t="str">
        <f t="shared" si="9"/>
        <v>0_0</v>
      </c>
    </row>
    <row r="626" spans="1:1" x14ac:dyDescent="0.25">
      <c r="A626" s="451" t="str">
        <f t="shared" si="9"/>
        <v>0_0</v>
      </c>
    </row>
    <row r="627" spans="1:1" x14ac:dyDescent="0.25">
      <c r="A627" s="451" t="str">
        <f t="shared" si="9"/>
        <v>0_0</v>
      </c>
    </row>
    <row r="628" spans="1:1" x14ac:dyDescent="0.25">
      <c r="A628" s="451" t="str">
        <f t="shared" si="9"/>
        <v>0_0</v>
      </c>
    </row>
    <row r="629" spans="1:1" x14ac:dyDescent="0.25">
      <c r="A629" s="451" t="str">
        <f t="shared" si="9"/>
        <v>0_0</v>
      </c>
    </row>
    <row r="630" spans="1:1" x14ac:dyDescent="0.25">
      <c r="A630" s="451" t="str">
        <f t="shared" si="9"/>
        <v>0_0</v>
      </c>
    </row>
    <row r="631" spans="1:1" x14ac:dyDescent="0.25">
      <c r="A631" s="451" t="str">
        <f t="shared" si="9"/>
        <v>0_0</v>
      </c>
    </row>
    <row r="632" spans="1:1" x14ac:dyDescent="0.25">
      <c r="A632" s="451" t="str">
        <f t="shared" si="9"/>
        <v>0_0</v>
      </c>
    </row>
    <row r="633" spans="1:1" x14ac:dyDescent="0.25">
      <c r="A633" s="451" t="str">
        <f t="shared" si="9"/>
        <v>0_0</v>
      </c>
    </row>
    <row r="634" spans="1:1" x14ac:dyDescent="0.25">
      <c r="A634" s="451" t="str">
        <f t="shared" si="9"/>
        <v>0_0</v>
      </c>
    </row>
    <row r="635" spans="1:1" x14ac:dyDescent="0.25">
      <c r="A635" s="451" t="str">
        <f t="shared" si="9"/>
        <v>0_0</v>
      </c>
    </row>
    <row r="636" spans="1:1" x14ac:dyDescent="0.25">
      <c r="A636" s="451" t="str">
        <f t="shared" si="9"/>
        <v>0_0</v>
      </c>
    </row>
    <row r="637" spans="1:1" x14ac:dyDescent="0.25">
      <c r="A637" s="451" t="str">
        <f t="shared" si="9"/>
        <v>0_0</v>
      </c>
    </row>
    <row r="638" spans="1:1" x14ac:dyDescent="0.25">
      <c r="A638" s="451" t="str">
        <f t="shared" si="9"/>
        <v>0_0</v>
      </c>
    </row>
    <row r="639" spans="1:1" x14ac:dyDescent="0.25">
      <c r="A639" s="451" t="str">
        <f t="shared" si="9"/>
        <v>0_0</v>
      </c>
    </row>
    <row r="640" spans="1:1" x14ac:dyDescent="0.25">
      <c r="A640" s="451" t="str">
        <f t="shared" si="9"/>
        <v>0_0</v>
      </c>
    </row>
    <row r="641" spans="1:1" x14ac:dyDescent="0.25">
      <c r="A641" s="451" t="str">
        <f t="shared" si="9"/>
        <v>0_0</v>
      </c>
    </row>
    <row r="642" spans="1:1" x14ac:dyDescent="0.25">
      <c r="A642" s="451" t="str">
        <f t="shared" si="9"/>
        <v>0_0</v>
      </c>
    </row>
    <row r="643" spans="1:1" x14ac:dyDescent="0.25">
      <c r="A643" s="451" t="str">
        <f t="shared" si="9"/>
        <v>0_0</v>
      </c>
    </row>
    <row r="644" spans="1:1" x14ac:dyDescent="0.25">
      <c r="A644" s="451" t="str">
        <f t="shared" ref="A644:A707" si="10" xml:space="preserve"> IFERROR(+B644*1,B644)&amp;"_"&amp;IFERROR(+D644*1,D644)</f>
        <v>0_0</v>
      </c>
    </row>
    <row r="645" spans="1:1" x14ac:dyDescent="0.25">
      <c r="A645" s="451" t="str">
        <f t="shared" si="10"/>
        <v>0_0</v>
      </c>
    </row>
    <row r="646" spans="1:1" x14ac:dyDescent="0.25">
      <c r="A646" s="451" t="str">
        <f t="shared" si="10"/>
        <v>0_0</v>
      </c>
    </row>
    <row r="647" spans="1:1" x14ac:dyDescent="0.25">
      <c r="A647" s="451" t="str">
        <f t="shared" si="10"/>
        <v>0_0</v>
      </c>
    </row>
    <row r="648" spans="1:1" x14ac:dyDescent="0.25">
      <c r="A648" s="451" t="str">
        <f t="shared" si="10"/>
        <v>0_0</v>
      </c>
    </row>
    <row r="649" spans="1:1" x14ac:dyDescent="0.25">
      <c r="A649" s="451" t="str">
        <f t="shared" si="10"/>
        <v>0_0</v>
      </c>
    </row>
    <row r="650" spans="1:1" x14ac:dyDescent="0.25">
      <c r="A650" s="451" t="str">
        <f t="shared" si="10"/>
        <v>0_0</v>
      </c>
    </row>
    <row r="651" spans="1:1" x14ac:dyDescent="0.25">
      <c r="A651" s="451" t="str">
        <f t="shared" si="10"/>
        <v>0_0</v>
      </c>
    </row>
    <row r="652" spans="1:1" x14ac:dyDescent="0.25">
      <c r="A652" s="451" t="str">
        <f t="shared" si="10"/>
        <v>0_0</v>
      </c>
    </row>
    <row r="653" spans="1:1" x14ac:dyDescent="0.25">
      <c r="A653" s="451" t="str">
        <f t="shared" si="10"/>
        <v>0_0</v>
      </c>
    </row>
    <row r="654" spans="1:1" x14ac:dyDescent="0.25">
      <c r="A654" s="451" t="str">
        <f t="shared" si="10"/>
        <v>0_0</v>
      </c>
    </row>
    <row r="655" spans="1:1" x14ac:dyDescent="0.25">
      <c r="A655" s="451" t="str">
        <f t="shared" si="10"/>
        <v>0_0</v>
      </c>
    </row>
    <row r="656" spans="1:1" x14ac:dyDescent="0.25">
      <c r="A656" s="451" t="str">
        <f t="shared" si="10"/>
        <v>0_0</v>
      </c>
    </row>
    <row r="657" spans="1:1" x14ac:dyDescent="0.25">
      <c r="A657" s="451" t="str">
        <f t="shared" si="10"/>
        <v>0_0</v>
      </c>
    </row>
    <row r="658" spans="1:1" x14ac:dyDescent="0.25">
      <c r="A658" s="451" t="str">
        <f t="shared" si="10"/>
        <v>0_0</v>
      </c>
    </row>
    <row r="659" spans="1:1" x14ac:dyDescent="0.25">
      <c r="A659" s="451" t="str">
        <f t="shared" si="10"/>
        <v>0_0</v>
      </c>
    </row>
    <row r="660" spans="1:1" x14ac:dyDescent="0.25">
      <c r="A660" s="451" t="str">
        <f t="shared" si="10"/>
        <v>0_0</v>
      </c>
    </row>
    <row r="661" spans="1:1" x14ac:dyDescent="0.25">
      <c r="A661" s="451" t="str">
        <f t="shared" si="10"/>
        <v>0_0</v>
      </c>
    </row>
    <row r="662" spans="1:1" x14ac:dyDescent="0.25">
      <c r="A662" s="451" t="str">
        <f t="shared" si="10"/>
        <v>0_0</v>
      </c>
    </row>
    <row r="663" spans="1:1" x14ac:dyDescent="0.25">
      <c r="A663" s="451" t="str">
        <f t="shared" si="10"/>
        <v>0_0</v>
      </c>
    </row>
    <row r="664" spans="1:1" x14ac:dyDescent="0.25">
      <c r="A664" s="451" t="str">
        <f t="shared" si="10"/>
        <v>0_0</v>
      </c>
    </row>
    <row r="665" spans="1:1" x14ac:dyDescent="0.25">
      <c r="A665" s="451" t="str">
        <f t="shared" si="10"/>
        <v>0_0</v>
      </c>
    </row>
    <row r="666" spans="1:1" x14ac:dyDescent="0.25">
      <c r="A666" s="451" t="str">
        <f t="shared" si="10"/>
        <v>0_0</v>
      </c>
    </row>
    <row r="667" spans="1:1" x14ac:dyDescent="0.25">
      <c r="A667" s="451" t="str">
        <f t="shared" si="10"/>
        <v>0_0</v>
      </c>
    </row>
    <row r="668" spans="1:1" x14ac:dyDescent="0.25">
      <c r="A668" s="451" t="str">
        <f t="shared" si="10"/>
        <v>0_0</v>
      </c>
    </row>
    <row r="669" spans="1:1" x14ac:dyDescent="0.25">
      <c r="A669" s="451" t="str">
        <f t="shared" si="10"/>
        <v>0_0</v>
      </c>
    </row>
    <row r="670" spans="1:1" x14ac:dyDescent="0.25">
      <c r="A670" s="451" t="str">
        <f t="shared" si="10"/>
        <v>0_0</v>
      </c>
    </row>
    <row r="671" spans="1:1" x14ac:dyDescent="0.25">
      <c r="A671" s="451" t="str">
        <f t="shared" si="10"/>
        <v>0_0</v>
      </c>
    </row>
    <row r="672" spans="1:1" x14ac:dyDescent="0.25">
      <c r="A672" s="451" t="str">
        <f t="shared" si="10"/>
        <v>0_0</v>
      </c>
    </row>
    <row r="673" spans="1:1" x14ac:dyDescent="0.25">
      <c r="A673" s="451" t="str">
        <f t="shared" si="10"/>
        <v>0_0</v>
      </c>
    </row>
    <row r="674" spans="1:1" x14ac:dyDescent="0.25">
      <c r="A674" s="451" t="str">
        <f t="shared" si="10"/>
        <v>0_0</v>
      </c>
    </row>
    <row r="675" spans="1:1" x14ac:dyDescent="0.25">
      <c r="A675" s="451" t="str">
        <f t="shared" si="10"/>
        <v>0_0</v>
      </c>
    </row>
    <row r="676" spans="1:1" x14ac:dyDescent="0.25">
      <c r="A676" s="451" t="str">
        <f t="shared" si="10"/>
        <v>0_0</v>
      </c>
    </row>
    <row r="677" spans="1:1" x14ac:dyDescent="0.25">
      <c r="A677" s="451" t="str">
        <f t="shared" si="10"/>
        <v>0_0</v>
      </c>
    </row>
    <row r="678" spans="1:1" x14ac:dyDescent="0.25">
      <c r="A678" s="451" t="str">
        <f t="shared" si="10"/>
        <v>0_0</v>
      </c>
    </row>
    <row r="679" spans="1:1" x14ac:dyDescent="0.25">
      <c r="A679" s="451" t="str">
        <f t="shared" si="10"/>
        <v>0_0</v>
      </c>
    </row>
    <row r="680" spans="1:1" x14ac:dyDescent="0.25">
      <c r="A680" s="451" t="str">
        <f t="shared" si="10"/>
        <v>0_0</v>
      </c>
    </row>
    <row r="681" spans="1:1" x14ac:dyDescent="0.25">
      <c r="A681" s="451" t="str">
        <f t="shared" si="10"/>
        <v>0_0</v>
      </c>
    </row>
    <row r="682" spans="1:1" x14ac:dyDescent="0.25">
      <c r="A682" s="451" t="str">
        <f t="shared" si="10"/>
        <v>0_0</v>
      </c>
    </row>
    <row r="683" spans="1:1" x14ac:dyDescent="0.25">
      <c r="A683" s="451" t="str">
        <f t="shared" si="10"/>
        <v>0_0</v>
      </c>
    </row>
    <row r="684" spans="1:1" x14ac:dyDescent="0.25">
      <c r="A684" s="451" t="str">
        <f t="shared" si="10"/>
        <v>0_0</v>
      </c>
    </row>
    <row r="685" spans="1:1" x14ac:dyDescent="0.25">
      <c r="A685" s="451" t="str">
        <f t="shared" si="10"/>
        <v>0_0</v>
      </c>
    </row>
    <row r="686" spans="1:1" x14ac:dyDescent="0.25">
      <c r="A686" s="451" t="str">
        <f t="shared" si="10"/>
        <v>0_0</v>
      </c>
    </row>
    <row r="687" spans="1:1" x14ac:dyDescent="0.25">
      <c r="A687" s="451" t="str">
        <f t="shared" si="10"/>
        <v>0_0</v>
      </c>
    </row>
    <row r="688" spans="1:1" x14ac:dyDescent="0.25">
      <c r="A688" s="451" t="str">
        <f t="shared" si="10"/>
        <v>0_0</v>
      </c>
    </row>
    <row r="689" spans="1:1" x14ac:dyDescent="0.25">
      <c r="A689" s="451" t="str">
        <f t="shared" si="10"/>
        <v>0_0</v>
      </c>
    </row>
    <row r="690" spans="1:1" x14ac:dyDescent="0.25">
      <c r="A690" s="451" t="str">
        <f t="shared" si="10"/>
        <v>0_0</v>
      </c>
    </row>
    <row r="691" spans="1:1" x14ac:dyDescent="0.25">
      <c r="A691" s="451" t="str">
        <f t="shared" si="10"/>
        <v>0_0</v>
      </c>
    </row>
    <row r="692" spans="1:1" x14ac:dyDescent="0.25">
      <c r="A692" s="451" t="str">
        <f t="shared" si="10"/>
        <v>0_0</v>
      </c>
    </row>
    <row r="693" spans="1:1" x14ac:dyDescent="0.25">
      <c r="A693" s="451" t="str">
        <f t="shared" si="10"/>
        <v>0_0</v>
      </c>
    </row>
    <row r="694" spans="1:1" x14ac:dyDescent="0.25">
      <c r="A694" s="451" t="str">
        <f t="shared" si="10"/>
        <v>0_0</v>
      </c>
    </row>
    <row r="695" spans="1:1" x14ac:dyDescent="0.25">
      <c r="A695" s="451" t="str">
        <f t="shared" si="10"/>
        <v>0_0</v>
      </c>
    </row>
    <row r="696" spans="1:1" x14ac:dyDescent="0.25">
      <c r="A696" s="451" t="str">
        <f t="shared" si="10"/>
        <v>0_0</v>
      </c>
    </row>
    <row r="697" spans="1:1" x14ac:dyDescent="0.25">
      <c r="A697" s="451" t="str">
        <f t="shared" si="10"/>
        <v>0_0</v>
      </c>
    </row>
    <row r="698" spans="1:1" x14ac:dyDescent="0.25">
      <c r="A698" s="451" t="str">
        <f t="shared" si="10"/>
        <v>0_0</v>
      </c>
    </row>
    <row r="699" spans="1:1" x14ac:dyDescent="0.25">
      <c r="A699" s="451" t="str">
        <f t="shared" si="10"/>
        <v>0_0</v>
      </c>
    </row>
    <row r="700" spans="1:1" x14ac:dyDescent="0.25">
      <c r="A700" s="451" t="str">
        <f t="shared" si="10"/>
        <v>0_0</v>
      </c>
    </row>
    <row r="701" spans="1:1" x14ac:dyDescent="0.25">
      <c r="A701" s="451" t="str">
        <f t="shared" si="10"/>
        <v>0_0</v>
      </c>
    </row>
    <row r="702" spans="1:1" x14ac:dyDescent="0.25">
      <c r="A702" s="451" t="str">
        <f t="shared" si="10"/>
        <v>0_0</v>
      </c>
    </row>
    <row r="703" spans="1:1" x14ac:dyDescent="0.25">
      <c r="A703" s="451" t="str">
        <f t="shared" si="10"/>
        <v>0_0</v>
      </c>
    </row>
    <row r="704" spans="1:1" x14ac:dyDescent="0.25">
      <c r="A704" s="451" t="str">
        <f t="shared" si="10"/>
        <v>0_0</v>
      </c>
    </row>
    <row r="705" spans="1:1" x14ac:dyDescent="0.25">
      <c r="A705" s="451" t="str">
        <f t="shared" si="10"/>
        <v>0_0</v>
      </c>
    </row>
    <row r="706" spans="1:1" x14ac:dyDescent="0.25">
      <c r="A706" s="451" t="str">
        <f t="shared" si="10"/>
        <v>0_0</v>
      </c>
    </row>
    <row r="707" spans="1:1" x14ac:dyDescent="0.25">
      <c r="A707" s="451" t="str">
        <f t="shared" si="10"/>
        <v>0_0</v>
      </c>
    </row>
    <row r="708" spans="1:1" x14ac:dyDescent="0.25">
      <c r="A708" s="451" t="str">
        <f t="shared" ref="A708:A771" si="11" xml:space="preserve"> IFERROR(+B708*1,B708)&amp;"_"&amp;IFERROR(+D708*1,D708)</f>
        <v>0_0</v>
      </c>
    </row>
    <row r="709" spans="1:1" x14ac:dyDescent="0.25">
      <c r="A709" s="451" t="str">
        <f t="shared" si="11"/>
        <v>0_0</v>
      </c>
    </row>
    <row r="710" spans="1:1" x14ac:dyDescent="0.25">
      <c r="A710" s="451" t="str">
        <f t="shared" si="11"/>
        <v>0_0</v>
      </c>
    </row>
    <row r="711" spans="1:1" x14ac:dyDescent="0.25">
      <c r="A711" s="451" t="str">
        <f t="shared" si="11"/>
        <v>0_0</v>
      </c>
    </row>
    <row r="712" spans="1:1" x14ac:dyDescent="0.25">
      <c r="A712" s="451" t="str">
        <f t="shared" si="11"/>
        <v>0_0</v>
      </c>
    </row>
    <row r="713" spans="1:1" x14ac:dyDescent="0.25">
      <c r="A713" s="451" t="str">
        <f t="shared" si="11"/>
        <v>0_0</v>
      </c>
    </row>
    <row r="714" spans="1:1" x14ac:dyDescent="0.25">
      <c r="A714" s="451" t="str">
        <f t="shared" si="11"/>
        <v>0_0</v>
      </c>
    </row>
    <row r="715" spans="1:1" x14ac:dyDescent="0.25">
      <c r="A715" s="451" t="str">
        <f t="shared" si="11"/>
        <v>0_0</v>
      </c>
    </row>
    <row r="716" spans="1:1" x14ac:dyDescent="0.25">
      <c r="A716" s="451" t="str">
        <f t="shared" si="11"/>
        <v>0_0</v>
      </c>
    </row>
    <row r="717" spans="1:1" x14ac:dyDescent="0.25">
      <c r="A717" s="451" t="str">
        <f t="shared" si="11"/>
        <v>0_0</v>
      </c>
    </row>
    <row r="718" spans="1:1" x14ac:dyDescent="0.25">
      <c r="A718" s="451" t="str">
        <f t="shared" si="11"/>
        <v>0_0</v>
      </c>
    </row>
    <row r="719" spans="1:1" x14ac:dyDescent="0.25">
      <c r="A719" s="451" t="str">
        <f t="shared" si="11"/>
        <v>0_0</v>
      </c>
    </row>
    <row r="720" spans="1:1" x14ac:dyDescent="0.25">
      <c r="A720" s="451" t="str">
        <f t="shared" si="11"/>
        <v>0_0</v>
      </c>
    </row>
    <row r="721" spans="1:1" x14ac:dyDescent="0.25">
      <c r="A721" s="451" t="str">
        <f t="shared" si="11"/>
        <v>0_0</v>
      </c>
    </row>
    <row r="722" spans="1:1" x14ac:dyDescent="0.25">
      <c r="A722" s="451" t="str">
        <f t="shared" si="11"/>
        <v>0_0</v>
      </c>
    </row>
    <row r="723" spans="1:1" x14ac:dyDescent="0.25">
      <c r="A723" s="451" t="str">
        <f t="shared" si="11"/>
        <v>0_0</v>
      </c>
    </row>
    <row r="724" spans="1:1" x14ac:dyDescent="0.25">
      <c r="A724" s="451" t="str">
        <f t="shared" si="11"/>
        <v>0_0</v>
      </c>
    </row>
    <row r="725" spans="1:1" x14ac:dyDescent="0.25">
      <c r="A725" s="451" t="str">
        <f t="shared" si="11"/>
        <v>0_0</v>
      </c>
    </row>
    <row r="726" spans="1:1" x14ac:dyDescent="0.25">
      <c r="A726" s="451" t="str">
        <f t="shared" si="11"/>
        <v>0_0</v>
      </c>
    </row>
    <row r="727" spans="1:1" x14ac:dyDescent="0.25">
      <c r="A727" s="451" t="str">
        <f t="shared" si="11"/>
        <v>0_0</v>
      </c>
    </row>
    <row r="728" spans="1:1" x14ac:dyDescent="0.25">
      <c r="A728" s="451" t="str">
        <f t="shared" si="11"/>
        <v>0_0</v>
      </c>
    </row>
    <row r="729" spans="1:1" x14ac:dyDescent="0.25">
      <c r="A729" s="451" t="str">
        <f t="shared" si="11"/>
        <v>0_0</v>
      </c>
    </row>
    <row r="730" spans="1:1" x14ac:dyDescent="0.25">
      <c r="A730" s="451" t="str">
        <f t="shared" si="11"/>
        <v>0_0</v>
      </c>
    </row>
    <row r="731" spans="1:1" x14ac:dyDescent="0.25">
      <c r="A731" s="451" t="str">
        <f t="shared" si="11"/>
        <v>0_0</v>
      </c>
    </row>
    <row r="732" spans="1:1" x14ac:dyDescent="0.25">
      <c r="A732" s="451" t="str">
        <f t="shared" si="11"/>
        <v>0_0</v>
      </c>
    </row>
    <row r="733" spans="1:1" x14ac:dyDescent="0.25">
      <c r="A733" s="451" t="str">
        <f t="shared" si="11"/>
        <v>0_0</v>
      </c>
    </row>
    <row r="734" spans="1:1" x14ac:dyDescent="0.25">
      <c r="A734" s="451" t="str">
        <f t="shared" si="11"/>
        <v>0_0</v>
      </c>
    </row>
    <row r="735" spans="1:1" x14ac:dyDescent="0.25">
      <c r="A735" s="451" t="str">
        <f t="shared" si="11"/>
        <v>0_0</v>
      </c>
    </row>
    <row r="736" spans="1:1" x14ac:dyDescent="0.25">
      <c r="A736" s="451" t="str">
        <f t="shared" si="11"/>
        <v>0_0</v>
      </c>
    </row>
    <row r="737" spans="1:1" x14ac:dyDescent="0.25">
      <c r="A737" s="451" t="str">
        <f t="shared" si="11"/>
        <v>0_0</v>
      </c>
    </row>
    <row r="738" spans="1:1" x14ac:dyDescent="0.25">
      <c r="A738" s="451" t="str">
        <f t="shared" si="11"/>
        <v>0_0</v>
      </c>
    </row>
    <row r="739" spans="1:1" x14ac:dyDescent="0.25">
      <c r="A739" s="451" t="str">
        <f t="shared" si="11"/>
        <v>0_0</v>
      </c>
    </row>
    <row r="740" spans="1:1" x14ac:dyDescent="0.25">
      <c r="A740" s="451" t="str">
        <f t="shared" si="11"/>
        <v>0_0</v>
      </c>
    </row>
    <row r="741" spans="1:1" x14ac:dyDescent="0.25">
      <c r="A741" s="451" t="str">
        <f t="shared" si="11"/>
        <v>0_0</v>
      </c>
    </row>
    <row r="742" spans="1:1" x14ac:dyDescent="0.25">
      <c r="A742" s="451" t="str">
        <f t="shared" si="11"/>
        <v>0_0</v>
      </c>
    </row>
    <row r="743" spans="1:1" x14ac:dyDescent="0.25">
      <c r="A743" s="451" t="str">
        <f t="shared" si="11"/>
        <v>0_0</v>
      </c>
    </row>
    <row r="744" spans="1:1" x14ac:dyDescent="0.25">
      <c r="A744" s="451" t="str">
        <f t="shared" si="11"/>
        <v>0_0</v>
      </c>
    </row>
    <row r="745" spans="1:1" x14ac:dyDescent="0.25">
      <c r="A745" s="451" t="str">
        <f t="shared" si="11"/>
        <v>0_0</v>
      </c>
    </row>
    <row r="746" spans="1:1" x14ac:dyDescent="0.25">
      <c r="A746" s="451" t="str">
        <f t="shared" si="11"/>
        <v>0_0</v>
      </c>
    </row>
    <row r="747" spans="1:1" x14ac:dyDescent="0.25">
      <c r="A747" s="451" t="str">
        <f t="shared" si="11"/>
        <v>0_0</v>
      </c>
    </row>
    <row r="748" spans="1:1" x14ac:dyDescent="0.25">
      <c r="A748" s="451" t="str">
        <f t="shared" si="11"/>
        <v>0_0</v>
      </c>
    </row>
    <row r="749" spans="1:1" x14ac:dyDescent="0.25">
      <c r="A749" s="451" t="str">
        <f t="shared" si="11"/>
        <v>0_0</v>
      </c>
    </row>
    <row r="750" spans="1:1" x14ac:dyDescent="0.25">
      <c r="A750" s="451" t="str">
        <f t="shared" si="11"/>
        <v>0_0</v>
      </c>
    </row>
    <row r="751" spans="1:1" x14ac:dyDescent="0.25">
      <c r="A751" s="451" t="str">
        <f t="shared" si="11"/>
        <v>0_0</v>
      </c>
    </row>
    <row r="752" spans="1:1" x14ac:dyDescent="0.25">
      <c r="A752" s="451" t="str">
        <f t="shared" si="11"/>
        <v>0_0</v>
      </c>
    </row>
    <row r="753" spans="1:1" x14ac:dyDescent="0.25">
      <c r="A753" s="451" t="str">
        <f t="shared" si="11"/>
        <v>0_0</v>
      </c>
    </row>
    <row r="754" spans="1:1" x14ac:dyDescent="0.25">
      <c r="A754" s="451" t="str">
        <f t="shared" si="11"/>
        <v>0_0</v>
      </c>
    </row>
    <row r="755" spans="1:1" x14ac:dyDescent="0.25">
      <c r="A755" s="451" t="str">
        <f t="shared" si="11"/>
        <v>0_0</v>
      </c>
    </row>
    <row r="756" spans="1:1" x14ac:dyDescent="0.25">
      <c r="A756" s="451" t="str">
        <f t="shared" si="11"/>
        <v>0_0</v>
      </c>
    </row>
    <row r="757" spans="1:1" x14ac:dyDescent="0.25">
      <c r="A757" s="451" t="str">
        <f t="shared" si="11"/>
        <v>0_0</v>
      </c>
    </row>
    <row r="758" spans="1:1" x14ac:dyDescent="0.25">
      <c r="A758" s="451" t="str">
        <f t="shared" si="11"/>
        <v>0_0</v>
      </c>
    </row>
    <row r="759" spans="1:1" x14ac:dyDescent="0.25">
      <c r="A759" s="451" t="str">
        <f t="shared" si="11"/>
        <v>0_0</v>
      </c>
    </row>
    <row r="760" spans="1:1" x14ac:dyDescent="0.25">
      <c r="A760" s="451" t="str">
        <f t="shared" si="11"/>
        <v>0_0</v>
      </c>
    </row>
    <row r="761" spans="1:1" x14ac:dyDescent="0.25">
      <c r="A761" s="451" t="str">
        <f t="shared" si="11"/>
        <v>0_0</v>
      </c>
    </row>
    <row r="762" spans="1:1" x14ac:dyDescent="0.25">
      <c r="A762" s="451" t="str">
        <f t="shared" si="11"/>
        <v>0_0</v>
      </c>
    </row>
    <row r="763" spans="1:1" x14ac:dyDescent="0.25">
      <c r="A763" s="451" t="str">
        <f t="shared" si="11"/>
        <v>0_0</v>
      </c>
    </row>
    <row r="764" spans="1:1" x14ac:dyDescent="0.25">
      <c r="A764" s="451" t="str">
        <f t="shared" si="11"/>
        <v>0_0</v>
      </c>
    </row>
    <row r="765" spans="1:1" x14ac:dyDescent="0.25">
      <c r="A765" s="451" t="str">
        <f t="shared" si="11"/>
        <v>0_0</v>
      </c>
    </row>
    <row r="766" spans="1:1" x14ac:dyDescent="0.25">
      <c r="A766" s="451" t="str">
        <f t="shared" si="11"/>
        <v>0_0</v>
      </c>
    </row>
    <row r="767" spans="1:1" x14ac:dyDescent="0.25">
      <c r="A767" s="451" t="str">
        <f t="shared" si="11"/>
        <v>0_0</v>
      </c>
    </row>
    <row r="768" spans="1:1" x14ac:dyDescent="0.25">
      <c r="A768" s="451" t="str">
        <f t="shared" si="11"/>
        <v>0_0</v>
      </c>
    </row>
    <row r="769" spans="1:1" x14ac:dyDescent="0.25">
      <c r="A769" s="451" t="str">
        <f t="shared" si="11"/>
        <v>0_0</v>
      </c>
    </row>
    <row r="770" spans="1:1" x14ac:dyDescent="0.25">
      <c r="A770" s="451" t="str">
        <f t="shared" si="11"/>
        <v>0_0</v>
      </c>
    </row>
    <row r="771" spans="1:1" x14ac:dyDescent="0.25">
      <c r="A771" s="451" t="str">
        <f t="shared" si="11"/>
        <v>0_0</v>
      </c>
    </row>
    <row r="772" spans="1:1" x14ac:dyDescent="0.25">
      <c r="A772" s="451" t="str">
        <f t="shared" ref="A772:A835" si="12" xml:space="preserve"> IFERROR(+B772*1,B772)&amp;"_"&amp;IFERROR(+D772*1,D772)</f>
        <v>0_0</v>
      </c>
    </row>
    <row r="773" spans="1:1" x14ac:dyDescent="0.25">
      <c r="A773" s="451" t="str">
        <f t="shared" si="12"/>
        <v>0_0</v>
      </c>
    </row>
    <row r="774" spans="1:1" x14ac:dyDescent="0.25">
      <c r="A774" s="451" t="str">
        <f t="shared" si="12"/>
        <v>0_0</v>
      </c>
    </row>
    <row r="775" spans="1:1" x14ac:dyDescent="0.25">
      <c r="A775" s="451" t="str">
        <f t="shared" si="12"/>
        <v>0_0</v>
      </c>
    </row>
    <row r="776" spans="1:1" x14ac:dyDescent="0.25">
      <c r="A776" s="451" t="str">
        <f t="shared" si="12"/>
        <v>0_0</v>
      </c>
    </row>
    <row r="777" spans="1:1" x14ac:dyDescent="0.25">
      <c r="A777" s="451" t="str">
        <f t="shared" si="12"/>
        <v>0_0</v>
      </c>
    </row>
    <row r="778" spans="1:1" x14ac:dyDescent="0.25">
      <c r="A778" s="451" t="str">
        <f t="shared" si="12"/>
        <v>0_0</v>
      </c>
    </row>
    <row r="779" spans="1:1" x14ac:dyDescent="0.25">
      <c r="A779" s="451" t="str">
        <f t="shared" si="12"/>
        <v>0_0</v>
      </c>
    </row>
    <row r="780" spans="1:1" x14ac:dyDescent="0.25">
      <c r="A780" s="451" t="str">
        <f t="shared" si="12"/>
        <v>0_0</v>
      </c>
    </row>
    <row r="781" spans="1:1" x14ac:dyDescent="0.25">
      <c r="A781" s="451" t="str">
        <f t="shared" si="12"/>
        <v>0_0</v>
      </c>
    </row>
    <row r="782" spans="1:1" x14ac:dyDescent="0.25">
      <c r="A782" s="451" t="str">
        <f t="shared" si="12"/>
        <v>0_0</v>
      </c>
    </row>
    <row r="783" spans="1:1" x14ac:dyDescent="0.25">
      <c r="A783" s="451" t="str">
        <f t="shared" si="12"/>
        <v>0_0</v>
      </c>
    </row>
    <row r="784" spans="1:1" x14ac:dyDescent="0.25">
      <c r="A784" s="451" t="str">
        <f t="shared" si="12"/>
        <v>0_0</v>
      </c>
    </row>
    <row r="785" spans="1:1" x14ac:dyDescent="0.25">
      <c r="A785" s="451" t="str">
        <f t="shared" si="12"/>
        <v>0_0</v>
      </c>
    </row>
    <row r="786" spans="1:1" x14ac:dyDescent="0.25">
      <c r="A786" s="451" t="str">
        <f t="shared" si="12"/>
        <v>0_0</v>
      </c>
    </row>
    <row r="787" spans="1:1" x14ac:dyDescent="0.25">
      <c r="A787" s="451" t="str">
        <f t="shared" si="12"/>
        <v>0_0</v>
      </c>
    </row>
    <row r="788" spans="1:1" x14ac:dyDescent="0.25">
      <c r="A788" s="451" t="str">
        <f t="shared" si="12"/>
        <v>0_0</v>
      </c>
    </row>
    <row r="789" spans="1:1" x14ac:dyDescent="0.25">
      <c r="A789" s="451" t="str">
        <f t="shared" si="12"/>
        <v>0_0</v>
      </c>
    </row>
    <row r="790" spans="1:1" x14ac:dyDescent="0.25">
      <c r="A790" s="451" t="str">
        <f t="shared" si="12"/>
        <v>0_0</v>
      </c>
    </row>
    <row r="791" spans="1:1" x14ac:dyDescent="0.25">
      <c r="A791" s="451" t="str">
        <f t="shared" si="12"/>
        <v>0_0</v>
      </c>
    </row>
    <row r="792" spans="1:1" x14ac:dyDescent="0.25">
      <c r="A792" s="451" t="str">
        <f t="shared" si="12"/>
        <v>0_0</v>
      </c>
    </row>
    <row r="793" spans="1:1" x14ac:dyDescent="0.25">
      <c r="A793" s="451" t="str">
        <f t="shared" si="12"/>
        <v>0_0</v>
      </c>
    </row>
    <row r="794" spans="1:1" x14ac:dyDescent="0.25">
      <c r="A794" s="451" t="str">
        <f t="shared" si="12"/>
        <v>0_0</v>
      </c>
    </row>
    <row r="795" spans="1:1" x14ac:dyDescent="0.25">
      <c r="A795" s="451" t="str">
        <f t="shared" si="12"/>
        <v>0_0</v>
      </c>
    </row>
    <row r="796" spans="1:1" x14ac:dyDescent="0.25">
      <c r="A796" s="451" t="str">
        <f t="shared" si="12"/>
        <v>0_0</v>
      </c>
    </row>
    <row r="797" spans="1:1" x14ac:dyDescent="0.25">
      <c r="A797" s="451" t="str">
        <f t="shared" si="12"/>
        <v>0_0</v>
      </c>
    </row>
    <row r="798" spans="1:1" x14ac:dyDescent="0.25">
      <c r="A798" s="451" t="str">
        <f t="shared" si="12"/>
        <v>0_0</v>
      </c>
    </row>
    <row r="799" spans="1:1" x14ac:dyDescent="0.25">
      <c r="A799" s="451" t="str">
        <f t="shared" si="12"/>
        <v>0_0</v>
      </c>
    </row>
    <row r="800" spans="1:1" x14ac:dyDescent="0.25">
      <c r="A800" s="451" t="str">
        <f t="shared" si="12"/>
        <v>0_0</v>
      </c>
    </row>
    <row r="801" spans="1:1" x14ac:dyDescent="0.25">
      <c r="A801" s="451" t="str">
        <f t="shared" si="12"/>
        <v>0_0</v>
      </c>
    </row>
    <row r="802" spans="1:1" x14ac:dyDescent="0.25">
      <c r="A802" s="451" t="str">
        <f t="shared" si="12"/>
        <v>0_0</v>
      </c>
    </row>
    <row r="803" spans="1:1" x14ac:dyDescent="0.25">
      <c r="A803" s="451" t="str">
        <f t="shared" si="12"/>
        <v>0_0</v>
      </c>
    </row>
    <row r="804" spans="1:1" x14ac:dyDescent="0.25">
      <c r="A804" s="451" t="str">
        <f t="shared" si="12"/>
        <v>0_0</v>
      </c>
    </row>
    <row r="805" spans="1:1" x14ac:dyDescent="0.25">
      <c r="A805" s="451" t="str">
        <f t="shared" si="12"/>
        <v>0_0</v>
      </c>
    </row>
    <row r="806" spans="1:1" x14ac:dyDescent="0.25">
      <c r="A806" s="451" t="str">
        <f t="shared" si="12"/>
        <v>0_0</v>
      </c>
    </row>
    <row r="807" spans="1:1" x14ac:dyDescent="0.25">
      <c r="A807" s="451" t="str">
        <f t="shared" si="12"/>
        <v>0_0</v>
      </c>
    </row>
    <row r="808" spans="1:1" x14ac:dyDescent="0.25">
      <c r="A808" s="451" t="str">
        <f t="shared" si="12"/>
        <v>0_0</v>
      </c>
    </row>
    <row r="809" spans="1:1" x14ac:dyDescent="0.25">
      <c r="A809" s="451" t="str">
        <f t="shared" si="12"/>
        <v>0_0</v>
      </c>
    </row>
    <row r="810" spans="1:1" x14ac:dyDescent="0.25">
      <c r="A810" s="451" t="str">
        <f t="shared" si="12"/>
        <v>0_0</v>
      </c>
    </row>
    <row r="811" spans="1:1" x14ac:dyDescent="0.25">
      <c r="A811" s="451" t="str">
        <f t="shared" si="12"/>
        <v>0_0</v>
      </c>
    </row>
    <row r="812" spans="1:1" x14ac:dyDescent="0.25">
      <c r="A812" s="451" t="str">
        <f t="shared" si="12"/>
        <v>0_0</v>
      </c>
    </row>
    <row r="813" spans="1:1" x14ac:dyDescent="0.25">
      <c r="A813" s="451" t="str">
        <f t="shared" si="12"/>
        <v>0_0</v>
      </c>
    </row>
    <row r="814" spans="1:1" x14ac:dyDescent="0.25">
      <c r="A814" s="451" t="str">
        <f t="shared" si="12"/>
        <v>0_0</v>
      </c>
    </row>
    <row r="815" spans="1:1" x14ac:dyDescent="0.25">
      <c r="A815" s="451" t="str">
        <f t="shared" si="12"/>
        <v>0_0</v>
      </c>
    </row>
    <row r="816" spans="1:1" x14ac:dyDescent="0.25">
      <c r="A816" s="451" t="str">
        <f t="shared" si="12"/>
        <v>0_0</v>
      </c>
    </row>
    <row r="817" spans="1:1" x14ac:dyDescent="0.25">
      <c r="A817" s="451" t="str">
        <f t="shared" si="12"/>
        <v>0_0</v>
      </c>
    </row>
    <row r="818" spans="1:1" x14ac:dyDescent="0.25">
      <c r="A818" s="451" t="str">
        <f t="shared" si="12"/>
        <v>0_0</v>
      </c>
    </row>
    <row r="819" spans="1:1" x14ac:dyDescent="0.25">
      <c r="A819" s="451" t="str">
        <f t="shared" si="12"/>
        <v>0_0</v>
      </c>
    </row>
    <row r="820" spans="1:1" x14ac:dyDescent="0.25">
      <c r="A820" s="451" t="str">
        <f t="shared" si="12"/>
        <v>0_0</v>
      </c>
    </row>
    <row r="821" spans="1:1" x14ac:dyDescent="0.25">
      <c r="A821" s="451" t="str">
        <f t="shared" si="12"/>
        <v>0_0</v>
      </c>
    </row>
    <row r="822" spans="1:1" x14ac:dyDescent="0.25">
      <c r="A822" s="451" t="str">
        <f t="shared" si="12"/>
        <v>0_0</v>
      </c>
    </row>
    <row r="823" spans="1:1" x14ac:dyDescent="0.25">
      <c r="A823" s="451" t="str">
        <f t="shared" si="12"/>
        <v>0_0</v>
      </c>
    </row>
    <row r="824" spans="1:1" x14ac:dyDescent="0.25">
      <c r="A824" s="451" t="str">
        <f t="shared" si="12"/>
        <v>0_0</v>
      </c>
    </row>
    <row r="825" spans="1:1" x14ac:dyDescent="0.25">
      <c r="A825" s="451" t="str">
        <f t="shared" si="12"/>
        <v>0_0</v>
      </c>
    </row>
    <row r="826" spans="1:1" x14ac:dyDescent="0.25">
      <c r="A826" s="451" t="str">
        <f t="shared" si="12"/>
        <v>0_0</v>
      </c>
    </row>
    <row r="827" spans="1:1" x14ac:dyDescent="0.25">
      <c r="A827" s="451" t="str">
        <f t="shared" si="12"/>
        <v>0_0</v>
      </c>
    </row>
    <row r="828" spans="1:1" x14ac:dyDescent="0.25">
      <c r="A828" s="451" t="str">
        <f t="shared" si="12"/>
        <v>0_0</v>
      </c>
    </row>
    <row r="829" spans="1:1" x14ac:dyDescent="0.25">
      <c r="A829" s="451" t="str">
        <f t="shared" si="12"/>
        <v>0_0</v>
      </c>
    </row>
    <row r="830" spans="1:1" x14ac:dyDescent="0.25">
      <c r="A830" s="451" t="str">
        <f t="shared" si="12"/>
        <v>0_0</v>
      </c>
    </row>
    <row r="831" spans="1:1" x14ac:dyDescent="0.25">
      <c r="A831" s="451" t="str">
        <f t="shared" si="12"/>
        <v>0_0</v>
      </c>
    </row>
    <row r="832" spans="1:1" x14ac:dyDescent="0.25">
      <c r="A832" s="451" t="str">
        <f t="shared" si="12"/>
        <v>0_0</v>
      </c>
    </row>
    <row r="833" spans="1:1" x14ac:dyDescent="0.25">
      <c r="A833" s="451" t="str">
        <f t="shared" si="12"/>
        <v>0_0</v>
      </c>
    </row>
    <row r="834" spans="1:1" x14ac:dyDescent="0.25">
      <c r="A834" s="451" t="str">
        <f t="shared" si="12"/>
        <v>0_0</v>
      </c>
    </row>
    <row r="835" spans="1:1" x14ac:dyDescent="0.25">
      <c r="A835" s="451" t="str">
        <f t="shared" si="12"/>
        <v>0_0</v>
      </c>
    </row>
    <row r="836" spans="1:1" x14ac:dyDescent="0.25">
      <c r="A836" s="451" t="str">
        <f t="shared" ref="A836:A899" si="13" xml:space="preserve"> IFERROR(+B836*1,B836)&amp;"_"&amp;IFERROR(+D836*1,D836)</f>
        <v>0_0</v>
      </c>
    </row>
    <row r="837" spans="1:1" x14ac:dyDescent="0.25">
      <c r="A837" s="451" t="str">
        <f t="shared" si="13"/>
        <v>0_0</v>
      </c>
    </row>
    <row r="838" spans="1:1" x14ac:dyDescent="0.25">
      <c r="A838" s="451" t="str">
        <f t="shared" si="13"/>
        <v>0_0</v>
      </c>
    </row>
    <row r="839" spans="1:1" x14ac:dyDescent="0.25">
      <c r="A839" s="451" t="str">
        <f t="shared" si="13"/>
        <v>0_0</v>
      </c>
    </row>
    <row r="840" spans="1:1" x14ac:dyDescent="0.25">
      <c r="A840" s="451" t="str">
        <f t="shared" si="13"/>
        <v>0_0</v>
      </c>
    </row>
    <row r="841" spans="1:1" x14ac:dyDescent="0.25">
      <c r="A841" s="451" t="str">
        <f t="shared" si="13"/>
        <v>0_0</v>
      </c>
    </row>
    <row r="842" spans="1:1" x14ac:dyDescent="0.25">
      <c r="A842" s="451" t="str">
        <f t="shared" si="13"/>
        <v>0_0</v>
      </c>
    </row>
    <row r="843" spans="1:1" x14ac:dyDescent="0.25">
      <c r="A843" s="451" t="str">
        <f t="shared" si="13"/>
        <v>0_0</v>
      </c>
    </row>
    <row r="844" spans="1:1" x14ac:dyDescent="0.25">
      <c r="A844" s="451" t="str">
        <f t="shared" si="13"/>
        <v>0_0</v>
      </c>
    </row>
    <row r="845" spans="1:1" x14ac:dyDescent="0.25">
      <c r="A845" s="451" t="str">
        <f t="shared" si="13"/>
        <v>0_0</v>
      </c>
    </row>
    <row r="846" spans="1:1" x14ac:dyDescent="0.25">
      <c r="A846" s="451" t="str">
        <f t="shared" si="13"/>
        <v>0_0</v>
      </c>
    </row>
    <row r="847" spans="1:1" x14ac:dyDescent="0.25">
      <c r="A847" s="451" t="str">
        <f t="shared" si="13"/>
        <v>0_0</v>
      </c>
    </row>
    <row r="848" spans="1:1" x14ac:dyDescent="0.25">
      <c r="A848" s="451" t="str">
        <f t="shared" si="13"/>
        <v>0_0</v>
      </c>
    </row>
    <row r="849" spans="1:1" x14ac:dyDescent="0.25">
      <c r="A849" s="451" t="str">
        <f t="shared" si="13"/>
        <v>0_0</v>
      </c>
    </row>
    <row r="850" spans="1:1" x14ac:dyDescent="0.25">
      <c r="A850" s="451" t="str">
        <f t="shared" si="13"/>
        <v>0_0</v>
      </c>
    </row>
    <row r="851" spans="1:1" x14ac:dyDescent="0.25">
      <c r="A851" s="451" t="str">
        <f t="shared" si="13"/>
        <v>0_0</v>
      </c>
    </row>
    <row r="852" spans="1:1" x14ac:dyDescent="0.25">
      <c r="A852" s="451" t="str">
        <f t="shared" si="13"/>
        <v>0_0</v>
      </c>
    </row>
    <row r="853" spans="1:1" x14ac:dyDescent="0.25">
      <c r="A853" s="451" t="str">
        <f t="shared" si="13"/>
        <v>0_0</v>
      </c>
    </row>
    <row r="854" spans="1:1" x14ac:dyDescent="0.25">
      <c r="A854" s="451" t="str">
        <f t="shared" si="13"/>
        <v>0_0</v>
      </c>
    </row>
    <row r="855" spans="1:1" x14ac:dyDescent="0.25">
      <c r="A855" s="451" t="str">
        <f t="shared" si="13"/>
        <v>0_0</v>
      </c>
    </row>
    <row r="856" spans="1:1" x14ac:dyDescent="0.25">
      <c r="A856" s="451" t="str">
        <f t="shared" si="13"/>
        <v>0_0</v>
      </c>
    </row>
    <row r="857" spans="1:1" x14ac:dyDescent="0.25">
      <c r="A857" s="451" t="str">
        <f t="shared" si="13"/>
        <v>0_0</v>
      </c>
    </row>
    <row r="858" spans="1:1" x14ac:dyDescent="0.25">
      <c r="A858" s="451" t="str">
        <f t="shared" si="13"/>
        <v>0_0</v>
      </c>
    </row>
    <row r="859" spans="1:1" x14ac:dyDescent="0.25">
      <c r="A859" s="451" t="str">
        <f t="shared" si="13"/>
        <v>0_0</v>
      </c>
    </row>
    <row r="860" spans="1:1" x14ac:dyDescent="0.25">
      <c r="A860" s="451" t="str">
        <f t="shared" si="13"/>
        <v>0_0</v>
      </c>
    </row>
    <row r="861" spans="1:1" x14ac:dyDescent="0.25">
      <c r="A861" s="451" t="str">
        <f t="shared" si="13"/>
        <v>0_0</v>
      </c>
    </row>
    <row r="862" spans="1:1" x14ac:dyDescent="0.25">
      <c r="A862" s="451" t="str">
        <f t="shared" si="13"/>
        <v>0_0</v>
      </c>
    </row>
    <row r="863" spans="1:1" x14ac:dyDescent="0.25">
      <c r="A863" s="451" t="str">
        <f t="shared" si="13"/>
        <v>0_0</v>
      </c>
    </row>
    <row r="864" spans="1:1" x14ac:dyDescent="0.25">
      <c r="A864" s="451" t="str">
        <f t="shared" si="13"/>
        <v>0_0</v>
      </c>
    </row>
    <row r="865" spans="1:1" x14ac:dyDescent="0.25">
      <c r="A865" s="451" t="str">
        <f t="shared" si="13"/>
        <v>0_0</v>
      </c>
    </row>
    <row r="866" spans="1:1" x14ac:dyDescent="0.25">
      <c r="A866" s="451" t="str">
        <f t="shared" si="13"/>
        <v>0_0</v>
      </c>
    </row>
    <row r="867" spans="1:1" x14ac:dyDescent="0.25">
      <c r="A867" s="451" t="str">
        <f t="shared" si="13"/>
        <v>0_0</v>
      </c>
    </row>
    <row r="868" spans="1:1" x14ac:dyDescent="0.25">
      <c r="A868" s="451" t="str">
        <f t="shared" si="13"/>
        <v>0_0</v>
      </c>
    </row>
    <row r="869" spans="1:1" x14ac:dyDescent="0.25">
      <c r="A869" s="451" t="str">
        <f t="shared" si="13"/>
        <v>0_0</v>
      </c>
    </row>
    <row r="870" spans="1:1" x14ac:dyDescent="0.25">
      <c r="A870" s="451" t="str">
        <f t="shared" si="13"/>
        <v>0_0</v>
      </c>
    </row>
    <row r="871" spans="1:1" x14ac:dyDescent="0.25">
      <c r="A871" s="451" t="str">
        <f t="shared" si="13"/>
        <v>0_0</v>
      </c>
    </row>
    <row r="872" spans="1:1" x14ac:dyDescent="0.25">
      <c r="A872" s="451" t="str">
        <f t="shared" si="13"/>
        <v>0_0</v>
      </c>
    </row>
    <row r="873" spans="1:1" x14ac:dyDescent="0.25">
      <c r="A873" s="451" t="str">
        <f t="shared" si="13"/>
        <v>0_0</v>
      </c>
    </row>
    <row r="874" spans="1:1" x14ac:dyDescent="0.25">
      <c r="A874" s="451" t="str">
        <f t="shared" si="13"/>
        <v>0_0</v>
      </c>
    </row>
    <row r="875" spans="1:1" x14ac:dyDescent="0.25">
      <c r="A875" s="451" t="str">
        <f t="shared" si="13"/>
        <v>0_0</v>
      </c>
    </row>
    <row r="876" spans="1:1" x14ac:dyDescent="0.25">
      <c r="A876" s="451" t="str">
        <f t="shared" si="13"/>
        <v>0_0</v>
      </c>
    </row>
    <row r="877" spans="1:1" x14ac:dyDescent="0.25">
      <c r="A877" s="451" t="str">
        <f t="shared" si="13"/>
        <v>0_0</v>
      </c>
    </row>
    <row r="878" spans="1:1" x14ac:dyDescent="0.25">
      <c r="A878" s="451" t="str">
        <f t="shared" si="13"/>
        <v>0_0</v>
      </c>
    </row>
    <row r="879" spans="1:1" x14ac:dyDescent="0.25">
      <c r="A879" s="451" t="str">
        <f t="shared" si="13"/>
        <v>0_0</v>
      </c>
    </row>
    <row r="880" spans="1:1" x14ac:dyDescent="0.25">
      <c r="A880" s="451" t="str">
        <f t="shared" si="13"/>
        <v>0_0</v>
      </c>
    </row>
    <row r="881" spans="1:1" x14ac:dyDescent="0.25">
      <c r="A881" s="451" t="str">
        <f t="shared" si="13"/>
        <v>0_0</v>
      </c>
    </row>
    <row r="882" spans="1:1" x14ac:dyDescent="0.25">
      <c r="A882" s="451" t="str">
        <f t="shared" si="13"/>
        <v>0_0</v>
      </c>
    </row>
    <row r="883" spans="1:1" x14ac:dyDescent="0.25">
      <c r="A883" s="451" t="str">
        <f t="shared" si="13"/>
        <v>0_0</v>
      </c>
    </row>
    <row r="884" spans="1:1" x14ac:dyDescent="0.25">
      <c r="A884" s="451" t="str">
        <f t="shared" si="13"/>
        <v>0_0</v>
      </c>
    </row>
    <row r="885" spans="1:1" x14ac:dyDescent="0.25">
      <c r="A885" s="451" t="str">
        <f t="shared" si="13"/>
        <v>0_0</v>
      </c>
    </row>
    <row r="886" spans="1:1" x14ac:dyDescent="0.25">
      <c r="A886" s="451" t="str">
        <f t="shared" si="13"/>
        <v>0_0</v>
      </c>
    </row>
    <row r="887" spans="1:1" x14ac:dyDescent="0.25">
      <c r="A887" s="451" t="str">
        <f t="shared" si="13"/>
        <v>0_0</v>
      </c>
    </row>
    <row r="888" spans="1:1" x14ac:dyDescent="0.25">
      <c r="A888" s="451" t="str">
        <f t="shared" si="13"/>
        <v>0_0</v>
      </c>
    </row>
    <row r="889" spans="1:1" x14ac:dyDescent="0.25">
      <c r="A889" s="451" t="str">
        <f t="shared" si="13"/>
        <v>0_0</v>
      </c>
    </row>
    <row r="890" spans="1:1" x14ac:dyDescent="0.25">
      <c r="A890" s="451" t="str">
        <f t="shared" si="13"/>
        <v>0_0</v>
      </c>
    </row>
    <row r="891" spans="1:1" x14ac:dyDescent="0.25">
      <c r="A891" s="451" t="str">
        <f t="shared" si="13"/>
        <v>0_0</v>
      </c>
    </row>
    <row r="892" spans="1:1" x14ac:dyDescent="0.25">
      <c r="A892" s="451" t="str">
        <f t="shared" si="13"/>
        <v>0_0</v>
      </c>
    </row>
    <row r="893" spans="1:1" x14ac:dyDescent="0.25">
      <c r="A893" s="451" t="str">
        <f t="shared" si="13"/>
        <v>0_0</v>
      </c>
    </row>
    <row r="894" spans="1:1" x14ac:dyDescent="0.25">
      <c r="A894" s="451" t="str">
        <f t="shared" si="13"/>
        <v>0_0</v>
      </c>
    </row>
    <row r="895" spans="1:1" x14ac:dyDescent="0.25">
      <c r="A895" s="451" t="str">
        <f t="shared" si="13"/>
        <v>0_0</v>
      </c>
    </row>
    <row r="896" spans="1:1" x14ac:dyDescent="0.25">
      <c r="A896" s="451" t="str">
        <f t="shared" si="13"/>
        <v>0_0</v>
      </c>
    </row>
    <row r="897" spans="1:1" x14ac:dyDescent="0.25">
      <c r="A897" s="451" t="str">
        <f t="shared" si="13"/>
        <v>0_0</v>
      </c>
    </row>
    <row r="898" spans="1:1" x14ac:dyDescent="0.25">
      <c r="A898" s="451" t="str">
        <f t="shared" si="13"/>
        <v>0_0</v>
      </c>
    </row>
    <row r="899" spans="1:1" x14ac:dyDescent="0.25">
      <c r="A899" s="451" t="str">
        <f t="shared" si="13"/>
        <v>0_0</v>
      </c>
    </row>
    <row r="900" spans="1:1" x14ac:dyDescent="0.25">
      <c r="A900" s="451" t="str">
        <f t="shared" ref="A900" si="14" xml:space="preserve"> IFERROR(+B900*1,B900)&amp;"_"&amp;IFERROR(+D900*1,D900)</f>
        <v>0_0</v>
      </c>
    </row>
  </sheetData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AM2" activePane="bottomRight" state="frozen"/>
      <selection activeCell="D14" sqref="D14"/>
      <selection pane="topRight" activeCell="D14" sqref="D14"/>
      <selection pane="bottomLeft" activeCell="D14" sqref="D14"/>
      <selection pane="bottomRight" activeCell="AQ68" sqref="AQ68"/>
    </sheetView>
  </sheetViews>
  <sheetFormatPr defaultColWidth="9.28515625" defaultRowHeight="12.75" customHeight="1" x14ac:dyDescent="0.2"/>
  <cols>
    <col min="1" max="1" width="6.5703125" style="451" customWidth="1"/>
    <col min="2" max="2" width="9.42578125" style="451" customWidth="1"/>
    <col min="3" max="3" width="13.28515625" style="451" customWidth="1"/>
    <col min="4" max="4" width="14.28515625" style="451" customWidth="1"/>
    <col min="5" max="5" width="8.42578125" style="451" customWidth="1"/>
    <col min="6" max="6" width="10.42578125" style="451" customWidth="1"/>
    <col min="7" max="7" width="19.28515625" style="451" bestFit="1" customWidth="1"/>
    <col min="8" max="8" width="50.5703125" style="451" customWidth="1"/>
    <col min="9" max="9" width="13.5703125" style="451" customWidth="1"/>
    <col min="10" max="10" width="13" style="451" customWidth="1"/>
    <col min="11" max="11" width="13.5703125" style="451" customWidth="1"/>
    <col min="12" max="12" width="13.7109375" style="451" customWidth="1"/>
    <col min="13" max="13" width="23.7109375" style="451" customWidth="1"/>
    <col min="14" max="14" width="24" style="451" bestFit="1" customWidth="1"/>
    <col min="15" max="15" width="11.42578125" style="451" customWidth="1"/>
    <col min="16" max="16" width="13.28515625" style="451" bestFit="1" customWidth="1"/>
    <col min="17" max="17" width="12.5703125" style="451" bestFit="1" customWidth="1"/>
    <col min="18" max="18" width="11" style="451" bestFit="1" customWidth="1"/>
    <col min="19" max="19" width="11.5703125" style="451" bestFit="1" customWidth="1"/>
    <col min="20" max="20" width="10.7109375" style="451" customWidth="1"/>
    <col min="21" max="21" width="12.28515625" style="451" bestFit="1" customWidth="1"/>
    <col min="22" max="22" width="15.28515625" style="451" customWidth="1"/>
    <col min="23" max="23" width="11.28515625" style="451" bestFit="1" customWidth="1"/>
    <col min="24" max="24" width="11.42578125" style="451" bestFit="1" customWidth="1"/>
    <col min="25" max="29" width="9.28515625" style="451" bestFit="1" customWidth="1"/>
    <col min="30" max="30" width="9.42578125" style="451" bestFit="1" customWidth="1"/>
    <col min="31" max="31" width="13.28515625" style="451" bestFit="1" customWidth="1"/>
    <col min="32" max="32" width="10.42578125" style="451" bestFit="1" customWidth="1"/>
    <col min="33" max="34" width="12.5703125" style="451" bestFit="1" customWidth="1"/>
    <col min="35" max="35" width="12.7109375" style="451" bestFit="1" customWidth="1"/>
    <col min="36" max="36" width="12" style="451" bestFit="1" customWidth="1"/>
    <col min="37" max="37" width="15.5703125" style="451" bestFit="1" customWidth="1"/>
    <col min="38" max="39" width="15.5703125" style="451" customWidth="1"/>
    <col min="40" max="40" width="26.28515625" style="451" bestFit="1" customWidth="1"/>
    <col min="41" max="41" width="12" style="451" bestFit="1" customWidth="1"/>
    <col min="42" max="42" width="5" style="451" bestFit="1" customWidth="1"/>
    <col min="43" max="43" width="7.7109375" style="451" bestFit="1" customWidth="1"/>
    <col min="44" max="16384" width="9.28515625" style="451"/>
  </cols>
  <sheetData>
    <row r="1" spans="1:43" ht="12.75" customHeight="1" x14ac:dyDescent="0.2">
      <c r="A1" s="543" t="s">
        <v>587</v>
      </c>
      <c r="B1" s="543" t="s">
        <v>124</v>
      </c>
      <c r="C1" s="543" t="s">
        <v>586</v>
      </c>
      <c r="D1" s="543" t="s">
        <v>585</v>
      </c>
      <c r="E1" s="543" t="s">
        <v>584</v>
      </c>
      <c r="F1" s="543" t="s">
        <v>583</v>
      </c>
      <c r="G1" s="543" t="s">
        <v>582</v>
      </c>
      <c r="H1" s="543" t="s">
        <v>581</v>
      </c>
      <c r="I1" s="543" t="s">
        <v>1433</v>
      </c>
      <c r="J1" s="543" t="s">
        <v>148</v>
      </c>
      <c r="K1" s="543" t="s">
        <v>169</v>
      </c>
      <c r="L1" s="543" t="s">
        <v>115</v>
      </c>
      <c r="M1" s="543" t="s">
        <v>580</v>
      </c>
      <c r="N1" s="543" t="s">
        <v>579</v>
      </c>
      <c r="O1" s="543" t="s">
        <v>1040</v>
      </c>
      <c r="P1" s="543" t="s">
        <v>1438</v>
      </c>
      <c r="Q1" s="543" t="s">
        <v>578</v>
      </c>
      <c r="R1" s="543" t="s">
        <v>577</v>
      </c>
      <c r="S1" s="543" t="s">
        <v>576</v>
      </c>
      <c r="T1" s="543" t="s">
        <v>575</v>
      </c>
      <c r="U1" s="543" t="s">
        <v>574</v>
      </c>
      <c r="V1" s="543" t="s">
        <v>225</v>
      </c>
      <c r="W1" s="543" t="s">
        <v>573</v>
      </c>
      <c r="X1" s="543" t="s">
        <v>572</v>
      </c>
      <c r="Y1" s="543" t="s">
        <v>571</v>
      </c>
      <c r="Z1" s="543" t="s">
        <v>570</v>
      </c>
      <c r="AA1" s="543" t="s">
        <v>283</v>
      </c>
      <c r="AB1" s="543" t="s">
        <v>133</v>
      </c>
      <c r="AC1" s="543" t="s">
        <v>569</v>
      </c>
      <c r="AD1" s="543" t="s">
        <v>568</v>
      </c>
      <c r="AE1" s="543" t="s">
        <v>567</v>
      </c>
      <c r="AF1" s="543" t="s">
        <v>566</v>
      </c>
      <c r="AG1" s="543" t="s">
        <v>565</v>
      </c>
      <c r="AH1" s="543" t="s">
        <v>564</v>
      </c>
      <c r="AI1" s="543" t="s">
        <v>563</v>
      </c>
      <c r="AJ1" s="543" t="s">
        <v>562</v>
      </c>
      <c r="AK1" s="543" t="s">
        <v>561</v>
      </c>
      <c r="AL1" s="543" t="s">
        <v>971</v>
      </c>
      <c r="AM1" s="543" t="s">
        <v>972</v>
      </c>
      <c r="AN1" s="543" t="s">
        <v>560</v>
      </c>
      <c r="AO1" s="543" t="s">
        <v>456</v>
      </c>
      <c r="AP1" s="543" t="s">
        <v>559</v>
      </c>
      <c r="AQ1" s="543" t="s">
        <v>558</v>
      </c>
    </row>
    <row r="2" spans="1:43" ht="12.75" customHeight="1" x14ac:dyDescent="0.2">
      <c r="A2" s="451">
        <f>'Input-FX Rates'!$C$4</f>
        <v>242</v>
      </c>
      <c r="B2" s="451" t="str">
        <f>'Input-FX Rates'!$B$4</f>
        <v>ICH Icheon (242)</v>
      </c>
      <c r="C2" s="451">
        <f>'Input-FX Rates'!$C$6</f>
        <v>780</v>
      </c>
      <c r="D2" s="451" t="str">
        <f>'Input-FX Rates'!$B$6</f>
        <v>780 BU Controls</v>
      </c>
      <c r="E2" s="451" t="str">
        <f>'Input-FX Rates'!$C$5</f>
        <v>7851</v>
      </c>
      <c r="F2" s="451" t="str">
        <f>'Input-FX Rates'!$B$5</f>
        <v>7851 PL eMotor Controls</v>
      </c>
      <c r="G2" s="451" t="s">
        <v>172</v>
      </c>
      <c r="H2" s="451" t="s">
        <v>167</v>
      </c>
      <c r="I2" s="536">
        <f>'1. Main Issues (GC)'!A7</f>
        <v>50854.220662078274</v>
      </c>
      <c r="J2" s="536">
        <f>'1. Main Issues (GC)'!B7</f>
        <v>92272.494113619265</v>
      </c>
      <c r="K2" s="536">
        <f>'1. Main Issues (GC)'!C7</f>
        <v>35988.371534659054</v>
      </c>
      <c r="L2" s="536">
        <f>'1. Main Issues (GC)'!D7</f>
        <v>94871.705380828425</v>
      </c>
      <c r="M2" s="535"/>
      <c r="N2" s="535"/>
      <c r="O2" s="536">
        <f>'1. Main Issues (GC)'!F7</f>
        <v>129843.69047517242</v>
      </c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535"/>
      <c r="AP2" s="451">
        <v>1</v>
      </c>
      <c r="AQ2" s="451" t="str">
        <f>Settings!$A$1</f>
        <v>V2</v>
      </c>
    </row>
    <row r="3" spans="1:43" ht="12.75" customHeight="1" x14ac:dyDescent="0.2">
      <c r="A3" s="451">
        <f>'Input-FX Rates'!$C$4</f>
        <v>242</v>
      </c>
      <c r="B3" s="451" t="str">
        <f>'Input-FX Rates'!$B$4</f>
        <v>ICH Icheon (242)</v>
      </c>
      <c r="C3" s="451">
        <f>'Input-FX Rates'!$C$6</f>
        <v>780</v>
      </c>
      <c r="D3" s="451" t="str">
        <f>'Input-FX Rates'!$B$6</f>
        <v>780 BU Controls</v>
      </c>
      <c r="E3" s="451" t="str">
        <f>'Input-FX Rates'!$C$5</f>
        <v>7851</v>
      </c>
      <c r="F3" s="451" t="str">
        <f>'Input-FX Rates'!$B$5</f>
        <v>7851 PL eMotor Controls</v>
      </c>
      <c r="G3" s="451" t="s">
        <v>172</v>
      </c>
      <c r="H3" s="451" t="s">
        <v>165</v>
      </c>
      <c r="I3" s="536">
        <f>'1. Main Issues (GC)'!A8</f>
        <v>15061.573370337248</v>
      </c>
      <c r="J3" s="536">
        <f>'1. Main Issues (GC)'!B8</f>
        <v>9616.8847765237024</v>
      </c>
      <c r="K3" s="536">
        <f>'1. Main Issues (GC)'!C8</f>
        <v>3409.0320461797569</v>
      </c>
      <c r="L3" s="536">
        <f>'1. Main Issues (GC)'!D8</f>
        <v>14508.054697560943</v>
      </c>
      <c r="M3" s="535"/>
      <c r="N3" s="535"/>
      <c r="O3" s="536">
        <f>'1. Main Issues (GC)'!F8</f>
        <v>20398.500959310342</v>
      </c>
      <c r="P3" s="535"/>
      <c r="Q3" s="535"/>
      <c r="R3" s="535"/>
      <c r="S3" s="535"/>
      <c r="T3" s="535"/>
      <c r="U3" s="535"/>
      <c r="V3" s="535"/>
      <c r="W3" s="535"/>
      <c r="X3" s="535"/>
      <c r="Y3" s="535"/>
      <c r="Z3" s="535"/>
      <c r="AA3" s="535"/>
      <c r="AB3" s="535"/>
      <c r="AC3" s="535"/>
      <c r="AD3" s="535"/>
      <c r="AE3" s="535"/>
      <c r="AF3" s="535"/>
      <c r="AG3" s="535"/>
      <c r="AH3" s="535"/>
      <c r="AI3" s="535"/>
      <c r="AJ3" s="535"/>
      <c r="AK3" s="535"/>
      <c r="AL3" s="535"/>
      <c r="AM3" s="535"/>
      <c r="AN3" s="535"/>
      <c r="AO3" s="535"/>
      <c r="AP3" s="451">
        <v>2</v>
      </c>
      <c r="AQ3" s="451" t="str">
        <f>Settings!$A$1</f>
        <v>V2</v>
      </c>
    </row>
    <row r="4" spans="1:43" ht="12.75" customHeight="1" x14ac:dyDescent="0.2">
      <c r="A4" s="451">
        <f>'Input-FX Rates'!$C$4</f>
        <v>242</v>
      </c>
      <c r="B4" s="451" t="str">
        <f>'Input-FX Rates'!$B$4</f>
        <v>ICH Icheon (242)</v>
      </c>
      <c r="C4" s="451">
        <f>'Input-FX Rates'!$C$6</f>
        <v>780</v>
      </c>
      <c r="D4" s="451" t="str">
        <f>'Input-FX Rates'!$B$6</f>
        <v>780 BU Controls</v>
      </c>
      <c r="E4" s="451" t="str">
        <f>'Input-FX Rates'!$C$5</f>
        <v>7851</v>
      </c>
      <c r="F4" s="451" t="str">
        <f>'Input-FX Rates'!$B$5</f>
        <v>7851 PL eMotor Controls</v>
      </c>
      <c r="G4" s="451" t="s">
        <v>172</v>
      </c>
      <c r="H4" s="451" t="s">
        <v>164</v>
      </c>
      <c r="I4" s="536">
        <f>'1. Main Issues (GC)'!A10</f>
        <v>-5475.170553947959</v>
      </c>
      <c r="J4" s="536">
        <f>'1. Main Issues (GC)'!B10</f>
        <v>-12367.733143717081</v>
      </c>
      <c r="K4" s="536">
        <f>'1. Main Issues (GC)'!C10</f>
        <v>-5783.4554963013316</v>
      </c>
      <c r="L4" s="536">
        <f>'1. Main Issues (GC)'!D10</f>
        <v>-11797.368217377501</v>
      </c>
      <c r="M4" s="535"/>
      <c r="N4" s="535"/>
      <c r="O4" s="536">
        <f>'1. Main Issues (GC)'!F10</f>
        <v>-9270.5356379310342</v>
      </c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/>
      <c r="AB4" s="535"/>
      <c r="AC4" s="535"/>
      <c r="AD4" s="535"/>
      <c r="AE4" s="535"/>
      <c r="AF4" s="535"/>
      <c r="AG4" s="535"/>
      <c r="AH4" s="535"/>
      <c r="AI4" s="535"/>
      <c r="AJ4" s="535"/>
      <c r="AK4" s="535"/>
      <c r="AL4" s="535"/>
      <c r="AM4" s="535"/>
      <c r="AN4" s="535"/>
      <c r="AO4" s="535"/>
      <c r="AP4" s="451">
        <v>3</v>
      </c>
      <c r="AQ4" s="451" t="str">
        <f>Settings!$A$1</f>
        <v>V2</v>
      </c>
    </row>
    <row r="5" spans="1:43" ht="12.75" customHeight="1" x14ac:dyDescent="0.2">
      <c r="A5" s="451">
        <f>'Input-FX Rates'!$C$4</f>
        <v>242</v>
      </c>
      <c r="B5" s="451" t="str">
        <f>'Input-FX Rates'!$B$4</f>
        <v>ICH Icheon (242)</v>
      </c>
      <c r="C5" s="451">
        <f>'Input-FX Rates'!$C$6</f>
        <v>780</v>
      </c>
      <c r="D5" s="451" t="str">
        <f>'Input-FX Rates'!$B$6</f>
        <v>780 BU Controls</v>
      </c>
      <c r="E5" s="451" t="str">
        <f>'Input-FX Rates'!$C$5</f>
        <v>7851</v>
      </c>
      <c r="F5" s="451" t="str">
        <f>'Input-FX Rates'!$B$5</f>
        <v>7851 PL eMotor Controls</v>
      </c>
      <c r="G5" s="451" t="s">
        <v>172</v>
      </c>
      <c r="H5" s="451" t="s">
        <v>163</v>
      </c>
      <c r="I5" s="536">
        <f>'1. Main Issues (GC)'!A12</f>
        <v>-37.681282713534237</v>
      </c>
      <c r="J5" s="536">
        <f>'1. Main Issues (GC)'!B12</f>
        <v>0</v>
      </c>
      <c r="K5" s="536">
        <f>'1. Main Issues (GC)'!C12</f>
        <v>-0.86909560903323468</v>
      </c>
      <c r="L5" s="536">
        <f>'1. Main Issues (GC)'!D12</f>
        <v>-0.86734503488807635</v>
      </c>
      <c r="M5" s="535"/>
      <c r="N5" s="535"/>
      <c r="O5" s="536">
        <f>'1. Main Issues (GC)'!F12</f>
        <v>-4596.68</v>
      </c>
      <c r="P5" s="535"/>
      <c r="Q5" s="535"/>
      <c r="R5" s="535"/>
      <c r="S5" s="535"/>
      <c r="T5" s="535"/>
      <c r="U5" s="535"/>
      <c r="V5" s="535"/>
      <c r="W5" s="535"/>
      <c r="X5" s="535"/>
      <c r="Y5" s="535"/>
      <c r="Z5" s="535"/>
      <c r="AA5" s="535"/>
      <c r="AB5" s="535"/>
      <c r="AC5" s="535"/>
      <c r="AD5" s="535"/>
      <c r="AE5" s="535"/>
      <c r="AF5" s="535"/>
      <c r="AG5" s="535"/>
      <c r="AH5" s="535"/>
      <c r="AI5" s="535"/>
      <c r="AJ5" s="535"/>
      <c r="AK5" s="535"/>
      <c r="AL5" s="535"/>
      <c r="AM5" s="535"/>
      <c r="AN5" s="535"/>
      <c r="AO5" s="535"/>
      <c r="AP5" s="451">
        <v>4</v>
      </c>
      <c r="AQ5" s="451" t="str">
        <f>Settings!$A$1</f>
        <v>V2</v>
      </c>
    </row>
    <row r="6" spans="1:43" ht="12.75" customHeight="1" x14ac:dyDescent="0.2">
      <c r="A6" s="451">
        <f>'Input-FX Rates'!$C$4</f>
        <v>242</v>
      </c>
      <c r="B6" s="451" t="str">
        <f>'Input-FX Rates'!$B$4</f>
        <v>ICH Icheon (242)</v>
      </c>
      <c r="C6" s="451">
        <f>'Input-FX Rates'!$C$6</f>
        <v>780</v>
      </c>
      <c r="D6" s="451" t="str">
        <f>'Input-FX Rates'!$B$6</f>
        <v>780 BU Controls</v>
      </c>
      <c r="E6" s="451" t="str">
        <f>'Input-FX Rates'!$C$5</f>
        <v>7851</v>
      </c>
      <c r="F6" s="451" t="str">
        <f>'Input-FX Rates'!$B$5</f>
        <v>7851 PL eMotor Controls</v>
      </c>
      <c r="G6" s="451" t="s">
        <v>172</v>
      </c>
      <c r="H6" s="451" t="s">
        <v>162</v>
      </c>
      <c r="I6" s="536">
        <f>'1. Main Issues (GC)'!A13</f>
        <v>68.275733264902328</v>
      </c>
      <c r="J6" s="536">
        <f>'1. Main Issues (GC)'!B13</f>
        <v>0</v>
      </c>
      <c r="K6" s="536">
        <f>'1. Main Issues (GC)'!C13</f>
        <v>-158.25217836238295</v>
      </c>
      <c r="L6" s="536">
        <f>'1. Main Issues (GC)'!D13</f>
        <v>-157.9334192189967</v>
      </c>
      <c r="M6" s="535"/>
      <c r="N6" s="535"/>
      <c r="O6" s="536">
        <f>'1. Main Issues (GC)'!F13</f>
        <v>0</v>
      </c>
      <c r="P6" s="535"/>
      <c r="Q6" s="535"/>
      <c r="R6" s="535"/>
      <c r="S6" s="535"/>
      <c r="T6" s="535"/>
      <c r="U6" s="535"/>
      <c r="V6" s="535"/>
      <c r="W6" s="535"/>
      <c r="X6" s="535"/>
      <c r="Y6" s="535"/>
      <c r="Z6" s="535"/>
      <c r="AA6" s="535"/>
      <c r="AB6" s="535"/>
      <c r="AC6" s="535"/>
      <c r="AD6" s="535"/>
      <c r="AE6" s="535"/>
      <c r="AF6" s="535"/>
      <c r="AG6" s="535"/>
      <c r="AH6" s="535"/>
      <c r="AI6" s="535"/>
      <c r="AJ6" s="535"/>
      <c r="AK6" s="535"/>
      <c r="AL6" s="535"/>
      <c r="AM6" s="535"/>
      <c r="AN6" s="535"/>
      <c r="AO6" s="535"/>
      <c r="AP6" s="451">
        <v>5</v>
      </c>
      <c r="AQ6" s="451" t="str">
        <f>Settings!$A$1</f>
        <v>V2</v>
      </c>
    </row>
    <row r="7" spans="1:43" ht="12.75" customHeight="1" x14ac:dyDescent="0.2">
      <c r="A7" s="451">
        <f>'Input-FX Rates'!$C$4</f>
        <v>242</v>
      </c>
      <c r="B7" s="451" t="str">
        <f>'Input-FX Rates'!$B$4</f>
        <v>ICH Icheon (242)</v>
      </c>
      <c r="C7" s="451">
        <f>'Input-FX Rates'!$C$6</f>
        <v>780</v>
      </c>
      <c r="D7" s="451" t="str">
        <f>'Input-FX Rates'!$B$6</f>
        <v>780 BU Controls</v>
      </c>
      <c r="E7" s="451" t="str">
        <f>'Input-FX Rates'!$C$5</f>
        <v>7851</v>
      </c>
      <c r="F7" s="451" t="str">
        <f>'Input-FX Rates'!$B$5</f>
        <v>7851 PL eMotor Controls</v>
      </c>
      <c r="G7" s="451" t="s">
        <v>172</v>
      </c>
      <c r="H7" s="451" t="s">
        <v>161</v>
      </c>
      <c r="I7" s="536">
        <f>'1. Main Issues (GC)'!A14</f>
        <v>9616.9972669406579</v>
      </c>
      <c r="J7" s="536">
        <f>'1. Main Issues (GC)'!B14</f>
        <v>-2750.8483671933786</v>
      </c>
      <c r="K7" s="536">
        <f>'1. Main Issues (GC)'!C14</f>
        <v>-2533.5447240929916</v>
      </c>
      <c r="L7" s="536">
        <f>'1. Main Issues (GC)'!D14</f>
        <v>2551.8857159295567</v>
      </c>
      <c r="M7" s="535"/>
      <c r="N7" s="535"/>
      <c r="O7" s="536">
        <f>'1. Main Issues (GC)'!F14</f>
        <v>6531.2853213793105</v>
      </c>
      <c r="P7" s="535"/>
      <c r="Q7" s="535"/>
      <c r="R7" s="535"/>
      <c r="S7" s="535"/>
      <c r="T7" s="535"/>
      <c r="U7" s="535"/>
      <c r="V7" s="535"/>
      <c r="W7" s="535"/>
      <c r="X7" s="535"/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451">
        <v>6</v>
      </c>
      <c r="AQ7" s="451" t="str">
        <f>Settings!$A$1</f>
        <v>V2</v>
      </c>
    </row>
    <row r="8" spans="1:43" ht="12.75" customHeight="1" x14ac:dyDescent="0.2">
      <c r="A8" s="451">
        <f>'Input-FX Rates'!$C$4</f>
        <v>242</v>
      </c>
      <c r="B8" s="451" t="str">
        <f>'Input-FX Rates'!$B$4</f>
        <v>ICH Icheon (242)</v>
      </c>
      <c r="C8" s="451">
        <f>'Input-FX Rates'!$C$6</f>
        <v>780</v>
      </c>
      <c r="D8" s="451" t="str">
        <f>'Input-FX Rates'!$B$6</f>
        <v>780 BU Controls</v>
      </c>
      <c r="E8" s="451" t="str">
        <f>'Input-FX Rates'!$C$5</f>
        <v>7851</v>
      </c>
      <c r="F8" s="451" t="str">
        <f>'Input-FX Rates'!$B$5</f>
        <v>7851 PL eMotor Controls</v>
      </c>
      <c r="G8" s="451" t="s">
        <v>172</v>
      </c>
      <c r="H8" s="451" t="s">
        <v>160</v>
      </c>
      <c r="I8" s="536">
        <f>'1. Main Issues (GC)'!A16</f>
        <v>-12577.435803799826</v>
      </c>
      <c r="J8" s="536">
        <f>'1. Main Issues (GC)'!B16</f>
        <v>-11898.319966892401</v>
      </c>
      <c r="K8" s="536">
        <f>'1. Main Issues (GC)'!C16</f>
        <v>-1265.8464381960252</v>
      </c>
      <c r="L8" s="536">
        <f>'1. Main Issues (GC)'!D16</f>
        <v>-6717.098975269394</v>
      </c>
      <c r="M8" s="535"/>
      <c r="N8" s="535"/>
      <c r="O8" s="536">
        <f>'1. Main Issues (GC)'!F16</f>
        <v>-15712.436373103448</v>
      </c>
      <c r="P8" s="535"/>
      <c r="Q8" s="535"/>
      <c r="R8" s="535"/>
      <c r="S8" s="535"/>
      <c r="T8" s="535"/>
      <c r="U8" s="535"/>
      <c r="V8" s="535"/>
      <c r="W8" s="535"/>
      <c r="X8" s="535"/>
      <c r="Y8" s="535"/>
      <c r="Z8" s="535"/>
      <c r="AA8" s="535"/>
      <c r="AB8" s="535"/>
      <c r="AC8" s="535"/>
      <c r="AD8" s="535"/>
      <c r="AE8" s="535"/>
      <c r="AF8" s="535"/>
      <c r="AG8" s="535"/>
      <c r="AH8" s="535"/>
      <c r="AI8" s="535"/>
      <c r="AJ8" s="535"/>
      <c r="AK8" s="535"/>
      <c r="AL8" s="535"/>
      <c r="AM8" s="535"/>
      <c r="AN8" s="535"/>
      <c r="AO8" s="535"/>
      <c r="AP8" s="451">
        <v>7</v>
      </c>
      <c r="AQ8" s="451" t="str">
        <f>Settings!$A$1</f>
        <v>V2</v>
      </c>
    </row>
    <row r="9" spans="1:43" ht="12.75" customHeight="1" x14ac:dyDescent="0.2">
      <c r="A9" s="451">
        <f>'Input-FX Rates'!$C$4</f>
        <v>242</v>
      </c>
      <c r="B9" s="451" t="str">
        <f>'Input-FX Rates'!$B$4</f>
        <v>ICH Icheon (242)</v>
      </c>
      <c r="C9" s="451">
        <f>'Input-FX Rates'!$C$6</f>
        <v>780</v>
      </c>
      <c r="D9" s="451" t="str">
        <f>'Input-FX Rates'!$B$6</f>
        <v>780 BU Controls</v>
      </c>
      <c r="E9" s="451" t="str">
        <f>'Input-FX Rates'!$C$5</f>
        <v>7851</v>
      </c>
      <c r="F9" s="451" t="str">
        <f>'Input-FX Rates'!$B$5</f>
        <v>7851 PL eMotor Controls</v>
      </c>
      <c r="G9" s="451" t="s">
        <v>172</v>
      </c>
      <c r="H9" s="451" t="s">
        <v>159</v>
      </c>
      <c r="I9" s="536">
        <f>'1. Main Issues (GC)'!A17</f>
        <v>-33.076732075428737</v>
      </c>
      <c r="J9" s="536">
        <f>'1. Main Issues (GC)'!B17</f>
        <v>0</v>
      </c>
      <c r="K9" s="536">
        <f>'1. Main Issues (GC)'!C17</f>
        <v>226.09382907460127</v>
      </c>
      <c r="L9" s="536">
        <f>'1. Main Issues (GC)'!D17</f>
        <v>615.55984470935095</v>
      </c>
      <c r="M9" s="535"/>
      <c r="N9" s="535"/>
      <c r="O9" s="536">
        <f>'1. Main Issues (GC)'!F17</f>
        <v>0</v>
      </c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451">
        <v>8</v>
      </c>
      <c r="AQ9" s="451" t="str">
        <f>Settings!$A$1</f>
        <v>V2</v>
      </c>
    </row>
    <row r="10" spans="1:43" ht="12.75" customHeight="1" x14ac:dyDescent="0.2">
      <c r="A10" s="451">
        <f>'Input-FX Rates'!$C$4</f>
        <v>242</v>
      </c>
      <c r="B10" s="451" t="str">
        <f>'Input-FX Rates'!$B$4</f>
        <v>ICH Icheon (242)</v>
      </c>
      <c r="C10" s="451">
        <f>'Input-FX Rates'!$C$6</f>
        <v>780</v>
      </c>
      <c r="D10" s="451" t="str">
        <f>'Input-FX Rates'!$B$6</f>
        <v>780 BU Controls</v>
      </c>
      <c r="E10" s="451" t="str">
        <f>'Input-FX Rates'!$C$5</f>
        <v>7851</v>
      </c>
      <c r="F10" s="451" t="str">
        <f>'Input-FX Rates'!$B$5</f>
        <v>7851 PL eMotor Controls</v>
      </c>
      <c r="G10" s="451" t="s">
        <v>172</v>
      </c>
      <c r="H10" s="451" t="s">
        <v>158</v>
      </c>
      <c r="I10" s="536">
        <f>'1. Main Issues (GC)'!A18</f>
        <v>0</v>
      </c>
      <c r="J10" s="536">
        <f>'1. Main Issues (GC)'!B18</f>
        <v>0</v>
      </c>
      <c r="K10" s="536">
        <f>'1. Main Issues (GC)'!C18</f>
        <v>0</v>
      </c>
      <c r="L10" s="536">
        <f>'1. Main Issues (GC)'!D18</f>
        <v>0</v>
      </c>
      <c r="M10" s="535"/>
      <c r="N10" s="535"/>
      <c r="O10" s="536">
        <f>'1. Main Issues (GC)'!F18</f>
        <v>0</v>
      </c>
      <c r="P10" s="535"/>
      <c r="Q10" s="535"/>
      <c r="R10" s="535"/>
      <c r="S10" s="535"/>
      <c r="T10" s="535"/>
      <c r="U10" s="535"/>
      <c r="V10" s="535"/>
      <c r="W10" s="535"/>
      <c r="X10" s="535"/>
      <c r="Y10" s="535"/>
      <c r="Z10" s="535"/>
      <c r="AA10" s="535"/>
      <c r="AB10" s="535"/>
      <c r="AC10" s="535"/>
      <c r="AD10" s="535"/>
      <c r="AE10" s="535"/>
      <c r="AF10" s="535"/>
      <c r="AG10" s="535"/>
      <c r="AH10" s="535"/>
      <c r="AI10" s="535"/>
      <c r="AJ10" s="535"/>
      <c r="AK10" s="535"/>
      <c r="AL10" s="535"/>
      <c r="AM10" s="535"/>
      <c r="AN10" s="535"/>
      <c r="AO10" s="535"/>
      <c r="AP10" s="451">
        <v>9</v>
      </c>
      <c r="AQ10" s="451" t="str">
        <f>Settings!$A$1</f>
        <v>V2</v>
      </c>
    </row>
    <row r="11" spans="1:43" ht="12.75" customHeight="1" x14ac:dyDescent="0.2">
      <c r="A11" s="451">
        <f>'Input-FX Rates'!$C$4</f>
        <v>242</v>
      </c>
      <c r="B11" s="451" t="str">
        <f>'Input-FX Rates'!$B$4</f>
        <v>ICH Icheon (242)</v>
      </c>
      <c r="C11" s="451">
        <f>'Input-FX Rates'!$C$6</f>
        <v>780</v>
      </c>
      <c r="D11" s="451" t="str">
        <f>'Input-FX Rates'!$B$6</f>
        <v>780 BU Controls</v>
      </c>
      <c r="E11" s="451" t="str">
        <f>'Input-FX Rates'!$C$5</f>
        <v>7851</v>
      </c>
      <c r="F11" s="451" t="str">
        <f>'Input-FX Rates'!$B$5</f>
        <v>7851 PL eMotor Controls</v>
      </c>
      <c r="G11" s="451" t="s">
        <v>172</v>
      </c>
      <c r="H11" s="451" t="s">
        <v>157</v>
      </c>
      <c r="I11" s="536">
        <f>'1. Main Issues (GC)'!A19</f>
        <v>0</v>
      </c>
      <c r="J11" s="536">
        <f>'1. Main Issues (GC)'!B19</f>
        <v>0</v>
      </c>
      <c r="K11" s="536">
        <f>'1. Main Issues (GC)'!C19</f>
        <v>0</v>
      </c>
      <c r="L11" s="536">
        <f>'1. Main Issues (GC)'!D19</f>
        <v>0</v>
      </c>
      <c r="M11" s="535"/>
      <c r="N11" s="535"/>
      <c r="O11" s="536">
        <f>'1. Main Issues (GC)'!F19</f>
        <v>0</v>
      </c>
      <c r="P11" s="535"/>
      <c r="Q11" s="535"/>
      <c r="R11" s="535"/>
      <c r="S11" s="535"/>
      <c r="T11" s="535"/>
      <c r="U11" s="535"/>
      <c r="V11" s="535"/>
      <c r="W11" s="535"/>
      <c r="X11" s="535"/>
      <c r="Y11" s="535"/>
      <c r="Z11" s="535"/>
      <c r="AA11" s="535"/>
      <c r="AB11" s="535"/>
      <c r="AC11" s="535"/>
      <c r="AD11" s="535"/>
      <c r="AE11" s="535"/>
      <c r="AF11" s="535"/>
      <c r="AG11" s="535"/>
      <c r="AH11" s="535"/>
      <c r="AI11" s="535"/>
      <c r="AJ11" s="535"/>
      <c r="AK11" s="535"/>
      <c r="AL11" s="535"/>
      <c r="AM11" s="535"/>
      <c r="AN11" s="535"/>
      <c r="AO11" s="535"/>
      <c r="AP11" s="451">
        <v>10</v>
      </c>
      <c r="AQ11" s="451" t="str">
        <f>Settings!$A$1</f>
        <v>V2</v>
      </c>
    </row>
    <row r="12" spans="1:43" s="537" customFormat="1" ht="12.75" customHeight="1" x14ac:dyDescent="0.2">
      <c r="A12" s="537">
        <f>'Input-FX Rates'!$C$4</f>
        <v>242</v>
      </c>
      <c r="B12" s="537" t="str">
        <f>'Input-FX Rates'!$B$4</f>
        <v>ICH Icheon (242)</v>
      </c>
      <c r="C12" s="537">
        <f>'Input-FX Rates'!$C$6</f>
        <v>780</v>
      </c>
      <c r="D12" s="537" t="str">
        <f>'Input-FX Rates'!$B$6</f>
        <v>780 BU Controls</v>
      </c>
      <c r="E12" s="537" t="str">
        <f>'Input-FX Rates'!$C$5</f>
        <v>7851</v>
      </c>
      <c r="F12" s="537" t="str">
        <f>'Input-FX Rates'!$B$5</f>
        <v>7851 PL eMotor Controls</v>
      </c>
      <c r="G12" s="537" t="s">
        <v>172</v>
      </c>
      <c r="H12" s="537" t="s">
        <v>156</v>
      </c>
      <c r="I12" s="539">
        <f>'1. Main Issues (GC)'!A20</f>
        <v>-2993.5152689345991</v>
      </c>
      <c r="J12" s="539">
        <f>'1. Main Issues (GC)'!B20</f>
        <v>-14649.168334085778</v>
      </c>
      <c r="K12" s="539">
        <f>'1. Main Issues (GC)'!C20</f>
        <v>-3573.2973332144152</v>
      </c>
      <c r="L12" s="539">
        <f>'1. Main Issues (GC)'!D20</f>
        <v>-3549.6534146304875</v>
      </c>
      <c r="M12" s="538"/>
      <c r="N12" s="538"/>
      <c r="O12" s="539">
        <f>'1. Main Issues (GC)'!F20</f>
        <v>-9181.1510517241386</v>
      </c>
      <c r="P12" s="538"/>
      <c r="Q12" s="538"/>
      <c r="R12" s="538"/>
      <c r="S12" s="538"/>
      <c r="T12" s="538"/>
      <c r="U12" s="538"/>
      <c r="V12" s="538"/>
      <c r="W12" s="538"/>
      <c r="X12" s="538"/>
      <c r="Y12" s="538"/>
      <c r="Z12" s="538"/>
      <c r="AA12" s="538"/>
      <c r="AB12" s="538"/>
      <c r="AC12" s="538"/>
      <c r="AD12" s="538"/>
      <c r="AE12" s="538"/>
      <c r="AF12" s="538"/>
      <c r="AG12" s="538"/>
      <c r="AH12" s="538"/>
      <c r="AI12" s="538"/>
      <c r="AJ12" s="538"/>
      <c r="AK12" s="538"/>
      <c r="AL12" s="538"/>
      <c r="AM12" s="538"/>
      <c r="AN12" s="538"/>
      <c r="AO12" s="538"/>
      <c r="AP12" s="537">
        <v>11</v>
      </c>
      <c r="AQ12" s="537" t="str">
        <f>Settings!$A$1</f>
        <v>V2</v>
      </c>
    </row>
    <row r="13" spans="1:43" ht="12.75" customHeight="1" x14ac:dyDescent="0.2">
      <c r="A13" s="451">
        <f>'Input-FX Rates'!$C$4</f>
        <v>242</v>
      </c>
      <c r="B13" s="451" t="str">
        <f>'Input-FX Rates'!$B$4</f>
        <v>ICH Icheon (242)</v>
      </c>
      <c r="C13" s="451">
        <f>'Input-FX Rates'!$C$6</f>
        <v>780</v>
      </c>
      <c r="D13" s="451" t="str">
        <f>'Input-FX Rates'!$B$6</f>
        <v>780 BU Controls</v>
      </c>
      <c r="E13" s="451" t="str">
        <f>'Input-FX Rates'!$C$5</f>
        <v>7851</v>
      </c>
      <c r="F13" s="451" t="str">
        <f>'Input-FX Rates'!$B$5</f>
        <v>7851 PL eMotor Controls</v>
      </c>
      <c r="G13" s="451" t="s">
        <v>973</v>
      </c>
      <c r="H13" s="451" t="s">
        <v>1145</v>
      </c>
      <c r="I13" s="535"/>
      <c r="J13" s="535"/>
      <c r="K13" s="535"/>
      <c r="L13" s="535"/>
      <c r="M13" s="535"/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5"/>
      <c r="AG13" s="535"/>
      <c r="AH13" s="535"/>
      <c r="AI13" s="535"/>
      <c r="AJ13" s="535"/>
      <c r="AK13" s="535"/>
      <c r="AL13" s="536">
        <f>'1.1 Structural changes (GC)'!B6</f>
        <v>0</v>
      </c>
      <c r="AM13" s="536">
        <f>'1.1 Structural changes (GC)'!C6</f>
        <v>0</v>
      </c>
      <c r="AN13" s="536" t="str">
        <f>'1.1 Structural changes (GC)'!A6</f>
        <v>Variable</v>
      </c>
      <c r="AO13" s="536" t="str">
        <f>'1.1 Structural changes (GC)'!D6</f>
        <v/>
      </c>
      <c r="AP13" s="451">
        <v>1001</v>
      </c>
      <c r="AQ13" s="451" t="str">
        <f>Settings!$A$1</f>
        <v>V2</v>
      </c>
    </row>
    <row r="14" spans="1:43" ht="12.75" customHeight="1" x14ac:dyDescent="0.2">
      <c r="A14" s="451">
        <f>'Input-FX Rates'!$C$4</f>
        <v>242</v>
      </c>
      <c r="B14" s="451" t="str">
        <f>'Input-FX Rates'!$B$4</f>
        <v>ICH Icheon (242)</v>
      </c>
      <c r="C14" s="451">
        <f>'Input-FX Rates'!$C$6</f>
        <v>780</v>
      </c>
      <c r="D14" s="451" t="str">
        <f>'Input-FX Rates'!$B$6</f>
        <v>780 BU Controls</v>
      </c>
      <c r="E14" s="451" t="str">
        <f>'Input-FX Rates'!$C$5</f>
        <v>7851</v>
      </c>
      <c r="F14" s="451" t="str">
        <f>'Input-FX Rates'!$B$5</f>
        <v>7851 PL eMotor Controls</v>
      </c>
      <c r="G14" s="451" t="s">
        <v>973</v>
      </c>
      <c r="H14" s="451" t="s">
        <v>1144</v>
      </c>
      <c r="I14" s="535"/>
      <c r="J14" s="535"/>
      <c r="K14" s="535"/>
      <c r="L14" s="535"/>
      <c r="M14" s="535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5"/>
      <c r="AG14" s="535"/>
      <c r="AH14" s="535"/>
      <c r="AI14" s="535"/>
      <c r="AJ14" s="535"/>
      <c r="AK14" s="535"/>
      <c r="AL14" s="536">
        <f>'1.1 Structural changes (GC)'!B7</f>
        <v>0</v>
      </c>
      <c r="AM14" s="536">
        <f>'1.1 Structural changes (GC)'!C7</f>
        <v>0</v>
      </c>
      <c r="AN14" s="536" t="str">
        <f>'1.1 Structural changes (GC)'!A7</f>
        <v>Maintenance harmonization</v>
      </c>
      <c r="AO14" s="536" t="str">
        <f>'1.1 Structural changes (GC)'!D7</f>
        <v>Maintenance cost moved from LDC to MDC (917K EUR)</v>
      </c>
      <c r="AP14" s="451">
        <v>1002</v>
      </c>
      <c r="AQ14" s="451" t="str">
        <f>Settings!$A$1</f>
        <v>V2</v>
      </c>
    </row>
    <row r="15" spans="1:43" ht="12.75" customHeight="1" x14ac:dyDescent="0.2">
      <c r="A15" s="451">
        <f>'Input-FX Rates'!$C$4</f>
        <v>242</v>
      </c>
      <c r="B15" s="451" t="str">
        <f>'Input-FX Rates'!$B$4</f>
        <v>ICH Icheon (242)</v>
      </c>
      <c r="C15" s="451">
        <f>'Input-FX Rates'!$C$6</f>
        <v>780</v>
      </c>
      <c r="D15" s="451" t="str">
        <f>'Input-FX Rates'!$B$6</f>
        <v>780 BU Controls</v>
      </c>
      <c r="E15" s="451" t="str">
        <f>'Input-FX Rates'!$C$5</f>
        <v>7851</v>
      </c>
      <c r="F15" s="451" t="str">
        <f>'Input-FX Rates'!$B$5</f>
        <v>7851 PL eMotor Controls</v>
      </c>
      <c r="G15" s="451" t="s">
        <v>973</v>
      </c>
      <c r="H15" s="451" t="s">
        <v>917</v>
      </c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535"/>
      <c r="AK15" s="535"/>
      <c r="AL15" s="536">
        <f>'1.1 Structural changes (GC)'!B8</f>
        <v>0</v>
      </c>
      <c r="AM15" s="536">
        <f>'1.1 Structural changes (GC)'!C8</f>
        <v>0</v>
      </c>
      <c r="AN15" s="536" t="str">
        <f>'1.1 Structural changes (GC)'!A8</f>
        <v>SMD Pool centralization</v>
      </c>
      <c r="AO15" s="536" t="str">
        <f>'1.1 Structural changes (GC)'!D8</f>
        <v/>
      </c>
      <c r="AP15" s="451">
        <v>1003</v>
      </c>
      <c r="AQ15" s="451" t="str">
        <f>Settings!$A$1</f>
        <v>V2</v>
      </c>
    </row>
    <row r="16" spans="1:43" ht="12.75" customHeight="1" x14ac:dyDescent="0.2">
      <c r="A16" s="451">
        <f>'Input-FX Rates'!$C$4</f>
        <v>242</v>
      </c>
      <c r="B16" s="451" t="str">
        <f>'Input-FX Rates'!$B$4</f>
        <v>ICH Icheon (242)</v>
      </c>
      <c r="C16" s="451">
        <f>'Input-FX Rates'!$C$6</f>
        <v>780</v>
      </c>
      <c r="D16" s="451" t="str">
        <f>'Input-FX Rates'!$B$6</f>
        <v>780 BU Controls</v>
      </c>
      <c r="E16" s="451" t="str">
        <f>'Input-FX Rates'!$C$5</f>
        <v>7851</v>
      </c>
      <c r="F16" s="451" t="str">
        <f>'Input-FX Rates'!$B$5</f>
        <v>7851 PL eMotor Controls</v>
      </c>
      <c r="G16" s="451" t="s">
        <v>973</v>
      </c>
      <c r="H16" s="451" t="s">
        <v>918</v>
      </c>
      <c r="I16" s="535"/>
      <c r="J16" s="535"/>
      <c r="K16" s="53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6">
        <f>'1.1 Structural changes (GC)'!B9</f>
        <v>0</v>
      </c>
      <c r="AM16" s="536">
        <f>'1.1 Structural changes (GC)'!C9</f>
        <v>0</v>
      </c>
      <c r="AN16" s="536" t="str">
        <f>'1.1 Structural changes (GC)'!A9</f>
        <v>Structural change 3</v>
      </c>
      <c r="AO16" s="536" t="str">
        <f>'1.1 Structural changes (GC)'!D9</f>
        <v/>
      </c>
      <c r="AP16" s="451">
        <v>1004</v>
      </c>
      <c r="AQ16" s="451" t="str">
        <f>Settings!$A$1</f>
        <v>V2</v>
      </c>
    </row>
    <row r="17" spans="1:43" ht="12.75" customHeight="1" x14ac:dyDescent="0.2">
      <c r="A17" s="451">
        <f>'Input-FX Rates'!$C$4</f>
        <v>242</v>
      </c>
      <c r="B17" s="451" t="str">
        <f>'Input-FX Rates'!$B$4</f>
        <v>ICH Icheon (242)</v>
      </c>
      <c r="C17" s="451">
        <f>'Input-FX Rates'!$C$6</f>
        <v>780</v>
      </c>
      <c r="D17" s="451" t="str">
        <f>'Input-FX Rates'!$B$6</f>
        <v>780 BU Controls</v>
      </c>
      <c r="E17" s="451" t="str">
        <f>'Input-FX Rates'!$C$5</f>
        <v>7851</v>
      </c>
      <c r="F17" s="451" t="str">
        <f>'Input-FX Rates'!$B$5</f>
        <v>7851 PL eMotor Controls</v>
      </c>
      <c r="G17" s="451" t="s">
        <v>973</v>
      </c>
      <c r="H17" s="451" t="s">
        <v>919</v>
      </c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6">
        <f>'1.1 Structural changes (GC)'!B10</f>
        <v>0</v>
      </c>
      <c r="AM17" s="536">
        <f>'1.1 Structural changes (GC)'!C10</f>
        <v>0</v>
      </c>
      <c r="AN17" s="536" t="str">
        <f>'1.1 Structural changes (GC)'!A10</f>
        <v>Structural change 4</v>
      </c>
      <c r="AO17" s="536" t="str">
        <f>'1.1 Structural changes (GC)'!D10</f>
        <v/>
      </c>
      <c r="AP17" s="451">
        <v>1005</v>
      </c>
      <c r="AQ17" s="451" t="str">
        <f>Settings!$A$1</f>
        <v>V2</v>
      </c>
    </row>
    <row r="18" spans="1:43" ht="12.75" customHeight="1" x14ac:dyDescent="0.2">
      <c r="A18" s="451">
        <f>'Input-FX Rates'!$C$4</f>
        <v>242</v>
      </c>
      <c r="B18" s="451" t="str">
        <f>'Input-FX Rates'!$B$4</f>
        <v>ICH Icheon (242)</v>
      </c>
      <c r="C18" s="451">
        <f>'Input-FX Rates'!$C$6</f>
        <v>780</v>
      </c>
      <c r="D18" s="451" t="str">
        <f>'Input-FX Rates'!$B$6</f>
        <v>780 BU Controls</v>
      </c>
      <c r="E18" s="451" t="str">
        <f>'Input-FX Rates'!$C$5</f>
        <v>7851</v>
      </c>
      <c r="F18" s="451" t="str">
        <f>'Input-FX Rates'!$B$5</f>
        <v>7851 PL eMotor Controls</v>
      </c>
      <c r="G18" s="451" t="s">
        <v>973</v>
      </c>
      <c r="H18" s="451" t="s">
        <v>920</v>
      </c>
      <c r="I18" s="535"/>
      <c r="J18" s="535"/>
      <c r="K18" s="535"/>
      <c r="L18" s="535"/>
      <c r="M18" s="535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5"/>
      <c r="AG18" s="535"/>
      <c r="AH18" s="535"/>
      <c r="AI18" s="535"/>
      <c r="AJ18" s="535"/>
      <c r="AK18" s="535"/>
      <c r="AL18" s="536">
        <f>'1.1 Structural changes (GC)'!B11</f>
        <v>0</v>
      </c>
      <c r="AM18" s="536">
        <f>'1.1 Structural changes (GC)'!C11</f>
        <v>0</v>
      </c>
      <c r="AN18" s="536" t="str">
        <f>'1.1 Structural changes (GC)'!A11</f>
        <v>Structural change 5</v>
      </c>
      <c r="AO18" s="536" t="str">
        <f>'1.1 Structural changes (GC)'!D11</f>
        <v/>
      </c>
      <c r="AP18" s="451">
        <v>1006</v>
      </c>
      <c r="AQ18" s="451" t="str">
        <f>Settings!$A$1</f>
        <v>V2</v>
      </c>
    </row>
    <row r="19" spans="1:43" ht="12.75" customHeight="1" x14ac:dyDescent="0.2">
      <c r="A19" s="451">
        <f>'Input-FX Rates'!$C$4</f>
        <v>242</v>
      </c>
      <c r="B19" s="451" t="str">
        <f>'Input-FX Rates'!$B$4</f>
        <v>ICH Icheon (242)</v>
      </c>
      <c r="C19" s="451">
        <f>'Input-FX Rates'!$C$6</f>
        <v>780</v>
      </c>
      <c r="D19" s="451" t="str">
        <f>'Input-FX Rates'!$B$6</f>
        <v>780 BU Controls</v>
      </c>
      <c r="E19" s="451" t="str">
        <f>'Input-FX Rates'!$C$5</f>
        <v>7851</v>
      </c>
      <c r="F19" s="451" t="str">
        <f>'Input-FX Rates'!$B$5</f>
        <v>7851 PL eMotor Controls</v>
      </c>
      <c r="G19" s="451" t="s">
        <v>973</v>
      </c>
      <c r="H19" s="451" t="s">
        <v>947</v>
      </c>
      <c r="I19" s="535"/>
      <c r="J19" s="535"/>
      <c r="K19" s="535"/>
      <c r="L19" s="535"/>
      <c r="M19" s="535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  <c r="Y19" s="535"/>
      <c r="Z19" s="535"/>
      <c r="AA19" s="535"/>
      <c r="AB19" s="535"/>
      <c r="AC19" s="535"/>
      <c r="AD19" s="535"/>
      <c r="AE19" s="535"/>
      <c r="AF19" s="535"/>
      <c r="AG19" s="535"/>
      <c r="AH19" s="535"/>
      <c r="AI19" s="535"/>
      <c r="AJ19" s="535"/>
      <c r="AK19" s="535"/>
      <c r="AL19" s="536">
        <f>'1.1 Structural changes (GC)'!B12</f>
        <v>0</v>
      </c>
      <c r="AM19" s="536">
        <f>'1.1 Structural changes (GC)'!C12</f>
        <v>0</v>
      </c>
      <c r="AN19" s="536" t="str">
        <f>'1.1 Structural changes (GC)'!A12</f>
        <v>Structural change 6</v>
      </c>
      <c r="AO19" s="536" t="str">
        <f>'1.1 Structural changes (GC)'!D12</f>
        <v/>
      </c>
      <c r="AP19" s="451">
        <v>1007</v>
      </c>
      <c r="AQ19" s="451" t="str">
        <f>Settings!$A$1</f>
        <v>V2</v>
      </c>
    </row>
    <row r="20" spans="1:43" ht="12.75" customHeight="1" x14ac:dyDescent="0.2">
      <c r="A20" s="451">
        <f>'Input-FX Rates'!$C$4</f>
        <v>242</v>
      </c>
      <c r="B20" s="451" t="str">
        <f>'Input-FX Rates'!$B$4</f>
        <v>ICH Icheon (242)</v>
      </c>
      <c r="C20" s="451">
        <f>'Input-FX Rates'!$C$6</f>
        <v>780</v>
      </c>
      <c r="D20" s="451" t="str">
        <f>'Input-FX Rates'!$B$6</f>
        <v>780 BU Controls</v>
      </c>
      <c r="E20" s="451" t="str">
        <f>'Input-FX Rates'!$C$5</f>
        <v>7851</v>
      </c>
      <c r="F20" s="451" t="str">
        <f>'Input-FX Rates'!$B$5</f>
        <v>7851 PL eMotor Controls</v>
      </c>
      <c r="G20" s="451" t="s">
        <v>973</v>
      </c>
      <c r="H20" s="451" t="s">
        <v>948</v>
      </c>
      <c r="I20" s="535"/>
      <c r="J20" s="535"/>
      <c r="K20" s="535"/>
      <c r="L20" s="535"/>
      <c r="M20" s="535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  <c r="Y20" s="535"/>
      <c r="Z20" s="535"/>
      <c r="AA20" s="535"/>
      <c r="AB20" s="535"/>
      <c r="AC20" s="535"/>
      <c r="AD20" s="535"/>
      <c r="AE20" s="535"/>
      <c r="AF20" s="535"/>
      <c r="AG20" s="535"/>
      <c r="AH20" s="535"/>
      <c r="AI20" s="535"/>
      <c r="AJ20" s="535"/>
      <c r="AK20" s="535"/>
      <c r="AL20" s="536">
        <f>'1.1 Structural changes (GC)'!B13</f>
        <v>0</v>
      </c>
      <c r="AM20" s="536">
        <f>'1.1 Structural changes (GC)'!C13</f>
        <v>0</v>
      </c>
      <c r="AN20" s="536" t="str">
        <f>'1.1 Structural changes (GC)'!A13</f>
        <v>Structural change 7</v>
      </c>
      <c r="AO20" s="536" t="str">
        <f>'1.1 Structural changes (GC)'!D13</f>
        <v/>
      </c>
      <c r="AP20" s="451">
        <v>1008</v>
      </c>
      <c r="AQ20" s="451" t="str">
        <f>Settings!$A$1</f>
        <v>V2</v>
      </c>
    </row>
    <row r="21" spans="1:43" ht="12.75" customHeight="1" x14ac:dyDescent="0.2">
      <c r="A21" s="451">
        <f>'Input-FX Rates'!$C$4</f>
        <v>242</v>
      </c>
      <c r="B21" s="451" t="str">
        <f>'Input-FX Rates'!$B$4</f>
        <v>ICH Icheon (242)</v>
      </c>
      <c r="C21" s="451">
        <f>'Input-FX Rates'!$C$6</f>
        <v>780</v>
      </c>
      <c r="D21" s="451" t="str">
        <f>'Input-FX Rates'!$B$6</f>
        <v>780 BU Controls</v>
      </c>
      <c r="E21" s="451" t="str">
        <f>'Input-FX Rates'!$C$5</f>
        <v>7851</v>
      </c>
      <c r="F21" s="451" t="str">
        <f>'Input-FX Rates'!$B$5</f>
        <v>7851 PL eMotor Controls</v>
      </c>
      <c r="G21" s="451" t="s">
        <v>973</v>
      </c>
      <c r="H21" s="451" t="s">
        <v>949</v>
      </c>
      <c r="I21" s="535"/>
      <c r="J21" s="535"/>
      <c r="K21" s="535"/>
      <c r="L21" s="535"/>
      <c r="M21" s="535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  <c r="Y21" s="535"/>
      <c r="Z21" s="535"/>
      <c r="AA21" s="535"/>
      <c r="AB21" s="535"/>
      <c r="AC21" s="535"/>
      <c r="AD21" s="535"/>
      <c r="AE21" s="535"/>
      <c r="AF21" s="535"/>
      <c r="AG21" s="535"/>
      <c r="AH21" s="535"/>
      <c r="AI21" s="535"/>
      <c r="AJ21" s="535"/>
      <c r="AK21" s="535"/>
      <c r="AL21" s="536">
        <f>'1.1 Structural changes (GC)'!B14</f>
        <v>0</v>
      </c>
      <c r="AM21" s="536">
        <f>'1.1 Structural changes (GC)'!C14</f>
        <v>0</v>
      </c>
      <c r="AN21" s="536" t="str">
        <f>'1.1 Structural changes (GC)'!A14</f>
        <v>Structural change 8</v>
      </c>
      <c r="AO21" s="536" t="str">
        <f>'1.1 Structural changes (GC)'!D14</f>
        <v/>
      </c>
      <c r="AP21" s="451">
        <v>1009</v>
      </c>
      <c r="AQ21" s="451" t="str">
        <f>Settings!$A$1</f>
        <v>V2</v>
      </c>
    </row>
    <row r="22" spans="1:43" ht="12.75" customHeight="1" x14ac:dyDescent="0.2">
      <c r="A22" s="451">
        <f>'Input-FX Rates'!$C$4</f>
        <v>242</v>
      </c>
      <c r="B22" s="451" t="str">
        <f>'Input-FX Rates'!$B$4</f>
        <v>ICH Icheon (242)</v>
      </c>
      <c r="C22" s="451">
        <f>'Input-FX Rates'!$C$6</f>
        <v>780</v>
      </c>
      <c r="D22" s="451" t="str">
        <f>'Input-FX Rates'!$B$6</f>
        <v>780 BU Controls</v>
      </c>
      <c r="E22" s="451" t="str">
        <f>'Input-FX Rates'!$C$5</f>
        <v>7851</v>
      </c>
      <c r="F22" s="451" t="str">
        <f>'Input-FX Rates'!$B$5</f>
        <v>7851 PL eMotor Controls</v>
      </c>
      <c r="G22" s="451" t="s">
        <v>973</v>
      </c>
      <c r="H22" s="451" t="s">
        <v>950</v>
      </c>
      <c r="I22" s="535"/>
      <c r="J22" s="535"/>
      <c r="K22" s="535"/>
      <c r="L22" s="535"/>
      <c r="M22" s="535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5"/>
      <c r="AG22" s="535"/>
      <c r="AH22" s="535"/>
      <c r="AI22" s="535"/>
      <c r="AJ22" s="535"/>
      <c r="AK22" s="535"/>
      <c r="AL22" s="536">
        <f>'1.1 Structural changes (GC)'!B15</f>
        <v>0</v>
      </c>
      <c r="AM22" s="536">
        <f>'1.1 Structural changes (GC)'!C15</f>
        <v>0</v>
      </c>
      <c r="AN22" s="536" t="str">
        <f>'1.1 Structural changes (GC)'!A15</f>
        <v>Structural change 9</v>
      </c>
      <c r="AO22" s="536" t="str">
        <f>'1.1 Structural changes (GC)'!D15</f>
        <v/>
      </c>
      <c r="AP22" s="451">
        <v>1010</v>
      </c>
      <c r="AQ22" s="451" t="str">
        <f>Settings!$A$1</f>
        <v>V2</v>
      </c>
    </row>
    <row r="23" spans="1:43" ht="12.75" customHeight="1" x14ac:dyDescent="0.2">
      <c r="A23" s="451">
        <f>'Input-FX Rates'!$C$4</f>
        <v>242</v>
      </c>
      <c r="B23" s="451" t="str">
        <f>'Input-FX Rates'!$B$4</f>
        <v>ICH Icheon (242)</v>
      </c>
      <c r="C23" s="451">
        <f>'Input-FX Rates'!$C$6</f>
        <v>780</v>
      </c>
      <c r="D23" s="451" t="str">
        <f>'Input-FX Rates'!$B$6</f>
        <v>780 BU Controls</v>
      </c>
      <c r="E23" s="451" t="str">
        <f>'Input-FX Rates'!$C$5</f>
        <v>7851</v>
      </c>
      <c r="F23" s="451" t="str">
        <f>'Input-FX Rates'!$B$5</f>
        <v>7851 PL eMotor Controls</v>
      </c>
      <c r="G23" s="451" t="s">
        <v>973</v>
      </c>
      <c r="H23" s="451" t="s">
        <v>951</v>
      </c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5"/>
      <c r="T23" s="535"/>
      <c r="U23" s="535"/>
      <c r="V23" s="535"/>
      <c r="W23" s="535"/>
      <c r="X23" s="535"/>
      <c r="Y23" s="535"/>
      <c r="Z23" s="535"/>
      <c r="AA23" s="535"/>
      <c r="AB23" s="535"/>
      <c r="AC23" s="535"/>
      <c r="AD23" s="535"/>
      <c r="AE23" s="535"/>
      <c r="AF23" s="535"/>
      <c r="AG23" s="535"/>
      <c r="AH23" s="535"/>
      <c r="AI23" s="535"/>
      <c r="AJ23" s="535"/>
      <c r="AK23" s="535"/>
      <c r="AL23" s="536">
        <f>'1.1 Structural changes (GC)'!B16</f>
        <v>0</v>
      </c>
      <c r="AM23" s="536">
        <f>'1.1 Structural changes (GC)'!C16</f>
        <v>0</v>
      </c>
      <c r="AN23" s="536" t="str">
        <f>'1.1 Structural changes (GC)'!A16</f>
        <v>Structural change 10</v>
      </c>
      <c r="AO23" s="536" t="str">
        <f>'1.1 Structural changes (GC)'!D16</f>
        <v/>
      </c>
      <c r="AP23" s="451">
        <v>1011</v>
      </c>
      <c r="AQ23" s="451" t="str">
        <f>Settings!$A$1</f>
        <v>V2</v>
      </c>
    </row>
    <row r="24" spans="1:43" ht="12.75" customHeight="1" x14ac:dyDescent="0.2">
      <c r="A24" s="451">
        <f>'Input-FX Rates'!$C$4</f>
        <v>242</v>
      </c>
      <c r="B24" s="451" t="str">
        <f>'Input-FX Rates'!$B$4</f>
        <v>ICH Icheon (242)</v>
      </c>
      <c r="C24" s="451">
        <f>'Input-FX Rates'!$C$6</f>
        <v>780</v>
      </c>
      <c r="D24" s="451" t="str">
        <f>'Input-FX Rates'!$B$6</f>
        <v>780 BU Controls</v>
      </c>
      <c r="E24" s="451" t="str">
        <f>'Input-FX Rates'!$C$5</f>
        <v>7851</v>
      </c>
      <c r="F24" s="451" t="str">
        <f>'Input-FX Rates'!$B$5</f>
        <v>7851 PL eMotor Controls</v>
      </c>
      <c r="G24" s="451" t="s">
        <v>973</v>
      </c>
      <c r="H24" s="451" t="s">
        <v>399</v>
      </c>
      <c r="I24" s="535"/>
      <c r="J24" s="535"/>
      <c r="K24" s="535"/>
      <c r="L24" s="535"/>
      <c r="M24" s="535"/>
      <c r="N24" s="535"/>
      <c r="O24" s="535"/>
      <c r="P24" s="535"/>
      <c r="Q24" s="535"/>
      <c r="R24" s="535"/>
      <c r="S24" s="535"/>
      <c r="T24" s="535"/>
      <c r="U24" s="535"/>
      <c r="V24" s="535"/>
      <c r="W24" s="535"/>
      <c r="X24" s="535"/>
      <c r="Y24" s="535"/>
      <c r="Z24" s="535"/>
      <c r="AA24" s="535"/>
      <c r="AB24" s="535"/>
      <c r="AC24" s="535"/>
      <c r="AD24" s="535"/>
      <c r="AE24" s="535"/>
      <c r="AF24" s="535"/>
      <c r="AG24" s="535"/>
      <c r="AH24" s="535"/>
      <c r="AI24" s="535"/>
      <c r="AJ24" s="535"/>
      <c r="AK24" s="535"/>
      <c r="AL24" s="536">
        <f>'1.1 Structural changes (GC)'!B17</f>
        <v>0</v>
      </c>
      <c r="AM24" s="536">
        <f>'1.1 Structural changes (GC)'!C17</f>
        <v>0</v>
      </c>
      <c r="AN24" s="536" t="str">
        <f>'1.1 Structural changes (GC)'!A17</f>
        <v>Fix</v>
      </c>
      <c r="AO24" s="536" t="str">
        <f>'1.1 Structural changes (GC)'!D17</f>
        <v/>
      </c>
      <c r="AP24" s="451">
        <v>1012</v>
      </c>
      <c r="AQ24" s="451" t="str">
        <f>Settings!$A$1</f>
        <v>V2</v>
      </c>
    </row>
    <row r="25" spans="1:43" ht="12.75" customHeight="1" x14ac:dyDescent="0.2">
      <c r="A25" s="451">
        <f>'Input-FX Rates'!$C$4</f>
        <v>242</v>
      </c>
      <c r="B25" s="451" t="str">
        <f>'Input-FX Rates'!$B$4</f>
        <v>ICH Icheon (242)</v>
      </c>
      <c r="C25" s="451">
        <f>'Input-FX Rates'!$C$6</f>
        <v>780</v>
      </c>
      <c r="D25" s="451" t="str">
        <f>'Input-FX Rates'!$B$6</f>
        <v>780 BU Controls</v>
      </c>
      <c r="E25" s="451" t="str">
        <f>'Input-FX Rates'!$C$5</f>
        <v>7851</v>
      </c>
      <c r="F25" s="451" t="str">
        <f>'Input-FX Rates'!$B$5</f>
        <v>7851 PL eMotor Controls</v>
      </c>
      <c r="G25" s="451" t="s">
        <v>973</v>
      </c>
      <c r="H25" s="451" t="s">
        <v>1145</v>
      </c>
      <c r="I25" s="535"/>
      <c r="J25" s="535"/>
      <c r="K25" s="535"/>
      <c r="L25" s="535"/>
      <c r="M25" s="535"/>
      <c r="N25" s="535"/>
      <c r="O25" s="535"/>
      <c r="P25" s="535"/>
      <c r="Q25" s="535"/>
      <c r="R25" s="535"/>
      <c r="S25" s="535"/>
      <c r="T25" s="535"/>
      <c r="U25" s="535"/>
      <c r="V25" s="535"/>
      <c r="W25" s="535"/>
      <c r="X25" s="535"/>
      <c r="Y25" s="535"/>
      <c r="Z25" s="535"/>
      <c r="AA25" s="535"/>
      <c r="AB25" s="535"/>
      <c r="AC25" s="535"/>
      <c r="AD25" s="535"/>
      <c r="AE25" s="535"/>
      <c r="AF25" s="535"/>
      <c r="AG25" s="535"/>
      <c r="AH25" s="535"/>
      <c r="AI25" s="535"/>
      <c r="AJ25" s="535"/>
      <c r="AK25" s="535"/>
      <c r="AL25" s="536">
        <f>'1.1 Structural changes (GC)'!B18</f>
        <v>0</v>
      </c>
      <c r="AM25" s="536">
        <f>'1.1 Structural changes (GC)'!C18</f>
        <v>0</v>
      </c>
      <c r="AN25" s="536" t="str">
        <f>'1.1 Structural changes (GC)'!A18</f>
        <v>Maintenance harmonization</v>
      </c>
      <c r="AO25" s="536" t="str">
        <f>'1.1 Structural changes (GC)'!D18</f>
        <v/>
      </c>
      <c r="AP25" s="451">
        <v>1013</v>
      </c>
      <c r="AQ25" s="451" t="str">
        <f>Settings!$A$1</f>
        <v>V2</v>
      </c>
    </row>
    <row r="26" spans="1:43" ht="12.75" customHeight="1" x14ac:dyDescent="0.2">
      <c r="A26" s="451">
        <f>'Input-FX Rates'!$C$4</f>
        <v>242</v>
      </c>
      <c r="B26" s="451" t="str">
        <f>'Input-FX Rates'!$B$4</f>
        <v>ICH Icheon (242)</v>
      </c>
      <c r="C26" s="451">
        <f>'Input-FX Rates'!$C$6</f>
        <v>780</v>
      </c>
      <c r="D26" s="451" t="str">
        <f>'Input-FX Rates'!$B$6</f>
        <v>780 BU Controls</v>
      </c>
      <c r="E26" s="451" t="str">
        <f>'Input-FX Rates'!$C$5</f>
        <v>7851</v>
      </c>
      <c r="F26" s="451" t="str">
        <f>'Input-FX Rates'!$B$5</f>
        <v>7851 PL eMotor Controls</v>
      </c>
      <c r="G26" s="451" t="s">
        <v>973</v>
      </c>
      <c r="H26" s="451" t="s">
        <v>1144</v>
      </c>
      <c r="I26" s="535"/>
      <c r="J26" s="535"/>
      <c r="K26" s="535"/>
      <c r="L26" s="535"/>
      <c r="M26" s="535"/>
      <c r="N26" s="535"/>
      <c r="O26" s="535"/>
      <c r="P26" s="535"/>
      <c r="Q26" s="535"/>
      <c r="R26" s="535"/>
      <c r="S26" s="535"/>
      <c r="T26" s="535"/>
      <c r="U26" s="535"/>
      <c r="V26" s="535"/>
      <c r="W26" s="535"/>
      <c r="X26" s="535"/>
      <c r="Y26" s="535"/>
      <c r="Z26" s="535"/>
      <c r="AA26" s="535"/>
      <c r="AB26" s="535"/>
      <c r="AC26" s="535"/>
      <c r="AD26" s="535"/>
      <c r="AE26" s="535"/>
      <c r="AF26" s="535"/>
      <c r="AG26" s="535"/>
      <c r="AH26" s="535"/>
      <c r="AI26" s="535"/>
      <c r="AJ26" s="535"/>
      <c r="AK26" s="535"/>
      <c r="AL26" s="536">
        <f>'1.1 Structural changes (GC)'!B19</f>
        <v>0</v>
      </c>
      <c r="AM26" s="536">
        <f>'1.1 Structural changes (GC)'!C19</f>
        <v>0</v>
      </c>
      <c r="AN26" s="536" t="str">
        <f>'1.1 Structural changes (GC)'!A19</f>
        <v>Structural change 2</v>
      </c>
      <c r="AO26" s="536" t="str">
        <f>'1.1 Structural changes (GC)'!D19</f>
        <v/>
      </c>
      <c r="AP26" s="451">
        <v>1014</v>
      </c>
      <c r="AQ26" s="451" t="str">
        <f>Settings!$A$1</f>
        <v>V2</v>
      </c>
    </row>
    <row r="27" spans="1:43" ht="12.75" customHeight="1" x14ac:dyDescent="0.2">
      <c r="A27" s="451">
        <f>'Input-FX Rates'!$C$4</f>
        <v>242</v>
      </c>
      <c r="B27" s="451" t="str">
        <f>'Input-FX Rates'!$B$4</f>
        <v>ICH Icheon (242)</v>
      </c>
      <c r="C27" s="451">
        <f>'Input-FX Rates'!$C$6</f>
        <v>780</v>
      </c>
      <c r="D27" s="451" t="str">
        <f>'Input-FX Rates'!$B$6</f>
        <v>780 BU Controls</v>
      </c>
      <c r="E27" s="451" t="str">
        <f>'Input-FX Rates'!$C$5</f>
        <v>7851</v>
      </c>
      <c r="F27" s="451" t="str">
        <f>'Input-FX Rates'!$B$5</f>
        <v>7851 PL eMotor Controls</v>
      </c>
      <c r="G27" s="451" t="s">
        <v>973</v>
      </c>
      <c r="H27" s="451" t="s">
        <v>918</v>
      </c>
      <c r="I27" s="535"/>
      <c r="J27" s="535"/>
      <c r="K27" s="535"/>
      <c r="L27" s="535"/>
      <c r="M27" s="535"/>
      <c r="N27" s="535"/>
      <c r="O27" s="535"/>
      <c r="P27" s="535"/>
      <c r="Q27" s="535"/>
      <c r="R27" s="535"/>
      <c r="S27" s="535"/>
      <c r="T27" s="535"/>
      <c r="U27" s="535"/>
      <c r="V27" s="535"/>
      <c r="W27" s="535"/>
      <c r="X27" s="535"/>
      <c r="Y27" s="535"/>
      <c r="Z27" s="535"/>
      <c r="AA27" s="535"/>
      <c r="AB27" s="535"/>
      <c r="AC27" s="535"/>
      <c r="AD27" s="535"/>
      <c r="AE27" s="535"/>
      <c r="AF27" s="535"/>
      <c r="AG27" s="535"/>
      <c r="AH27" s="535"/>
      <c r="AI27" s="535"/>
      <c r="AJ27" s="535"/>
      <c r="AK27" s="535"/>
      <c r="AL27" s="536">
        <f>'1.1 Structural changes (GC)'!B20</f>
        <v>0</v>
      </c>
      <c r="AM27" s="536">
        <f>'1.1 Structural changes (GC)'!C20</f>
        <v>0</v>
      </c>
      <c r="AN27" s="536" t="str">
        <f>'1.1 Structural changes (GC)'!A20</f>
        <v>Structural change 3</v>
      </c>
      <c r="AO27" s="536" t="str">
        <f>'1.1 Structural changes (GC)'!D20</f>
        <v/>
      </c>
      <c r="AP27" s="451">
        <v>1015</v>
      </c>
      <c r="AQ27" s="451" t="str">
        <f>Settings!$A$1</f>
        <v>V2</v>
      </c>
    </row>
    <row r="28" spans="1:43" ht="12.75" customHeight="1" x14ac:dyDescent="0.2">
      <c r="A28" s="451">
        <f>'Input-FX Rates'!$C$4</f>
        <v>242</v>
      </c>
      <c r="B28" s="451" t="str">
        <f>'Input-FX Rates'!$B$4</f>
        <v>ICH Icheon (242)</v>
      </c>
      <c r="C28" s="451">
        <f>'Input-FX Rates'!$C$6</f>
        <v>780</v>
      </c>
      <c r="D28" s="451" t="str">
        <f>'Input-FX Rates'!$B$6</f>
        <v>780 BU Controls</v>
      </c>
      <c r="E28" s="451" t="str">
        <f>'Input-FX Rates'!$C$5</f>
        <v>7851</v>
      </c>
      <c r="F28" s="451" t="str">
        <f>'Input-FX Rates'!$B$5</f>
        <v>7851 PL eMotor Controls</v>
      </c>
      <c r="G28" s="451" t="s">
        <v>973</v>
      </c>
      <c r="H28" s="451" t="s">
        <v>919</v>
      </c>
      <c r="I28" s="535"/>
      <c r="J28" s="535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6">
        <f>'1.1 Structural changes (GC)'!B21</f>
        <v>0</v>
      </c>
      <c r="AM28" s="536">
        <f>'1.1 Structural changes (GC)'!C21</f>
        <v>0</v>
      </c>
      <c r="AN28" s="536" t="str">
        <f>'1.1 Structural changes (GC)'!A21</f>
        <v>Structural change 4</v>
      </c>
      <c r="AO28" s="536" t="str">
        <f>'1.1 Structural changes (GC)'!D21</f>
        <v/>
      </c>
      <c r="AP28" s="451">
        <v>1016</v>
      </c>
      <c r="AQ28" s="451" t="str">
        <f>Settings!$A$1</f>
        <v>V2</v>
      </c>
    </row>
    <row r="29" spans="1:43" ht="12.75" customHeight="1" x14ac:dyDescent="0.2">
      <c r="A29" s="451">
        <f>'Input-FX Rates'!$C$4</f>
        <v>242</v>
      </c>
      <c r="B29" s="451" t="str">
        <f>'Input-FX Rates'!$B$4</f>
        <v>ICH Icheon (242)</v>
      </c>
      <c r="C29" s="451">
        <f>'Input-FX Rates'!$C$6</f>
        <v>780</v>
      </c>
      <c r="D29" s="451" t="str">
        <f>'Input-FX Rates'!$B$6</f>
        <v>780 BU Controls</v>
      </c>
      <c r="E29" s="451" t="str">
        <f>'Input-FX Rates'!$C$5</f>
        <v>7851</v>
      </c>
      <c r="F29" s="451" t="str">
        <f>'Input-FX Rates'!$B$5</f>
        <v>7851 PL eMotor Controls</v>
      </c>
      <c r="G29" s="451" t="s">
        <v>973</v>
      </c>
      <c r="H29" s="451" t="s">
        <v>920</v>
      </c>
      <c r="I29" s="535"/>
      <c r="J29" s="53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6">
        <f>'1.1 Structural changes (GC)'!B22</f>
        <v>0</v>
      </c>
      <c r="AM29" s="536">
        <f>'1.1 Structural changes (GC)'!C22</f>
        <v>0</v>
      </c>
      <c r="AN29" s="536" t="str">
        <f>'1.1 Structural changes (GC)'!A22</f>
        <v>Structural change 5</v>
      </c>
      <c r="AO29" s="536" t="str">
        <f>'1.1 Structural changes (GC)'!D22</f>
        <v/>
      </c>
      <c r="AP29" s="451">
        <v>1017</v>
      </c>
      <c r="AQ29" s="451" t="str">
        <f>Settings!$A$1</f>
        <v>V2</v>
      </c>
    </row>
    <row r="30" spans="1:43" ht="12.75" customHeight="1" x14ac:dyDescent="0.2">
      <c r="A30" s="451">
        <f>'Input-FX Rates'!$C$4</f>
        <v>242</v>
      </c>
      <c r="B30" s="451" t="str">
        <f>'Input-FX Rates'!$B$4</f>
        <v>ICH Icheon (242)</v>
      </c>
      <c r="C30" s="451">
        <f>'Input-FX Rates'!$C$6</f>
        <v>780</v>
      </c>
      <c r="D30" s="451" t="str">
        <f>'Input-FX Rates'!$B$6</f>
        <v>780 BU Controls</v>
      </c>
      <c r="E30" s="451" t="str">
        <f>'Input-FX Rates'!$C$5</f>
        <v>7851</v>
      </c>
      <c r="F30" s="451" t="str">
        <f>'Input-FX Rates'!$B$5</f>
        <v>7851 PL eMotor Controls</v>
      </c>
      <c r="G30" s="451" t="s">
        <v>973</v>
      </c>
      <c r="H30" s="451" t="s">
        <v>947</v>
      </c>
      <c r="I30" s="535"/>
      <c r="J30" s="535"/>
      <c r="K30" s="535"/>
      <c r="L30" s="535"/>
      <c r="M30" s="535"/>
      <c r="N30" s="535"/>
      <c r="O30" s="535"/>
      <c r="P30" s="535"/>
      <c r="Q30" s="535"/>
      <c r="R30" s="535"/>
      <c r="S30" s="535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  <c r="AE30" s="535"/>
      <c r="AF30" s="535"/>
      <c r="AG30" s="535"/>
      <c r="AH30" s="535"/>
      <c r="AI30" s="535"/>
      <c r="AJ30" s="535"/>
      <c r="AK30" s="535"/>
      <c r="AL30" s="536">
        <f>'1.1 Structural changes (GC)'!B23</f>
        <v>0</v>
      </c>
      <c r="AM30" s="536">
        <f>'1.1 Structural changes (GC)'!C23</f>
        <v>0</v>
      </c>
      <c r="AN30" s="536" t="str">
        <f>'1.1 Structural changes (GC)'!A23</f>
        <v>Structural change 6</v>
      </c>
      <c r="AO30" s="536" t="str">
        <f>'1.1 Structural changes (GC)'!D23</f>
        <v/>
      </c>
      <c r="AP30" s="451">
        <v>1018</v>
      </c>
      <c r="AQ30" s="451" t="str">
        <f>Settings!$A$1</f>
        <v>V2</v>
      </c>
    </row>
    <row r="31" spans="1:43" ht="12.75" customHeight="1" x14ac:dyDescent="0.2">
      <c r="A31" s="451">
        <f>'Input-FX Rates'!$C$4</f>
        <v>242</v>
      </c>
      <c r="B31" s="451" t="str">
        <f>'Input-FX Rates'!$B$4</f>
        <v>ICH Icheon (242)</v>
      </c>
      <c r="C31" s="451">
        <f>'Input-FX Rates'!$C$6</f>
        <v>780</v>
      </c>
      <c r="D31" s="451" t="str">
        <f>'Input-FX Rates'!$B$6</f>
        <v>780 BU Controls</v>
      </c>
      <c r="E31" s="451" t="str">
        <f>'Input-FX Rates'!$C$5</f>
        <v>7851</v>
      </c>
      <c r="F31" s="451" t="str">
        <f>'Input-FX Rates'!$B$5</f>
        <v>7851 PL eMotor Controls</v>
      </c>
      <c r="G31" s="451" t="s">
        <v>973</v>
      </c>
      <c r="H31" s="451" t="s">
        <v>948</v>
      </c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  <c r="AE31" s="535"/>
      <c r="AF31" s="535"/>
      <c r="AG31" s="535"/>
      <c r="AH31" s="535"/>
      <c r="AI31" s="535"/>
      <c r="AJ31" s="535"/>
      <c r="AK31" s="535"/>
      <c r="AL31" s="536">
        <f>'1.1 Structural changes (GC)'!B24</f>
        <v>0</v>
      </c>
      <c r="AM31" s="536">
        <f>'1.1 Structural changes (GC)'!C24</f>
        <v>0</v>
      </c>
      <c r="AN31" s="536" t="str">
        <f>'1.1 Structural changes (GC)'!A24</f>
        <v>Structural change 7</v>
      </c>
      <c r="AO31" s="536" t="str">
        <f>'1.1 Structural changes (GC)'!D24</f>
        <v/>
      </c>
      <c r="AP31" s="451">
        <v>1019</v>
      </c>
      <c r="AQ31" s="451" t="str">
        <f>Settings!$A$1</f>
        <v>V2</v>
      </c>
    </row>
    <row r="32" spans="1:43" ht="12.75" customHeight="1" x14ac:dyDescent="0.2">
      <c r="A32" s="451">
        <f>'Input-FX Rates'!$C$4</f>
        <v>242</v>
      </c>
      <c r="B32" s="451" t="str">
        <f>'Input-FX Rates'!$B$4</f>
        <v>ICH Icheon (242)</v>
      </c>
      <c r="C32" s="451">
        <f>'Input-FX Rates'!$C$6</f>
        <v>780</v>
      </c>
      <c r="D32" s="451" t="str">
        <f>'Input-FX Rates'!$B$6</f>
        <v>780 BU Controls</v>
      </c>
      <c r="E32" s="451" t="str">
        <f>'Input-FX Rates'!$C$5</f>
        <v>7851</v>
      </c>
      <c r="F32" s="451" t="str">
        <f>'Input-FX Rates'!$B$5</f>
        <v>7851 PL eMotor Controls</v>
      </c>
      <c r="G32" s="451" t="s">
        <v>973</v>
      </c>
      <c r="H32" s="451" t="s">
        <v>949</v>
      </c>
      <c r="I32" s="535"/>
      <c r="J32" s="535"/>
      <c r="K32" s="535"/>
      <c r="L32" s="535"/>
      <c r="M32" s="535"/>
      <c r="N32" s="535"/>
      <c r="O32" s="535"/>
      <c r="P32" s="535"/>
      <c r="Q32" s="535"/>
      <c r="R32" s="535"/>
      <c r="S32" s="535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  <c r="AE32" s="535"/>
      <c r="AF32" s="535"/>
      <c r="AG32" s="535"/>
      <c r="AH32" s="535"/>
      <c r="AI32" s="535"/>
      <c r="AJ32" s="535"/>
      <c r="AK32" s="535"/>
      <c r="AL32" s="536">
        <f>'1.1 Structural changes (GC)'!B25</f>
        <v>0</v>
      </c>
      <c r="AM32" s="536">
        <f>'1.1 Structural changes (GC)'!C25</f>
        <v>0</v>
      </c>
      <c r="AN32" s="536" t="str">
        <f>'1.1 Structural changes (GC)'!A25</f>
        <v>Structural change 8</v>
      </c>
      <c r="AO32" s="536" t="str">
        <f>'1.1 Structural changes (GC)'!D25</f>
        <v/>
      </c>
      <c r="AP32" s="451">
        <v>1020</v>
      </c>
      <c r="AQ32" s="451" t="str">
        <f>Settings!$A$1</f>
        <v>V2</v>
      </c>
    </row>
    <row r="33" spans="1:43" ht="12.75" customHeight="1" x14ac:dyDescent="0.2">
      <c r="A33" s="451">
        <f>'Input-FX Rates'!$C$4</f>
        <v>242</v>
      </c>
      <c r="B33" s="451" t="str">
        <f>'Input-FX Rates'!$B$4</f>
        <v>ICH Icheon (242)</v>
      </c>
      <c r="C33" s="451">
        <f>'Input-FX Rates'!$C$6</f>
        <v>780</v>
      </c>
      <c r="D33" s="451" t="str">
        <f>'Input-FX Rates'!$B$6</f>
        <v>780 BU Controls</v>
      </c>
      <c r="E33" s="451" t="str">
        <f>'Input-FX Rates'!$C$5</f>
        <v>7851</v>
      </c>
      <c r="F33" s="451" t="str">
        <f>'Input-FX Rates'!$B$5</f>
        <v>7851 PL eMotor Controls</v>
      </c>
      <c r="G33" s="451" t="s">
        <v>973</v>
      </c>
      <c r="H33" s="451" t="s">
        <v>950</v>
      </c>
      <c r="I33" s="535"/>
      <c r="J33" s="535"/>
      <c r="K33" s="535"/>
      <c r="L33" s="535"/>
      <c r="M33" s="535"/>
      <c r="N33" s="535"/>
      <c r="O33" s="535"/>
      <c r="P33" s="535"/>
      <c r="Q33" s="535"/>
      <c r="R33" s="535"/>
      <c r="S33" s="535"/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  <c r="AE33" s="535"/>
      <c r="AF33" s="535"/>
      <c r="AG33" s="535"/>
      <c r="AH33" s="535"/>
      <c r="AI33" s="535"/>
      <c r="AJ33" s="535"/>
      <c r="AK33" s="535"/>
      <c r="AL33" s="536">
        <f>'1.1 Structural changes (GC)'!B26</f>
        <v>0</v>
      </c>
      <c r="AM33" s="536">
        <f>'1.1 Structural changes (GC)'!C26</f>
        <v>0</v>
      </c>
      <c r="AN33" s="536" t="str">
        <f>'1.1 Structural changes (GC)'!A26</f>
        <v>Structural change 9</v>
      </c>
      <c r="AO33" s="536" t="str">
        <f>'1.1 Structural changes (GC)'!D26</f>
        <v/>
      </c>
      <c r="AP33" s="451">
        <v>1021</v>
      </c>
      <c r="AQ33" s="451" t="str">
        <f>Settings!$A$1</f>
        <v>V2</v>
      </c>
    </row>
    <row r="34" spans="1:43" ht="12.75" customHeight="1" x14ac:dyDescent="0.2">
      <c r="A34" s="451">
        <f>'Input-FX Rates'!$C$4</f>
        <v>242</v>
      </c>
      <c r="B34" s="451" t="str">
        <f>'Input-FX Rates'!$B$4</f>
        <v>ICH Icheon (242)</v>
      </c>
      <c r="C34" s="451">
        <f>'Input-FX Rates'!$C$6</f>
        <v>780</v>
      </c>
      <c r="D34" s="451" t="str">
        <f>'Input-FX Rates'!$B$6</f>
        <v>780 BU Controls</v>
      </c>
      <c r="E34" s="451" t="str">
        <f>'Input-FX Rates'!$C$5</f>
        <v>7851</v>
      </c>
      <c r="F34" s="451" t="str">
        <f>'Input-FX Rates'!$B$5</f>
        <v>7851 PL eMotor Controls</v>
      </c>
      <c r="G34" s="451" t="s">
        <v>973</v>
      </c>
      <c r="H34" s="451" t="s">
        <v>951</v>
      </c>
      <c r="I34" s="535"/>
      <c r="J34" s="535"/>
      <c r="K34" s="535"/>
      <c r="L34" s="535"/>
      <c r="M34" s="535"/>
      <c r="N34" s="535"/>
      <c r="O34" s="535"/>
      <c r="P34" s="535"/>
      <c r="Q34" s="535"/>
      <c r="R34" s="535"/>
      <c r="S34" s="535"/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  <c r="AE34" s="535"/>
      <c r="AF34" s="535"/>
      <c r="AG34" s="535"/>
      <c r="AH34" s="535"/>
      <c r="AI34" s="535"/>
      <c r="AJ34" s="535"/>
      <c r="AK34" s="535"/>
      <c r="AL34" s="536">
        <f>'1.1 Structural changes (GC)'!B27</f>
        <v>0</v>
      </c>
      <c r="AM34" s="536">
        <f>'1.1 Structural changes (GC)'!C27</f>
        <v>0</v>
      </c>
      <c r="AN34" s="536" t="str">
        <f>'1.1 Structural changes (GC)'!A27</f>
        <v>Structural change 10</v>
      </c>
      <c r="AO34" s="536" t="str">
        <f>'1.1 Structural changes (GC)'!D27</f>
        <v/>
      </c>
      <c r="AP34" s="451">
        <v>1022</v>
      </c>
      <c r="AQ34" s="451" t="str">
        <f>Settings!$A$1</f>
        <v>V2</v>
      </c>
    </row>
    <row r="35" spans="1:43" s="537" customFormat="1" ht="12.75" customHeight="1" x14ac:dyDescent="0.2">
      <c r="A35" s="537">
        <f>'Input-FX Rates'!$C$4</f>
        <v>242</v>
      </c>
      <c r="B35" s="537" t="str">
        <f>'Input-FX Rates'!$B$4</f>
        <v>ICH Icheon (242)</v>
      </c>
      <c r="C35" s="537">
        <f>'Input-FX Rates'!$C$6</f>
        <v>780</v>
      </c>
      <c r="D35" s="537" t="str">
        <f>'Input-FX Rates'!$B$6</f>
        <v>780 BU Controls</v>
      </c>
      <c r="E35" s="537" t="str">
        <f>'Input-FX Rates'!$C$5</f>
        <v>7851</v>
      </c>
      <c r="F35" s="537" t="str">
        <f>'Input-FX Rates'!$B$5</f>
        <v>7851 PL eMotor Controls</v>
      </c>
      <c r="G35" s="537" t="s">
        <v>973</v>
      </c>
      <c r="H35" s="537" t="s">
        <v>916</v>
      </c>
      <c r="I35" s="538"/>
      <c r="J35" s="538"/>
      <c r="K35" s="538"/>
      <c r="L35" s="538"/>
      <c r="M35" s="538"/>
      <c r="N35" s="538"/>
      <c r="O35" s="538"/>
      <c r="P35" s="538"/>
      <c r="Q35" s="538"/>
      <c r="R35" s="538"/>
      <c r="S35" s="538"/>
      <c r="T35" s="538"/>
      <c r="U35" s="538"/>
      <c r="V35" s="538"/>
      <c r="W35" s="538"/>
      <c r="X35" s="538"/>
      <c r="Y35" s="538"/>
      <c r="Z35" s="538"/>
      <c r="AA35" s="538"/>
      <c r="AB35" s="538"/>
      <c r="AC35" s="538"/>
      <c r="AD35" s="538"/>
      <c r="AE35" s="538"/>
      <c r="AF35" s="538"/>
      <c r="AG35" s="538"/>
      <c r="AH35" s="538"/>
      <c r="AI35" s="538"/>
      <c r="AJ35" s="538"/>
      <c r="AK35" s="538"/>
      <c r="AL35" s="539">
        <f>'1.1 Structural changes (GC)'!B28</f>
        <v>0</v>
      </c>
      <c r="AM35" s="539">
        <f>'1.1 Structural changes (GC)'!C28</f>
        <v>0</v>
      </c>
      <c r="AN35" s="539" t="str">
        <f>'1.1 Structural changes (GC)'!A28</f>
        <v>Total structural changes</v>
      </c>
      <c r="AO35" s="539" t="str">
        <f>'1.1 Structural changes (GC)'!D28</f>
        <v/>
      </c>
      <c r="AP35" s="537">
        <v>1023</v>
      </c>
      <c r="AQ35" s="537" t="str">
        <f>Settings!$A$1</f>
        <v>V2</v>
      </c>
    </row>
    <row r="36" spans="1:43" ht="12.75" customHeight="1" x14ac:dyDescent="0.2">
      <c r="A36" s="451">
        <f>'Input-FX Rates'!$C$4</f>
        <v>242</v>
      </c>
      <c r="B36" s="451" t="str">
        <f>'Input-FX Rates'!$B$4</f>
        <v>ICH Icheon (242)</v>
      </c>
      <c r="C36" s="451">
        <f>'Input-FX Rates'!$C$6</f>
        <v>780</v>
      </c>
      <c r="D36" s="451" t="str">
        <f>'Input-FX Rates'!$B$6</f>
        <v>780 BU Controls</v>
      </c>
      <c r="E36" s="451" t="str">
        <f>'Input-FX Rates'!$C$5</f>
        <v>7851</v>
      </c>
      <c r="F36" s="451" t="str">
        <f>'Input-FX Rates'!$B$5</f>
        <v>7851 PL eMotor Controls</v>
      </c>
      <c r="G36" s="451" t="s">
        <v>556</v>
      </c>
      <c r="H36" s="451" t="s">
        <v>167</v>
      </c>
      <c r="I36" s="535"/>
      <c r="J36" s="535"/>
      <c r="K36" s="536">
        <f>'2. Variable (GC)'!B6</f>
        <v>35988.371534659054</v>
      </c>
      <c r="L36" s="536">
        <f>'2. Variable (GC)'!C6</f>
        <v>94871.705380828425</v>
      </c>
      <c r="M36" s="536">
        <f>'2. Variable (GC)'!D6</f>
        <v>772.43774568186177</v>
      </c>
      <c r="N36" s="536">
        <f>'2. Variable (GC)'!E6</f>
        <v>94099.267635146563</v>
      </c>
      <c r="O36" s="536">
        <f>'2. Variable (GC)'!N6</f>
        <v>129843.69047517242</v>
      </c>
      <c r="P36" s="536">
        <f>'2. Variable (GC)'!M6</f>
        <v>129843.69047517242</v>
      </c>
      <c r="Q36" s="536">
        <f>'2. Variable (GC)'!F6</f>
        <v>38292.068656468182</v>
      </c>
      <c r="R36" s="536">
        <f>'2. Variable (GC)'!G6</f>
        <v>0</v>
      </c>
      <c r="S36" s="536">
        <f>'2. Variable (GC)'!H6</f>
        <v>-2747.0541996641246</v>
      </c>
      <c r="T36" s="536">
        <f>'2. Variable (GC)'!I6</f>
        <v>0</v>
      </c>
      <c r="U36" s="536">
        <f>'2. Variable (GC)'!K6</f>
        <v>4484.1035878524863</v>
      </c>
      <c r="V36" s="536">
        <f>'2. Variable (GC)'!L6</f>
        <v>-4284.6952046306978</v>
      </c>
      <c r="W36" s="535"/>
      <c r="X36" s="535"/>
      <c r="Y36" s="535"/>
      <c r="Z36" s="535"/>
      <c r="AA36" s="535"/>
      <c r="AB36" s="535"/>
      <c r="AC36" s="535"/>
      <c r="AD36" s="535"/>
      <c r="AE36" s="535"/>
      <c r="AF36" s="535"/>
      <c r="AG36" s="535"/>
      <c r="AH36" s="535"/>
      <c r="AI36" s="535"/>
      <c r="AJ36" s="535"/>
      <c r="AK36" s="535"/>
      <c r="AL36" s="535"/>
      <c r="AM36" s="535"/>
      <c r="AN36" s="535"/>
      <c r="AO36" s="451" t="str">
        <f>'2. Variable (GC)'!P6</f>
        <v/>
      </c>
      <c r="AP36" s="451">
        <v>12</v>
      </c>
      <c r="AQ36" s="451" t="str">
        <f>Settings!$A$1</f>
        <v>V2</v>
      </c>
    </row>
    <row r="37" spans="1:43" ht="12.75" customHeight="1" x14ac:dyDescent="0.2">
      <c r="A37" s="451">
        <f>'Input-FX Rates'!$C$4</f>
        <v>242</v>
      </c>
      <c r="B37" s="451" t="str">
        <f>'Input-FX Rates'!$B$4</f>
        <v>ICH Icheon (242)</v>
      </c>
      <c r="C37" s="451">
        <f>'Input-FX Rates'!$C$6</f>
        <v>780</v>
      </c>
      <c r="D37" s="451" t="str">
        <f>'Input-FX Rates'!$B$6</f>
        <v>780 BU Controls</v>
      </c>
      <c r="E37" s="451" t="str">
        <f>'Input-FX Rates'!$C$5</f>
        <v>7851</v>
      </c>
      <c r="F37" s="451" t="str">
        <f>'Input-FX Rates'!$B$5</f>
        <v>7851 PL eMotor Controls</v>
      </c>
      <c r="G37" s="451" t="s">
        <v>556</v>
      </c>
      <c r="H37" s="451" t="s">
        <v>208</v>
      </c>
      <c r="I37" s="535"/>
      <c r="J37" s="535"/>
      <c r="K37" s="536">
        <f>'2. Variable (GC)'!B7</f>
        <v>36809.301617690333</v>
      </c>
      <c r="L37" s="536">
        <f>'2. Variable (GC)'!C7</f>
        <v>86436.872952409234</v>
      </c>
      <c r="M37" s="536">
        <f>'2. Variable (GC)'!D7</f>
        <v>772.43774568186177</v>
      </c>
      <c r="N37" s="536">
        <f>'2. Variable (GC)'!E7</f>
        <v>85664.435206727372</v>
      </c>
      <c r="O37" s="536">
        <f>'2. Variable (GC)'!N7</f>
        <v>129843.69047517242</v>
      </c>
      <c r="P37" s="536">
        <f>'2. Variable (GC)'!M7</f>
        <v>129843.69047517242</v>
      </c>
      <c r="Q37" s="536">
        <f>'2. Variable (GC)'!F7</f>
        <v>0</v>
      </c>
      <c r="R37" s="536">
        <f>'2. Variable (GC)'!G7</f>
        <v>0</v>
      </c>
      <c r="S37" s="536">
        <f>'2. Variable (GC)'!H7</f>
        <v>0</v>
      </c>
      <c r="T37" s="536">
        <f>'2. Variable (GC)'!I7</f>
        <v>0</v>
      </c>
      <c r="U37" s="536">
        <f>'2. Variable (GC)'!K7</f>
        <v>0</v>
      </c>
      <c r="V37" s="536">
        <f>'2. Variable (GC)'!L7</f>
        <v>-4284.6952046306978</v>
      </c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  <c r="AH37" s="535"/>
      <c r="AI37" s="535"/>
      <c r="AJ37" s="535"/>
      <c r="AK37" s="535"/>
      <c r="AL37" s="535"/>
      <c r="AM37" s="535"/>
      <c r="AN37" s="535"/>
      <c r="AO37" s="451" t="str">
        <f>'2. Variable (GC)'!P7</f>
        <v/>
      </c>
      <c r="AP37" s="451">
        <v>13</v>
      </c>
      <c r="AQ37" s="451" t="str">
        <f>Settings!$A$1</f>
        <v>V2</v>
      </c>
    </row>
    <row r="38" spans="1:43" ht="12.75" customHeight="1" x14ac:dyDescent="0.2">
      <c r="A38" s="451">
        <f>'Input-FX Rates'!$C$4</f>
        <v>242</v>
      </c>
      <c r="B38" s="451" t="str">
        <f>'Input-FX Rates'!$B$4</f>
        <v>ICH Icheon (242)</v>
      </c>
      <c r="C38" s="451">
        <f>'Input-FX Rates'!$C$6</f>
        <v>780</v>
      </c>
      <c r="D38" s="451" t="str">
        <f>'Input-FX Rates'!$B$6</f>
        <v>780 BU Controls</v>
      </c>
      <c r="E38" s="451" t="str">
        <f>'Input-FX Rates'!$C$5</f>
        <v>7851</v>
      </c>
      <c r="F38" s="451" t="str">
        <f>'Input-FX Rates'!$B$5</f>
        <v>7851 PL eMotor Controls</v>
      </c>
      <c r="G38" s="451" t="s">
        <v>556</v>
      </c>
      <c r="H38" s="451" t="s">
        <v>207</v>
      </c>
      <c r="I38" s="535"/>
      <c r="J38" s="535"/>
      <c r="K38" s="536">
        <f>'2. Variable (GC)'!B8</f>
        <v>-30179.500209358193</v>
      </c>
      <c r="L38" s="536">
        <f>'2. Variable (GC)'!C8</f>
        <v>-73653.13107862309</v>
      </c>
      <c r="M38" s="536">
        <f>'2. Variable (GC)'!D8</f>
        <v>0</v>
      </c>
      <c r="N38" s="536">
        <f>'2. Variable (GC)'!E8</f>
        <v>-73653.13107862309</v>
      </c>
      <c r="O38" s="536">
        <f>'2. Variable (GC)'!N8</f>
        <v>-105975.80548870677</v>
      </c>
      <c r="P38" s="536">
        <f>'2. Variable (GC)'!M8</f>
        <v>0</v>
      </c>
      <c r="Q38" s="536">
        <f>'2. Variable (GC)'!F8</f>
        <v>-29971.867379985873</v>
      </c>
      <c r="R38" s="536">
        <f>'2. Variable (GC)'!G8</f>
        <v>3144.3440526272607</v>
      </c>
      <c r="S38" s="536">
        <f>'2. Variable (GC)'!H8</f>
        <v>1363.8250282041204</v>
      </c>
      <c r="T38" s="536">
        <f>'2. Variable (GC)'!I8</f>
        <v>0</v>
      </c>
      <c r="U38" s="536">
        <f>'2. Variable (GC)'!K8</f>
        <v>-10356.058055555226</v>
      </c>
      <c r="V38" s="536">
        <f>'2. Variable (GC)'!L8</f>
        <v>3497.0819446260284</v>
      </c>
      <c r="W38" s="535"/>
      <c r="X38" s="535"/>
      <c r="Y38" s="535"/>
      <c r="Z38" s="535"/>
      <c r="AA38" s="535"/>
      <c r="AB38" s="535"/>
      <c r="AC38" s="535"/>
      <c r="AD38" s="535"/>
      <c r="AE38" s="535"/>
      <c r="AF38" s="535"/>
      <c r="AG38" s="535"/>
      <c r="AH38" s="535"/>
      <c r="AI38" s="535"/>
      <c r="AJ38" s="535"/>
      <c r="AK38" s="535"/>
      <c r="AL38" s="535"/>
      <c r="AM38" s="535"/>
      <c r="AN38" s="535"/>
      <c r="AO38" s="451" t="str">
        <f>'2. Variable (GC)'!P8</f>
        <v/>
      </c>
      <c r="AP38" s="451">
        <v>14</v>
      </c>
      <c r="AQ38" s="451" t="str">
        <f>Settings!$A$1</f>
        <v>V2</v>
      </c>
    </row>
    <row r="39" spans="1:43" ht="12.75" customHeight="1" x14ac:dyDescent="0.2">
      <c r="A39" s="451">
        <f>'Input-FX Rates'!$C$4</f>
        <v>242</v>
      </c>
      <c r="B39" s="451" t="str">
        <f>'Input-FX Rates'!$B$4</f>
        <v>ICH Icheon (242)</v>
      </c>
      <c r="C39" s="451">
        <f>'Input-FX Rates'!$C$6</f>
        <v>780</v>
      </c>
      <c r="D39" s="451" t="str">
        <f>'Input-FX Rates'!$B$6</f>
        <v>780 BU Controls</v>
      </c>
      <c r="E39" s="451" t="str">
        <f>'Input-FX Rates'!$C$5</f>
        <v>7851</v>
      </c>
      <c r="F39" s="451" t="str">
        <f>'Input-FX Rates'!$B$5</f>
        <v>7851 PL eMotor Controls</v>
      </c>
      <c r="G39" s="451" t="s">
        <v>556</v>
      </c>
      <c r="H39" s="542" t="s">
        <v>221</v>
      </c>
      <c r="I39" s="535"/>
      <c r="J39" s="535"/>
      <c r="K39" s="536">
        <f>'2. Variable (GC)'!B10</f>
        <v>-30059.019981450158</v>
      </c>
      <c r="L39" s="536">
        <f>'2. Variable (GC)'!C10</f>
        <v>-74981.509678002578</v>
      </c>
      <c r="M39" s="536">
        <f>'2. Variable (GC)'!D10</f>
        <v>0</v>
      </c>
      <c r="N39" s="536">
        <f>'2. Variable (GC)'!E10</f>
        <v>-74981.509678002578</v>
      </c>
      <c r="O39" s="536">
        <f>'2. Variable (GC)'!N10</f>
        <v>-105016.81568249986</v>
      </c>
      <c r="P39" s="536">
        <f>'2. Variable (GC)'!M10</f>
        <v>0</v>
      </c>
      <c r="Q39" s="536">
        <f>'2. Variable (GC)'!F10</f>
        <v>-30512.427852687295</v>
      </c>
      <c r="R39" s="536">
        <f>'2. Variable (GC)'!G10</f>
        <v>3144.3440526272607</v>
      </c>
      <c r="S39" s="536">
        <f>'2. Variable (GC)'!H10</f>
        <v>1363.8250282041204</v>
      </c>
      <c r="T39" s="536">
        <f>'2. Variable (GC)'!I10</f>
        <v>0</v>
      </c>
      <c r="U39" s="536">
        <f>'2. Variable (GC)'!K10</f>
        <v>-7496.4835962699344</v>
      </c>
      <c r="V39" s="536">
        <f>'2. Variable (GC)'!L10</f>
        <v>3465.4363636285416</v>
      </c>
      <c r="W39" s="535"/>
      <c r="X39" s="535"/>
      <c r="Y39" s="535"/>
      <c r="Z39" s="535"/>
      <c r="AA39" s="535"/>
      <c r="AB39" s="535"/>
      <c r="AC39" s="535"/>
      <c r="AD39" s="535"/>
      <c r="AE39" s="535"/>
      <c r="AF39" s="535"/>
      <c r="AG39" s="535"/>
      <c r="AH39" s="535"/>
      <c r="AI39" s="535"/>
      <c r="AJ39" s="535"/>
      <c r="AK39" s="535"/>
      <c r="AL39" s="535"/>
      <c r="AM39" s="535"/>
      <c r="AN39" s="535"/>
      <c r="AO39" s="451" t="str">
        <f>'2. Variable (GC)'!P10</f>
        <v>All other 7.3M EUR is material cost of EPF4</v>
      </c>
      <c r="AP39" s="451">
        <v>15</v>
      </c>
      <c r="AQ39" s="451" t="str">
        <f>Settings!$A$1</f>
        <v>V2</v>
      </c>
    </row>
    <row r="40" spans="1:43" ht="12.75" customHeight="1" x14ac:dyDescent="0.2">
      <c r="A40" s="451">
        <f>'Input-FX Rates'!$C$4</f>
        <v>242</v>
      </c>
      <c r="B40" s="451" t="str">
        <f>'Input-FX Rates'!$B$4</f>
        <v>ICH Icheon (242)</v>
      </c>
      <c r="C40" s="451">
        <f>'Input-FX Rates'!$C$6</f>
        <v>780</v>
      </c>
      <c r="D40" s="451" t="str">
        <f>'Input-FX Rates'!$B$6</f>
        <v>780 BU Controls</v>
      </c>
      <c r="E40" s="451" t="str">
        <f>'Input-FX Rates'!$C$5</f>
        <v>7851</v>
      </c>
      <c r="F40" s="451" t="str">
        <f>'Input-FX Rates'!$B$5</f>
        <v>7851 PL eMotor Controls</v>
      </c>
      <c r="G40" s="451" t="s">
        <v>556</v>
      </c>
      <c r="H40" s="451" t="s">
        <v>206</v>
      </c>
      <c r="I40" s="535"/>
      <c r="J40" s="535"/>
      <c r="K40" s="536">
        <f>'2. Variable (GC)'!B11</f>
        <v>-57.222762551822186</v>
      </c>
      <c r="L40" s="536">
        <f>'2. Variable (GC)'!C11</f>
        <v>1381.6521974871</v>
      </c>
      <c r="M40" s="536">
        <f>'2. Variable (GC)'!D11</f>
        <v>0</v>
      </c>
      <c r="N40" s="536">
        <f>'2. Variable (GC)'!E11</f>
        <v>1381.6521974871</v>
      </c>
      <c r="O40" s="536">
        <f>'2. Variable (GC)'!N11</f>
        <v>0</v>
      </c>
      <c r="P40" s="536">
        <f>'2. Variable (GC)'!M11</f>
        <v>0</v>
      </c>
      <c r="Q40" s="536">
        <f>'2. Variable (GC)'!F11</f>
        <v>562.23920073415013</v>
      </c>
      <c r="R40" s="536">
        <f>'2. Variable (GC)'!G11</f>
        <v>0</v>
      </c>
      <c r="S40" s="536">
        <f>'2. Variable (GC)'!H11</f>
        <v>0</v>
      </c>
      <c r="T40" s="536">
        <f>'2. Variable (GC)'!I11</f>
        <v>0</v>
      </c>
      <c r="U40" s="536">
        <f>'2. Variable (GC)'!K11</f>
        <v>-1943.89139822125</v>
      </c>
      <c r="V40" s="536">
        <f>'2. Variable (GC)'!L11</f>
        <v>0</v>
      </c>
      <c r="W40" s="535"/>
      <c r="X40" s="535"/>
      <c r="Y40" s="535"/>
      <c r="Z40" s="535"/>
      <c r="AA40" s="535"/>
      <c r="AB40" s="535"/>
      <c r="AC40" s="535"/>
      <c r="AD40" s="535"/>
      <c r="AE40" s="535"/>
      <c r="AF40" s="535"/>
      <c r="AG40" s="535"/>
      <c r="AH40" s="535"/>
      <c r="AI40" s="535"/>
      <c r="AJ40" s="535"/>
      <c r="AK40" s="535"/>
      <c r="AL40" s="535"/>
      <c r="AM40" s="535"/>
      <c r="AN40" s="535"/>
      <c r="AO40" s="451" t="str">
        <f>'2. Variable (GC)'!P11</f>
        <v/>
      </c>
      <c r="AP40" s="451">
        <v>16</v>
      </c>
      <c r="AQ40" s="451" t="str">
        <f>Settings!$A$1</f>
        <v>V2</v>
      </c>
    </row>
    <row r="41" spans="1:43" ht="12.75" customHeight="1" x14ac:dyDescent="0.2">
      <c r="A41" s="451">
        <f>'Input-FX Rates'!$C$4</f>
        <v>242</v>
      </c>
      <c r="B41" s="451" t="str">
        <f>'Input-FX Rates'!$B$4</f>
        <v>ICH Icheon (242)</v>
      </c>
      <c r="C41" s="451">
        <f>'Input-FX Rates'!$C$6</f>
        <v>780</v>
      </c>
      <c r="D41" s="451" t="str">
        <f>'Input-FX Rates'!$B$6</f>
        <v>780 BU Controls</v>
      </c>
      <c r="E41" s="451" t="str">
        <f>'Input-FX Rates'!$C$5</f>
        <v>7851</v>
      </c>
      <c r="F41" s="451" t="str">
        <f>'Input-FX Rates'!$B$5</f>
        <v>7851 PL eMotor Controls</v>
      </c>
      <c r="G41" s="451" t="s">
        <v>556</v>
      </c>
      <c r="H41" s="451" t="s">
        <v>941</v>
      </c>
      <c r="I41" s="535"/>
      <c r="J41" s="535"/>
      <c r="K41" s="536">
        <f>'2. Variable (GC)'!B12</f>
        <v>-59.345918562548739</v>
      </c>
      <c r="L41" s="536">
        <f>'2. Variable (GC)'!C12</f>
        <v>19.42109118962102</v>
      </c>
      <c r="M41" s="536">
        <f>'2. Variable (GC)'!D12</f>
        <v>0</v>
      </c>
      <c r="N41" s="536">
        <f>'2. Variable (GC)'!E12</f>
        <v>19.42109118962102</v>
      </c>
      <c r="O41" s="536">
        <f>'2. Variable (GC)'!N12</f>
        <v>0</v>
      </c>
      <c r="P41" s="536">
        <f>'2. Variable (GC)'!M12</f>
        <v>0</v>
      </c>
      <c r="Q41" s="536">
        <f>'2. Variable (GC)'!F12</f>
        <v>7.9027975703923552</v>
      </c>
      <c r="R41" s="536">
        <f>'2. Variable (GC)'!G12</f>
        <v>0</v>
      </c>
      <c r="S41" s="536">
        <f>'2. Variable (GC)'!H12</f>
        <v>0</v>
      </c>
      <c r="T41" s="536">
        <f>'2. Variable (GC)'!I12</f>
        <v>0</v>
      </c>
      <c r="U41" s="536">
        <f>'2. Variable (GC)'!K12</f>
        <v>-27.323888760013375</v>
      </c>
      <c r="V41" s="536">
        <f>'2. Variable (GC)'!L12</f>
        <v>0</v>
      </c>
      <c r="W41" s="535"/>
      <c r="X41" s="535"/>
      <c r="Y41" s="535"/>
      <c r="Z41" s="535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451" t="str">
        <f>'2. Variable (GC)'!P12</f>
        <v/>
      </c>
      <c r="AP41" s="451">
        <v>17</v>
      </c>
      <c r="AQ41" s="451" t="str">
        <f>Settings!$A$1</f>
        <v>V2</v>
      </c>
    </row>
    <row r="42" spans="1:43" ht="12.75" customHeight="1" x14ac:dyDescent="0.2">
      <c r="A42" s="451">
        <f>'Input-FX Rates'!$C$4</f>
        <v>242</v>
      </c>
      <c r="B42" s="451" t="str">
        <f>'Input-FX Rates'!$B$4</f>
        <v>ICH Icheon (242)</v>
      </c>
      <c r="C42" s="451">
        <f>'Input-FX Rates'!$C$6</f>
        <v>780</v>
      </c>
      <c r="D42" s="451" t="str">
        <f>'Input-FX Rates'!$B$6</f>
        <v>780 BU Controls</v>
      </c>
      <c r="E42" s="451" t="str">
        <f>'Input-FX Rates'!$C$5</f>
        <v>7851</v>
      </c>
      <c r="F42" s="451" t="str">
        <f>'Input-FX Rates'!$B$5</f>
        <v>7851 PL eMotor Controls</v>
      </c>
      <c r="G42" s="451" t="s">
        <v>556</v>
      </c>
      <c r="H42" s="451" t="s">
        <v>205</v>
      </c>
      <c r="I42" s="535"/>
      <c r="J42" s="535"/>
      <c r="K42" s="536">
        <f>'2. Variable (GC)'!B13</f>
        <v>-3.9115467936609298</v>
      </c>
      <c r="L42" s="536">
        <f>'2. Variable (GC)'!C13</f>
        <v>-72.694689297235485</v>
      </c>
      <c r="M42" s="536">
        <f>'2. Variable (GC)'!D13</f>
        <v>0</v>
      </c>
      <c r="N42" s="536">
        <f>'2. Variable (GC)'!E13</f>
        <v>-72.694689297235485</v>
      </c>
      <c r="O42" s="536">
        <f>'2. Variable (GC)'!N13</f>
        <v>-958.98980620689656</v>
      </c>
      <c r="P42" s="536">
        <f>'2. Variable (GC)'!M13</f>
        <v>0</v>
      </c>
      <c r="Q42" s="536">
        <f>'2. Variable (GC)'!F13</f>
        <v>-29.581525603119243</v>
      </c>
      <c r="R42" s="536">
        <f>'2. Variable (GC)'!G13</f>
        <v>0</v>
      </c>
      <c r="S42" s="536">
        <f>'2. Variable (GC)'!H13</f>
        <v>0</v>
      </c>
      <c r="T42" s="536">
        <f>'2. Variable (GC)'!I13</f>
        <v>0</v>
      </c>
      <c r="U42" s="536">
        <f>'2. Variable (GC)'!K13</f>
        <v>-888.35917230402652</v>
      </c>
      <c r="V42" s="536">
        <f>'2. Variable (GC)'!L13</f>
        <v>31.645580997484672</v>
      </c>
      <c r="W42" s="535"/>
      <c r="X42" s="535"/>
      <c r="Y42" s="535"/>
      <c r="Z42" s="535"/>
      <c r="AA42" s="535"/>
      <c r="AB42" s="535"/>
      <c r="AC42" s="535"/>
      <c r="AD42" s="535"/>
      <c r="AE42" s="535"/>
      <c r="AF42" s="535"/>
      <c r="AG42" s="535"/>
      <c r="AH42" s="535"/>
      <c r="AI42" s="535"/>
      <c r="AJ42" s="535"/>
      <c r="AK42" s="535"/>
      <c r="AL42" s="535"/>
      <c r="AM42" s="535"/>
      <c r="AN42" s="535"/>
      <c r="AO42" s="451" t="str">
        <f>'2. Variable (GC)'!P13</f>
        <v/>
      </c>
      <c r="AP42" s="451">
        <v>18</v>
      </c>
      <c r="AQ42" s="451" t="str">
        <f>Settings!$A$1</f>
        <v>V2</v>
      </c>
    </row>
    <row r="43" spans="1:43" ht="12.75" customHeight="1" x14ac:dyDescent="0.2">
      <c r="A43" s="451">
        <f>'Input-FX Rates'!$C$4</f>
        <v>242</v>
      </c>
      <c r="B43" s="451" t="str">
        <f>'Input-FX Rates'!$B$4</f>
        <v>ICH Icheon (242)</v>
      </c>
      <c r="C43" s="451">
        <f>'Input-FX Rates'!$C$6</f>
        <v>780</v>
      </c>
      <c r="D43" s="451" t="str">
        <f>'Input-FX Rates'!$B$6</f>
        <v>780 BU Controls</v>
      </c>
      <c r="E43" s="451" t="str">
        <f>'Input-FX Rates'!$C$5</f>
        <v>7851</v>
      </c>
      <c r="F43" s="451" t="str">
        <f>'Input-FX Rates'!$B$5</f>
        <v>7851 PL eMotor Controls</v>
      </c>
      <c r="G43" s="451" t="s">
        <v>556</v>
      </c>
      <c r="H43" s="451" t="s">
        <v>204</v>
      </c>
      <c r="I43" s="535"/>
      <c r="J43" s="535"/>
      <c r="K43" s="536">
        <f>'2. Variable (GC)'!B14</f>
        <v>0</v>
      </c>
      <c r="L43" s="536">
        <f>'2. Variable (GC)'!C14</f>
        <v>0</v>
      </c>
      <c r="M43" s="536">
        <f>'2. Variable (GC)'!D14</f>
        <v>0</v>
      </c>
      <c r="N43" s="536">
        <f>'2. Variable (GC)'!E14</f>
        <v>0</v>
      </c>
      <c r="O43" s="536">
        <f>'2. Variable (GC)'!N14</f>
        <v>0</v>
      </c>
      <c r="P43" s="536">
        <f>'2. Variable (GC)'!M14</f>
        <v>0</v>
      </c>
      <c r="Q43" s="536">
        <f>'2. Variable (GC)'!F14</f>
        <v>0</v>
      </c>
      <c r="R43" s="536">
        <f>'2. Variable (GC)'!G14</f>
        <v>0</v>
      </c>
      <c r="S43" s="536">
        <f>'2. Variable (GC)'!H14</f>
        <v>0</v>
      </c>
      <c r="T43" s="536">
        <f>'2. Variable (GC)'!I14</f>
        <v>0</v>
      </c>
      <c r="U43" s="536">
        <f>'2. Variable (GC)'!K14</f>
        <v>0</v>
      </c>
      <c r="V43" s="536">
        <f>'2. Variable (GC)'!L14</f>
        <v>0</v>
      </c>
      <c r="W43" s="535"/>
      <c r="X43" s="535"/>
      <c r="Y43" s="535"/>
      <c r="Z43" s="535"/>
      <c r="AA43" s="535"/>
      <c r="AB43" s="535"/>
      <c r="AC43" s="535"/>
      <c r="AD43" s="535"/>
      <c r="AE43" s="535"/>
      <c r="AF43" s="535"/>
      <c r="AG43" s="535"/>
      <c r="AH43" s="535"/>
      <c r="AI43" s="535"/>
      <c r="AJ43" s="535"/>
      <c r="AK43" s="535"/>
      <c r="AL43" s="535"/>
      <c r="AM43" s="535"/>
      <c r="AN43" s="535"/>
      <c r="AO43" s="451" t="str">
        <f>'2. Variable (GC)'!P14</f>
        <v/>
      </c>
      <c r="AP43" s="451">
        <v>19</v>
      </c>
      <c r="AQ43" s="451" t="str">
        <f>Settings!$A$1</f>
        <v>V2</v>
      </c>
    </row>
    <row r="44" spans="1:43" ht="12.75" customHeight="1" x14ac:dyDescent="0.2">
      <c r="A44" s="451">
        <f>'Input-FX Rates'!$C$4</f>
        <v>242</v>
      </c>
      <c r="B44" s="451" t="str">
        <f>'Input-FX Rates'!$B$4</f>
        <v>ICH Icheon (242)</v>
      </c>
      <c r="C44" s="451">
        <f>'Input-FX Rates'!$C$6</f>
        <v>780</v>
      </c>
      <c r="D44" s="451" t="str">
        <f>'Input-FX Rates'!$B$6</f>
        <v>780 BU Controls</v>
      </c>
      <c r="E44" s="451" t="str">
        <f>'Input-FX Rates'!$C$5</f>
        <v>7851</v>
      </c>
      <c r="F44" s="451" t="str">
        <f>'Input-FX Rates'!$B$5</f>
        <v>7851 PL eMotor Controls</v>
      </c>
      <c r="G44" s="451" t="s">
        <v>556</v>
      </c>
      <c r="H44" s="451" t="s">
        <v>202</v>
      </c>
      <c r="I44" s="535"/>
      <c r="J44" s="535"/>
      <c r="K44" s="536">
        <f>'2. Variable (GC)'!B15</f>
        <v>-8.0158387521635213</v>
      </c>
      <c r="L44" s="536">
        <f>'2. Variable (GC)'!C15</f>
        <v>-7.999692864501168</v>
      </c>
      <c r="M44" s="536">
        <f>'2. Variable (GC)'!D15</f>
        <v>0</v>
      </c>
      <c r="N44" s="536">
        <f>'2. Variable (GC)'!E15</f>
        <v>-7.999692864501168</v>
      </c>
      <c r="O44" s="536">
        <f>'2. Variable (GC)'!N15</f>
        <v>-16718.68</v>
      </c>
      <c r="P44" s="536">
        <f>'2. Variable (GC)'!M15</f>
        <v>0</v>
      </c>
      <c r="Q44" s="536">
        <f>'2. Variable (GC)'!F15</f>
        <v>-3.2550150634745036</v>
      </c>
      <c r="R44" s="536">
        <f>'2. Variable (GC)'!G15</f>
        <v>-17259.122858288782</v>
      </c>
      <c r="S44" s="536">
        <f>'2. Variable (GC)'!H15</f>
        <v>0</v>
      </c>
      <c r="T44" s="536">
        <f>'2. Variable (GC)'!I15</f>
        <v>0</v>
      </c>
      <c r="U44" s="536">
        <f>'2. Variable (GC)'!K15</f>
        <v>0</v>
      </c>
      <c r="V44" s="536">
        <f>'2. Variable (GC)'!L15</f>
        <v>551.69756621676061</v>
      </c>
      <c r="W44" s="535"/>
      <c r="X44" s="535"/>
      <c r="Y44" s="535"/>
      <c r="Z44" s="535"/>
      <c r="AA44" s="535"/>
      <c r="AB44" s="535"/>
      <c r="AC44" s="535"/>
      <c r="AD44" s="535"/>
      <c r="AE44" s="535"/>
      <c r="AF44" s="535"/>
      <c r="AG44" s="535"/>
      <c r="AH44" s="535"/>
      <c r="AI44" s="535"/>
      <c r="AJ44" s="535"/>
      <c r="AK44" s="535"/>
      <c r="AL44" s="535"/>
      <c r="AM44" s="535"/>
      <c r="AN44" s="535"/>
      <c r="AO44" s="451" t="str">
        <f>'2. Variable (GC)'!P15</f>
        <v>Gap between ICO purchase and PE ICO</v>
      </c>
      <c r="AP44" s="451">
        <v>20</v>
      </c>
      <c r="AQ44" s="451" t="str">
        <f>Settings!$A$1</f>
        <v>V2</v>
      </c>
    </row>
    <row r="45" spans="1:43" ht="12.75" customHeight="1" x14ac:dyDescent="0.2">
      <c r="A45" s="451">
        <f>'Input-FX Rates'!$C$4</f>
        <v>242</v>
      </c>
      <c r="B45" s="451" t="str">
        <f>'Input-FX Rates'!$B$4</f>
        <v>ICH Icheon (242)</v>
      </c>
      <c r="C45" s="451">
        <f>'Input-FX Rates'!$C$6</f>
        <v>780</v>
      </c>
      <c r="D45" s="451" t="str">
        <f>'Input-FX Rates'!$B$6</f>
        <v>780 BU Controls</v>
      </c>
      <c r="E45" s="451" t="str">
        <f>'Input-FX Rates'!$C$5</f>
        <v>7851</v>
      </c>
      <c r="F45" s="451" t="str">
        <f>'Input-FX Rates'!$B$5</f>
        <v>7851 PL eMotor Controls</v>
      </c>
      <c r="G45" s="451" t="s">
        <v>556</v>
      </c>
      <c r="H45" s="451" t="s">
        <v>201</v>
      </c>
      <c r="I45" s="535"/>
      <c r="J45" s="535"/>
      <c r="K45" s="536">
        <f>'2. Variable (GC)'!B16</f>
        <v>-0.86909560903323468</v>
      </c>
      <c r="L45" s="536">
        <f>'2. Variable (GC)'!C16</f>
        <v>-0.86734503488807635</v>
      </c>
      <c r="M45" s="536">
        <f>'2. Variable (GC)'!D16</f>
        <v>0</v>
      </c>
      <c r="N45" s="536">
        <f>'2. Variable (GC)'!E16</f>
        <v>-0.86734503488807635</v>
      </c>
      <c r="O45" s="536">
        <f>'2. Variable (GC)'!N16</f>
        <v>-4596.68</v>
      </c>
      <c r="P45" s="536">
        <f>'2. Variable (GC)'!M16</f>
        <v>0</v>
      </c>
      <c r="Q45" s="536">
        <f>'2. Variable (GC)'!F16</f>
        <v>-0.35264444220176827</v>
      </c>
      <c r="R45" s="536">
        <f>'2. Variable (GC)'!G16</f>
        <v>-4747.1452613128804</v>
      </c>
      <c r="S45" s="536">
        <f>'2. Variable (GC)'!H16</f>
        <v>0</v>
      </c>
      <c r="T45" s="536">
        <f>'2. Variable (GC)'!I16</f>
        <v>0</v>
      </c>
      <c r="U45" s="536">
        <f>'2. Variable (GC)'!K16</f>
        <v>0</v>
      </c>
      <c r="V45" s="536">
        <f>'2. Variable (GC)'!L16</f>
        <v>151.68525078996936</v>
      </c>
      <c r="W45" s="535"/>
      <c r="X45" s="535"/>
      <c r="Y45" s="535"/>
      <c r="Z45" s="535"/>
      <c r="AA45" s="535"/>
      <c r="AB45" s="535"/>
      <c r="AC45" s="535"/>
      <c r="AD45" s="535"/>
      <c r="AE45" s="535"/>
      <c r="AF45" s="535"/>
      <c r="AG45" s="535"/>
      <c r="AH45" s="535"/>
      <c r="AI45" s="535"/>
      <c r="AJ45" s="535"/>
      <c r="AK45" s="535"/>
      <c r="AL45" s="535"/>
      <c r="AM45" s="535"/>
      <c r="AN45" s="535"/>
      <c r="AO45" s="451" t="str">
        <f>'2. Variable (GC)'!P16</f>
        <v/>
      </c>
      <c r="AP45" s="451">
        <v>21</v>
      </c>
      <c r="AQ45" s="451" t="str">
        <f>Settings!$A$1</f>
        <v>V2</v>
      </c>
    </row>
    <row r="46" spans="1:43" ht="12.75" customHeight="1" x14ac:dyDescent="0.2">
      <c r="A46" s="451">
        <f>'Input-FX Rates'!$C$4</f>
        <v>242</v>
      </c>
      <c r="B46" s="451" t="str">
        <f>'Input-FX Rates'!$B$4</f>
        <v>ICH Icheon (242)</v>
      </c>
      <c r="C46" s="451">
        <f>'Input-FX Rates'!$C$6</f>
        <v>780</v>
      </c>
      <c r="D46" s="451" t="str">
        <f>'Input-FX Rates'!$B$6</f>
        <v>780 BU Controls</v>
      </c>
      <c r="E46" s="451" t="str">
        <f>'Input-FX Rates'!$C$5</f>
        <v>7851</v>
      </c>
      <c r="F46" s="451" t="str">
        <f>'Input-FX Rates'!$B$5</f>
        <v>7851 PL eMotor Controls</v>
      </c>
      <c r="G46" s="451" t="s">
        <v>556</v>
      </c>
      <c r="H46" s="451" t="s">
        <v>199</v>
      </c>
      <c r="I46" s="535"/>
      <c r="J46" s="535"/>
      <c r="K46" s="536">
        <f>'2. Variable (GC)'!B17</f>
        <v>-1070.7700526532133</v>
      </c>
      <c r="L46" s="536">
        <f>'2. Variable (GC)'!C17</f>
        <v>-2598.8483694729225</v>
      </c>
      <c r="M46" s="536">
        <f>'2. Variable (GC)'!D17</f>
        <v>0</v>
      </c>
      <c r="N46" s="536">
        <f>'2. Variable (GC)'!E17</f>
        <v>-2598.8483694729225</v>
      </c>
      <c r="O46" s="536">
        <f>'2. Variable (GC)'!N17</f>
        <v>-4324.2269434482769</v>
      </c>
      <c r="P46" s="536">
        <f>'2. Variable (GC)'!M17</f>
        <v>-3475.8855046308277</v>
      </c>
      <c r="Q46" s="536">
        <f>'2. Variable (GC)'!F17</f>
        <v>-1057.5564601206083</v>
      </c>
      <c r="R46" s="536">
        <f>'2. Variable (GC)'!G17</f>
        <v>-2067.0162527197967</v>
      </c>
      <c r="S46" s="536">
        <f>'2. Variable (GC)'!H17</f>
        <v>-156.69649846553691</v>
      </c>
      <c r="T46" s="536">
        <f>'2. Variable (GC)'!I17</f>
        <v>0</v>
      </c>
      <c r="U46" s="536">
        <f>'2. Variable (GC)'!K17</f>
        <v>1413.1960298335052</v>
      </c>
      <c r="V46" s="536">
        <f>'2. Variable (GC)'!L17</f>
        <v>142.69460749708378</v>
      </c>
      <c r="W46" s="535"/>
      <c r="X46" s="535"/>
      <c r="Y46" s="535"/>
      <c r="Z46" s="535"/>
      <c r="AA46" s="535"/>
      <c r="AB46" s="535"/>
      <c r="AC46" s="535"/>
      <c r="AD46" s="535"/>
      <c r="AE46" s="535"/>
      <c r="AF46" s="535"/>
      <c r="AG46" s="535"/>
      <c r="AH46" s="535"/>
      <c r="AI46" s="535"/>
      <c r="AJ46" s="535"/>
      <c r="AK46" s="535"/>
      <c r="AL46" s="535"/>
      <c r="AM46" s="535"/>
      <c r="AN46" s="535"/>
      <c r="AO46" s="451" t="str">
        <f>'2. Variable (GC)'!P17</f>
        <v/>
      </c>
      <c r="AP46" s="451">
        <v>22</v>
      </c>
      <c r="AQ46" s="451" t="str">
        <f>Settings!$A$1</f>
        <v>V2</v>
      </c>
    </row>
    <row r="47" spans="1:43" ht="12.75" customHeight="1" x14ac:dyDescent="0.2">
      <c r="A47" s="451">
        <f>'Input-FX Rates'!$C$4</f>
        <v>242</v>
      </c>
      <c r="B47" s="451" t="str">
        <f>'Input-FX Rates'!$B$4</f>
        <v>ICH Icheon (242)</v>
      </c>
      <c r="C47" s="451">
        <f>'Input-FX Rates'!$C$6</f>
        <v>780</v>
      </c>
      <c r="D47" s="451" t="str">
        <f>'Input-FX Rates'!$B$6</f>
        <v>780 BU Controls</v>
      </c>
      <c r="E47" s="451" t="str">
        <f>'Input-FX Rates'!$C$5</f>
        <v>7851</v>
      </c>
      <c r="F47" s="451" t="str">
        <f>'Input-FX Rates'!$B$5</f>
        <v>7851 PL eMotor Controls</v>
      </c>
      <c r="G47" s="451" t="s">
        <v>556</v>
      </c>
      <c r="H47" s="451" t="s">
        <v>198</v>
      </c>
      <c r="I47" s="535"/>
      <c r="J47" s="535"/>
      <c r="K47" s="536">
        <f>'2. Variable (GC)'!B19</f>
        <v>-643.06164135249105</v>
      </c>
      <c r="L47" s="536">
        <f>'2. Variable (GC)'!C19</f>
        <v>-1701.7210345371134</v>
      </c>
      <c r="M47" s="536">
        <f>'2. Variable (GC)'!D19</f>
        <v>0</v>
      </c>
      <c r="N47" s="536">
        <f>'2. Variable (GC)'!E19</f>
        <v>-1701.7210345371134</v>
      </c>
      <c r="O47" s="536">
        <f>'2. Variable (GC)'!N19</f>
        <v>-3527.3351034482762</v>
      </c>
      <c r="P47" s="536">
        <f>'2. Variable (GC)'!M19</f>
        <v>-3475.8855046308277</v>
      </c>
      <c r="Q47" s="536">
        <f>'2. Variable (GC)'!F19</f>
        <v>-692.48611011907599</v>
      </c>
      <c r="R47" s="536">
        <f>'2. Variable (GC)'!G19</f>
        <v>-2067.0162527197967</v>
      </c>
      <c r="S47" s="536">
        <f>'2. Variable (GC)'!H19</f>
        <v>-131.70119927131361</v>
      </c>
      <c r="T47" s="536">
        <f>'2. Variable (GC)'!I19</f>
        <v>0</v>
      </c>
      <c r="U47" s="536">
        <f>'2. Variable (GC)'!K19</f>
        <v>949.19141680762493</v>
      </c>
      <c r="V47" s="536">
        <f>'2. Variable (GC)'!L19</f>
        <v>116.39807639139917</v>
      </c>
      <c r="W47" s="535"/>
      <c r="X47" s="535"/>
      <c r="Y47" s="535"/>
      <c r="Z47" s="535"/>
      <c r="AA47" s="535"/>
      <c r="AB47" s="535"/>
      <c r="AC47" s="535"/>
      <c r="AD47" s="535"/>
      <c r="AE47" s="535"/>
      <c r="AF47" s="535"/>
      <c r="AG47" s="535"/>
      <c r="AH47" s="535"/>
      <c r="AI47" s="535"/>
      <c r="AJ47" s="535"/>
      <c r="AK47" s="535"/>
      <c r="AL47" s="535"/>
      <c r="AM47" s="535"/>
      <c r="AN47" s="535"/>
      <c r="AO47" s="451" t="str">
        <f>'2. Variable (GC)'!P19</f>
        <v>Structural change : Technician labor cost (917K EUR) goes to MDC from 2024</v>
      </c>
      <c r="AP47" s="451">
        <v>23</v>
      </c>
      <c r="AQ47" s="451" t="str">
        <f>Settings!$A$1</f>
        <v>V2</v>
      </c>
    </row>
    <row r="48" spans="1:43" ht="12.75" customHeight="1" x14ac:dyDescent="0.2">
      <c r="A48" s="451">
        <f>'Input-FX Rates'!$C$4</f>
        <v>242</v>
      </c>
      <c r="B48" s="451" t="str">
        <f>'Input-FX Rates'!$B$4</f>
        <v>ICH Icheon (242)</v>
      </c>
      <c r="C48" s="451">
        <f>'Input-FX Rates'!$C$6</f>
        <v>780</v>
      </c>
      <c r="D48" s="451" t="str">
        <f>'Input-FX Rates'!$B$6</f>
        <v>780 BU Controls</v>
      </c>
      <c r="E48" s="451" t="str">
        <f>'Input-FX Rates'!$C$5</f>
        <v>7851</v>
      </c>
      <c r="F48" s="451" t="str">
        <f>'Input-FX Rates'!$B$5</f>
        <v>7851 PL eMotor Controls</v>
      </c>
      <c r="G48" s="451" t="s">
        <v>556</v>
      </c>
      <c r="H48" s="451" t="s">
        <v>196</v>
      </c>
      <c r="I48" s="535"/>
      <c r="J48" s="535"/>
      <c r="K48" s="536">
        <f>'2. Variable (GC)'!B20</f>
        <v>-215.10534533114892</v>
      </c>
      <c r="L48" s="536">
        <f>'2. Variable (GC)'!C20</f>
        <v>-472.77767362336834</v>
      </c>
      <c r="M48" s="536">
        <f>'2. Variable (GC)'!D20</f>
        <v>0</v>
      </c>
      <c r="N48" s="536">
        <f>'2. Variable (GC)'!E20</f>
        <v>-472.77767362336834</v>
      </c>
      <c r="O48" s="536">
        <f>'2. Variable (GC)'!N20</f>
        <v>-669.44566000000009</v>
      </c>
      <c r="P48" s="536">
        <f>'2. Variable (GC)'!M20</f>
        <v>0</v>
      </c>
      <c r="Q48" s="536">
        <f>'2. Variable (GC)'!F20</f>
        <v>-192.3885594049938</v>
      </c>
      <c r="R48" s="536">
        <f>'2. Variable (GC)'!G20</f>
        <v>0</v>
      </c>
      <c r="S48" s="536">
        <f>'2. Variable (GC)'!H20</f>
        <v>-24.995299194223286</v>
      </c>
      <c r="T48" s="536">
        <f>'2. Variable (GC)'!I20</f>
        <v>0</v>
      </c>
      <c r="U48" s="536">
        <f>'2. Variable (GC)'!K20</f>
        <v>-1.3750788175907247</v>
      </c>
      <c r="V48" s="536">
        <f>'2. Variable (GC)'!L20</f>
        <v>22.090951040176151</v>
      </c>
      <c r="W48" s="535"/>
      <c r="X48" s="535"/>
      <c r="Y48" s="535"/>
      <c r="Z48" s="535"/>
      <c r="AA48" s="535"/>
      <c r="AB48" s="535"/>
      <c r="AC48" s="535"/>
      <c r="AD48" s="535"/>
      <c r="AE48" s="535"/>
      <c r="AF48" s="535"/>
      <c r="AG48" s="535"/>
      <c r="AH48" s="535"/>
      <c r="AI48" s="535"/>
      <c r="AJ48" s="535"/>
      <c r="AK48" s="535"/>
      <c r="AL48" s="535"/>
      <c r="AM48" s="535"/>
      <c r="AN48" s="535"/>
      <c r="AO48" s="451" t="str">
        <f>'2. Variable (GC)'!P20</f>
        <v/>
      </c>
      <c r="AP48" s="451">
        <v>24</v>
      </c>
      <c r="AQ48" s="451" t="str">
        <f>Settings!$A$1</f>
        <v>V2</v>
      </c>
    </row>
    <row r="49" spans="1:43" ht="12.75" customHeight="1" x14ac:dyDescent="0.2">
      <c r="A49" s="451">
        <f>'Input-FX Rates'!$C$4</f>
        <v>242</v>
      </c>
      <c r="B49" s="451" t="str">
        <f>'Input-FX Rates'!$B$4</f>
        <v>ICH Icheon (242)</v>
      </c>
      <c r="C49" s="451">
        <f>'Input-FX Rates'!$C$6</f>
        <v>780</v>
      </c>
      <c r="D49" s="451" t="str">
        <f>'Input-FX Rates'!$B$6</f>
        <v>780 BU Controls</v>
      </c>
      <c r="E49" s="451" t="str">
        <f>'Input-FX Rates'!$C$5</f>
        <v>7851</v>
      </c>
      <c r="F49" s="451" t="str">
        <f>'Input-FX Rates'!$B$5</f>
        <v>7851 PL eMotor Controls</v>
      </c>
      <c r="G49" s="451" t="s">
        <v>556</v>
      </c>
      <c r="H49" s="451" t="s">
        <v>1471</v>
      </c>
      <c r="I49" s="535"/>
      <c r="J49" s="535"/>
      <c r="K49" s="536">
        <f>'2. Variable (GC)'!B21</f>
        <v>-212.60306596957321</v>
      </c>
      <c r="L49" s="536">
        <f>'2. Variable (GC)'!C21</f>
        <v>-424.34966131244119</v>
      </c>
      <c r="M49" s="536">
        <f>'2. Variable (GC)'!D21</f>
        <v>0</v>
      </c>
      <c r="N49" s="536">
        <f>'2. Variable (GC)'!E21</f>
        <v>-424.34966131244119</v>
      </c>
      <c r="O49" s="536">
        <f>'2. Variable (GC)'!N21</f>
        <v>-127.44618000000001</v>
      </c>
      <c r="P49" s="536">
        <f>'2. Variable (GC)'!M21</f>
        <v>0</v>
      </c>
      <c r="Q49" s="536">
        <f>'2. Variable (GC)'!F21</f>
        <v>-172.6817905965386</v>
      </c>
      <c r="R49" s="536">
        <f>'2. Variable (GC)'!G21</f>
        <v>0</v>
      </c>
      <c r="S49" s="536">
        <f>'2. Variable (GC)'!H21</f>
        <v>0</v>
      </c>
      <c r="T49" s="536">
        <f>'2. Variable (GC)'!I21</f>
        <v>0</v>
      </c>
      <c r="U49" s="536">
        <f>'2. Variable (GC)'!K21</f>
        <v>465.37969184347088</v>
      </c>
      <c r="V49" s="536">
        <f>'2. Variable (GC)'!L21</f>
        <v>4.2055800655089541</v>
      </c>
      <c r="W49" s="535"/>
      <c r="X49" s="535"/>
      <c r="Y49" s="535"/>
      <c r="Z49" s="535"/>
      <c r="AA49" s="535"/>
      <c r="AB49" s="535"/>
      <c r="AC49" s="535"/>
      <c r="AD49" s="535"/>
      <c r="AE49" s="535"/>
      <c r="AF49" s="535"/>
      <c r="AG49" s="535"/>
      <c r="AH49" s="535"/>
      <c r="AI49" s="535"/>
      <c r="AJ49" s="535"/>
      <c r="AK49" s="535"/>
      <c r="AL49" s="535"/>
      <c r="AM49" s="535"/>
      <c r="AN49" s="535"/>
      <c r="AO49" s="451" t="str">
        <f>'2. Variable (GC)'!P21</f>
        <v/>
      </c>
      <c r="AP49" s="451">
        <v>1024</v>
      </c>
      <c r="AQ49" s="451" t="s">
        <v>0</v>
      </c>
    </row>
    <row r="50" spans="1:43" ht="12.75" customHeight="1" x14ac:dyDescent="0.2">
      <c r="A50" s="451">
        <f>'Input-FX Rates'!$C$4</f>
        <v>242</v>
      </c>
      <c r="B50" s="451" t="str">
        <f>'Input-FX Rates'!$B$4</f>
        <v>ICH Icheon (242)</v>
      </c>
      <c r="C50" s="451">
        <f>'Input-FX Rates'!$C$6</f>
        <v>780</v>
      </c>
      <c r="D50" s="451" t="str">
        <f>'Input-FX Rates'!$B$6</f>
        <v>780 BU Controls</v>
      </c>
      <c r="E50" s="451" t="str">
        <f>'Input-FX Rates'!$C$5</f>
        <v>7851</v>
      </c>
      <c r="F50" s="451" t="str">
        <f>'Input-FX Rates'!$B$5</f>
        <v>7851 PL eMotor Controls</v>
      </c>
      <c r="G50" s="451" t="s">
        <v>556</v>
      </c>
      <c r="H50" s="451" t="s">
        <v>194</v>
      </c>
      <c r="I50" s="535"/>
      <c r="J50" s="535"/>
      <c r="K50" s="536">
        <f>'2. Variable (GC)'!B22</f>
        <v>-985.93225620753674</v>
      </c>
      <c r="L50" s="536">
        <f>'2. Variable (GC)'!C22</f>
        <v>-2459.6615665015129</v>
      </c>
      <c r="M50" s="536">
        <f>'2. Variable (GC)'!D22</f>
        <v>-83.887014605167053</v>
      </c>
      <c r="N50" s="536">
        <f>'2. Variable (GC)'!E22</f>
        <v>-2375.7745518963461</v>
      </c>
      <c r="O50" s="536">
        <f>'2. Variable (GC)'!N22</f>
        <v>-4781.1134574458974</v>
      </c>
      <c r="P50" s="536">
        <f>'2. Variable (GC)'!M22</f>
        <v>-3096.7489163878895</v>
      </c>
      <c r="Q50" s="536">
        <f>'2. Variable (GC)'!F22</f>
        <v>-966.78008139375686</v>
      </c>
      <c r="R50" s="536">
        <f>'2. Variable (GC)'!G22</f>
        <v>-536.28910359490089</v>
      </c>
      <c r="S50" s="536">
        <f>'2. Variable (GC)'!H22</f>
        <v>-93.624351321234784</v>
      </c>
      <c r="T50" s="536">
        <f>'2. Variable (GC)'!I22</f>
        <v>73.23691279125741</v>
      </c>
      <c r="U50" s="536">
        <f>'2. Variable (GC)'!K22</f>
        <v>-1039.6536287089502</v>
      </c>
      <c r="V50" s="536">
        <f>'2. Variable (GC)'!L22</f>
        <v>157.7713466780333</v>
      </c>
      <c r="W50" s="535"/>
      <c r="X50" s="535"/>
      <c r="Y50" s="535"/>
      <c r="Z50" s="535"/>
      <c r="AA50" s="535"/>
      <c r="AB50" s="535"/>
      <c r="AC50" s="535"/>
      <c r="AD50" s="535"/>
      <c r="AE50" s="535"/>
      <c r="AF50" s="535"/>
      <c r="AG50" s="535"/>
      <c r="AH50" s="535"/>
      <c r="AI50" s="535"/>
      <c r="AJ50" s="535"/>
      <c r="AK50" s="535"/>
      <c r="AL50" s="535"/>
      <c r="AM50" s="535"/>
      <c r="AN50" s="535"/>
      <c r="AO50" s="451" t="str">
        <f>'2. Variable (GC)'!P22</f>
        <v/>
      </c>
      <c r="AP50" s="451">
        <v>25</v>
      </c>
      <c r="AQ50" s="451" t="str">
        <f>Settings!$A$1</f>
        <v>V2</v>
      </c>
    </row>
    <row r="51" spans="1:43" ht="12.75" customHeight="1" x14ac:dyDescent="0.2">
      <c r="A51" s="451">
        <f>'Input-FX Rates'!$C$4</f>
        <v>242</v>
      </c>
      <c r="B51" s="451" t="str">
        <f>'Input-FX Rates'!$B$4</f>
        <v>ICH Icheon (242)</v>
      </c>
      <c r="C51" s="451">
        <f>'Input-FX Rates'!$C$6</f>
        <v>780</v>
      </c>
      <c r="D51" s="451" t="str">
        <f>'Input-FX Rates'!$B$6</f>
        <v>780 BU Controls</v>
      </c>
      <c r="E51" s="451" t="str">
        <f>'Input-FX Rates'!$C$5</f>
        <v>7851</v>
      </c>
      <c r="F51" s="451" t="str">
        <f>'Input-FX Rates'!$B$5</f>
        <v>7851 PL eMotor Controls</v>
      </c>
      <c r="G51" s="451" t="s">
        <v>556</v>
      </c>
      <c r="H51" s="451" t="s">
        <v>193</v>
      </c>
      <c r="I51" s="535"/>
      <c r="J51" s="535"/>
      <c r="K51" s="536">
        <f>'2. Variable (GC)'!B24</f>
        <v>-0.26212604582188859</v>
      </c>
      <c r="L51" s="536">
        <f>'2. Variable (GC)'!C24</f>
        <v>-0.26159805894240268</v>
      </c>
      <c r="M51" s="536">
        <f>'2. Variable (GC)'!D24</f>
        <v>0</v>
      </c>
      <c r="N51" s="536">
        <f>'2. Variable (GC)'!E24</f>
        <v>-0.26159805894240268</v>
      </c>
      <c r="O51" s="536">
        <f>'2. Variable (GC)'!N24</f>
        <v>0</v>
      </c>
      <c r="P51" s="536">
        <f>'2. Variable (GC)'!M24</f>
        <v>0</v>
      </c>
      <c r="Q51" s="536">
        <f>'2. Variable (GC)'!F24</f>
        <v>-0.10614953916780501</v>
      </c>
      <c r="R51" s="536">
        <f>'2. Variable (GC)'!G24</f>
        <v>0</v>
      </c>
      <c r="S51" s="536">
        <f>'2. Variable (GC)'!H24</f>
        <v>0</v>
      </c>
      <c r="T51" s="536">
        <f>'2. Variable (GC)'!I24</f>
        <v>0.36774759811020769</v>
      </c>
      <c r="U51" s="536">
        <f>'2. Variable (GC)'!K24</f>
        <v>0</v>
      </c>
      <c r="V51" s="536">
        <f>'2. Variable (GC)'!L24</f>
        <v>0</v>
      </c>
      <c r="W51" s="535"/>
      <c r="X51" s="535"/>
      <c r="Y51" s="535"/>
      <c r="Z51" s="535"/>
      <c r="AA51" s="535"/>
      <c r="AB51" s="535"/>
      <c r="AC51" s="535"/>
      <c r="AD51" s="535"/>
      <c r="AE51" s="535"/>
      <c r="AF51" s="535"/>
      <c r="AG51" s="535"/>
      <c r="AH51" s="535"/>
      <c r="AI51" s="535"/>
      <c r="AJ51" s="535"/>
      <c r="AK51" s="535"/>
      <c r="AL51" s="535"/>
      <c r="AM51" s="535"/>
      <c r="AN51" s="535"/>
      <c r="AO51" s="451" t="str">
        <f>'2. Variable (GC)'!P24</f>
        <v/>
      </c>
      <c r="AP51" s="451">
        <v>26</v>
      </c>
      <c r="AQ51" s="451" t="str">
        <f>Settings!$A$1</f>
        <v>V2</v>
      </c>
    </row>
    <row r="52" spans="1:43" ht="12.75" customHeight="1" x14ac:dyDescent="0.2">
      <c r="A52" s="451">
        <f>'Input-FX Rates'!$C$4</f>
        <v>242</v>
      </c>
      <c r="B52" s="451" t="str">
        <f>'Input-FX Rates'!$B$4</f>
        <v>ICH Icheon (242)</v>
      </c>
      <c r="C52" s="451">
        <f>'Input-FX Rates'!$C$6</f>
        <v>780</v>
      </c>
      <c r="D52" s="451" t="str">
        <f>'Input-FX Rates'!$B$6</f>
        <v>780 BU Controls</v>
      </c>
      <c r="E52" s="451" t="str">
        <f>'Input-FX Rates'!$C$5</f>
        <v>7851</v>
      </c>
      <c r="F52" s="451" t="str">
        <f>'Input-FX Rates'!$B$5</f>
        <v>7851 PL eMotor Controls</v>
      </c>
      <c r="G52" s="451" t="s">
        <v>556</v>
      </c>
      <c r="H52" s="451" t="s">
        <v>191</v>
      </c>
      <c r="I52" s="535"/>
      <c r="J52" s="535"/>
      <c r="K52" s="536">
        <f>'2. Variable (GC)'!B25</f>
        <v>-35.093456430161069</v>
      </c>
      <c r="L52" s="536">
        <f>'2. Variable (GC)'!C25</f>
        <v>-82.407666041045502</v>
      </c>
      <c r="M52" s="536">
        <f>'2. Variable (GC)'!D25</f>
        <v>0</v>
      </c>
      <c r="N52" s="536">
        <f>'2. Variable (GC)'!E25</f>
        <v>-82.407666041045502</v>
      </c>
      <c r="O52" s="536">
        <f>'2. Variable (GC)'!N25</f>
        <v>-383.42291517241375</v>
      </c>
      <c r="P52" s="536">
        <f>'2. Variable (GC)'!M25</f>
        <v>0</v>
      </c>
      <c r="Q52" s="536">
        <f>'2. Variable (GC)'!F25</f>
        <v>-33.534705420851793</v>
      </c>
      <c r="R52" s="536">
        <f>'2. Variable (GC)'!G25</f>
        <v>-271.02336051461987</v>
      </c>
      <c r="S52" s="536">
        <f>'2. Variable (GC)'!H25</f>
        <v>-9.109735086085923</v>
      </c>
      <c r="T52" s="536">
        <f>'2. Variable (GC)'!I25</f>
        <v>0</v>
      </c>
      <c r="U52" s="536">
        <f>'2. Variable (GC)'!K25</f>
        <v>2.8537128210728307E-5</v>
      </c>
      <c r="V52" s="536">
        <f>'2. Variable (GC)'!L25</f>
        <v>12.652523353061156</v>
      </c>
      <c r="W52" s="535"/>
      <c r="X52" s="535"/>
      <c r="Y52" s="535"/>
      <c r="Z52" s="535"/>
      <c r="AA52" s="535"/>
      <c r="AB52" s="535"/>
      <c r="AC52" s="535"/>
      <c r="AD52" s="535"/>
      <c r="AE52" s="535"/>
      <c r="AF52" s="535"/>
      <c r="AG52" s="535"/>
      <c r="AH52" s="535"/>
      <c r="AI52" s="535"/>
      <c r="AJ52" s="535"/>
      <c r="AK52" s="535"/>
      <c r="AL52" s="535"/>
      <c r="AM52" s="535"/>
      <c r="AN52" s="535"/>
      <c r="AO52" s="451" t="str">
        <f>'2. Variable (GC)'!P25</f>
        <v/>
      </c>
      <c r="AP52" s="451">
        <v>27</v>
      </c>
      <c r="AQ52" s="451" t="str">
        <f>Settings!$A$1</f>
        <v>V2</v>
      </c>
    </row>
    <row r="53" spans="1:43" ht="12.75" customHeight="1" x14ac:dyDescent="0.2">
      <c r="A53" s="451">
        <f>'Input-FX Rates'!$C$4</f>
        <v>242</v>
      </c>
      <c r="B53" s="451" t="str">
        <f>'Input-FX Rates'!$B$4</f>
        <v>ICH Icheon (242)</v>
      </c>
      <c r="C53" s="451">
        <f>'Input-FX Rates'!$C$6</f>
        <v>780</v>
      </c>
      <c r="D53" s="451" t="str">
        <f>'Input-FX Rates'!$B$6</f>
        <v>780 BU Controls</v>
      </c>
      <c r="E53" s="451" t="str">
        <f>'Input-FX Rates'!$C$5</f>
        <v>7851</v>
      </c>
      <c r="F53" s="451" t="str">
        <f>'Input-FX Rates'!$B$5</f>
        <v>7851 PL eMotor Controls</v>
      </c>
      <c r="G53" s="451" t="s">
        <v>556</v>
      </c>
      <c r="H53" s="451" t="s">
        <v>557</v>
      </c>
      <c r="I53" s="535"/>
      <c r="J53" s="535"/>
      <c r="K53" s="536">
        <f>'2. Variable (GC)'!B26</f>
        <v>-112.27121453833286</v>
      </c>
      <c r="L53" s="536">
        <f>'2. Variable (GC)'!C26</f>
        <v>-263.63914230306108</v>
      </c>
      <c r="M53" s="536">
        <f>'2. Variable (GC)'!D26</f>
        <v>0</v>
      </c>
      <c r="N53" s="536">
        <f>'2. Variable (GC)'!E26</f>
        <v>-263.63914230306108</v>
      </c>
      <c r="O53" s="536">
        <f>'2. Variable (GC)'!N26</f>
        <v>-1765.7544282758622</v>
      </c>
      <c r="P53" s="536">
        <f>'2. Variable (GC)'!M26</f>
        <v>-3096.7489163878895</v>
      </c>
      <c r="Q53" s="536">
        <f>'2. Variable (GC)'!F26</f>
        <v>-107.28370068696705</v>
      </c>
      <c r="R53" s="536">
        <f>'2. Variable (GC)'!G26</f>
        <v>-461.95591041132781</v>
      </c>
      <c r="S53" s="536">
        <f>'2. Variable (GC)'!H26</f>
        <v>-41.952513613963369</v>
      </c>
      <c r="T53" s="536">
        <f>'2. Variable (GC)'!I26</f>
        <v>0</v>
      </c>
      <c r="U53" s="536">
        <f>'2. Variable (GC)'!K26</f>
        <v>-949.19106402656632</v>
      </c>
      <c r="V53" s="536">
        <f>'2. Variable (GC)'!L26</f>
        <v>58.267902766023326</v>
      </c>
      <c r="W53" s="535"/>
      <c r="X53" s="535"/>
      <c r="Y53" s="535"/>
      <c r="Z53" s="535"/>
      <c r="AA53" s="535"/>
      <c r="AB53" s="535"/>
      <c r="AC53" s="535"/>
      <c r="AD53" s="535"/>
      <c r="AE53" s="535"/>
      <c r="AF53" s="535"/>
      <c r="AG53" s="535"/>
      <c r="AH53" s="535"/>
      <c r="AI53" s="535"/>
      <c r="AJ53" s="535"/>
      <c r="AK53" s="535"/>
      <c r="AL53" s="535"/>
      <c r="AM53" s="535"/>
      <c r="AN53" s="535"/>
      <c r="AO53" s="451" t="str">
        <f>'2. Variable (GC)'!P26</f>
        <v>Structural change : Technician labor cost (917K EUR) goes to MDC from 2024</v>
      </c>
      <c r="AP53" s="451">
        <v>28</v>
      </c>
      <c r="AQ53" s="451" t="str">
        <f>Settings!$A$1</f>
        <v>V2</v>
      </c>
    </row>
    <row r="54" spans="1:43" ht="12.75" customHeight="1" x14ac:dyDescent="0.2">
      <c r="A54" s="451">
        <f>'Input-FX Rates'!$C$4</f>
        <v>242</v>
      </c>
      <c r="B54" s="451" t="str">
        <f>'Input-FX Rates'!$B$4</f>
        <v>ICH Icheon (242)</v>
      </c>
      <c r="C54" s="451">
        <f>'Input-FX Rates'!$C$6</f>
        <v>780</v>
      </c>
      <c r="D54" s="451" t="str">
        <f>'Input-FX Rates'!$B$6</f>
        <v>780 BU Controls</v>
      </c>
      <c r="E54" s="451" t="str">
        <f>'Input-FX Rates'!$C$5</f>
        <v>7851</v>
      </c>
      <c r="F54" s="451" t="str">
        <f>'Input-FX Rates'!$B$5</f>
        <v>7851 PL eMotor Controls</v>
      </c>
      <c r="G54" s="451" t="s">
        <v>556</v>
      </c>
      <c r="H54" s="451" t="s">
        <v>188</v>
      </c>
      <c r="I54" s="535"/>
      <c r="J54" s="535"/>
      <c r="K54" s="536">
        <f>'2. Variable (GC)'!B27</f>
        <v>-313.80256746179998</v>
      </c>
      <c r="L54" s="536">
        <f>'2. Variable (GC)'!C27</f>
        <v>-632.68609350884674</v>
      </c>
      <c r="M54" s="536">
        <f>'2. Variable (GC)'!D27</f>
        <v>0</v>
      </c>
      <c r="N54" s="536">
        <f>'2. Variable (GC)'!E27</f>
        <v>-632.68609350884674</v>
      </c>
      <c r="O54" s="536">
        <f>'2. Variable (GC)'!N27</f>
        <v>-786.92286758620696</v>
      </c>
      <c r="P54" s="536">
        <f>'2. Variable (GC)'!M27</f>
        <v>0</v>
      </c>
      <c r="Q54" s="536">
        <f>'2. Variable (GC)'!F27</f>
        <v>-257.46036415390193</v>
      </c>
      <c r="R54" s="536">
        <f>'2. Variable (GC)'!G27</f>
        <v>117.90053063646471</v>
      </c>
      <c r="S54" s="536">
        <f>'2. Variable (GC)'!H27</f>
        <v>-40.644521692812447</v>
      </c>
      <c r="T54" s="536">
        <f>'2. Variable (GC)'!I27</f>
        <v>0</v>
      </c>
      <c r="U54" s="536">
        <f>'2. Variable (GC)'!K27</f>
        <v>1.4862847519280373E-5</v>
      </c>
      <c r="V54" s="536">
        <f>'2. Variable (GC)'!L27</f>
        <v>25.967566270041857</v>
      </c>
      <c r="W54" s="535"/>
      <c r="X54" s="535"/>
      <c r="Y54" s="535"/>
      <c r="Z54" s="535"/>
      <c r="AA54" s="535"/>
      <c r="AB54" s="535"/>
      <c r="AC54" s="535"/>
      <c r="AD54" s="535"/>
      <c r="AE54" s="535"/>
      <c r="AF54" s="535"/>
      <c r="AG54" s="535"/>
      <c r="AH54" s="535"/>
      <c r="AI54" s="535"/>
      <c r="AJ54" s="535"/>
      <c r="AK54" s="535"/>
      <c r="AL54" s="535"/>
      <c r="AM54" s="535"/>
      <c r="AN54" s="535"/>
      <c r="AO54" s="451" t="str">
        <f>'2. Variable (GC)'!P27</f>
        <v>Occupied space increase, electricity price increase 5%</v>
      </c>
      <c r="AP54" s="451">
        <v>29</v>
      </c>
      <c r="AQ54" s="451" t="str">
        <f>Settings!$A$1</f>
        <v>V2</v>
      </c>
    </row>
    <row r="55" spans="1:43" ht="12.75" customHeight="1" x14ac:dyDescent="0.2">
      <c r="A55" s="451">
        <f>'Input-FX Rates'!$C$4</f>
        <v>242</v>
      </c>
      <c r="B55" s="451" t="str">
        <f>'Input-FX Rates'!$B$4</f>
        <v>ICH Icheon (242)</v>
      </c>
      <c r="C55" s="451">
        <f>'Input-FX Rates'!$C$6</f>
        <v>780</v>
      </c>
      <c r="D55" s="451" t="str">
        <f>'Input-FX Rates'!$B$6</f>
        <v>780 BU Controls</v>
      </c>
      <c r="E55" s="451" t="str">
        <f>'Input-FX Rates'!$C$5</f>
        <v>7851</v>
      </c>
      <c r="F55" s="451" t="str">
        <f>'Input-FX Rates'!$B$5</f>
        <v>7851 PL eMotor Controls</v>
      </c>
      <c r="G55" s="451" t="s">
        <v>556</v>
      </c>
      <c r="H55" s="451" t="s">
        <v>186</v>
      </c>
      <c r="I55" s="535"/>
      <c r="J55" s="535"/>
      <c r="K55" s="536">
        <f>'2. Variable (GC)'!B28</f>
        <v>-467.43946498075275</v>
      </c>
      <c r="L55" s="536">
        <f>'2. Variable (GC)'!C28</f>
        <v>-1366.7700928816328</v>
      </c>
      <c r="M55" s="536">
        <f>'2. Variable (GC)'!D28</f>
        <v>-83.887014605167053</v>
      </c>
      <c r="N55" s="536">
        <f>'2. Variable (GC)'!E28</f>
        <v>-1282.8830782764658</v>
      </c>
      <c r="O55" s="536">
        <f>'2. Variable (GC)'!N28</f>
        <v>-1764.3034933079666</v>
      </c>
      <c r="P55" s="536">
        <f>'2. Variable (GC)'!M28</f>
        <v>0</v>
      </c>
      <c r="Q55" s="536">
        <f>'2. Variable (GC)'!F28</f>
        <v>-522.04699569233776</v>
      </c>
      <c r="R55" s="536">
        <f>'2. Variable (GC)'!G28</f>
        <v>0</v>
      </c>
      <c r="S55" s="536">
        <f>'2. Variable (GC)'!H28</f>
        <v>0</v>
      </c>
      <c r="T55" s="536">
        <f>'2. Variable (GC)'!I28</f>
        <v>72.869165193147211</v>
      </c>
      <c r="U55" s="536">
        <f>'2. Variable (GC)'!K28</f>
        <v>-90.462608082359566</v>
      </c>
      <c r="V55" s="536">
        <f>'2. Variable (GC)'!L28</f>
        <v>58.220023550049063</v>
      </c>
      <c r="W55" s="535"/>
      <c r="X55" s="535"/>
      <c r="Y55" s="535"/>
      <c r="Z55" s="535"/>
      <c r="AA55" s="535"/>
      <c r="AB55" s="535"/>
      <c r="AC55" s="535"/>
      <c r="AD55" s="535"/>
      <c r="AE55" s="535"/>
      <c r="AF55" s="535"/>
      <c r="AG55" s="535"/>
      <c r="AH55" s="535"/>
      <c r="AI55" s="535"/>
      <c r="AJ55" s="535"/>
      <c r="AK55" s="535"/>
      <c r="AL55" s="535"/>
      <c r="AM55" s="535"/>
      <c r="AN55" s="535"/>
      <c r="AO55" s="451" t="str">
        <f>'2. Variable (GC)'!P28</f>
        <v/>
      </c>
      <c r="AP55" s="451">
        <v>30</v>
      </c>
      <c r="AQ55" s="451" t="str">
        <f>Settings!$A$1</f>
        <v>V2</v>
      </c>
    </row>
    <row r="56" spans="1:43" ht="12.75" customHeight="1" x14ac:dyDescent="0.2">
      <c r="A56" s="451">
        <f>'Input-FX Rates'!$C$4</f>
        <v>242</v>
      </c>
      <c r="B56" s="451" t="str">
        <f>'Input-FX Rates'!$B$4</f>
        <v>ICH Icheon (242)</v>
      </c>
      <c r="C56" s="451">
        <f>'Input-FX Rates'!$C$6</f>
        <v>780</v>
      </c>
      <c r="D56" s="451" t="str">
        <f>'Input-FX Rates'!$B$6</f>
        <v>780 BU Controls</v>
      </c>
      <c r="E56" s="451" t="str">
        <f>'Input-FX Rates'!$C$5</f>
        <v>7851</v>
      </c>
      <c r="F56" s="451" t="str">
        <f>'Input-FX Rates'!$B$5</f>
        <v>7851 PL eMotor Controls</v>
      </c>
      <c r="G56" s="451" t="s">
        <v>556</v>
      </c>
      <c r="H56" s="451" t="s">
        <v>1469</v>
      </c>
      <c r="I56" s="535"/>
      <c r="J56" s="535"/>
      <c r="K56" s="536">
        <f>'2. Variable (GC)'!B29</f>
        <v>-57.06342675066827</v>
      </c>
      <c r="L56" s="536">
        <f>'2. Variable (GC)'!C29</f>
        <v>-113.89697370798451</v>
      </c>
      <c r="M56" s="536">
        <f>'2. Variable (GC)'!D29</f>
        <v>0</v>
      </c>
      <c r="N56" s="536">
        <f>'2. Variable (GC)'!E29</f>
        <v>-113.89697370798451</v>
      </c>
      <c r="O56" s="536">
        <f>'2. Variable (GC)'!N29</f>
        <v>-75.744235862068976</v>
      </c>
      <c r="P56" s="536">
        <f>'2. Variable (GC)'!M29</f>
        <v>0</v>
      </c>
      <c r="Q56" s="536">
        <f>'2. Variable (GC)'!F29</f>
        <v>-46.348165900530589</v>
      </c>
      <c r="R56" s="536">
        <f>'2. Variable (GC)'!G29</f>
        <v>83.801034804125678</v>
      </c>
      <c r="S56" s="536">
        <f>'2. Variable (GC)'!H29</f>
        <v>-1.7996053331637223</v>
      </c>
      <c r="T56" s="536">
        <f>'2. Variable (GC)'!I29</f>
        <v>0</v>
      </c>
      <c r="U56" s="536">
        <f>'2. Variable (GC)'!K29</f>
        <v>0</v>
      </c>
      <c r="V56" s="536">
        <f>'2. Variable (GC)'!L29</f>
        <v>2.499474275484161</v>
      </c>
      <c r="W56" s="535"/>
      <c r="X56" s="535"/>
      <c r="Y56" s="535"/>
      <c r="Z56" s="535"/>
      <c r="AA56" s="535"/>
      <c r="AB56" s="535"/>
      <c r="AC56" s="535"/>
      <c r="AD56" s="535"/>
      <c r="AE56" s="535"/>
      <c r="AF56" s="535"/>
      <c r="AG56" s="535"/>
      <c r="AH56" s="535"/>
      <c r="AI56" s="535"/>
      <c r="AJ56" s="535"/>
      <c r="AK56" s="535"/>
      <c r="AL56" s="535"/>
      <c r="AM56" s="535"/>
      <c r="AN56" s="535"/>
      <c r="AO56" s="451">
        <f>'2. Variable (GC)'!P29</f>
        <v>0</v>
      </c>
      <c r="AP56" s="451">
        <v>1030</v>
      </c>
      <c r="AQ56" s="451" t="str">
        <f>Settings!$A$1</f>
        <v>V2</v>
      </c>
    </row>
    <row r="57" spans="1:43" ht="12.75" customHeight="1" x14ac:dyDescent="0.2">
      <c r="A57" s="451">
        <f>'Input-FX Rates'!$C$4</f>
        <v>242</v>
      </c>
      <c r="B57" s="451" t="str">
        <f>'Input-FX Rates'!$B$4</f>
        <v>ICH Icheon (242)</v>
      </c>
      <c r="C57" s="451">
        <f>'Input-FX Rates'!$C$6</f>
        <v>780</v>
      </c>
      <c r="D57" s="451" t="str">
        <f>'Input-FX Rates'!$B$6</f>
        <v>780 BU Controls</v>
      </c>
      <c r="E57" s="451" t="str">
        <f>'Input-FX Rates'!$C$5</f>
        <v>7851</v>
      </c>
      <c r="F57" s="451" t="str">
        <f>'Input-FX Rates'!$B$5</f>
        <v>7851 PL eMotor Controls</v>
      </c>
      <c r="G57" s="451" t="s">
        <v>556</v>
      </c>
      <c r="H57" s="451" t="s">
        <v>185</v>
      </c>
      <c r="I57" s="535"/>
      <c r="J57" s="535"/>
      <c r="K57" s="536">
        <f>'2. Variable (GC)'!B30</f>
        <v>0</v>
      </c>
      <c r="L57" s="536">
        <f>'2. Variable (GC)'!C30</f>
        <v>0</v>
      </c>
      <c r="M57" s="536">
        <f>'2. Variable (GC)'!D30</f>
        <v>0</v>
      </c>
      <c r="N57" s="536">
        <f>'2. Variable (GC)'!E30</f>
        <v>0</v>
      </c>
      <c r="O57" s="536">
        <f>'2. Variable (GC)'!N30</f>
        <v>-4.9655172413793105</v>
      </c>
      <c r="P57" s="536">
        <f>'2. Variable (GC)'!M30</f>
        <v>0</v>
      </c>
      <c r="Q57" s="536">
        <f>'2. Variable (GC)'!F30</f>
        <v>0</v>
      </c>
      <c r="R57" s="536">
        <f>'2. Variable (GC)'!G30</f>
        <v>-5.0113981095436744</v>
      </c>
      <c r="S57" s="536">
        <f>'2. Variable (GC)'!H30</f>
        <v>-0.11797559520931884</v>
      </c>
      <c r="T57" s="536">
        <f>'2. Variable (GC)'!I30</f>
        <v>0</v>
      </c>
      <c r="U57" s="536">
        <f>'2. Variable (GC)'!K30</f>
        <v>0</v>
      </c>
      <c r="V57" s="536">
        <f>'2. Variable (GC)'!L30</f>
        <v>0.16385646337368254</v>
      </c>
      <c r="W57" s="535"/>
      <c r="X57" s="535"/>
      <c r="Y57" s="535"/>
      <c r="Z57" s="535"/>
      <c r="AA57" s="535"/>
      <c r="AB57" s="535"/>
      <c r="AC57" s="535"/>
      <c r="AD57" s="535"/>
      <c r="AE57" s="535"/>
      <c r="AF57" s="535"/>
      <c r="AG57" s="535"/>
      <c r="AH57" s="535"/>
      <c r="AI57" s="535"/>
      <c r="AJ57" s="535"/>
      <c r="AK57" s="535"/>
      <c r="AL57" s="535"/>
      <c r="AM57" s="535"/>
      <c r="AN57" s="535"/>
      <c r="AO57" s="451" t="str">
        <f>'2. Variable (GC)'!P30</f>
        <v/>
      </c>
      <c r="AP57" s="451">
        <v>31</v>
      </c>
      <c r="AQ57" s="451" t="str">
        <f>Settings!$A$1</f>
        <v>V2</v>
      </c>
    </row>
    <row r="58" spans="1:43" ht="12.75" customHeight="1" x14ac:dyDescent="0.2">
      <c r="A58" s="451">
        <f>'Input-FX Rates'!$C$4</f>
        <v>242</v>
      </c>
      <c r="B58" s="451" t="str">
        <f>'Input-FX Rates'!$B$4</f>
        <v>ICH Icheon (242)</v>
      </c>
      <c r="C58" s="451">
        <f>'Input-FX Rates'!$C$6</f>
        <v>780</v>
      </c>
      <c r="D58" s="451" t="str">
        <f>'Input-FX Rates'!$B$6</f>
        <v>780 BU Controls</v>
      </c>
      <c r="E58" s="451" t="str">
        <f>'Input-FX Rates'!$C$5</f>
        <v>7851</v>
      </c>
      <c r="F58" s="451" t="str">
        <f>'Input-FX Rates'!$B$5</f>
        <v>7851 PL eMotor Controls</v>
      </c>
      <c r="G58" s="451" t="s">
        <v>556</v>
      </c>
      <c r="H58" s="451" t="s">
        <v>184</v>
      </c>
      <c r="I58" s="535"/>
      <c r="J58" s="535"/>
      <c r="K58" s="536">
        <f>'2. Variable (GC)'!B31</f>
        <v>-131.5585853354269</v>
      </c>
      <c r="L58" s="536">
        <f>'2. Variable (GC)'!C31</f>
        <v>-626.03079929591365</v>
      </c>
      <c r="M58" s="536">
        <f>'2. Variable (GC)'!D31</f>
        <v>0</v>
      </c>
      <c r="N58" s="536">
        <f>'2. Variable (GC)'!E31</f>
        <v>-626.03079929591365</v>
      </c>
      <c r="O58" s="536">
        <f>'2. Variable (GC)'!N31</f>
        <v>-1956.837</v>
      </c>
      <c r="P58" s="536">
        <f>'2. Variable (GC)'!M31</f>
        <v>-2103.7399999999998</v>
      </c>
      <c r="Q58" s="536">
        <f>'2. Variable (GC)'!F31</f>
        <v>-254.75248228560105</v>
      </c>
      <c r="R58" s="536">
        <f>'2. Variable (GC)'!G31</f>
        <v>0</v>
      </c>
      <c r="S58" s="536">
        <f>'2. Variable (GC)'!H31</f>
        <v>0</v>
      </c>
      <c r="T58" s="536">
        <f>'2. Variable (GC)'!I31</f>
        <v>0</v>
      </c>
      <c r="U58" s="536">
        <f>'2. Variable (GC)'!K31</f>
        <v>-1140.6271303375424</v>
      </c>
      <c r="V58" s="536">
        <f>'2. Variable (GC)'!L31</f>
        <v>64.573411919057207</v>
      </c>
      <c r="W58" s="535"/>
      <c r="X58" s="535"/>
      <c r="Y58" s="535"/>
      <c r="Z58" s="535"/>
      <c r="AA58" s="535"/>
      <c r="AB58" s="535"/>
      <c r="AC58" s="535"/>
      <c r="AD58" s="535"/>
      <c r="AE58" s="535"/>
      <c r="AF58" s="535"/>
      <c r="AG58" s="535"/>
      <c r="AH58" s="535"/>
      <c r="AI58" s="535"/>
      <c r="AJ58" s="535"/>
      <c r="AK58" s="535"/>
      <c r="AL58" s="535"/>
      <c r="AM58" s="535"/>
      <c r="AN58" s="535"/>
      <c r="AO58" s="451" t="str">
        <f>'2. Variable (GC)'!P31</f>
        <v>Scrap improvement by stabilization of production line (800V inverter), -643K EUR is due to HVD</v>
      </c>
      <c r="AP58" s="451">
        <v>32</v>
      </c>
      <c r="AQ58" s="451" t="str">
        <f>Settings!$A$1</f>
        <v>V2</v>
      </c>
    </row>
    <row r="59" spans="1:43" ht="12.75" customHeight="1" x14ac:dyDescent="0.2">
      <c r="A59" s="451">
        <f>'Input-FX Rates'!$C$4</f>
        <v>242</v>
      </c>
      <c r="B59" s="451" t="str">
        <f>'Input-FX Rates'!$B$4</f>
        <v>ICH Icheon (242)</v>
      </c>
      <c r="C59" s="451">
        <f>'Input-FX Rates'!$C$6</f>
        <v>780</v>
      </c>
      <c r="D59" s="451" t="str">
        <f>'Input-FX Rates'!$B$6</f>
        <v>780 BU Controls</v>
      </c>
      <c r="E59" s="451" t="str">
        <f>'Input-FX Rates'!$C$5</f>
        <v>7851</v>
      </c>
      <c r="F59" s="451" t="str">
        <f>'Input-FX Rates'!$B$5</f>
        <v>7851 PL eMotor Controls</v>
      </c>
      <c r="G59" s="451" t="s">
        <v>556</v>
      </c>
      <c r="H59" s="451" t="s">
        <v>182</v>
      </c>
      <c r="I59" s="535"/>
      <c r="J59" s="535"/>
      <c r="K59" s="536">
        <f>'2. Variable (GC)'!B32</f>
        <v>-127.36094366747091</v>
      </c>
      <c r="L59" s="536">
        <f>'2. Variable (GC)'!C32</f>
        <v>-361.2964332458248</v>
      </c>
      <c r="M59" s="536">
        <f>'2. Variable (GC)'!D32</f>
        <v>0</v>
      </c>
      <c r="N59" s="536">
        <f>'2. Variable (GC)'!E32</f>
        <v>-361.2964332458248</v>
      </c>
      <c r="O59" s="536">
        <f>'2. Variable (GC)'!N32</f>
        <v>-618.24345241379319</v>
      </c>
      <c r="P59" s="536">
        <f>'2. Variable (GC)'!M32</f>
        <v>-627.5141518518235</v>
      </c>
      <c r="Q59" s="536">
        <f>'2. Variable (GC)'!F32</f>
        <v>-147.02352346454086</v>
      </c>
      <c r="R59" s="536">
        <f>'2. Variable (GC)'!G32</f>
        <v>0</v>
      </c>
      <c r="S59" s="536">
        <f>'2. Variable (GC)'!H32</f>
        <v>0</v>
      </c>
      <c r="T59" s="536">
        <f>'2. Variable (GC)'!I32</f>
        <v>0</v>
      </c>
      <c r="U59" s="536">
        <f>'2. Variable (GC)'!K32</f>
        <v>-130.32483169563119</v>
      </c>
      <c r="V59" s="536">
        <f>'2. Variable (GC)'!L32</f>
        <v>20.401335992203713</v>
      </c>
      <c r="W59" s="535"/>
      <c r="X59" s="535"/>
      <c r="Y59" s="535"/>
      <c r="Z59" s="535"/>
      <c r="AA59" s="535"/>
      <c r="AB59" s="535"/>
      <c r="AC59" s="535"/>
      <c r="AD59" s="535"/>
      <c r="AE59" s="535"/>
      <c r="AF59" s="535"/>
      <c r="AG59" s="535"/>
      <c r="AH59" s="535"/>
      <c r="AI59" s="535"/>
      <c r="AJ59" s="535"/>
      <c r="AK59" s="535"/>
      <c r="AL59" s="535"/>
      <c r="AM59" s="535"/>
      <c r="AN59" s="535"/>
      <c r="AO59" s="451" t="str">
        <f>'2. Variable (GC)'!P32</f>
        <v>0.5% of external sales</v>
      </c>
      <c r="AP59" s="451">
        <v>33</v>
      </c>
      <c r="AQ59" s="451" t="str">
        <f>Settings!$A$1</f>
        <v>V2</v>
      </c>
    </row>
    <row r="60" spans="1:43" ht="12.75" customHeight="1" x14ac:dyDescent="0.2">
      <c r="A60" s="451">
        <f>'Input-FX Rates'!$C$4</f>
        <v>242</v>
      </c>
      <c r="B60" s="451" t="str">
        <f>'Input-FX Rates'!$B$4</f>
        <v>ICH Icheon (242)</v>
      </c>
      <c r="C60" s="451">
        <f>'Input-FX Rates'!$C$6</f>
        <v>780</v>
      </c>
      <c r="D60" s="451" t="str">
        <f>'Input-FX Rates'!$B$6</f>
        <v>780 BU Controls</v>
      </c>
      <c r="E60" s="451" t="str">
        <f>'Input-FX Rates'!$C$5</f>
        <v>7851</v>
      </c>
      <c r="F60" s="451" t="str">
        <f>'Input-FX Rates'!$B$5</f>
        <v>7851 PL eMotor Controls</v>
      </c>
      <c r="G60" s="451" t="s">
        <v>556</v>
      </c>
      <c r="H60" s="451" t="s">
        <v>180</v>
      </c>
      <c r="I60" s="535"/>
      <c r="J60" s="535"/>
      <c r="K60" s="536">
        <f>'2. Variable (GC)'!B33</f>
        <v>-77.070743293952702</v>
      </c>
      <c r="L60" s="536">
        <f>'2. Variable (GC)'!C33</f>
        <v>-657.55008829860628</v>
      </c>
      <c r="M60" s="536">
        <f>'2. Variable (GC)'!D33</f>
        <v>0</v>
      </c>
      <c r="N60" s="536">
        <f>'2. Variable (GC)'!E33</f>
        <v>-657.55008829860628</v>
      </c>
      <c r="O60" s="536">
        <f>'2. Variable (GC)'!N33</f>
        <v>-1359</v>
      </c>
      <c r="P60" s="536">
        <f>'2. Variable (GC)'!M33</f>
        <v>-1359</v>
      </c>
      <c r="Q60" s="536">
        <f>'2. Variable (GC)'!F33</f>
        <v>0</v>
      </c>
      <c r="R60" s="536">
        <f>'2. Variable (GC)'!G33</f>
        <v>0</v>
      </c>
      <c r="S60" s="536">
        <f>'2. Variable (GC)'!H33</f>
        <v>0</v>
      </c>
      <c r="T60" s="536">
        <f>'2. Variable (GC)'!I33</f>
        <v>0</v>
      </c>
      <c r="U60" s="536">
        <f>'2. Variable (GC)'!K33</f>
        <v>-746.2953775209786</v>
      </c>
      <c r="V60" s="536">
        <f>'2. Variable (GC)'!L33</f>
        <v>44.845465819584888</v>
      </c>
      <c r="W60" s="535"/>
      <c r="X60" s="535"/>
      <c r="Y60" s="535"/>
      <c r="Z60" s="535"/>
      <c r="AA60" s="535"/>
      <c r="AB60" s="535"/>
      <c r="AC60" s="535"/>
      <c r="AD60" s="535"/>
      <c r="AE60" s="535"/>
      <c r="AF60" s="535"/>
      <c r="AG60" s="535"/>
      <c r="AH60" s="535"/>
      <c r="AI60" s="535"/>
      <c r="AJ60" s="535"/>
      <c r="AK60" s="535"/>
      <c r="AL60" s="535"/>
      <c r="AM60" s="535"/>
      <c r="AN60" s="535"/>
      <c r="AO60" s="451" t="str">
        <f>'2. Variable (GC)'!P33</f>
        <v>-707K EUR will be moved to HVD</v>
      </c>
      <c r="AP60" s="451">
        <v>34</v>
      </c>
      <c r="AQ60" s="451" t="str">
        <f>Settings!$A$1</f>
        <v>V2</v>
      </c>
    </row>
    <row r="61" spans="1:43" ht="12.75" customHeight="1" x14ac:dyDescent="0.2">
      <c r="A61" s="451">
        <f>'Input-FX Rates'!$C$4</f>
        <v>242</v>
      </c>
      <c r="B61" s="451" t="str">
        <f>'Input-FX Rates'!$B$4</f>
        <v>ICH Icheon (242)</v>
      </c>
      <c r="C61" s="451">
        <f>'Input-FX Rates'!$C$6</f>
        <v>780</v>
      </c>
      <c r="D61" s="451" t="str">
        <f>'Input-FX Rates'!$B$6</f>
        <v>780 BU Controls</v>
      </c>
      <c r="E61" s="451" t="str">
        <f>'Input-FX Rates'!$C$5</f>
        <v>7851</v>
      </c>
      <c r="F61" s="451" t="str">
        <f>'Input-FX Rates'!$B$5</f>
        <v>7851 PL eMotor Controls</v>
      </c>
      <c r="G61" s="451" t="s">
        <v>556</v>
      </c>
      <c r="H61" s="451" t="s">
        <v>178</v>
      </c>
      <c r="I61" s="535"/>
      <c r="J61" s="535"/>
      <c r="K61" s="536">
        <f>'2. Variable (GC)'!B34</f>
        <v>4.517962263090418E-5</v>
      </c>
      <c r="L61" s="536">
        <f>'2. Variable (GC)'!C34</f>
        <v>0</v>
      </c>
      <c r="M61" s="536">
        <f>'2. Variable (GC)'!D34</f>
        <v>0</v>
      </c>
      <c r="N61" s="536">
        <f>'2. Variable (GC)'!E34</f>
        <v>0</v>
      </c>
      <c r="O61" s="536">
        <f>'2. Variable (GC)'!N34</f>
        <v>21692.036826152656</v>
      </c>
      <c r="P61" s="536">
        <f>'2. Variable (GC)'!M34</f>
        <v>0</v>
      </c>
      <c r="Q61" s="536">
        <f>'2. Variable (GC)'!F34</f>
        <v>0</v>
      </c>
      <c r="R61" s="536">
        <f>'2. Variable (GC)'!G34</f>
        <v>22407.849553190485</v>
      </c>
      <c r="S61" s="536">
        <f>'2. Variable (GC)'!H34</f>
        <v>0</v>
      </c>
      <c r="T61" s="536">
        <f>'2. Variable (GC)'!I34</f>
        <v>0</v>
      </c>
      <c r="U61" s="536">
        <f>'2. Variable (GC)'!K34</f>
        <v>0</v>
      </c>
      <c r="V61" s="536">
        <f>'2. Variable (GC)'!L34</f>
        <v>-715.81272703782815</v>
      </c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451" t="str">
        <f>'2. Variable (GC)'!P34</f>
        <v>ICO variable 12.1M, material cost 7.3M, line share LDC 168K, line share MDC 276K, supplier tooling 459K, scrap 447K, start up 707K, inbound cost 61K EUR</v>
      </c>
      <c r="AP61" s="451">
        <v>35</v>
      </c>
      <c r="AQ61" s="451" t="str">
        <f>Settings!$A$1</f>
        <v>V2</v>
      </c>
    </row>
    <row r="62" spans="1:43" ht="12.75" customHeight="1" x14ac:dyDescent="0.2">
      <c r="A62" s="451">
        <f>'Input-FX Rates'!$C$4</f>
        <v>242</v>
      </c>
      <c r="B62" s="451" t="str">
        <f>'Input-FX Rates'!$B$4</f>
        <v>ICH Icheon (242)</v>
      </c>
      <c r="C62" s="451">
        <f>'Input-FX Rates'!$C$6</f>
        <v>780</v>
      </c>
      <c r="D62" s="451" t="str">
        <f>'Input-FX Rates'!$B$6</f>
        <v>780 BU Controls</v>
      </c>
      <c r="E62" s="451" t="str">
        <f>'Input-FX Rates'!$C$5</f>
        <v>7851</v>
      </c>
      <c r="F62" s="451" t="str">
        <f>'Input-FX Rates'!$B$5</f>
        <v>7851 PL eMotor Controls</v>
      </c>
      <c r="G62" s="451" t="s">
        <v>556</v>
      </c>
      <c r="H62" s="451" t="s">
        <v>177</v>
      </c>
      <c r="I62" s="535"/>
      <c r="J62" s="535"/>
      <c r="K62" s="536">
        <f>'2. Variable (GC)'!B35</f>
        <v>-335.9902271172279</v>
      </c>
      <c r="L62" s="536">
        <f>'2. Variable (GC)'!C35</f>
        <v>-1644.8773208403447</v>
      </c>
      <c r="M62" s="536">
        <f>'2. Variable (GC)'!D35</f>
        <v>0</v>
      </c>
      <c r="N62" s="536">
        <f>'2. Variable (GC)'!E35</f>
        <v>-1644.8773208403447</v>
      </c>
      <c r="O62" s="536">
        <f>'2. Variable (GC)'!N35</f>
        <v>17757.956373738863</v>
      </c>
      <c r="P62" s="536">
        <f>'2. Variable (GC)'!M35</f>
        <v>-4090.2541518518237</v>
      </c>
      <c r="Q62" s="536">
        <f>'2. Variable (GC)'!F35</f>
        <v>-401.77600575014191</v>
      </c>
      <c r="R62" s="536">
        <f>'2. Variable (GC)'!G35</f>
        <v>22407.849553190485</v>
      </c>
      <c r="S62" s="536">
        <f>'2. Variable (GC)'!H35</f>
        <v>0</v>
      </c>
      <c r="T62" s="536">
        <f>'2. Variable (GC)'!I35</f>
        <v>0</v>
      </c>
      <c r="U62" s="536">
        <f>'2. Variable (GC)'!K35</f>
        <v>-2017.2473395541524</v>
      </c>
      <c r="V62" s="536">
        <f>'2. Variable (GC)'!L35</f>
        <v>-585.99251330698098</v>
      </c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451" t="str">
        <f>'2. Variable (GC)'!P35</f>
        <v/>
      </c>
      <c r="AP62" s="451">
        <v>36</v>
      </c>
      <c r="AQ62" s="451" t="str">
        <f>Settings!$A$1</f>
        <v>V2</v>
      </c>
    </row>
    <row r="63" spans="1:43" ht="12.75" customHeight="1" x14ac:dyDescent="0.2">
      <c r="A63" s="451">
        <f>'Input-FX Rates'!$C$4</f>
        <v>242</v>
      </c>
      <c r="B63" s="451" t="str">
        <f>'Input-FX Rates'!$B$4</f>
        <v>ICH Icheon (242)</v>
      </c>
      <c r="C63" s="451">
        <f>'Input-FX Rates'!$C$6</f>
        <v>780</v>
      </c>
      <c r="D63" s="451" t="str">
        <f>'Input-FX Rates'!$B$6</f>
        <v>780 BU Controls</v>
      </c>
      <c r="E63" s="451" t="str">
        <f>'Input-FX Rates'!$C$5</f>
        <v>7851</v>
      </c>
      <c r="F63" s="451" t="str">
        <f>'Input-FX Rates'!$B$5</f>
        <v>7851 PL eMotor Controls</v>
      </c>
      <c r="G63" s="451" t="s">
        <v>556</v>
      </c>
      <c r="H63" s="451" t="s">
        <v>176</v>
      </c>
      <c r="I63" s="535"/>
      <c r="J63" s="535"/>
      <c r="K63" s="536">
        <f>'2. Variable (GC)'!B37</f>
        <v>-32579.339488479294</v>
      </c>
      <c r="L63" s="536">
        <f>'2. Variable (GC)'!C37</f>
        <v>-80363.650683267493</v>
      </c>
      <c r="M63" s="536">
        <f>'2. Variable (GC)'!D37</f>
        <v>-83.887014605167053</v>
      </c>
      <c r="N63" s="536">
        <f>'2. Variable (GC)'!E37</f>
        <v>-80279.76366866233</v>
      </c>
      <c r="O63" s="536">
        <f>'2. Variable (GC)'!N37</f>
        <v>-109445.18951586208</v>
      </c>
      <c r="P63" s="536">
        <f>'2. Variable (GC)'!M37</f>
        <v>0</v>
      </c>
      <c r="Q63" s="536">
        <f>'2. Variable (GC)'!F37</f>
        <v>-32400.882297871653</v>
      </c>
      <c r="R63" s="536">
        <f>'2. Variable (GC)'!G37</f>
        <v>10436.910652527142</v>
      </c>
      <c r="S63" s="536">
        <f>'2. Variable (GC)'!H37</f>
        <v>1113.5041784173486</v>
      </c>
      <c r="T63" s="536">
        <f>'2. Variable (GC)'!I37</f>
        <v>73.23691279125741</v>
      </c>
      <c r="U63" s="536">
        <f>'2. Variable (GC)'!K37</f>
        <v>-11999.762993984794</v>
      </c>
      <c r="V63" s="536">
        <f>'2. Variable (GC)'!L37</f>
        <v>3611.5677009209612</v>
      </c>
      <c r="W63" s="535"/>
      <c r="X63" s="535"/>
      <c r="Y63" s="535"/>
      <c r="Z63" s="535"/>
      <c r="AA63" s="535"/>
      <c r="AB63" s="535"/>
      <c r="AC63" s="535"/>
      <c r="AD63" s="535"/>
      <c r="AE63" s="535"/>
      <c r="AF63" s="535"/>
      <c r="AG63" s="535"/>
      <c r="AH63" s="535"/>
      <c r="AI63" s="535"/>
      <c r="AJ63" s="535"/>
      <c r="AK63" s="535"/>
      <c r="AL63" s="535"/>
      <c r="AM63" s="535"/>
      <c r="AN63" s="535"/>
      <c r="AO63" s="451" t="str">
        <f>'2. Variable (GC)'!P37</f>
        <v/>
      </c>
      <c r="AP63" s="451">
        <v>37</v>
      </c>
      <c r="AQ63" s="451" t="str">
        <f>Settings!$A$1</f>
        <v>V2</v>
      </c>
    </row>
    <row r="64" spans="1:43" s="537" customFormat="1" ht="12.75" customHeight="1" x14ac:dyDescent="0.2">
      <c r="A64" s="537">
        <f>'Input-FX Rates'!$C$4</f>
        <v>242</v>
      </c>
      <c r="B64" s="537" t="str">
        <f>'Input-FX Rates'!$B$4</f>
        <v>ICH Icheon (242)</v>
      </c>
      <c r="C64" s="537">
        <f>'Input-FX Rates'!$C$6</f>
        <v>780</v>
      </c>
      <c r="D64" s="537" t="str">
        <f>'Input-FX Rates'!$B$6</f>
        <v>780 BU Controls</v>
      </c>
      <c r="E64" s="537" t="str">
        <f>'Input-FX Rates'!$C$5</f>
        <v>7851</v>
      </c>
      <c r="F64" s="537" t="str">
        <f>'Input-FX Rates'!$B$5</f>
        <v>7851 PL eMotor Controls</v>
      </c>
      <c r="G64" s="537" t="s">
        <v>556</v>
      </c>
      <c r="H64" s="537" t="s">
        <v>175</v>
      </c>
      <c r="I64" s="538"/>
      <c r="J64" s="538"/>
      <c r="K64" s="539">
        <f>'2. Variable (GC)'!B38</f>
        <v>3409.0320461797573</v>
      </c>
      <c r="L64" s="539">
        <f>'2. Variable (GC)'!C38</f>
        <v>14508.054697560941</v>
      </c>
      <c r="M64" s="539">
        <f>'2. Variable (GC)'!D38</f>
        <v>688.55073107669477</v>
      </c>
      <c r="N64" s="539">
        <f>'2. Variable (GC)'!E38</f>
        <v>13819.503966484242</v>
      </c>
      <c r="O64" s="539">
        <f>'2. Variable (GC)'!N38</f>
        <v>20398.500959310346</v>
      </c>
      <c r="P64" s="539">
        <f>'2. Variable (GC)'!M38</f>
        <v>0</v>
      </c>
      <c r="Q64" s="539">
        <f>'2. Variable (GC)'!F38</f>
        <v>5891.1863585965266</v>
      </c>
      <c r="R64" s="539">
        <f>'2. Variable (GC)'!G38</f>
        <v>10436.910652527142</v>
      </c>
      <c r="S64" s="539">
        <f>'2. Variable (GC)'!H38</f>
        <v>-1633.5500212467757</v>
      </c>
      <c r="T64" s="539">
        <f>'2. Variable (GC)'!I38</f>
        <v>73.23691279125741</v>
      </c>
      <c r="U64" s="539">
        <f>'2. Variable (GC)'!K38</f>
        <v>-7515.6594061323067</v>
      </c>
      <c r="V64" s="539">
        <f>'2. Variable (GC)'!L38</f>
        <v>-673.12750370972935</v>
      </c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7" t="str">
        <f>'2. Variable (GC)'!P38</f>
        <v/>
      </c>
      <c r="AP64" s="537">
        <v>38</v>
      </c>
      <c r="AQ64" s="537" t="str">
        <f>Settings!$A$1</f>
        <v>V2</v>
      </c>
    </row>
    <row r="65" spans="1:43" ht="12.75" customHeight="1" x14ac:dyDescent="0.2">
      <c r="A65" s="451">
        <f>'Input-FX Rates'!$C$4</f>
        <v>242</v>
      </c>
      <c r="B65" s="451" t="str">
        <f>'Input-FX Rates'!$B$4</f>
        <v>ICH Icheon (242)</v>
      </c>
      <c r="C65" s="451">
        <f>'Input-FX Rates'!$C$6</f>
        <v>780</v>
      </c>
      <c r="D65" s="451" t="str">
        <f>'Input-FX Rates'!$B$6</f>
        <v>780 BU Controls</v>
      </c>
      <c r="E65" s="451" t="str">
        <f>'Input-FX Rates'!$C$5</f>
        <v>7851</v>
      </c>
      <c r="F65" s="451" t="str">
        <f>'Input-FX Rates'!$B$5</f>
        <v>7851 PL eMotor Controls</v>
      </c>
      <c r="G65" s="451" t="s">
        <v>539</v>
      </c>
      <c r="H65" s="451" t="s">
        <v>255</v>
      </c>
      <c r="I65" s="535"/>
      <c r="J65" s="535"/>
      <c r="K65" s="536">
        <f>'3. Scrap (GC)'!C7</f>
        <v>-60.975807731717133</v>
      </c>
      <c r="L65" s="536">
        <f>'3. Scrap (GC)'!E7</f>
        <v>-120.31576993156037</v>
      </c>
      <c r="M65" s="535"/>
      <c r="N65" s="535"/>
      <c r="O65" s="536">
        <f>'3. Scrap (GC)'!R7</f>
        <v>-206.45200000000003</v>
      </c>
      <c r="P65" s="536">
        <f>'3. Scrap (GC)'!S7</f>
        <v>0</v>
      </c>
      <c r="Q65" s="535"/>
      <c r="R65" s="535"/>
      <c r="S65" s="535"/>
      <c r="T65" s="535"/>
      <c r="U65" s="535"/>
      <c r="V65" s="535"/>
      <c r="W65" s="536">
        <f>'3. Scrap (GC)'!F7</f>
        <v>-17.827613588953387</v>
      </c>
      <c r="X65" s="536">
        <f>'3. Scrap (GC)'!G7</f>
        <v>-15.847705431180664</v>
      </c>
      <c r="Y65" s="536">
        <f>'3. Scrap (GC)'!H7</f>
        <v>-16.919139630789971</v>
      </c>
      <c r="Z65" s="536">
        <f>'3. Scrap (GC)'!I7</f>
        <v>-17.579632566771355</v>
      </c>
      <c r="AA65" s="536">
        <f>'3. Scrap (GC)'!J7</f>
        <v>-17.828540429250065</v>
      </c>
      <c r="AB65" s="536">
        <f>'3. Scrap (GC)'!K7</f>
        <v>-16.707949384417759</v>
      </c>
      <c r="AC65" s="536">
        <f>'3. Scrap (GC)'!L7</f>
        <v>-18.949178100325227</v>
      </c>
      <c r="AD65" s="536">
        <f>'3. Scrap (GC)'!M7</f>
        <v>-15.027093989779294</v>
      </c>
      <c r="AE65" s="536">
        <f>'3. Scrap (GC)'!N7</f>
        <v>-16.166136759932716</v>
      </c>
      <c r="AF65" s="536">
        <f>'3. Scrap (GC)'!O7</f>
        <v>-17.866336706199853</v>
      </c>
      <c r="AG65" s="536">
        <f>'3. Scrap (GC)'!P7</f>
        <v>-17.866336706199853</v>
      </c>
      <c r="AH65" s="536">
        <f>'3. Scrap (GC)'!Q7</f>
        <v>-17.866336706199853</v>
      </c>
      <c r="AI65" s="535"/>
      <c r="AJ65" s="535"/>
      <c r="AK65" s="535"/>
      <c r="AL65" s="535"/>
      <c r="AM65" s="535"/>
      <c r="AN65" s="536" t="str">
        <f>'3. Scrap (GC)'!B7</f>
        <v>HV Board (eICB/eIGB 100/101/102/103)</v>
      </c>
      <c r="AO65" s="451" t="str">
        <f>'3. Scrap (GC)'!W7</f>
        <v/>
      </c>
      <c r="AP65" s="451">
        <v>39</v>
      </c>
      <c r="AQ65" s="451" t="str">
        <f>Settings!$A$1</f>
        <v>V2</v>
      </c>
    </row>
    <row r="66" spans="1:43" ht="12.75" customHeight="1" x14ac:dyDescent="0.2">
      <c r="A66" s="451">
        <f>'Input-FX Rates'!$C$4</f>
        <v>242</v>
      </c>
      <c r="B66" s="451" t="str">
        <f>'Input-FX Rates'!$B$4</f>
        <v>ICH Icheon (242)</v>
      </c>
      <c r="C66" s="451">
        <f>'Input-FX Rates'!$C$6</f>
        <v>780</v>
      </c>
      <c r="D66" s="451" t="str">
        <f>'Input-FX Rates'!$B$6</f>
        <v>780 BU Controls</v>
      </c>
      <c r="E66" s="451" t="str">
        <f>'Input-FX Rates'!$C$5</f>
        <v>7851</v>
      </c>
      <c r="F66" s="451" t="str">
        <f>'Input-FX Rates'!$B$5</f>
        <v>7851 PL eMotor Controls</v>
      </c>
      <c r="G66" s="451" t="s">
        <v>539</v>
      </c>
      <c r="H66" s="451" t="s">
        <v>252</v>
      </c>
      <c r="I66" s="535"/>
      <c r="J66" s="535"/>
      <c r="K66" s="536">
        <f>'3. Scrap (GC)'!C8</f>
        <v>21152.127076479799</v>
      </c>
      <c r="L66" s="536">
        <f>'3. Scrap (GC)'!E8</f>
        <v>39964.291355579051</v>
      </c>
      <c r="M66" s="535"/>
      <c r="N66" s="535"/>
      <c r="O66" s="536">
        <f>'3. Scrap (GC)'!R8</f>
        <v>45878.186947956128</v>
      </c>
      <c r="P66" s="536">
        <f>'3. Scrap (GC)'!S8</f>
        <v>0</v>
      </c>
      <c r="Q66" s="535"/>
      <c r="R66" s="535"/>
      <c r="S66" s="535"/>
      <c r="T66" s="535"/>
      <c r="U66" s="535"/>
      <c r="V66" s="535"/>
      <c r="W66" s="536">
        <f>'3. Scrap (GC)'!F8</f>
        <v>3961.6888626408395</v>
      </c>
      <c r="X66" s="536">
        <f>'3. Scrap (GC)'!G8</f>
        <v>3521.7096103106105</v>
      </c>
      <c r="Y66" s="536">
        <f>'3. Scrap (GC)'!H8</f>
        <v>3759.805916048068</v>
      </c>
      <c r="Z66" s="536">
        <f>'3. Scrap (GC)'!I8</f>
        <v>3906.5820111925</v>
      </c>
      <c r="AA66" s="536">
        <f>'3. Scrap (GC)'!J8</f>
        <v>3961.8948269928528</v>
      </c>
      <c r="AB66" s="536">
        <f>'3. Scrap (GC)'!K8</f>
        <v>3712.8747862714163</v>
      </c>
      <c r="AC66" s="536">
        <f>'3. Scrap (GC)'!L8</f>
        <v>4210.9252290936247</v>
      </c>
      <c r="AD66" s="536">
        <f>'3. Scrap (GC)'!M8</f>
        <v>3339.3516524306006</v>
      </c>
      <c r="AE66" s="536">
        <f>'3. Scrap (GC)'!N8</f>
        <v>3592.4720734040784</v>
      </c>
      <c r="AF66" s="536">
        <f>'3. Scrap (GC)'!O8</f>
        <v>3970.2939931905116</v>
      </c>
      <c r="AG66" s="536">
        <f>'3. Scrap (GC)'!P8</f>
        <v>3970.2939931905116</v>
      </c>
      <c r="AH66" s="536">
        <f>'3. Scrap (GC)'!Q8</f>
        <v>3970.2939931905116</v>
      </c>
      <c r="AI66" s="535"/>
      <c r="AJ66" s="535"/>
      <c r="AK66" s="535"/>
      <c r="AL66" s="535"/>
      <c r="AM66" s="535"/>
      <c r="AN66" s="536" t="str">
        <f>'3. Scrap (GC)'!B8</f>
        <v>HV Board (eICB/eIGB 100/101/102/103)</v>
      </c>
      <c r="AO66" s="451" t="str">
        <f>'3. Scrap (GC)'!W8</f>
        <v/>
      </c>
      <c r="AP66" s="451">
        <v>40</v>
      </c>
      <c r="AQ66" s="451" t="str">
        <f>Settings!$A$1</f>
        <v>V2</v>
      </c>
    </row>
    <row r="67" spans="1:43" ht="12.75" customHeight="1" x14ac:dyDescent="0.2">
      <c r="A67" s="451">
        <f>'Input-FX Rates'!$C$4</f>
        <v>242</v>
      </c>
      <c r="B67" s="451" t="str">
        <f>'Input-FX Rates'!$B$4</f>
        <v>ICH Icheon (242)</v>
      </c>
      <c r="C67" s="451">
        <f>'Input-FX Rates'!$C$6</f>
        <v>780</v>
      </c>
      <c r="D67" s="451" t="str">
        <f>'Input-FX Rates'!$B$6</f>
        <v>780 BU Controls</v>
      </c>
      <c r="E67" s="451" t="str">
        <f>'Input-FX Rates'!$C$5</f>
        <v>7851</v>
      </c>
      <c r="F67" s="451" t="str">
        <f>'Input-FX Rates'!$B$5</f>
        <v>7851 PL eMotor Controls</v>
      </c>
      <c r="G67" s="451" t="s">
        <v>539</v>
      </c>
      <c r="H67" s="451" t="s">
        <v>249</v>
      </c>
      <c r="I67" s="535"/>
      <c r="J67" s="535"/>
      <c r="K67" s="536">
        <f>'3. Scrap (GC)'!C10</f>
        <v>0</v>
      </c>
      <c r="L67" s="536">
        <f>'3. Scrap (GC)'!E10</f>
        <v>0</v>
      </c>
      <c r="M67" s="535"/>
      <c r="N67" s="535"/>
      <c r="O67" s="536">
        <f>'3. Scrap (GC)'!R10</f>
        <v>0</v>
      </c>
      <c r="P67" s="536">
        <f>'3. Scrap (GC)'!S10</f>
        <v>0</v>
      </c>
      <c r="Q67" s="535"/>
      <c r="R67" s="535"/>
      <c r="S67" s="535"/>
      <c r="T67" s="535"/>
      <c r="U67" s="535"/>
      <c r="V67" s="535"/>
      <c r="W67" s="536">
        <f>'3. Scrap (GC)'!F10</f>
        <v>0</v>
      </c>
      <c r="X67" s="536">
        <f>'3. Scrap (GC)'!G10</f>
        <v>0</v>
      </c>
      <c r="Y67" s="536">
        <f>'3. Scrap (GC)'!H10</f>
        <v>0</v>
      </c>
      <c r="Z67" s="536">
        <f>'3. Scrap (GC)'!I10</f>
        <v>0</v>
      </c>
      <c r="AA67" s="536">
        <f>'3. Scrap (GC)'!J10</f>
        <v>0</v>
      </c>
      <c r="AB67" s="536">
        <f>'3. Scrap (GC)'!K10</f>
        <v>0</v>
      </c>
      <c r="AC67" s="536">
        <f>'3. Scrap (GC)'!L10</f>
        <v>0</v>
      </c>
      <c r="AD67" s="536">
        <f>'3. Scrap (GC)'!M10</f>
        <v>0</v>
      </c>
      <c r="AE67" s="536">
        <f>'3. Scrap (GC)'!N10</f>
        <v>0</v>
      </c>
      <c r="AF67" s="536">
        <f>'3. Scrap (GC)'!O10</f>
        <v>0</v>
      </c>
      <c r="AG67" s="536">
        <f>'3. Scrap (GC)'!P10</f>
        <v>0</v>
      </c>
      <c r="AH67" s="536">
        <f>'3. Scrap (GC)'!Q10</f>
        <v>0</v>
      </c>
      <c r="AI67" s="535"/>
      <c r="AJ67" s="535"/>
      <c r="AK67" s="535"/>
      <c r="AL67" s="535"/>
      <c r="AM67" s="535"/>
      <c r="AN67" s="536" t="str">
        <f>'3. Scrap (GC)'!B10</f>
        <v>Area 2</v>
      </c>
      <c r="AO67" s="451" t="str">
        <f>'3. Scrap (GC)'!W10</f>
        <v/>
      </c>
      <c r="AP67" s="451">
        <v>41</v>
      </c>
      <c r="AQ67" s="451" t="str">
        <f>Settings!$A$1</f>
        <v>V2</v>
      </c>
    </row>
    <row r="68" spans="1:43" ht="12.75" customHeight="1" x14ac:dyDescent="0.2">
      <c r="A68" s="451">
        <f>'Input-FX Rates'!$C$4</f>
        <v>242</v>
      </c>
      <c r="B68" s="451" t="str">
        <f>'Input-FX Rates'!$B$4</f>
        <v>ICH Icheon (242)</v>
      </c>
      <c r="C68" s="451">
        <f>'Input-FX Rates'!$C$6</f>
        <v>780</v>
      </c>
      <c r="D68" s="451" t="str">
        <f>'Input-FX Rates'!$B$6</f>
        <v>780 BU Controls</v>
      </c>
      <c r="E68" s="451" t="str">
        <f>'Input-FX Rates'!$C$5</f>
        <v>7851</v>
      </c>
      <c r="F68" s="451" t="str">
        <f>'Input-FX Rates'!$B$5</f>
        <v>7851 PL eMotor Controls</v>
      </c>
      <c r="G68" s="451" t="s">
        <v>539</v>
      </c>
      <c r="H68" s="451" t="s">
        <v>246</v>
      </c>
      <c r="I68" s="535"/>
      <c r="J68" s="535"/>
      <c r="K68" s="536">
        <f>'3. Scrap (GC)'!C11</f>
        <v>0</v>
      </c>
      <c r="L68" s="536">
        <f>'3. Scrap (GC)'!E11</f>
        <v>0</v>
      </c>
      <c r="M68" s="535"/>
      <c r="N68" s="535"/>
      <c r="O68" s="536">
        <f>'3. Scrap (GC)'!R11</f>
        <v>0</v>
      </c>
      <c r="P68" s="536">
        <f>'3. Scrap (GC)'!S11</f>
        <v>0</v>
      </c>
      <c r="Q68" s="535"/>
      <c r="R68" s="535"/>
      <c r="S68" s="535"/>
      <c r="T68" s="535"/>
      <c r="U68" s="535"/>
      <c r="V68" s="535"/>
      <c r="W68" s="536">
        <f>'3. Scrap (GC)'!F11</f>
        <v>0</v>
      </c>
      <c r="X68" s="536">
        <f>'3. Scrap (GC)'!G11</f>
        <v>0</v>
      </c>
      <c r="Y68" s="536">
        <f>'3. Scrap (GC)'!H11</f>
        <v>0</v>
      </c>
      <c r="Z68" s="536">
        <f>'3. Scrap (GC)'!I11</f>
        <v>0</v>
      </c>
      <c r="AA68" s="536">
        <f>'3. Scrap (GC)'!J11</f>
        <v>0</v>
      </c>
      <c r="AB68" s="536">
        <f>'3. Scrap (GC)'!K11</f>
        <v>0</v>
      </c>
      <c r="AC68" s="536">
        <f>'3. Scrap (GC)'!L11</f>
        <v>0</v>
      </c>
      <c r="AD68" s="536">
        <f>'3. Scrap (GC)'!M11</f>
        <v>0</v>
      </c>
      <c r="AE68" s="536">
        <f>'3. Scrap (GC)'!N11</f>
        <v>0</v>
      </c>
      <c r="AF68" s="536">
        <f>'3. Scrap (GC)'!O11</f>
        <v>0</v>
      </c>
      <c r="AG68" s="536">
        <f>'3. Scrap (GC)'!P11</f>
        <v>0</v>
      </c>
      <c r="AH68" s="536">
        <f>'3. Scrap (GC)'!Q11</f>
        <v>0</v>
      </c>
      <c r="AI68" s="535"/>
      <c r="AJ68" s="535"/>
      <c r="AK68" s="535"/>
      <c r="AL68" s="535"/>
      <c r="AM68" s="535"/>
      <c r="AN68" s="536" t="str">
        <f>'3. Scrap (GC)'!B11</f>
        <v>Area 2</v>
      </c>
      <c r="AO68" s="451" t="str">
        <f>'3. Scrap (GC)'!W11</f>
        <v/>
      </c>
      <c r="AP68" s="451">
        <v>42</v>
      </c>
      <c r="AQ68" s="451" t="str">
        <f>Settings!$A$1</f>
        <v>V2</v>
      </c>
    </row>
    <row r="69" spans="1:43" ht="12.75" customHeight="1" x14ac:dyDescent="0.2">
      <c r="A69" s="451">
        <f>'Input-FX Rates'!$C$4</f>
        <v>242</v>
      </c>
      <c r="B69" s="451" t="str">
        <f>'Input-FX Rates'!$B$4</f>
        <v>ICH Icheon (242)</v>
      </c>
      <c r="C69" s="451">
        <f>'Input-FX Rates'!$C$6</f>
        <v>780</v>
      </c>
      <c r="D69" s="451" t="str">
        <f>'Input-FX Rates'!$B$6</f>
        <v>780 BU Controls</v>
      </c>
      <c r="E69" s="451" t="str">
        <f>'Input-FX Rates'!$C$5</f>
        <v>7851</v>
      </c>
      <c r="F69" s="451" t="str">
        <f>'Input-FX Rates'!$B$5</f>
        <v>7851 PL eMotor Controls</v>
      </c>
      <c r="G69" s="451" t="s">
        <v>539</v>
      </c>
      <c r="H69" s="451" t="s">
        <v>243</v>
      </c>
      <c r="I69" s="535"/>
      <c r="J69" s="535"/>
      <c r="K69" s="536">
        <f>'3. Scrap (GC)'!C13</f>
        <v>0</v>
      </c>
      <c r="L69" s="536">
        <f>'3. Scrap (GC)'!E13</f>
        <v>0</v>
      </c>
      <c r="M69" s="535"/>
      <c r="N69" s="535"/>
      <c r="O69" s="536">
        <f>'3. Scrap (GC)'!R13</f>
        <v>0</v>
      </c>
      <c r="P69" s="536">
        <f>'3. Scrap (GC)'!S13</f>
        <v>0</v>
      </c>
      <c r="Q69" s="535"/>
      <c r="R69" s="535"/>
      <c r="S69" s="535"/>
      <c r="T69" s="535"/>
      <c r="U69" s="535"/>
      <c r="V69" s="535"/>
      <c r="W69" s="536">
        <f>'3. Scrap (GC)'!F13</f>
        <v>0</v>
      </c>
      <c r="X69" s="536">
        <f>'3. Scrap (GC)'!G13</f>
        <v>0</v>
      </c>
      <c r="Y69" s="536">
        <f>'3. Scrap (GC)'!H13</f>
        <v>0</v>
      </c>
      <c r="Z69" s="536">
        <f>'3. Scrap (GC)'!I13</f>
        <v>0</v>
      </c>
      <c r="AA69" s="536">
        <f>'3. Scrap (GC)'!J13</f>
        <v>0</v>
      </c>
      <c r="AB69" s="536">
        <f>'3. Scrap (GC)'!K13</f>
        <v>0</v>
      </c>
      <c r="AC69" s="536">
        <f>'3. Scrap (GC)'!L13</f>
        <v>0</v>
      </c>
      <c r="AD69" s="536">
        <f>'3. Scrap (GC)'!M13</f>
        <v>0</v>
      </c>
      <c r="AE69" s="536">
        <f>'3. Scrap (GC)'!N13</f>
        <v>0</v>
      </c>
      <c r="AF69" s="536">
        <f>'3. Scrap (GC)'!O13</f>
        <v>0</v>
      </c>
      <c r="AG69" s="536">
        <f>'3. Scrap (GC)'!P13</f>
        <v>0</v>
      </c>
      <c r="AH69" s="536">
        <f>'3. Scrap (GC)'!Q13</f>
        <v>0</v>
      </c>
      <c r="AI69" s="535"/>
      <c r="AJ69" s="535"/>
      <c r="AK69" s="535"/>
      <c r="AL69" s="535"/>
      <c r="AM69" s="535"/>
      <c r="AN69" s="536" t="str">
        <f>'3. Scrap (GC)'!B13</f>
        <v>Area 3</v>
      </c>
      <c r="AO69" s="451" t="str">
        <f>'3. Scrap (GC)'!W13</f>
        <v/>
      </c>
      <c r="AP69" s="451">
        <v>43</v>
      </c>
      <c r="AQ69" s="451" t="str">
        <f>Settings!$A$1</f>
        <v>V2</v>
      </c>
    </row>
    <row r="70" spans="1:43" ht="12.75" customHeight="1" x14ac:dyDescent="0.2">
      <c r="A70" s="451">
        <f>'Input-FX Rates'!$C$4</f>
        <v>242</v>
      </c>
      <c r="B70" s="451" t="str">
        <f>'Input-FX Rates'!$B$4</f>
        <v>ICH Icheon (242)</v>
      </c>
      <c r="C70" s="451">
        <f>'Input-FX Rates'!$C$6</f>
        <v>780</v>
      </c>
      <c r="D70" s="451" t="str">
        <f>'Input-FX Rates'!$B$6</f>
        <v>780 BU Controls</v>
      </c>
      <c r="E70" s="451" t="str">
        <f>'Input-FX Rates'!$C$5</f>
        <v>7851</v>
      </c>
      <c r="F70" s="451" t="str">
        <f>'Input-FX Rates'!$B$5</f>
        <v>7851 PL eMotor Controls</v>
      </c>
      <c r="G70" s="451" t="s">
        <v>539</v>
      </c>
      <c r="H70" s="451" t="s">
        <v>240</v>
      </c>
      <c r="I70" s="535"/>
      <c r="J70" s="535"/>
      <c r="K70" s="536">
        <f>'3. Scrap (GC)'!C14</f>
        <v>0</v>
      </c>
      <c r="L70" s="536">
        <f>'3. Scrap (GC)'!E14</f>
        <v>0</v>
      </c>
      <c r="M70" s="535"/>
      <c r="N70" s="535"/>
      <c r="O70" s="536">
        <f>'3. Scrap (GC)'!R14</f>
        <v>0</v>
      </c>
      <c r="P70" s="536">
        <f>'3. Scrap (GC)'!S14</f>
        <v>0</v>
      </c>
      <c r="Q70" s="535"/>
      <c r="R70" s="535"/>
      <c r="S70" s="535"/>
      <c r="T70" s="535"/>
      <c r="U70" s="535"/>
      <c r="V70" s="535"/>
      <c r="W70" s="536">
        <f>'3. Scrap (GC)'!F14</f>
        <v>0</v>
      </c>
      <c r="X70" s="536">
        <f>'3. Scrap (GC)'!G14</f>
        <v>0</v>
      </c>
      <c r="Y70" s="536">
        <f>'3. Scrap (GC)'!H14</f>
        <v>0</v>
      </c>
      <c r="Z70" s="536">
        <f>'3. Scrap (GC)'!I14</f>
        <v>0</v>
      </c>
      <c r="AA70" s="536">
        <f>'3. Scrap (GC)'!J14</f>
        <v>0</v>
      </c>
      <c r="AB70" s="536">
        <f>'3. Scrap (GC)'!K14</f>
        <v>0</v>
      </c>
      <c r="AC70" s="536">
        <f>'3. Scrap (GC)'!L14</f>
        <v>0</v>
      </c>
      <c r="AD70" s="536">
        <f>'3. Scrap (GC)'!M14</f>
        <v>0</v>
      </c>
      <c r="AE70" s="536">
        <f>'3. Scrap (GC)'!N14</f>
        <v>0</v>
      </c>
      <c r="AF70" s="536">
        <f>'3. Scrap (GC)'!O14</f>
        <v>0</v>
      </c>
      <c r="AG70" s="536">
        <f>'3. Scrap (GC)'!P14</f>
        <v>0</v>
      </c>
      <c r="AH70" s="536">
        <f>'3. Scrap (GC)'!Q14</f>
        <v>0</v>
      </c>
      <c r="AI70" s="535"/>
      <c r="AJ70" s="535"/>
      <c r="AK70" s="535"/>
      <c r="AL70" s="535"/>
      <c r="AM70" s="535"/>
      <c r="AN70" s="536" t="str">
        <f>'3. Scrap (GC)'!B14</f>
        <v>Area 3</v>
      </c>
      <c r="AO70" s="451" t="str">
        <f>'3. Scrap (GC)'!W14</f>
        <v/>
      </c>
      <c r="AP70" s="451">
        <v>44</v>
      </c>
      <c r="AQ70" s="451" t="str">
        <f>Settings!$A$1</f>
        <v>V2</v>
      </c>
    </row>
    <row r="71" spans="1:43" ht="12.75" customHeight="1" x14ac:dyDescent="0.2">
      <c r="A71" s="451">
        <f>'Input-FX Rates'!$C$4</f>
        <v>242</v>
      </c>
      <c r="B71" s="451" t="str">
        <f>'Input-FX Rates'!$B$4</f>
        <v>ICH Icheon (242)</v>
      </c>
      <c r="C71" s="451">
        <f>'Input-FX Rates'!$C$6</f>
        <v>780</v>
      </c>
      <c r="D71" s="451" t="str">
        <f>'Input-FX Rates'!$B$6</f>
        <v>780 BU Controls</v>
      </c>
      <c r="E71" s="451" t="str">
        <f>'Input-FX Rates'!$C$5</f>
        <v>7851</v>
      </c>
      <c r="F71" s="451" t="str">
        <f>'Input-FX Rates'!$B$5</f>
        <v>7851 PL eMotor Controls</v>
      </c>
      <c r="G71" s="451" t="s">
        <v>539</v>
      </c>
      <c r="H71" s="451" t="s">
        <v>237</v>
      </c>
      <c r="I71" s="535"/>
      <c r="J71" s="535"/>
      <c r="K71" s="536">
        <f>'3. Scrap (GC)'!C16</f>
        <v>0</v>
      </c>
      <c r="L71" s="536">
        <f>'3. Scrap (GC)'!E16</f>
        <v>0</v>
      </c>
      <c r="M71" s="535"/>
      <c r="N71" s="535"/>
      <c r="O71" s="536">
        <f>'3. Scrap (GC)'!R16</f>
        <v>0</v>
      </c>
      <c r="P71" s="536">
        <f>'3. Scrap (GC)'!S16</f>
        <v>0</v>
      </c>
      <c r="Q71" s="535"/>
      <c r="R71" s="535"/>
      <c r="S71" s="535"/>
      <c r="T71" s="535"/>
      <c r="U71" s="535"/>
      <c r="V71" s="535"/>
      <c r="W71" s="536">
        <f>'3. Scrap (GC)'!F16</f>
        <v>0</v>
      </c>
      <c r="X71" s="536">
        <f>'3. Scrap (GC)'!G16</f>
        <v>0</v>
      </c>
      <c r="Y71" s="536">
        <f>'3. Scrap (GC)'!H16</f>
        <v>0</v>
      </c>
      <c r="Z71" s="536">
        <f>'3. Scrap (GC)'!I16</f>
        <v>0</v>
      </c>
      <c r="AA71" s="536">
        <f>'3. Scrap (GC)'!J16</f>
        <v>0</v>
      </c>
      <c r="AB71" s="536">
        <f>'3. Scrap (GC)'!K16</f>
        <v>0</v>
      </c>
      <c r="AC71" s="536">
        <f>'3. Scrap (GC)'!L16</f>
        <v>0</v>
      </c>
      <c r="AD71" s="536">
        <f>'3. Scrap (GC)'!M16</f>
        <v>0</v>
      </c>
      <c r="AE71" s="536">
        <f>'3. Scrap (GC)'!N16</f>
        <v>0</v>
      </c>
      <c r="AF71" s="536">
        <f>'3. Scrap (GC)'!O16</f>
        <v>0</v>
      </c>
      <c r="AG71" s="536">
        <f>'3. Scrap (GC)'!P16</f>
        <v>0</v>
      </c>
      <c r="AH71" s="536">
        <f>'3. Scrap (GC)'!Q16</f>
        <v>0</v>
      </c>
      <c r="AI71" s="535"/>
      <c r="AJ71" s="535"/>
      <c r="AK71" s="535"/>
      <c r="AL71" s="535"/>
      <c r="AM71" s="535"/>
      <c r="AN71" s="536" t="str">
        <f>'3. Scrap (GC)'!B16</f>
        <v>Area 4</v>
      </c>
      <c r="AO71" s="451" t="str">
        <f>'3. Scrap (GC)'!W16</f>
        <v/>
      </c>
      <c r="AP71" s="451">
        <v>45</v>
      </c>
      <c r="AQ71" s="451" t="str">
        <f>Settings!$A$1</f>
        <v>V2</v>
      </c>
    </row>
    <row r="72" spans="1:43" ht="12.75" customHeight="1" x14ac:dyDescent="0.2">
      <c r="A72" s="451">
        <f>'Input-FX Rates'!$C$4</f>
        <v>242</v>
      </c>
      <c r="B72" s="451" t="str">
        <f>'Input-FX Rates'!$B$4</f>
        <v>ICH Icheon (242)</v>
      </c>
      <c r="C72" s="451">
        <f>'Input-FX Rates'!$C$6</f>
        <v>780</v>
      </c>
      <c r="D72" s="451" t="str">
        <f>'Input-FX Rates'!$B$6</f>
        <v>780 BU Controls</v>
      </c>
      <c r="E72" s="451" t="str">
        <f>'Input-FX Rates'!$C$5</f>
        <v>7851</v>
      </c>
      <c r="F72" s="451" t="str">
        <f>'Input-FX Rates'!$B$5</f>
        <v>7851 PL eMotor Controls</v>
      </c>
      <c r="G72" s="451" t="s">
        <v>539</v>
      </c>
      <c r="H72" s="451" t="s">
        <v>235</v>
      </c>
      <c r="I72" s="535"/>
      <c r="J72" s="535"/>
      <c r="K72" s="536">
        <f>'3. Scrap (GC)'!C17</f>
        <v>0</v>
      </c>
      <c r="L72" s="536">
        <f>'3. Scrap (GC)'!E17</f>
        <v>0</v>
      </c>
      <c r="M72" s="535"/>
      <c r="N72" s="535"/>
      <c r="O72" s="536">
        <f>'3. Scrap (GC)'!R17</f>
        <v>0</v>
      </c>
      <c r="P72" s="536">
        <f>'3. Scrap (GC)'!S17</f>
        <v>0</v>
      </c>
      <c r="Q72" s="535"/>
      <c r="R72" s="535"/>
      <c r="S72" s="535"/>
      <c r="T72" s="535"/>
      <c r="U72" s="535"/>
      <c r="V72" s="535"/>
      <c r="W72" s="536">
        <f>'3. Scrap (GC)'!F17</f>
        <v>0</v>
      </c>
      <c r="X72" s="536">
        <f>'3. Scrap (GC)'!G17</f>
        <v>0</v>
      </c>
      <c r="Y72" s="536">
        <f>'3. Scrap (GC)'!H17</f>
        <v>0</v>
      </c>
      <c r="Z72" s="536">
        <f>'3. Scrap (GC)'!I17</f>
        <v>0</v>
      </c>
      <c r="AA72" s="536">
        <f>'3. Scrap (GC)'!J17</f>
        <v>0</v>
      </c>
      <c r="AB72" s="536">
        <f>'3. Scrap (GC)'!K17</f>
        <v>0</v>
      </c>
      <c r="AC72" s="536">
        <f>'3. Scrap (GC)'!L17</f>
        <v>0</v>
      </c>
      <c r="AD72" s="536">
        <f>'3. Scrap (GC)'!M17</f>
        <v>0</v>
      </c>
      <c r="AE72" s="536">
        <f>'3. Scrap (GC)'!N17</f>
        <v>0</v>
      </c>
      <c r="AF72" s="536">
        <f>'3. Scrap (GC)'!O17</f>
        <v>0</v>
      </c>
      <c r="AG72" s="536">
        <f>'3. Scrap (GC)'!P17</f>
        <v>0</v>
      </c>
      <c r="AH72" s="536">
        <f>'3. Scrap (GC)'!Q17</f>
        <v>0</v>
      </c>
      <c r="AI72" s="535"/>
      <c r="AJ72" s="535"/>
      <c r="AK72" s="535"/>
      <c r="AL72" s="535"/>
      <c r="AM72" s="535"/>
      <c r="AN72" s="536" t="str">
        <f>'3. Scrap (GC)'!B17</f>
        <v>Area 4</v>
      </c>
      <c r="AO72" s="451" t="str">
        <f>'3. Scrap (GC)'!W17</f>
        <v/>
      </c>
      <c r="AP72" s="451">
        <v>46</v>
      </c>
      <c r="AQ72" s="451" t="str">
        <f>Settings!$A$1</f>
        <v>V2</v>
      </c>
    </row>
    <row r="73" spans="1:43" ht="12.75" customHeight="1" x14ac:dyDescent="0.2">
      <c r="A73" s="451">
        <f>'Input-FX Rates'!$C$4</f>
        <v>242</v>
      </c>
      <c r="B73" s="451" t="str">
        <f>'Input-FX Rates'!$B$4</f>
        <v>ICH Icheon (242)</v>
      </c>
      <c r="C73" s="451">
        <f>'Input-FX Rates'!$C$6</f>
        <v>780</v>
      </c>
      <c r="D73" s="451" t="str">
        <f>'Input-FX Rates'!$B$6</f>
        <v>780 BU Controls</v>
      </c>
      <c r="E73" s="451" t="str">
        <f>'Input-FX Rates'!$C$5</f>
        <v>7851</v>
      </c>
      <c r="F73" s="451" t="str">
        <f>'Input-FX Rates'!$B$5</f>
        <v>7851 PL eMotor Controls</v>
      </c>
      <c r="G73" s="451" t="s">
        <v>539</v>
      </c>
      <c r="H73" s="451" t="s">
        <v>267</v>
      </c>
      <c r="I73" s="535"/>
      <c r="J73" s="535"/>
      <c r="K73" s="536">
        <f>'3. Scrap (GC)'!C19</f>
        <v>0</v>
      </c>
      <c r="L73" s="536">
        <f>'3. Scrap (GC)'!E19</f>
        <v>0</v>
      </c>
      <c r="M73" s="535"/>
      <c r="N73" s="535"/>
      <c r="O73" s="536">
        <f>'3. Scrap (GC)'!R19</f>
        <v>0</v>
      </c>
      <c r="P73" s="536">
        <f>'3. Scrap (GC)'!S19</f>
        <v>0</v>
      </c>
      <c r="Q73" s="535"/>
      <c r="R73" s="535"/>
      <c r="S73" s="535"/>
      <c r="T73" s="535"/>
      <c r="U73" s="535"/>
      <c r="V73" s="535"/>
      <c r="W73" s="536">
        <f>'3. Scrap (GC)'!F19</f>
        <v>0</v>
      </c>
      <c r="X73" s="536">
        <f>'3. Scrap (GC)'!G19</f>
        <v>0</v>
      </c>
      <c r="Y73" s="536">
        <f>'3. Scrap (GC)'!H19</f>
        <v>0</v>
      </c>
      <c r="Z73" s="536">
        <f>'3. Scrap (GC)'!I19</f>
        <v>0</v>
      </c>
      <c r="AA73" s="536">
        <f>'3. Scrap (GC)'!J19</f>
        <v>0</v>
      </c>
      <c r="AB73" s="536">
        <f>'3. Scrap (GC)'!K19</f>
        <v>0</v>
      </c>
      <c r="AC73" s="536">
        <f>'3. Scrap (GC)'!L19</f>
        <v>0</v>
      </c>
      <c r="AD73" s="536">
        <f>'3. Scrap (GC)'!M19</f>
        <v>0</v>
      </c>
      <c r="AE73" s="536">
        <f>'3. Scrap (GC)'!N19</f>
        <v>0</v>
      </c>
      <c r="AF73" s="536">
        <f>'3. Scrap (GC)'!O19</f>
        <v>0</v>
      </c>
      <c r="AG73" s="536">
        <f>'3. Scrap (GC)'!P19</f>
        <v>0</v>
      </c>
      <c r="AH73" s="536">
        <f>'3. Scrap (GC)'!Q19</f>
        <v>0</v>
      </c>
      <c r="AI73" s="535"/>
      <c r="AJ73" s="535"/>
      <c r="AK73" s="535"/>
      <c r="AL73" s="535"/>
      <c r="AM73" s="535"/>
      <c r="AN73" s="536" t="str">
        <f>'3. Scrap (GC)'!B19</f>
        <v>Area 5</v>
      </c>
      <c r="AO73" s="451" t="str">
        <f>'3. Scrap (GC)'!W19</f>
        <v/>
      </c>
      <c r="AP73" s="451">
        <v>47</v>
      </c>
      <c r="AQ73" s="451" t="str">
        <f>Settings!$A$1</f>
        <v>V2</v>
      </c>
    </row>
    <row r="74" spans="1:43" ht="12.75" customHeight="1" x14ac:dyDescent="0.2">
      <c r="A74" s="451">
        <f>'Input-FX Rates'!$C$4</f>
        <v>242</v>
      </c>
      <c r="B74" s="451" t="str">
        <f>'Input-FX Rates'!$B$4</f>
        <v>ICH Icheon (242)</v>
      </c>
      <c r="C74" s="451">
        <f>'Input-FX Rates'!$C$6</f>
        <v>780</v>
      </c>
      <c r="D74" s="451" t="str">
        <f>'Input-FX Rates'!$B$6</f>
        <v>780 BU Controls</v>
      </c>
      <c r="E74" s="451" t="str">
        <f>'Input-FX Rates'!$C$5</f>
        <v>7851</v>
      </c>
      <c r="F74" s="451" t="str">
        <f>'Input-FX Rates'!$B$5</f>
        <v>7851 PL eMotor Controls</v>
      </c>
      <c r="G74" s="451" t="s">
        <v>539</v>
      </c>
      <c r="H74" s="451" t="s">
        <v>265</v>
      </c>
      <c r="I74" s="535"/>
      <c r="J74" s="535"/>
      <c r="K74" s="536">
        <f>'3. Scrap (GC)'!C20</f>
        <v>0</v>
      </c>
      <c r="L74" s="536">
        <f>'3. Scrap (GC)'!E20</f>
        <v>0</v>
      </c>
      <c r="M74" s="535"/>
      <c r="N74" s="535"/>
      <c r="O74" s="536">
        <f>'3. Scrap (GC)'!R20</f>
        <v>0</v>
      </c>
      <c r="P74" s="536">
        <f>'3. Scrap (GC)'!S20</f>
        <v>0</v>
      </c>
      <c r="Q74" s="535"/>
      <c r="R74" s="535"/>
      <c r="S74" s="535"/>
      <c r="T74" s="535"/>
      <c r="U74" s="535"/>
      <c r="V74" s="535"/>
      <c r="W74" s="536">
        <f>'3. Scrap (GC)'!F20</f>
        <v>0</v>
      </c>
      <c r="X74" s="536">
        <f>'3. Scrap (GC)'!G20</f>
        <v>0</v>
      </c>
      <c r="Y74" s="536">
        <f>'3. Scrap (GC)'!H20</f>
        <v>0</v>
      </c>
      <c r="Z74" s="536">
        <f>'3. Scrap (GC)'!I20</f>
        <v>0</v>
      </c>
      <c r="AA74" s="536">
        <f>'3. Scrap (GC)'!J20</f>
        <v>0</v>
      </c>
      <c r="AB74" s="536">
        <f>'3. Scrap (GC)'!K20</f>
        <v>0</v>
      </c>
      <c r="AC74" s="536">
        <f>'3. Scrap (GC)'!L20</f>
        <v>0</v>
      </c>
      <c r="AD74" s="536">
        <f>'3. Scrap (GC)'!M20</f>
        <v>0</v>
      </c>
      <c r="AE74" s="536">
        <f>'3. Scrap (GC)'!N20</f>
        <v>0</v>
      </c>
      <c r="AF74" s="536">
        <f>'3. Scrap (GC)'!O20</f>
        <v>0</v>
      </c>
      <c r="AG74" s="536">
        <f>'3. Scrap (GC)'!P20</f>
        <v>0</v>
      </c>
      <c r="AH74" s="536">
        <f>'3. Scrap (GC)'!Q20</f>
        <v>0</v>
      </c>
      <c r="AI74" s="535"/>
      <c r="AJ74" s="535"/>
      <c r="AK74" s="535"/>
      <c r="AL74" s="535"/>
      <c r="AM74" s="535"/>
      <c r="AN74" s="536" t="str">
        <f>'3. Scrap (GC)'!B20</f>
        <v>Area 5</v>
      </c>
      <c r="AO74" s="451" t="str">
        <f>'3. Scrap (GC)'!W20</f>
        <v/>
      </c>
      <c r="AP74" s="451">
        <v>48</v>
      </c>
      <c r="AQ74" s="451" t="str">
        <f>Settings!$A$1</f>
        <v>V2</v>
      </c>
    </row>
    <row r="75" spans="1:43" ht="12.75" customHeight="1" x14ac:dyDescent="0.2">
      <c r="A75" s="451">
        <f>'Input-FX Rates'!$C$4</f>
        <v>242</v>
      </c>
      <c r="B75" s="451" t="str">
        <f>'Input-FX Rates'!$B$4</f>
        <v>ICH Icheon (242)</v>
      </c>
      <c r="C75" s="451">
        <f>'Input-FX Rates'!$C$6</f>
        <v>780</v>
      </c>
      <c r="D75" s="451" t="str">
        <f>'Input-FX Rates'!$B$6</f>
        <v>780 BU Controls</v>
      </c>
      <c r="E75" s="451" t="str">
        <f>'Input-FX Rates'!$C$5</f>
        <v>7851</v>
      </c>
      <c r="F75" s="451" t="str">
        <f>'Input-FX Rates'!$B$5</f>
        <v>7851 PL eMotor Controls</v>
      </c>
      <c r="G75" s="451" t="s">
        <v>539</v>
      </c>
      <c r="H75" s="451" t="s">
        <v>1013</v>
      </c>
      <c r="I75" s="535"/>
      <c r="J75" s="535"/>
      <c r="K75" s="536">
        <f>'3. Scrap (GC)'!C22</f>
        <v>0</v>
      </c>
      <c r="L75" s="536">
        <f>'3. Scrap (GC)'!E22</f>
        <v>0</v>
      </c>
      <c r="M75" s="535"/>
      <c r="N75" s="535"/>
      <c r="O75" s="536">
        <f>'3. Scrap (GC)'!R22</f>
        <v>0</v>
      </c>
      <c r="P75" s="536">
        <f>'3. Scrap (GC)'!S22</f>
        <v>0</v>
      </c>
      <c r="Q75" s="535"/>
      <c r="R75" s="535"/>
      <c r="S75" s="535"/>
      <c r="T75" s="535"/>
      <c r="U75" s="535"/>
      <c r="V75" s="535"/>
      <c r="W75" s="536">
        <f>'3. Scrap (GC)'!F22</f>
        <v>0</v>
      </c>
      <c r="X75" s="536">
        <f>'3. Scrap (GC)'!G22</f>
        <v>0</v>
      </c>
      <c r="Y75" s="536">
        <f>'3. Scrap (GC)'!H22</f>
        <v>0</v>
      </c>
      <c r="Z75" s="536">
        <f>'3. Scrap (GC)'!I22</f>
        <v>0</v>
      </c>
      <c r="AA75" s="536">
        <f>'3. Scrap (GC)'!J22</f>
        <v>0</v>
      </c>
      <c r="AB75" s="536">
        <f>'3. Scrap (GC)'!K22</f>
        <v>0</v>
      </c>
      <c r="AC75" s="536">
        <f>'3. Scrap (GC)'!L22</f>
        <v>0</v>
      </c>
      <c r="AD75" s="536">
        <f>'3. Scrap (GC)'!M22</f>
        <v>0</v>
      </c>
      <c r="AE75" s="536">
        <f>'3. Scrap (GC)'!N22</f>
        <v>0</v>
      </c>
      <c r="AF75" s="536">
        <f>'3. Scrap (GC)'!O22</f>
        <v>0</v>
      </c>
      <c r="AG75" s="536">
        <f>'3. Scrap (GC)'!P22</f>
        <v>0</v>
      </c>
      <c r="AH75" s="536">
        <f>'3. Scrap (GC)'!Q22</f>
        <v>0</v>
      </c>
      <c r="AI75" s="535"/>
      <c r="AJ75" s="535"/>
      <c r="AK75" s="535"/>
      <c r="AL75" s="535"/>
      <c r="AM75" s="535"/>
      <c r="AN75" s="536" t="str">
        <f>'3. Scrap (GC)'!B22</f>
        <v>Area 6</v>
      </c>
      <c r="AO75" s="451" t="str">
        <f>'3. Scrap (GC)'!W22</f>
        <v/>
      </c>
      <c r="AP75" s="451">
        <v>49</v>
      </c>
      <c r="AQ75" s="451" t="str">
        <f>Settings!$A$1</f>
        <v>V2</v>
      </c>
    </row>
    <row r="76" spans="1:43" ht="12.75" customHeight="1" x14ac:dyDescent="0.2">
      <c r="A76" s="451">
        <f>'Input-FX Rates'!$C$4</f>
        <v>242</v>
      </c>
      <c r="B76" s="451" t="str">
        <f>'Input-FX Rates'!$B$4</f>
        <v>ICH Icheon (242)</v>
      </c>
      <c r="C76" s="451">
        <f>'Input-FX Rates'!$C$6</f>
        <v>780</v>
      </c>
      <c r="D76" s="451" t="str">
        <f>'Input-FX Rates'!$B$6</f>
        <v>780 BU Controls</v>
      </c>
      <c r="E76" s="451" t="str">
        <f>'Input-FX Rates'!$C$5</f>
        <v>7851</v>
      </c>
      <c r="F76" s="451" t="str">
        <f>'Input-FX Rates'!$B$5</f>
        <v>7851 PL eMotor Controls</v>
      </c>
      <c r="G76" s="451" t="s">
        <v>539</v>
      </c>
      <c r="H76" s="451" t="s">
        <v>1014</v>
      </c>
      <c r="I76" s="535"/>
      <c r="J76" s="535"/>
      <c r="K76" s="536">
        <f>'3. Scrap (GC)'!C23</f>
        <v>0</v>
      </c>
      <c r="L76" s="536">
        <f>'3. Scrap (GC)'!E23</f>
        <v>0</v>
      </c>
      <c r="M76" s="535"/>
      <c r="N76" s="535"/>
      <c r="O76" s="536">
        <f>'3. Scrap (GC)'!R23</f>
        <v>0</v>
      </c>
      <c r="P76" s="536">
        <f>'3. Scrap (GC)'!S23</f>
        <v>0</v>
      </c>
      <c r="Q76" s="535"/>
      <c r="R76" s="535"/>
      <c r="S76" s="535"/>
      <c r="T76" s="535"/>
      <c r="U76" s="535"/>
      <c r="V76" s="535"/>
      <c r="W76" s="536">
        <f>'3. Scrap (GC)'!F23</f>
        <v>0</v>
      </c>
      <c r="X76" s="536">
        <f>'3. Scrap (GC)'!G23</f>
        <v>0</v>
      </c>
      <c r="Y76" s="536">
        <f>'3. Scrap (GC)'!H23</f>
        <v>0</v>
      </c>
      <c r="Z76" s="536">
        <f>'3. Scrap (GC)'!I23</f>
        <v>0</v>
      </c>
      <c r="AA76" s="536">
        <f>'3. Scrap (GC)'!J23</f>
        <v>0</v>
      </c>
      <c r="AB76" s="536">
        <f>'3. Scrap (GC)'!K23</f>
        <v>0</v>
      </c>
      <c r="AC76" s="536">
        <f>'3. Scrap (GC)'!L23</f>
        <v>0</v>
      </c>
      <c r="AD76" s="536">
        <f>'3. Scrap (GC)'!M23</f>
        <v>0</v>
      </c>
      <c r="AE76" s="536">
        <f>'3. Scrap (GC)'!N23</f>
        <v>0</v>
      </c>
      <c r="AF76" s="536">
        <f>'3. Scrap (GC)'!O23</f>
        <v>0</v>
      </c>
      <c r="AG76" s="536">
        <f>'3. Scrap (GC)'!P23</f>
        <v>0</v>
      </c>
      <c r="AH76" s="536">
        <f>'3. Scrap (GC)'!Q23</f>
        <v>0</v>
      </c>
      <c r="AI76" s="535"/>
      <c r="AJ76" s="535"/>
      <c r="AK76" s="535"/>
      <c r="AL76" s="535"/>
      <c r="AM76" s="535"/>
      <c r="AN76" s="536" t="str">
        <f>'3. Scrap (GC)'!B23</f>
        <v>Area 6</v>
      </c>
      <c r="AO76" s="451" t="str">
        <f>'3. Scrap (GC)'!W23</f>
        <v/>
      </c>
      <c r="AP76" s="451">
        <v>50</v>
      </c>
      <c r="AQ76" s="451" t="str">
        <f>Settings!$A$1</f>
        <v>V2</v>
      </c>
    </row>
    <row r="77" spans="1:43" ht="12.75" customHeight="1" x14ac:dyDescent="0.2">
      <c r="A77" s="451">
        <f>'Input-FX Rates'!$C$4</f>
        <v>242</v>
      </c>
      <c r="B77" s="451" t="str">
        <f>'Input-FX Rates'!$B$4</f>
        <v>ICH Icheon (242)</v>
      </c>
      <c r="C77" s="451">
        <f>'Input-FX Rates'!$C$6</f>
        <v>780</v>
      </c>
      <c r="D77" s="451" t="str">
        <f>'Input-FX Rates'!$B$6</f>
        <v>780 BU Controls</v>
      </c>
      <c r="E77" s="451" t="str">
        <f>'Input-FX Rates'!$C$5</f>
        <v>7851</v>
      </c>
      <c r="F77" s="451" t="str">
        <f>'Input-FX Rates'!$B$5</f>
        <v>7851 PL eMotor Controls</v>
      </c>
      <c r="G77" s="451" t="s">
        <v>539</v>
      </c>
      <c r="H77" s="451" t="s">
        <v>1016</v>
      </c>
      <c r="I77" s="535"/>
      <c r="J77" s="535"/>
      <c r="K77" s="536">
        <f>'3. Scrap (GC)'!C25</f>
        <v>0</v>
      </c>
      <c r="L77" s="536">
        <f>'3. Scrap (GC)'!E25</f>
        <v>0</v>
      </c>
      <c r="M77" s="535"/>
      <c r="N77" s="535"/>
      <c r="O77" s="536">
        <f>'3. Scrap (GC)'!R25</f>
        <v>0</v>
      </c>
      <c r="P77" s="536">
        <f>'3. Scrap (GC)'!S25</f>
        <v>0</v>
      </c>
      <c r="Q77" s="535"/>
      <c r="R77" s="535"/>
      <c r="S77" s="535"/>
      <c r="T77" s="535"/>
      <c r="U77" s="535"/>
      <c r="V77" s="535"/>
      <c r="W77" s="536">
        <f>'3. Scrap (GC)'!F25</f>
        <v>0</v>
      </c>
      <c r="X77" s="536">
        <f>'3. Scrap (GC)'!G25</f>
        <v>0</v>
      </c>
      <c r="Y77" s="536">
        <f>'3. Scrap (GC)'!H25</f>
        <v>0</v>
      </c>
      <c r="Z77" s="536">
        <f>'3. Scrap (GC)'!I25</f>
        <v>0</v>
      </c>
      <c r="AA77" s="536">
        <f>'3. Scrap (GC)'!J25</f>
        <v>0</v>
      </c>
      <c r="AB77" s="536">
        <f>'3. Scrap (GC)'!K25</f>
        <v>0</v>
      </c>
      <c r="AC77" s="536">
        <f>'3. Scrap (GC)'!L25</f>
        <v>0</v>
      </c>
      <c r="AD77" s="536">
        <f>'3. Scrap (GC)'!M25</f>
        <v>0</v>
      </c>
      <c r="AE77" s="536">
        <f>'3. Scrap (GC)'!N25</f>
        <v>0</v>
      </c>
      <c r="AF77" s="536">
        <f>'3. Scrap (GC)'!O25</f>
        <v>0</v>
      </c>
      <c r="AG77" s="536">
        <f>'3. Scrap (GC)'!P25</f>
        <v>0</v>
      </c>
      <c r="AH77" s="536">
        <f>'3. Scrap (GC)'!Q25</f>
        <v>0</v>
      </c>
      <c r="AI77" s="535"/>
      <c r="AJ77" s="535"/>
      <c r="AK77" s="535"/>
      <c r="AL77" s="535"/>
      <c r="AM77" s="535"/>
      <c r="AN77" s="536" t="str">
        <f>'3. Scrap (GC)'!B25</f>
        <v>Area 7</v>
      </c>
      <c r="AO77" s="536" t="str">
        <f>'3. Scrap (GC)'!W25</f>
        <v/>
      </c>
      <c r="AP77" s="451">
        <v>1501</v>
      </c>
      <c r="AQ77" s="451" t="str">
        <f>Settings!$A$1</f>
        <v>V2</v>
      </c>
    </row>
    <row r="78" spans="1:43" ht="12.75" customHeight="1" x14ac:dyDescent="0.2">
      <c r="A78" s="451">
        <f>'Input-FX Rates'!$C$4</f>
        <v>242</v>
      </c>
      <c r="B78" s="451" t="str">
        <f>'Input-FX Rates'!$B$4</f>
        <v>ICH Icheon (242)</v>
      </c>
      <c r="C78" s="451">
        <f>'Input-FX Rates'!$C$6</f>
        <v>780</v>
      </c>
      <c r="D78" s="451" t="str">
        <f>'Input-FX Rates'!$B$6</f>
        <v>780 BU Controls</v>
      </c>
      <c r="E78" s="451" t="str">
        <f>'Input-FX Rates'!$C$5</f>
        <v>7851</v>
      </c>
      <c r="F78" s="451" t="str">
        <f>'Input-FX Rates'!$B$5</f>
        <v>7851 PL eMotor Controls</v>
      </c>
      <c r="G78" s="451" t="s">
        <v>539</v>
      </c>
      <c r="H78" s="451" t="s">
        <v>1017</v>
      </c>
      <c r="I78" s="535"/>
      <c r="J78" s="535"/>
      <c r="K78" s="536">
        <f>'3. Scrap (GC)'!C26</f>
        <v>0</v>
      </c>
      <c r="L78" s="536">
        <f>'3. Scrap (GC)'!E26</f>
        <v>0</v>
      </c>
      <c r="M78" s="535"/>
      <c r="N78" s="535"/>
      <c r="O78" s="536">
        <f>'3. Scrap (GC)'!R26</f>
        <v>0</v>
      </c>
      <c r="P78" s="536">
        <f>'3. Scrap (GC)'!S26</f>
        <v>0</v>
      </c>
      <c r="Q78" s="535"/>
      <c r="R78" s="535"/>
      <c r="S78" s="535"/>
      <c r="T78" s="535"/>
      <c r="U78" s="535"/>
      <c r="V78" s="535"/>
      <c r="W78" s="536">
        <f>'3. Scrap (GC)'!F26</f>
        <v>0</v>
      </c>
      <c r="X78" s="536">
        <f>'3. Scrap (GC)'!G26</f>
        <v>0</v>
      </c>
      <c r="Y78" s="536">
        <f>'3. Scrap (GC)'!H26</f>
        <v>0</v>
      </c>
      <c r="Z78" s="536">
        <f>'3. Scrap (GC)'!I26</f>
        <v>0</v>
      </c>
      <c r="AA78" s="536">
        <f>'3. Scrap (GC)'!J26</f>
        <v>0</v>
      </c>
      <c r="AB78" s="536">
        <f>'3. Scrap (GC)'!K26</f>
        <v>0</v>
      </c>
      <c r="AC78" s="536">
        <f>'3. Scrap (GC)'!L26</f>
        <v>0</v>
      </c>
      <c r="AD78" s="536">
        <f>'3. Scrap (GC)'!M26</f>
        <v>0</v>
      </c>
      <c r="AE78" s="536">
        <f>'3. Scrap (GC)'!N26</f>
        <v>0</v>
      </c>
      <c r="AF78" s="536">
        <f>'3. Scrap (GC)'!O26</f>
        <v>0</v>
      </c>
      <c r="AG78" s="536">
        <f>'3. Scrap (GC)'!P26</f>
        <v>0</v>
      </c>
      <c r="AH78" s="536">
        <f>'3. Scrap (GC)'!Q26</f>
        <v>0</v>
      </c>
      <c r="AI78" s="535"/>
      <c r="AJ78" s="535"/>
      <c r="AK78" s="535"/>
      <c r="AL78" s="535"/>
      <c r="AM78" s="535"/>
      <c r="AN78" s="536" t="str">
        <f>'3. Scrap (GC)'!B26</f>
        <v>Area 7</v>
      </c>
      <c r="AO78" s="536" t="str">
        <f>'3. Scrap (GC)'!W26</f>
        <v/>
      </c>
      <c r="AP78" s="451">
        <v>1502</v>
      </c>
      <c r="AQ78" s="451" t="str">
        <f>Settings!$A$1</f>
        <v>V2</v>
      </c>
    </row>
    <row r="79" spans="1:43" ht="12.75" customHeight="1" x14ac:dyDescent="0.2">
      <c r="A79" s="451">
        <f>'Input-FX Rates'!$C$4</f>
        <v>242</v>
      </c>
      <c r="B79" s="451" t="str">
        <f>'Input-FX Rates'!$B$4</f>
        <v>ICH Icheon (242)</v>
      </c>
      <c r="C79" s="451">
        <f>'Input-FX Rates'!$C$6</f>
        <v>780</v>
      </c>
      <c r="D79" s="451" t="str">
        <f>'Input-FX Rates'!$B$6</f>
        <v>780 BU Controls</v>
      </c>
      <c r="E79" s="451" t="str">
        <f>'Input-FX Rates'!$C$5</f>
        <v>7851</v>
      </c>
      <c r="F79" s="451" t="str">
        <f>'Input-FX Rates'!$B$5</f>
        <v>7851 PL eMotor Controls</v>
      </c>
      <c r="G79" s="451" t="s">
        <v>539</v>
      </c>
      <c r="H79" s="451" t="s">
        <v>1018</v>
      </c>
      <c r="I79" s="535"/>
      <c r="J79" s="535"/>
      <c r="K79" s="536">
        <f>'3. Scrap (GC)'!C28</f>
        <v>0</v>
      </c>
      <c r="L79" s="536">
        <f>'3. Scrap (GC)'!E28</f>
        <v>0</v>
      </c>
      <c r="M79" s="535"/>
      <c r="N79" s="535"/>
      <c r="O79" s="536">
        <f>'3. Scrap (GC)'!R28</f>
        <v>0</v>
      </c>
      <c r="P79" s="536">
        <f>'3. Scrap (GC)'!S28</f>
        <v>0</v>
      </c>
      <c r="Q79" s="535"/>
      <c r="R79" s="535"/>
      <c r="S79" s="535"/>
      <c r="T79" s="535"/>
      <c r="U79" s="535"/>
      <c r="V79" s="535"/>
      <c r="W79" s="536">
        <f>'3. Scrap (GC)'!F28</f>
        <v>0</v>
      </c>
      <c r="X79" s="536">
        <f>'3. Scrap (GC)'!G28</f>
        <v>0</v>
      </c>
      <c r="Y79" s="536">
        <f>'3. Scrap (GC)'!H28</f>
        <v>0</v>
      </c>
      <c r="Z79" s="536">
        <f>'3. Scrap (GC)'!I28</f>
        <v>0</v>
      </c>
      <c r="AA79" s="536">
        <f>'3. Scrap (GC)'!J28</f>
        <v>0</v>
      </c>
      <c r="AB79" s="536">
        <f>'3. Scrap (GC)'!K28</f>
        <v>0</v>
      </c>
      <c r="AC79" s="536">
        <f>'3. Scrap (GC)'!L28</f>
        <v>0</v>
      </c>
      <c r="AD79" s="536">
        <f>'3. Scrap (GC)'!M28</f>
        <v>0</v>
      </c>
      <c r="AE79" s="536">
        <f>'3. Scrap (GC)'!N28</f>
        <v>0</v>
      </c>
      <c r="AF79" s="536">
        <f>'3. Scrap (GC)'!O28</f>
        <v>0</v>
      </c>
      <c r="AG79" s="536">
        <f>'3. Scrap (GC)'!P28</f>
        <v>0</v>
      </c>
      <c r="AH79" s="536">
        <f>'3. Scrap (GC)'!Q28</f>
        <v>0</v>
      </c>
      <c r="AI79" s="535"/>
      <c r="AJ79" s="535"/>
      <c r="AK79" s="535"/>
      <c r="AL79" s="535"/>
      <c r="AM79" s="535"/>
      <c r="AN79" s="536" t="str">
        <f>'3. Scrap (GC)'!B28</f>
        <v>Area 8</v>
      </c>
      <c r="AO79" s="536" t="str">
        <f>'3. Scrap (GC)'!W28</f>
        <v/>
      </c>
      <c r="AP79" s="451">
        <v>1503</v>
      </c>
      <c r="AQ79" s="451" t="str">
        <f>Settings!$A$1</f>
        <v>V2</v>
      </c>
    </row>
    <row r="80" spans="1:43" ht="12.75" customHeight="1" x14ac:dyDescent="0.2">
      <c r="A80" s="451">
        <f>'Input-FX Rates'!$C$4</f>
        <v>242</v>
      </c>
      <c r="B80" s="451" t="str">
        <f>'Input-FX Rates'!$B$4</f>
        <v>ICH Icheon (242)</v>
      </c>
      <c r="C80" s="451">
        <f>'Input-FX Rates'!$C$6</f>
        <v>780</v>
      </c>
      <c r="D80" s="451" t="str">
        <f>'Input-FX Rates'!$B$6</f>
        <v>780 BU Controls</v>
      </c>
      <c r="E80" s="451" t="str">
        <f>'Input-FX Rates'!$C$5</f>
        <v>7851</v>
      </c>
      <c r="F80" s="451" t="str">
        <f>'Input-FX Rates'!$B$5</f>
        <v>7851 PL eMotor Controls</v>
      </c>
      <c r="G80" s="451" t="s">
        <v>539</v>
      </c>
      <c r="H80" s="451" t="s">
        <v>1019</v>
      </c>
      <c r="I80" s="535"/>
      <c r="J80" s="535"/>
      <c r="K80" s="536">
        <f>'3. Scrap (GC)'!C29</f>
        <v>0</v>
      </c>
      <c r="L80" s="536">
        <f>'3. Scrap (GC)'!E29</f>
        <v>0</v>
      </c>
      <c r="M80" s="535"/>
      <c r="N80" s="535"/>
      <c r="O80" s="536">
        <f>'3. Scrap (GC)'!R29</f>
        <v>0</v>
      </c>
      <c r="P80" s="536">
        <f>'3. Scrap (GC)'!S29</f>
        <v>0</v>
      </c>
      <c r="Q80" s="535"/>
      <c r="R80" s="535"/>
      <c r="S80" s="535"/>
      <c r="T80" s="535"/>
      <c r="U80" s="535"/>
      <c r="V80" s="535"/>
      <c r="W80" s="536">
        <f>'3. Scrap (GC)'!F29</f>
        <v>0</v>
      </c>
      <c r="X80" s="536">
        <f>'3. Scrap (GC)'!G29</f>
        <v>0</v>
      </c>
      <c r="Y80" s="536">
        <f>'3. Scrap (GC)'!H29</f>
        <v>0</v>
      </c>
      <c r="Z80" s="536">
        <f>'3. Scrap (GC)'!I29</f>
        <v>0</v>
      </c>
      <c r="AA80" s="536">
        <f>'3. Scrap (GC)'!J29</f>
        <v>0</v>
      </c>
      <c r="AB80" s="536">
        <f>'3. Scrap (GC)'!K29</f>
        <v>0</v>
      </c>
      <c r="AC80" s="536">
        <f>'3. Scrap (GC)'!L29</f>
        <v>0</v>
      </c>
      <c r="AD80" s="536">
        <f>'3. Scrap (GC)'!M29</f>
        <v>0</v>
      </c>
      <c r="AE80" s="536">
        <f>'3. Scrap (GC)'!N29</f>
        <v>0</v>
      </c>
      <c r="AF80" s="536">
        <f>'3. Scrap (GC)'!O29</f>
        <v>0</v>
      </c>
      <c r="AG80" s="536">
        <f>'3. Scrap (GC)'!P29</f>
        <v>0</v>
      </c>
      <c r="AH80" s="536">
        <f>'3. Scrap (GC)'!Q29</f>
        <v>0</v>
      </c>
      <c r="AI80" s="535"/>
      <c r="AJ80" s="535"/>
      <c r="AK80" s="535"/>
      <c r="AL80" s="535"/>
      <c r="AM80" s="535"/>
      <c r="AN80" s="536" t="str">
        <f>'3. Scrap (GC)'!B29</f>
        <v>Area 8</v>
      </c>
      <c r="AO80" s="536" t="str">
        <f>'3. Scrap (GC)'!W29</f>
        <v/>
      </c>
      <c r="AP80" s="451">
        <v>1504</v>
      </c>
      <c r="AQ80" s="451" t="str">
        <f>Settings!$A$1</f>
        <v>V2</v>
      </c>
    </row>
    <row r="81" spans="1:43" ht="12.75" customHeight="1" x14ac:dyDescent="0.2">
      <c r="A81" s="451">
        <f>'Input-FX Rates'!$C$4</f>
        <v>242</v>
      </c>
      <c r="B81" s="451" t="str">
        <f>'Input-FX Rates'!$B$4</f>
        <v>ICH Icheon (242)</v>
      </c>
      <c r="C81" s="451">
        <f>'Input-FX Rates'!$C$6</f>
        <v>780</v>
      </c>
      <c r="D81" s="451" t="str">
        <f>'Input-FX Rates'!$B$6</f>
        <v>780 BU Controls</v>
      </c>
      <c r="E81" s="451" t="str">
        <f>'Input-FX Rates'!$C$5</f>
        <v>7851</v>
      </c>
      <c r="F81" s="451" t="str">
        <f>'Input-FX Rates'!$B$5</f>
        <v>7851 PL eMotor Controls</v>
      </c>
      <c r="G81" s="451" t="s">
        <v>539</v>
      </c>
      <c r="H81" s="451" t="s">
        <v>1020</v>
      </c>
      <c r="I81" s="535"/>
      <c r="J81" s="535"/>
      <c r="K81" s="536">
        <f>'3. Scrap (GC)'!C31</f>
        <v>0</v>
      </c>
      <c r="L81" s="536">
        <f>'3. Scrap (GC)'!E31</f>
        <v>0</v>
      </c>
      <c r="M81" s="535"/>
      <c r="N81" s="535"/>
      <c r="O81" s="536">
        <f>'3. Scrap (GC)'!R31</f>
        <v>0</v>
      </c>
      <c r="P81" s="536">
        <f>'3. Scrap (GC)'!S31</f>
        <v>0</v>
      </c>
      <c r="Q81" s="535"/>
      <c r="R81" s="535"/>
      <c r="S81" s="535"/>
      <c r="T81" s="535"/>
      <c r="U81" s="535"/>
      <c r="V81" s="535"/>
      <c r="W81" s="536">
        <f>'3. Scrap (GC)'!F31</f>
        <v>0</v>
      </c>
      <c r="X81" s="536">
        <f>'3. Scrap (GC)'!G31</f>
        <v>0</v>
      </c>
      <c r="Y81" s="536">
        <f>'3. Scrap (GC)'!H31</f>
        <v>0</v>
      </c>
      <c r="Z81" s="536">
        <f>'3. Scrap (GC)'!I31</f>
        <v>0</v>
      </c>
      <c r="AA81" s="536">
        <f>'3. Scrap (GC)'!J31</f>
        <v>0</v>
      </c>
      <c r="AB81" s="536">
        <f>'3. Scrap (GC)'!K31</f>
        <v>0</v>
      </c>
      <c r="AC81" s="536">
        <f>'3. Scrap (GC)'!L31</f>
        <v>0</v>
      </c>
      <c r="AD81" s="536">
        <f>'3. Scrap (GC)'!M31</f>
        <v>0</v>
      </c>
      <c r="AE81" s="536">
        <f>'3. Scrap (GC)'!N31</f>
        <v>0</v>
      </c>
      <c r="AF81" s="536">
        <f>'3. Scrap (GC)'!O31</f>
        <v>0</v>
      </c>
      <c r="AG81" s="536">
        <f>'3. Scrap (GC)'!P31</f>
        <v>0</v>
      </c>
      <c r="AH81" s="536">
        <f>'3. Scrap (GC)'!Q31</f>
        <v>0</v>
      </c>
      <c r="AI81" s="535"/>
      <c r="AJ81" s="535"/>
      <c r="AK81" s="535"/>
      <c r="AL81" s="535"/>
      <c r="AM81" s="535"/>
      <c r="AN81" s="536" t="str">
        <f>'3. Scrap (GC)'!B31</f>
        <v>Area 9</v>
      </c>
      <c r="AO81" s="536" t="str">
        <f>'3. Scrap (GC)'!W31</f>
        <v/>
      </c>
      <c r="AP81" s="451">
        <v>1505</v>
      </c>
      <c r="AQ81" s="451" t="str">
        <f>Settings!$A$1</f>
        <v>V2</v>
      </c>
    </row>
    <row r="82" spans="1:43" ht="12.75" customHeight="1" x14ac:dyDescent="0.2">
      <c r="A82" s="451">
        <f>'Input-FX Rates'!$C$4</f>
        <v>242</v>
      </c>
      <c r="B82" s="451" t="str">
        <f>'Input-FX Rates'!$B$4</f>
        <v>ICH Icheon (242)</v>
      </c>
      <c r="C82" s="451">
        <f>'Input-FX Rates'!$C$6</f>
        <v>780</v>
      </c>
      <c r="D82" s="451" t="str">
        <f>'Input-FX Rates'!$B$6</f>
        <v>780 BU Controls</v>
      </c>
      <c r="E82" s="451" t="str">
        <f>'Input-FX Rates'!$C$5</f>
        <v>7851</v>
      </c>
      <c r="F82" s="451" t="str">
        <f>'Input-FX Rates'!$B$5</f>
        <v>7851 PL eMotor Controls</v>
      </c>
      <c r="G82" s="451" t="s">
        <v>539</v>
      </c>
      <c r="H82" s="451" t="s">
        <v>1021</v>
      </c>
      <c r="I82" s="535"/>
      <c r="J82" s="535"/>
      <c r="K82" s="536">
        <f>'3. Scrap (GC)'!C32</f>
        <v>0</v>
      </c>
      <c r="L82" s="536">
        <f>'3. Scrap (GC)'!E32</f>
        <v>0</v>
      </c>
      <c r="M82" s="535"/>
      <c r="N82" s="535"/>
      <c r="O82" s="536">
        <f>'3. Scrap (GC)'!R32</f>
        <v>0</v>
      </c>
      <c r="P82" s="536">
        <f>'3. Scrap (GC)'!S32</f>
        <v>0</v>
      </c>
      <c r="Q82" s="535"/>
      <c r="R82" s="535"/>
      <c r="S82" s="535"/>
      <c r="T82" s="535"/>
      <c r="U82" s="535"/>
      <c r="V82" s="535"/>
      <c r="W82" s="536">
        <f>'3. Scrap (GC)'!F32</f>
        <v>0</v>
      </c>
      <c r="X82" s="536">
        <f>'3. Scrap (GC)'!G32</f>
        <v>0</v>
      </c>
      <c r="Y82" s="536">
        <f>'3. Scrap (GC)'!H32</f>
        <v>0</v>
      </c>
      <c r="Z82" s="536">
        <f>'3. Scrap (GC)'!I32</f>
        <v>0</v>
      </c>
      <c r="AA82" s="536">
        <f>'3. Scrap (GC)'!J32</f>
        <v>0</v>
      </c>
      <c r="AB82" s="536">
        <f>'3. Scrap (GC)'!K32</f>
        <v>0</v>
      </c>
      <c r="AC82" s="536">
        <f>'3. Scrap (GC)'!L32</f>
        <v>0</v>
      </c>
      <c r="AD82" s="536">
        <f>'3. Scrap (GC)'!M32</f>
        <v>0</v>
      </c>
      <c r="AE82" s="536">
        <f>'3. Scrap (GC)'!N32</f>
        <v>0</v>
      </c>
      <c r="AF82" s="536">
        <f>'3. Scrap (GC)'!O32</f>
        <v>0</v>
      </c>
      <c r="AG82" s="536">
        <f>'3. Scrap (GC)'!P32</f>
        <v>0</v>
      </c>
      <c r="AH82" s="536">
        <f>'3. Scrap (GC)'!Q32</f>
        <v>0</v>
      </c>
      <c r="AI82" s="535"/>
      <c r="AJ82" s="535"/>
      <c r="AK82" s="535"/>
      <c r="AL82" s="535"/>
      <c r="AM82" s="535"/>
      <c r="AN82" s="536" t="str">
        <f>'3. Scrap (GC)'!B32</f>
        <v>Area 9</v>
      </c>
      <c r="AO82" s="536" t="str">
        <f>'3. Scrap (GC)'!W32</f>
        <v/>
      </c>
      <c r="AP82" s="451">
        <v>1506</v>
      </c>
      <c r="AQ82" s="451" t="str">
        <f>Settings!$A$1</f>
        <v>V2</v>
      </c>
    </row>
    <row r="83" spans="1:43" ht="12.75" customHeight="1" x14ac:dyDescent="0.2">
      <c r="A83" s="451">
        <f>'Input-FX Rates'!$C$4</f>
        <v>242</v>
      </c>
      <c r="B83" s="451" t="str">
        <f>'Input-FX Rates'!$B$4</f>
        <v>ICH Icheon (242)</v>
      </c>
      <c r="C83" s="451">
        <f>'Input-FX Rates'!$C$6</f>
        <v>780</v>
      </c>
      <c r="D83" s="451" t="str">
        <f>'Input-FX Rates'!$B$6</f>
        <v>780 BU Controls</v>
      </c>
      <c r="E83" s="451" t="str">
        <f>'Input-FX Rates'!$C$5</f>
        <v>7851</v>
      </c>
      <c r="F83" s="451" t="str">
        <f>'Input-FX Rates'!$B$5</f>
        <v>7851 PL eMotor Controls</v>
      </c>
      <c r="G83" s="451" t="s">
        <v>539</v>
      </c>
      <c r="H83" s="451" t="s">
        <v>1027</v>
      </c>
      <c r="I83" s="535"/>
      <c r="J83" s="535"/>
      <c r="K83" s="536">
        <f>'3. Scrap (GC)'!C34</f>
        <v>0</v>
      </c>
      <c r="L83" s="536">
        <f>'3. Scrap (GC)'!E34</f>
        <v>0</v>
      </c>
      <c r="M83" s="535"/>
      <c r="N83" s="535"/>
      <c r="O83" s="536">
        <f>'3. Scrap (GC)'!R34</f>
        <v>0</v>
      </c>
      <c r="P83" s="536">
        <f>'3. Scrap (GC)'!S34</f>
        <v>0</v>
      </c>
      <c r="Q83" s="535"/>
      <c r="R83" s="535"/>
      <c r="S83" s="535"/>
      <c r="T83" s="535"/>
      <c r="U83" s="535"/>
      <c r="V83" s="535"/>
      <c r="W83" s="536">
        <f>'3. Scrap (GC)'!F34</f>
        <v>0</v>
      </c>
      <c r="X83" s="536">
        <f>'3. Scrap (GC)'!G34</f>
        <v>0</v>
      </c>
      <c r="Y83" s="536">
        <f>'3. Scrap (GC)'!H34</f>
        <v>0</v>
      </c>
      <c r="Z83" s="536">
        <f>'3. Scrap (GC)'!I34</f>
        <v>0</v>
      </c>
      <c r="AA83" s="536">
        <f>'3. Scrap (GC)'!J34</f>
        <v>0</v>
      </c>
      <c r="AB83" s="536">
        <f>'3. Scrap (GC)'!K34</f>
        <v>0</v>
      </c>
      <c r="AC83" s="536">
        <f>'3. Scrap (GC)'!L34</f>
        <v>0</v>
      </c>
      <c r="AD83" s="536">
        <f>'3. Scrap (GC)'!M34</f>
        <v>0</v>
      </c>
      <c r="AE83" s="536">
        <f>'3. Scrap (GC)'!N34</f>
        <v>0</v>
      </c>
      <c r="AF83" s="536">
        <f>'3. Scrap (GC)'!O34</f>
        <v>0</v>
      </c>
      <c r="AG83" s="536">
        <f>'3. Scrap (GC)'!P34</f>
        <v>0</v>
      </c>
      <c r="AH83" s="536">
        <f>'3. Scrap (GC)'!Q34</f>
        <v>0</v>
      </c>
      <c r="AI83" s="535"/>
      <c r="AJ83" s="535"/>
      <c r="AK83" s="535"/>
      <c r="AL83" s="535"/>
      <c r="AM83" s="535"/>
      <c r="AN83" s="536" t="str">
        <f>'3. Scrap (GC)'!B34</f>
        <v>Area 10</v>
      </c>
      <c r="AO83" s="536" t="str">
        <f>'3. Scrap (GC)'!W34</f>
        <v/>
      </c>
      <c r="AP83" s="451">
        <v>1507</v>
      </c>
      <c r="AQ83" s="451" t="str">
        <f>Settings!$A$1</f>
        <v>V2</v>
      </c>
    </row>
    <row r="84" spans="1:43" ht="12.75" customHeight="1" x14ac:dyDescent="0.2">
      <c r="A84" s="451">
        <f>'Input-FX Rates'!$C$4</f>
        <v>242</v>
      </c>
      <c r="B84" s="451" t="str">
        <f>'Input-FX Rates'!$B$4</f>
        <v>ICH Icheon (242)</v>
      </c>
      <c r="C84" s="451">
        <f>'Input-FX Rates'!$C$6</f>
        <v>780</v>
      </c>
      <c r="D84" s="451" t="str">
        <f>'Input-FX Rates'!$B$6</f>
        <v>780 BU Controls</v>
      </c>
      <c r="E84" s="451" t="str">
        <f>'Input-FX Rates'!$C$5</f>
        <v>7851</v>
      </c>
      <c r="F84" s="451" t="str">
        <f>'Input-FX Rates'!$B$5</f>
        <v>7851 PL eMotor Controls</v>
      </c>
      <c r="G84" s="451" t="s">
        <v>539</v>
      </c>
      <c r="H84" s="451" t="s">
        <v>1025</v>
      </c>
      <c r="I84" s="535"/>
      <c r="J84" s="535"/>
      <c r="K84" s="536">
        <f>'3. Scrap (GC)'!C35</f>
        <v>0</v>
      </c>
      <c r="L84" s="536">
        <f>'3. Scrap (GC)'!E35</f>
        <v>0</v>
      </c>
      <c r="M84" s="535"/>
      <c r="N84" s="535"/>
      <c r="O84" s="536">
        <f>'3. Scrap (GC)'!R35</f>
        <v>0</v>
      </c>
      <c r="P84" s="536">
        <f>'3. Scrap (GC)'!S35</f>
        <v>0</v>
      </c>
      <c r="Q84" s="535"/>
      <c r="R84" s="535"/>
      <c r="S84" s="535"/>
      <c r="T84" s="535"/>
      <c r="U84" s="535"/>
      <c r="V84" s="535"/>
      <c r="W84" s="536">
        <f>'3. Scrap (GC)'!F35</f>
        <v>0</v>
      </c>
      <c r="X84" s="536">
        <f>'3. Scrap (GC)'!G35</f>
        <v>0</v>
      </c>
      <c r="Y84" s="536">
        <f>'3. Scrap (GC)'!H35</f>
        <v>0</v>
      </c>
      <c r="Z84" s="536">
        <f>'3. Scrap (GC)'!I35</f>
        <v>0</v>
      </c>
      <c r="AA84" s="536">
        <f>'3. Scrap (GC)'!J35</f>
        <v>0</v>
      </c>
      <c r="AB84" s="536">
        <f>'3. Scrap (GC)'!K35</f>
        <v>0</v>
      </c>
      <c r="AC84" s="536">
        <f>'3. Scrap (GC)'!L35</f>
        <v>0</v>
      </c>
      <c r="AD84" s="536">
        <f>'3. Scrap (GC)'!M35</f>
        <v>0</v>
      </c>
      <c r="AE84" s="536">
        <f>'3. Scrap (GC)'!N35</f>
        <v>0</v>
      </c>
      <c r="AF84" s="536">
        <f>'3. Scrap (GC)'!O35</f>
        <v>0</v>
      </c>
      <c r="AG84" s="536">
        <f>'3. Scrap (GC)'!P35</f>
        <v>0</v>
      </c>
      <c r="AH84" s="536">
        <f>'3. Scrap (GC)'!Q35</f>
        <v>0</v>
      </c>
      <c r="AI84" s="535"/>
      <c r="AJ84" s="535"/>
      <c r="AK84" s="535"/>
      <c r="AL84" s="535"/>
      <c r="AM84" s="535"/>
      <c r="AN84" s="536" t="str">
        <f>'3. Scrap (GC)'!B35</f>
        <v>Area 10</v>
      </c>
      <c r="AO84" s="536" t="str">
        <f>'3. Scrap (GC)'!W35</f>
        <v/>
      </c>
      <c r="AP84" s="451">
        <v>1508</v>
      </c>
      <c r="AQ84" s="451" t="str">
        <f>Settings!$A$1</f>
        <v>V2</v>
      </c>
    </row>
    <row r="85" spans="1:43" ht="12.75" customHeight="1" x14ac:dyDescent="0.2">
      <c r="A85" s="451">
        <f>'Input-FX Rates'!$C$4</f>
        <v>242</v>
      </c>
      <c r="B85" s="451" t="str">
        <f>'Input-FX Rates'!$B$4</f>
        <v>ICH Icheon (242)</v>
      </c>
      <c r="C85" s="451">
        <f>'Input-FX Rates'!$C$6</f>
        <v>780</v>
      </c>
      <c r="D85" s="451" t="str">
        <f>'Input-FX Rates'!$B$6</f>
        <v>780 BU Controls</v>
      </c>
      <c r="E85" s="451" t="str">
        <f>'Input-FX Rates'!$C$5</f>
        <v>7851</v>
      </c>
      <c r="F85" s="451" t="str">
        <f>'Input-FX Rates'!$B$5</f>
        <v>7851 PL eMotor Controls</v>
      </c>
      <c r="G85" s="451" t="s">
        <v>539</v>
      </c>
      <c r="H85" s="451" t="s">
        <v>263</v>
      </c>
      <c r="I85" s="535"/>
      <c r="J85" s="535"/>
      <c r="K85" s="536">
        <f>'3. Scrap (GC)'!C37</f>
        <v>0</v>
      </c>
      <c r="L85" s="536">
        <f>'3. Scrap (GC)'!E37</f>
        <v>1.2139092867319854E-4</v>
      </c>
      <c r="M85" s="535"/>
      <c r="N85" s="535"/>
      <c r="O85" s="536">
        <f>'3. Scrap (GC)'!R37</f>
        <v>4.0235176301806064E-14</v>
      </c>
      <c r="P85" s="536">
        <f>'3. Scrap (GC)'!S37</f>
        <v>0</v>
      </c>
      <c r="Q85" s="535"/>
      <c r="R85" s="535"/>
      <c r="S85" s="535"/>
      <c r="T85" s="535"/>
      <c r="U85" s="535"/>
      <c r="V85" s="535"/>
      <c r="W85" s="536">
        <f>'3. Scrap (GC)'!F37</f>
        <v>0.18106068965517275</v>
      </c>
      <c r="X85" s="536">
        <f>'3. Scrap (GC)'!G37</f>
        <v>0.11068896551724877</v>
      </c>
      <c r="Y85" s="536">
        <f>'3. Scrap (GC)'!H37</f>
        <v>1.6422068965520936E-2</v>
      </c>
      <c r="Z85" s="536">
        <f>'3. Scrap (GC)'!I37</f>
        <v>3.9717931034472964E-2</v>
      </c>
      <c r="AA85" s="536">
        <f>'3. Scrap (GC)'!J37</f>
        <v>-1.4019310344813456E-2</v>
      </c>
      <c r="AB85" s="536">
        <f>'3. Scrap (GC)'!K37</f>
        <v>-7.1230344827575925E-2</v>
      </c>
      <c r="AC85" s="536">
        <f>'3. Scrap (GC)'!L37</f>
        <v>4.33965517241299E-2</v>
      </c>
      <c r="AD85" s="536">
        <f>'3. Scrap (GC)'!M37</f>
        <v>-0.15716275862068868</v>
      </c>
      <c r="AE85" s="536">
        <f>'3. Scrap (GC)'!N37</f>
        <v>-0.10092344827586705</v>
      </c>
      <c r="AF85" s="536">
        <f>'3. Scrap (GC)'!O37</f>
        <v>-1.5983448275846655E-2</v>
      </c>
      <c r="AG85" s="536">
        <f>'3. Scrap (GC)'!P37</f>
        <v>-1.5983448275846655E-2</v>
      </c>
      <c r="AH85" s="536">
        <f>'3. Scrap (GC)'!Q37</f>
        <v>-1.5983448275866726E-2</v>
      </c>
      <c r="AI85" s="535"/>
      <c r="AJ85" s="535"/>
      <c r="AK85" s="535"/>
      <c r="AL85" s="535"/>
      <c r="AM85" s="535"/>
      <c r="AN85" s="536" t="str">
        <f>'3. Scrap (GC)'!B37</f>
        <v>All Other</v>
      </c>
      <c r="AO85" s="536" t="str">
        <f>'3. Scrap (GC)'!W37</f>
        <v/>
      </c>
      <c r="AP85" s="451">
        <v>1509</v>
      </c>
      <c r="AQ85" s="451" t="str">
        <f>Settings!$A$1</f>
        <v>V2</v>
      </c>
    </row>
    <row r="86" spans="1:43" ht="12.75" customHeight="1" x14ac:dyDescent="0.2">
      <c r="A86" s="451">
        <f>'Input-FX Rates'!$C$4</f>
        <v>242</v>
      </c>
      <c r="B86" s="451" t="str">
        <f>'Input-FX Rates'!$B$4</f>
        <v>ICH Icheon (242)</v>
      </c>
      <c r="C86" s="451">
        <f>'Input-FX Rates'!$C$6</f>
        <v>780</v>
      </c>
      <c r="D86" s="451" t="str">
        <f>'Input-FX Rates'!$B$6</f>
        <v>780 BU Controls</v>
      </c>
      <c r="E86" s="451" t="str">
        <f>'Input-FX Rates'!$C$5</f>
        <v>7851</v>
      </c>
      <c r="F86" s="451" t="str">
        <f>'Input-FX Rates'!$B$5</f>
        <v>7851 PL eMotor Controls</v>
      </c>
      <c r="G86" s="451" t="s">
        <v>539</v>
      </c>
      <c r="H86" s="451" t="s">
        <v>262</v>
      </c>
      <c r="I86" s="535"/>
      <c r="J86" s="535"/>
      <c r="K86" s="536">
        <f>'3. Scrap (GC)'!C38</f>
        <v>75.478995730017346</v>
      </c>
      <c r="L86" s="536">
        <f>'3. Scrap (GC)'!E38</f>
        <v>8434.8324284191967</v>
      </c>
      <c r="M86" s="535"/>
      <c r="N86" s="535"/>
      <c r="O86" s="536">
        <f>'3. Scrap (GC)'!R38</f>
        <v>4340.8601048077644</v>
      </c>
      <c r="P86" s="536">
        <f>'3. Scrap (GC)'!S38</f>
        <v>0</v>
      </c>
      <c r="Q86" s="535"/>
      <c r="R86" s="535"/>
      <c r="S86" s="535"/>
      <c r="T86" s="535"/>
      <c r="U86" s="535"/>
      <c r="V86" s="535"/>
      <c r="W86" s="536">
        <f>'3. Scrap (GC)'!F38</f>
        <v>347.69000786123735</v>
      </c>
      <c r="X86" s="536">
        <f>'3. Scrap (GC)'!G38</f>
        <v>370.67455129849242</v>
      </c>
      <c r="Y86" s="536">
        <f>'3. Scrap (GC)'!H38</f>
        <v>363.00636277822201</v>
      </c>
      <c r="Z86" s="536">
        <f>'3. Scrap (GC)'!I38</f>
        <v>355.35819588551232</v>
      </c>
      <c r="AA86" s="536">
        <f>'3. Scrap (GC)'!J38</f>
        <v>355.35819594723012</v>
      </c>
      <c r="AB86" s="536">
        <f>'3. Scrap (GC)'!K38</f>
        <v>370.67455119975938</v>
      </c>
      <c r="AC86" s="536">
        <f>'3. Scrap (GC)'!L38</f>
        <v>340.02181931530862</v>
      </c>
      <c r="AD86" s="536">
        <f>'3. Scrap (GC)'!M38</f>
        <v>393.65909476823077</v>
      </c>
      <c r="AE86" s="536">
        <f>'3. Scrap (GC)'!N38</f>
        <v>378.34273926367916</v>
      </c>
      <c r="AF86" s="536">
        <f>'3. Scrap (GC)'!O38</f>
        <v>355.35819595646757</v>
      </c>
      <c r="AG86" s="536">
        <f>'3. Scrap (GC)'!P38</f>
        <v>355.35819595646757</v>
      </c>
      <c r="AH86" s="536">
        <f>'3. Scrap (GC)'!Q38</f>
        <v>355.35819457715701</v>
      </c>
      <c r="AI86" s="535"/>
      <c r="AJ86" s="535"/>
      <c r="AK86" s="535"/>
      <c r="AL86" s="535"/>
      <c r="AM86" s="535"/>
      <c r="AN86" s="536" t="str">
        <f>'3. Scrap (GC)'!B38</f>
        <v>All Other</v>
      </c>
      <c r="AO86" s="536" t="str">
        <f>'3. Scrap (GC)'!W38</f>
        <v>Merchandise and one time support raw materials
FC7+5 : REACT target 7.3M, Broker reimbursement 747K and MECR</v>
      </c>
      <c r="AP86" s="451">
        <v>1510</v>
      </c>
      <c r="AQ86" s="451" t="str">
        <f>Settings!$A$1</f>
        <v>V2</v>
      </c>
    </row>
    <row r="87" spans="1:43" ht="12.75" customHeight="1" x14ac:dyDescent="0.2">
      <c r="A87" s="451">
        <f>'Input-FX Rates'!$C$4</f>
        <v>242</v>
      </c>
      <c r="B87" s="451" t="str">
        <f>'Input-FX Rates'!$B$4</f>
        <v>ICH Icheon (242)</v>
      </c>
      <c r="C87" s="451">
        <f>'Input-FX Rates'!$C$6</f>
        <v>780</v>
      </c>
      <c r="D87" s="451" t="str">
        <f>'Input-FX Rates'!$B$6</f>
        <v>780 BU Controls</v>
      </c>
      <c r="E87" s="451" t="str">
        <f>'Input-FX Rates'!$C$5</f>
        <v>7851</v>
      </c>
      <c r="F87" s="451" t="str">
        <f>'Input-FX Rates'!$B$5</f>
        <v>7851 PL eMotor Controls</v>
      </c>
      <c r="G87" s="451" t="s">
        <v>539</v>
      </c>
      <c r="H87" s="451" t="s">
        <v>555</v>
      </c>
      <c r="I87" s="535"/>
      <c r="J87" s="535"/>
      <c r="K87" s="536">
        <f>'3. Scrap (GC)'!C40</f>
        <v>-60.975807731717133</v>
      </c>
      <c r="L87" s="536">
        <f>'3. Scrap (GC)'!E40</f>
        <v>-120.3156485406317</v>
      </c>
      <c r="M87" s="535"/>
      <c r="N87" s="535"/>
      <c r="O87" s="536">
        <f>'3. Scrap (GC)'!R40</f>
        <v>-206.45199999999997</v>
      </c>
      <c r="P87" s="536">
        <f>'3. Scrap (GC)'!S40</f>
        <v>0</v>
      </c>
      <c r="Q87" s="535"/>
      <c r="R87" s="535"/>
      <c r="S87" s="535"/>
      <c r="T87" s="535"/>
      <c r="U87" s="535"/>
      <c r="V87" s="535"/>
      <c r="W87" s="536">
        <f>'3. Scrap (GC)'!F40</f>
        <v>-17.646552899298214</v>
      </c>
      <c r="X87" s="536">
        <f>'3. Scrap (GC)'!G40</f>
        <v>-15.737016465663416</v>
      </c>
      <c r="Y87" s="536">
        <f>'3. Scrap (GC)'!H40</f>
        <v>-16.902717561824449</v>
      </c>
      <c r="Z87" s="536">
        <f>'3. Scrap (GC)'!I40</f>
        <v>-17.539914635736881</v>
      </c>
      <c r="AA87" s="536">
        <f>'3. Scrap (GC)'!J40</f>
        <v>-17.842559739594879</v>
      </c>
      <c r="AB87" s="536">
        <f>'3. Scrap (GC)'!K40</f>
        <v>-16.779179729245335</v>
      </c>
      <c r="AC87" s="536">
        <f>'3. Scrap (GC)'!L40</f>
        <v>-18.905781548601098</v>
      </c>
      <c r="AD87" s="536">
        <f>'3. Scrap (GC)'!M40</f>
        <v>-15.184256748399983</v>
      </c>
      <c r="AE87" s="536">
        <f>'3. Scrap (GC)'!N40</f>
        <v>-16.267060208208584</v>
      </c>
      <c r="AF87" s="536">
        <f>'3. Scrap (GC)'!O40</f>
        <v>-17.8823201544757</v>
      </c>
      <c r="AG87" s="536">
        <f>'3. Scrap (GC)'!P40</f>
        <v>-17.8823201544757</v>
      </c>
      <c r="AH87" s="536">
        <f>'3. Scrap (GC)'!Q40</f>
        <v>-17.882320154475718</v>
      </c>
      <c r="AI87" s="535"/>
      <c r="AJ87" s="535"/>
      <c r="AK87" s="535"/>
      <c r="AL87" s="535"/>
      <c r="AM87" s="535"/>
      <c r="AN87" s="541"/>
      <c r="AO87" s="451" t="str">
        <f>'3. Scrap (GC)'!W40</f>
        <v/>
      </c>
      <c r="AP87" s="451">
        <v>51</v>
      </c>
      <c r="AQ87" s="451" t="str">
        <f>Settings!$A$1</f>
        <v>V2</v>
      </c>
    </row>
    <row r="88" spans="1:43" ht="12.75" customHeight="1" x14ac:dyDescent="0.2">
      <c r="A88" s="451">
        <f>'Input-FX Rates'!$C$4</f>
        <v>242</v>
      </c>
      <c r="B88" s="451" t="str">
        <f>'Input-FX Rates'!$B$4</f>
        <v>ICH Icheon (242)</v>
      </c>
      <c r="C88" s="451">
        <f>'Input-FX Rates'!$C$6</f>
        <v>780</v>
      </c>
      <c r="D88" s="451" t="str">
        <f>'Input-FX Rates'!$B$6</f>
        <v>780 BU Controls</v>
      </c>
      <c r="E88" s="451" t="str">
        <f>'Input-FX Rates'!$C$5</f>
        <v>7851</v>
      </c>
      <c r="F88" s="451" t="str">
        <f>'Input-FX Rates'!$B$5</f>
        <v>7851 PL eMotor Controls</v>
      </c>
      <c r="G88" s="451" t="s">
        <v>539</v>
      </c>
      <c r="H88" s="451" t="s">
        <v>554</v>
      </c>
      <c r="I88" s="535"/>
      <c r="J88" s="535"/>
      <c r="K88" s="536">
        <f>'3. Scrap (GC)'!C41</f>
        <v>21227.606072209819</v>
      </c>
      <c r="L88" s="536">
        <f>'3. Scrap (GC)'!E41</f>
        <v>48399.12378399825</v>
      </c>
      <c r="M88" s="535"/>
      <c r="N88" s="535"/>
      <c r="O88" s="536">
        <f>'3. Scrap (GC)'!R41</f>
        <v>50219.047052763883</v>
      </c>
      <c r="P88" s="536">
        <f>'3. Scrap (GC)'!S41</f>
        <v>0</v>
      </c>
      <c r="Q88" s="535"/>
      <c r="R88" s="535"/>
      <c r="S88" s="535"/>
      <c r="T88" s="535"/>
      <c r="U88" s="535"/>
      <c r="V88" s="535"/>
      <c r="W88" s="536">
        <f>'3. Scrap (GC)'!F41</f>
        <v>4309.378870502077</v>
      </c>
      <c r="X88" s="536">
        <f>'3. Scrap (GC)'!G41</f>
        <v>3892.3841616091031</v>
      </c>
      <c r="Y88" s="536">
        <f>'3. Scrap (GC)'!H41</f>
        <v>4122.8122788262899</v>
      </c>
      <c r="Z88" s="536">
        <f>'3. Scrap (GC)'!I41</f>
        <v>4261.9402070780125</v>
      </c>
      <c r="AA88" s="536">
        <f>'3. Scrap (GC)'!J41</f>
        <v>4317.2530229400827</v>
      </c>
      <c r="AB88" s="536">
        <f>'3. Scrap (GC)'!K41</f>
        <v>4083.5493374711755</v>
      </c>
      <c r="AC88" s="536">
        <f>'3. Scrap (GC)'!L41</f>
        <v>4550.9470484089334</v>
      </c>
      <c r="AD88" s="536">
        <f>'3. Scrap (GC)'!M41</f>
        <v>3733.0107471988313</v>
      </c>
      <c r="AE88" s="536">
        <f>'3. Scrap (GC)'!N41</f>
        <v>3970.8148126677579</v>
      </c>
      <c r="AF88" s="536">
        <f>'3. Scrap (GC)'!O41</f>
        <v>4325.6521891469793</v>
      </c>
      <c r="AG88" s="536">
        <f>'3. Scrap (GC)'!P41</f>
        <v>4325.6521891469793</v>
      </c>
      <c r="AH88" s="536">
        <f>'3. Scrap (GC)'!Q41</f>
        <v>4325.6521877676687</v>
      </c>
      <c r="AI88" s="535"/>
      <c r="AJ88" s="535"/>
      <c r="AK88" s="535"/>
      <c r="AL88" s="535"/>
      <c r="AM88" s="535"/>
      <c r="AN88" s="541"/>
      <c r="AO88" s="451" t="str">
        <f>'3. Scrap (GC)'!W41</f>
        <v/>
      </c>
      <c r="AP88" s="451">
        <v>52</v>
      </c>
      <c r="AQ88" s="451" t="str">
        <f>Settings!$A$1</f>
        <v>V2</v>
      </c>
    </row>
    <row r="89" spans="1:43" ht="12.75" customHeight="1" x14ac:dyDescent="0.2">
      <c r="A89" s="451">
        <f>'Input-FX Rates'!$C$4</f>
        <v>242</v>
      </c>
      <c r="B89" s="451" t="str">
        <f>'Input-FX Rates'!$B$4</f>
        <v>ICH Icheon (242)</v>
      </c>
      <c r="C89" s="451">
        <f>'Input-FX Rates'!$C$6</f>
        <v>780</v>
      </c>
      <c r="D89" s="451" t="str">
        <f>'Input-FX Rates'!$B$6</f>
        <v>780 BU Controls</v>
      </c>
      <c r="E89" s="451" t="str">
        <f>'Input-FX Rates'!$C$5</f>
        <v>7851</v>
      </c>
      <c r="F89" s="451" t="str">
        <f>'Input-FX Rates'!$B$5</f>
        <v>7851 PL eMotor Controls</v>
      </c>
      <c r="G89" s="451" t="s">
        <v>539</v>
      </c>
      <c r="H89" s="451" t="s">
        <v>259</v>
      </c>
      <c r="I89" s="535"/>
      <c r="J89" s="535"/>
      <c r="K89" s="536">
        <f>'3. Scrap (GC)'!C45</f>
        <v>0</v>
      </c>
      <c r="L89" s="536">
        <f>'3. Scrap (GC)'!E45</f>
        <v>0</v>
      </c>
      <c r="M89" s="535"/>
      <c r="N89" s="535"/>
      <c r="O89" s="536">
        <f>'3. Scrap (GC)'!R45</f>
        <v>0</v>
      </c>
      <c r="P89" s="536">
        <f>'3. Scrap (GC)'!S45</f>
        <v>0</v>
      </c>
      <c r="Q89" s="535"/>
      <c r="R89" s="535"/>
      <c r="S89" s="535"/>
      <c r="T89" s="535"/>
      <c r="U89" s="535"/>
      <c r="V89" s="535"/>
      <c r="W89" s="536">
        <f>'3. Scrap (GC)'!F45</f>
        <v>0</v>
      </c>
      <c r="X89" s="536">
        <f>'3. Scrap (GC)'!G45</f>
        <v>0</v>
      </c>
      <c r="Y89" s="536">
        <f>'3. Scrap (GC)'!H45</f>
        <v>0</v>
      </c>
      <c r="Z89" s="536">
        <f>'3. Scrap (GC)'!I45</f>
        <v>0</v>
      </c>
      <c r="AA89" s="536">
        <f>'3. Scrap (GC)'!J45</f>
        <v>0</v>
      </c>
      <c r="AB89" s="536">
        <f>'3. Scrap (GC)'!K45</f>
        <v>0</v>
      </c>
      <c r="AC89" s="536">
        <f>'3. Scrap (GC)'!L45</f>
        <v>0</v>
      </c>
      <c r="AD89" s="536">
        <f>'3. Scrap (GC)'!M45</f>
        <v>0</v>
      </c>
      <c r="AE89" s="536">
        <f>'3. Scrap (GC)'!N45</f>
        <v>0</v>
      </c>
      <c r="AF89" s="536">
        <f>'3. Scrap (GC)'!O45</f>
        <v>0</v>
      </c>
      <c r="AG89" s="536">
        <f>'3. Scrap (GC)'!P45</f>
        <v>0</v>
      </c>
      <c r="AH89" s="536">
        <f>'3. Scrap (GC)'!Q45</f>
        <v>0</v>
      </c>
      <c r="AI89" s="535"/>
      <c r="AJ89" s="535"/>
      <c r="AK89" s="535"/>
      <c r="AL89" s="535"/>
      <c r="AM89" s="535"/>
      <c r="AN89" s="541"/>
      <c r="AO89" s="451" t="str">
        <f>'3. Scrap (GC)'!W45</f>
        <v/>
      </c>
      <c r="AP89" s="451">
        <v>53</v>
      </c>
      <c r="AQ89" s="451" t="str">
        <f>Settings!$A$1</f>
        <v>V2</v>
      </c>
    </row>
    <row r="90" spans="1:43" ht="12.75" customHeight="1" x14ac:dyDescent="0.2">
      <c r="A90" s="451">
        <f>'Input-FX Rates'!$C$4</f>
        <v>242</v>
      </c>
      <c r="B90" s="451" t="str">
        <f>'Input-FX Rates'!$B$4</f>
        <v>ICH Icheon (242)</v>
      </c>
      <c r="C90" s="451">
        <f>'Input-FX Rates'!$C$6</f>
        <v>780</v>
      </c>
      <c r="D90" s="451" t="str">
        <f>'Input-FX Rates'!$B$6</f>
        <v>780 BU Controls</v>
      </c>
      <c r="E90" s="451" t="str">
        <f>'Input-FX Rates'!$C$5</f>
        <v>7851</v>
      </c>
      <c r="F90" s="451" t="str">
        <f>'Input-FX Rates'!$B$5</f>
        <v>7851 PL eMotor Controls</v>
      </c>
      <c r="G90" s="451" t="s">
        <v>539</v>
      </c>
      <c r="H90" s="451" t="s">
        <v>258</v>
      </c>
      <c r="I90" s="535"/>
      <c r="J90" s="535"/>
      <c r="K90" s="536">
        <f>'3. Scrap (GC)'!C46</f>
        <v>0</v>
      </c>
      <c r="L90" s="536">
        <f>'3. Scrap (GC)'!E46</f>
        <v>0</v>
      </c>
      <c r="M90" s="535"/>
      <c r="N90" s="535"/>
      <c r="O90" s="536">
        <f>'3. Scrap (GC)'!R46</f>
        <v>0</v>
      </c>
      <c r="P90" s="536">
        <f>'3. Scrap (GC)'!S46</f>
        <v>0</v>
      </c>
      <c r="Q90" s="535"/>
      <c r="R90" s="535"/>
      <c r="S90" s="535"/>
      <c r="T90" s="535"/>
      <c r="U90" s="535"/>
      <c r="V90" s="535"/>
      <c r="W90" s="536">
        <f>'3. Scrap (GC)'!F46</f>
        <v>0</v>
      </c>
      <c r="X90" s="536">
        <f>'3. Scrap (GC)'!G46</f>
        <v>0</v>
      </c>
      <c r="Y90" s="536">
        <f>'3. Scrap (GC)'!H46</f>
        <v>0</v>
      </c>
      <c r="Z90" s="536">
        <f>'3. Scrap (GC)'!I46</f>
        <v>0</v>
      </c>
      <c r="AA90" s="536">
        <f>'3. Scrap (GC)'!J46</f>
        <v>0</v>
      </c>
      <c r="AB90" s="536">
        <f>'3. Scrap (GC)'!K46</f>
        <v>0</v>
      </c>
      <c r="AC90" s="536">
        <f>'3. Scrap (GC)'!L46</f>
        <v>0</v>
      </c>
      <c r="AD90" s="536">
        <f>'3. Scrap (GC)'!M46</f>
        <v>0</v>
      </c>
      <c r="AE90" s="536">
        <f>'3. Scrap (GC)'!N46</f>
        <v>0</v>
      </c>
      <c r="AF90" s="536">
        <f>'3. Scrap (GC)'!O46</f>
        <v>0</v>
      </c>
      <c r="AG90" s="536">
        <f>'3. Scrap (GC)'!P46</f>
        <v>0</v>
      </c>
      <c r="AH90" s="536">
        <f>'3. Scrap (GC)'!Q46</f>
        <v>0</v>
      </c>
      <c r="AI90" s="535"/>
      <c r="AJ90" s="535"/>
      <c r="AK90" s="535"/>
      <c r="AL90" s="535"/>
      <c r="AM90" s="535"/>
      <c r="AN90" s="541"/>
      <c r="AO90" s="451" t="str">
        <f>'3. Scrap (GC)'!W46</f>
        <v/>
      </c>
      <c r="AP90" s="451">
        <v>54</v>
      </c>
      <c r="AQ90" s="451" t="str">
        <f>Settings!$A$1</f>
        <v>V2</v>
      </c>
    </row>
    <row r="91" spans="1:43" ht="12.75" customHeight="1" x14ac:dyDescent="0.2">
      <c r="A91" s="451">
        <f>'Input-FX Rates'!$C$4</f>
        <v>242</v>
      </c>
      <c r="B91" s="451" t="str">
        <f>'Input-FX Rates'!$B$4</f>
        <v>ICH Icheon (242)</v>
      </c>
      <c r="C91" s="451">
        <f>'Input-FX Rates'!$C$6</f>
        <v>780</v>
      </c>
      <c r="D91" s="451" t="str">
        <f>'Input-FX Rates'!$B$6</f>
        <v>780 BU Controls</v>
      </c>
      <c r="E91" s="451" t="str">
        <f>'Input-FX Rates'!$C$5</f>
        <v>7851</v>
      </c>
      <c r="F91" s="451" t="str">
        <f>'Input-FX Rates'!$B$5</f>
        <v>7851 PL eMotor Controls</v>
      </c>
      <c r="G91" s="451" t="s">
        <v>539</v>
      </c>
      <c r="H91" s="451" t="s">
        <v>178</v>
      </c>
      <c r="I91" s="535"/>
      <c r="J91" s="535"/>
      <c r="K91" s="536">
        <f>'3. Scrap (GC)'!C47</f>
        <v>0</v>
      </c>
      <c r="L91" s="536">
        <f>'3. Scrap (GC)'!E47</f>
        <v>0</v>
      </c>
      <c r="M91" s="535"/>
      <c r="N91" s="535"/>
      <c r="O91" s="536">
        <f>'3. Scrap (GC)'!R47</f>
        <v>0</v>
      </c>
      <c r="P91" s="536">
        <f>'3. Scrap (GC)'!S47</f>
        <v>0</v>
      </c>
      <c r="Q91" s="535"/>
      <c r="R91" s="535"/>
      <c r="S91" s="535"/>
      <c r="T91" s="535"/>
      <c r="U91" s="535"/>
      <c r="V91" s="535"/>
      <c r="W91" s="536">
        <f>'3. Scrap (GC)'!F47</f>
        <v>0</v>
      </c>
      <c r="X91" s="536">
        <f>'3. Scrap (GC)'!G47</f>
        <v>0</v>
      </c>
      <c r="Y91" s="536">
        <f>'3. Scrap (GC)'!H47</f>
        <v>0</v>
      </c>
      <c r="Z91" s="536">
        <f>'3. Scrap (GC)'!I47</f>
        <v>0</v>
      </c>
      <c r="AA91" s="536">
        <f>'3. Scrap (GC)'!J47</f>
        <v>0</v>
      </c>
      <c r="AB91" s="536">
        <f>'3. Scrap (GC)'!K47</f>
        <v>0</v>
      </c>
      <c r="AC91" s="536">
        <f>'3. Scrap (GC)'!L47</f>
        <v>0</v>
      </c>
      <c r="AD91" s="536">
        <f>'3. Scrap (GC)'!M47</f>
        <v>0</v>
      </c>
      <c r="AE91" s="536">
        <f>'3. Scrap (GC)'!N47</f>
        <v>0</v>
      </c>
      <c r="AF91" s="536">
        <f>'3. Scrap (GC)'!O47</f>
        <v>0</v>
      </c>
      <c r="AG91" s="536">
        <f>'3. Scrap (GC)'!P47</f>
        <v>0</v>
      </c>
      <c r="AH91" s="536">
        <f>'3. Scrap (GC)'!Q47</f>
        <v>0</v>
      </c>
      <c r="AI91" s="535"/>
      <c r="AJ91" s="535"/>
      <c r="AK91" s="535"/>
      <c r="AL91" s="535"/>
      <c r="AM91" s="535"/>
      <c r="AN91" s="541"/>
      <c r="AO91" s="451" t="str">
        <f>'3. Scrap (GC)'!W47</f>
        <v/>
      </c>
      <c r="AP91" s="451">
        <v>55</v>
      </c>
      <c r="AQ91" s="451" t="str">
        <f>Settings!$A$1</f>
        <v>V2</v>
      </c>
    </row>
    <row r="92" spans="1:43" ht="12.75" customHeight="1" x14ac:dyDescent="0.2">
      <c r="A92" s="451">
        <f>'Input-FX Rates'!$C$4</f>
        <v>242</v>
      </c>
      <c r="B92" s="451" t="str">
        <f>'Input-FX Rates'!$B$4</f>
        <v>ICH Icheon (242)</v>
      </c>
      <c r="C92" s="451">
        <f>'Input-FX Rates'!$C$6</f>
        <v>780</v>
      </c>
      <c r="D92" s="451" t="str">
        <f>'Input-FX Rates'!$B$6</f>
        <v>780 BU Controls</v>
      </c>
      <c r="E92" s="451" t="str">
        <f>'Input-FX Rates'!$C$5</f>
        <v>7851</v>
      </c>
      <c r="F92" s="451" t="str">
        <f>'Input-FX Rates'!$B$5</f>
        <v>7851 PL eMotor Controls</v>
      </c>
      <c r="G92" s="451" t="s">
        <v>539</v>
      </c>
      <c r="H92" s="451" t="s">
        <v>553</v>
      </c>
      <c r="I92" s="535"/>
      <c r="J92" s="535"/>
      <c r="K92" s="536">
        <f>'3. Scrap (GC)'!C50</f>
        <v>-36.172868376845827</v>
      </c>
      <c r="L92" s="536">
        <f>'3. Scrap (GC)'!E50</f>
        <v>-90.844160453374883</v>
      </c>
      <c r="M92" s="535"/>
      <c r="N92" s="535"/>
      <c r="O92" s="536">
        <f>'3. Scrap (GC)'!R50</f>
        <v>-207.65699999999993</v>
      </c>
      <c r="P92" s="536">
        <f>'3. Scrap (GC)'!S50</f>
        <v>0</v>
      </c>
      <c r="Q92" s="535"/>
      <c r="R92" s="535"/>
      <c r="S92" s="535"/>
      <c r="T92" s="535"/>
      <c r="U92" s="535"/>
      <c r="V92" s="535"/>
      <c r="W92" s="536">
        <f>'3. Scrap (GC)'!F50</f>
        <v>-18.878334394895358</v>
      </c>
      <c r="X92" s="536">
        <f>'3. Scrap (GC)'!G50</f>
        <v>-16.303584545621771</v>
      </c>
      <c r="Y92" s="536">
        <f>'3. Scrap (GC)'!H50</f>
        <v>-17.162030534545977</v>
      </c>
      <c r="Z92" s="536">
        <f>'3. Scrap (GC)'!I50</f>
        <v>-18.019586024051257</v>
      </c>
      <c r="AA92" s="536">
        <f>'3. Scrap (GC)'!J50</f>
        <v>-18.019586024051257</v>
      </c>
      <c r="AB92" s="536">
        <f>'3. Scrap (GC)'!K50</f>
        <v>-16.303584545621771</v>
      </c>
      <c r="AC92" s="536">
        <f>'3. Scrap (GC)'!L50</f>
        <v>-19.736480289821404</v>
      </c>
      <c r="AD92" s="536">
        <f>'3. Scrap (GC)'!M50</f>
        <v>-13.729378864467362</v>
      </c>
      <c r="AE92" s="536">
        <f>'3. Scrap (GC)'!N50</f>
        <v>-15.445676704770023</v>
      </c>
      <c r="AF92" s="536">
        <f>'3. Scrap (GC)'!O50</f>
        <v>-18.019586024051257</v>
      </c>
      <c r="AG92" s="536">
        <f>'3. Scrap (GC)'!P50</f>
        <v>-18.019586024051257</v>
      </c>
      <c r="AH92" s="536">
        <f>'3. Scrap (GC)'!Q50</f>
        <v>-18.019586024051257</v>
      </c>
      <c r="AI92" s="535"/>
      <c r="AJ92" s="535"/>
      <c r="AK92" s="535"/>
      <c r="AL92" s="535"/>
      <c r="AM92" s="535"/>
      <c r="AN92" s="536" t="str">
        <f>'3. Scrap (GC)'!B50</f>
        <v>HV Board (eICB/eIGB 200/201)</v>
      </c>
      <c r="AO92" s="451" t="str">
        <f>'3. Scrap (GC)'!W50</f>
        <v/>
      </c>
      <c r="AP92" s="451">
        <v>56</v>
      </c>
      <c r="AQ92" s="451" t="str">
        <f>Settings!$A$1</f>
        <v>V2</v>
      </c>
    </row>
    <row r="93" spans="1:43" ht="12.75" customHeight="1" x14ac:dyDescent="0.2">
      <c r="A93" s="451">
        <f>'Input-FX Rates'!$C$4</f>
        <v>242</v>
      </c>
      <c r="B93" s="451" t="str">
        <f>'Input-FX Rates'!$B$4</f>
        <v>ICH Icheon (242)</v>
      </c>
      <c r="C93" s="451">
        <f>'Input-FX Rates'!$C$6</f>
        <v>780</v>
      </c>
      <c r="D93" s="451" t="str">
        <f>'Input-FX Rates'!$B$6</f>
        <v>780 BU Controls</v>
      </c>
      <c r="E93" s="451" t="str">
        <f>'Input-FX Rates'!$C$5</f>
        <v>7851</v>
      </c>
      <c r="F93" s="451" t="str">
        <f>'Input-FX Rates'!$B$5</f>
        <v>7851 PL eMotor Controls</v>
      </c>
      <c r="G93" s="451" t="s">
        <v>539</v>
      </c>
      <c r="H93" s="451" t="s">
        <v>552</v>
      </c>
      <c r="I93" s="535"/>
      <c r="J93" s="535"/>
      <c r="K93" s="536">
        <f>'3. Scrap (GC)'!C51</f>
        <v>0</v>
      </c>
      <c r="L93" s="536">
        <f>'3. Scrap (GC)'!E51</f>
        <v>0</v>
      </c>
      <c r="M93" s="535"/>
      <c r="N93" s="535"/>
      <c r="O93" s="536">
        <f>'3. Scrap (GC)'!R51</f>
        <v>-50.666666666666671</v>
      </c>
      <c r="P93" s="536">
        <f>'3. Scrap (GC)'!S51</f>
        <v>0</v>
      </c>
      <c r="Q93" s="535"/>
      <c r="R93" s="535"/>
      <c r="S93" s="535"/>
      <c r="T93" s="535"/>
      <c r="U93" s="535"/>
      <c r="V93" s="535"/>
      <c r="W93" s="536">
        <f>'3. Scrap (GC)'!F51</f>
        <v>-4.333333333333333</v>
      </c>
      <c r="X93" s="536">
        <f>'3. Scrap (GC)'!G51</f>
        <v>-4.333333333333333</v>
      </c>
      <c r="Y93" s="536">
        <f>'3. Scrap (GC)'!H51</f>
        <v>-4.333333333333333</v>
      </c>
      <c r="Z93" s="536">
        <f>'3. Scrap (GC)'!I51</f>
        <v>-4.333333333333333</v>
      </c>
      <c r="AA93" s="536">
        <f>'3. Scrap (GC)'!J51</f>
        <v>-4.333333333333333</v>
      </c>
      <c r="AB93" s="536">
        <f>'3. Scrap (GC)'!K51</f>
        <v>-4.333333333333333</v>
      </c>
      <c r="AC93" s="536">
        <f>'3. Scrap (GC)'!L51</f>
        <v>-4.333333333333333</v>
      </c>
      <c r="AD93" s="536">
        <f>'3. Scrap (GC)'!M51</f>
        <v>-4.333333333333333</v>
      </c>
      <c r="AE93" s="536">
        <f>'3. Scrap (GC)'!N51</f>
        <v>-4.333333333333333</v>
      </c>
      <c r="AF93" s="536">
        <f>'3. Scrap (GC)'!O51</f>
        <v>-4.333333333333333</v>
      </c>
      <c r="AG93" s="536">
        <f>'3. Scrap (GC)'!P51</f>
        <v>-4.333333333333333</v>
      </c>
      <c r="AH93" s="536">
        <f>'3. Scrap (GC)'!Q51</f>
        <v>-3</v>
      </c>
      <c r="AI93" s="535"/>
      <c r="AJ93" s="535"/>
      <c r="AK93" s="535"/>
      <c r="AL93" s="535"/>
      <c r="AM93" s="535"/>
      <c r="AN93" s="536" t="str">
        <f>'3. Scrap (GC)'!B51</f>
        <v>HV Board (eICB/eIGB 200/201)</v>
      </c>
      <c r="AO93" s="451" t="str">
        <f>'3. Scrap (GC)'!W51</f>
        <v/>
      </c>
      <c r="AP93" s="451">
        <v>57</v>
      </c>
      <c r="AQ93" s="451" t="str">
        <f>Settings!$A$1</f>
        <v>V2</v>
      </c>
    </row>
    <row r="94" spans="1:43" ht="12.75" customHeight="1" x14ac:dyDescent="0.2">
      <c r="A94" s="451">
        <f>'Input-FX Rates'!$C$4</f>
        <v>242</v>
      </c>
      <c r="B94" s="451" t="str">
        <f>'Input-FX Rates'!$B$4</f>
        <v>ICH Icheon (242)</v>
      </c>
      <c r="C94" s="451">
        <f>'Input-FX Rates'!$C$6</f>
        <v>780</v>
      </c>
      <c r="D94" s="451" t="str">
        <f>'Input-FX Rates'!$B$6</f>
        <v>780 BU Controls</v>
      </c>
      <c r="E94" s="451" t="str">
        <f>'Input-FX Rates'!$C$5</f>
        <v>7851</v>
      </c>
      <c r="F94" s="451" t="str">
        <f>'Input-FX Rates'!$B$5</f>
        <v>7851 PL eMotor Controls</v>
      </c>
      <c r="G94" s="451" t="s">
        <v>539</v>
      </c>
      <c r="H94" s="451" t="s">
        <v>551</v>
      </c>
      <c r="I94" s="535"/>
      <c r="J94" s="535"/>
      <c r="K94" s="536">
        <f>'3. Scrap (GC)'!C52</f>
        <v>12548.142240186011</v>
      </c>
      <c r="L94" s="536">
        <f>'3. Scrap (GC)'!E52</f>
        <v>30174.951283417038</v>
      </c>
      <c r="M94" s="535"/>
      <c r="N94" s="535"/>
      <c r="O94" s="536">
        <f>'3. Scrap (GC)'!R52</f>
        <v>37681.996382408528</v>
      </c>
      <c r="P94" s="536">
        <f>'3. Scrap (GC)'!S52</f>
        <v>0</v>
      </c>
      <c r="Q94" s="535"/>
      <c r="R94" s="535"/>
      <c r="S94" s="535"/>
      <c r="T94" s="535"/>
      <c r="U94" s="535"/>
      <c r="V94" s="535"/>
      <c r="W94" s="536">
        <f>'3. Scrap (GC)'!F52</f>
        <v>3425.7132115668887</v>
      </c>
      <c r="X94" s="536">
        <f>'3. Scrap (GC)'!G52</f>
        <v>2958.4921956322746</v>
      </c>
      <c r="Y94" s="536">
        <f>'3. Scrap (GC)'!H52</f>
        <v>3114.268108070261</v>
      </c>
      <c r="Z94" s="536">
        <f>'3. Scrap (GC)'!I52</f>
        <v>3269.8824280944004</v>
      </c>
      <c r="AA94" s="536">
        <f>'3. Scrap (GC)'!J52</f>
        <v>3269.8824280944004</v>
      </c>
      <c r="AB94" s="536">
        <f>'3. Scrap (GC)'!K52</f>
        <v>2958.4921956322746</v>
      </c>
      <c r="AC94" s="536">
        <f>'3. Scrap (GC)'!L52</f>
        <v>3581.4346681427905</v>
      </c>
      <c r="AD94" s="536">
        <f>'3. Scrap (GC)'!M52</f>
        <v>2491.3699259046184</v>
      </c>
      <c r="AE94" s="536">
        <f>'3. Scrap (GC)'!N52</f>
        <v>2802.8139369874157</v>
      </c>
      <c r="AF94" s="536">
        <f>'3. Scrap (GC)'!O52</f>
        <v>3269.8824280944004</v>
      </c>
      <c r="AG94" s="536">
        <f>'3. Scrap (GC)'!P52</f>
        <v>3269.8824280944004</v>
      </c>
      <c r="AH94" s="536">
        <f>'3. Scrap (GC)'!Q52</f>
        <v>3269.8824280944004</v>
      </c>
      <c r="AI94" s="535"/>
      <c r="AJ94" s="535"/>
      <c r="AK94" s="535"/>
      <c r="AL94" s="535"/>
      <c r="AM94" s="535"/>
      <c r="AN94" s="536" t="str">
        <f>'3. Scrap (GC)'!B52</f>
        <v>HV Board (eICB/eIGB 200/201)</v>
      </c>
      <c r="AO94" s="451" t="str">
        <f>'3. Scrap (GC)'!W52</f>
        <v/>
      </c>
      <c r="AP94" s="451">
        <v>58</v>
      </c>
      <c r="AQ94" s="451" t="str">
        <f>Settings!$A$1</f>
        <v>V2</v>
      </c>
    </row>
    <row r="95" spans="1:43" ht="12.75" customHeight="1" x14ac:dyDescent="0.2">
      <c r="A95" s="451">
        <f>'Input-FX Rates'!$C$4</f>
        <v>242</v>
      </c>
      <c r="B95" s="451" t="str">
        <f>'Input-FX Rates'!$B$4</f>
        <v>ICH Icheon (242)</v>
      </c>
      <c r="C95" s="451">
        <f>'Input-FX Rates'!$C$6</f>
        <v>780</v>
      </c>
      <c r="D95" s="451" t="str">
        <f>'Input-FX Rates'!$B$6</f>
        <v>780 BU Controls</v>
      </c>
      <c r="E95" s="451" t="str">
        <f>'Input-FX Rates'!$C$5</f>
        <v>7851</v>
      </c>
      <c r="F95" s="451" t="str">
        <f>'Input-FX Rates'!$B$5</f>
        <v>7851 PL eMotor Controls</v>
      </c>
      <c r="G95" s="451" t="s">
        <v>539</v>
      </c>
      <c r="H95" s="451" t="s">
        <v>550</v>
      </c>
      <c r="I95" s="535"/>
      <c r="J95" s="535"/>
      <c r="K95" s="536">
        <f>'3. Scrap (GC)'!C55</f>
        <v>-34.409909226863938</v>
      </c>
      <c r="L95" s="536">
        <f>'3. Scrap (GC)'!E55</f>
        <v>-348.02703235101131</v>
      </c>
      <c r="M95" s="535"/>
      <c r="N95" s="535"/>
      <c r="O95" s="536">
        <f>'3. Scrap (GC)'!R55</f>
        <v>-532.75715456</v>
      </c>
      <c r="P95" s="536">
        <f>'3. Scrap (GC)'!S55</f>
        <v>0</v>
      </c>
      <c r="Q95" s="535"/>
      <c r="R95" s="535"/>
      <c r="S95" s="535"/>
      <c r="T95" s="535"/>
      <c r="U95" s="535"/>
      <c r="V95" s="535"/>
      <c r="W95" s="536">
        <f>'3. Scrap (GC)'!F55</f>
        <v>-48.432991579999999</v>
      </c>
      <c r="X95" s="536">
        <f>'3. Scrap (GC)'!G55</f>
        <v>-41.828754219999993</v>
      </c>
      <c r="Y95" s="536">
        <f>'3. Scrap (GC)'!H55</f>
        <v>-44.032084279999999</v>
      </c>
      <c r="Z95" s="536">
        <f>'3. Scrap (GC)'!I55</f>
        <v>-46.229661519999993</v>
      </c>
      <c r="AA95" s="536">
        <f>'3. Scrap (GC)'!J55</f>
        <v>-46.229661519999993</v>
      </c>
      <c r="AB95" s="536">
        <f>'3. Scrap (GC)'!K55</f>
        <v>-41.828754219999993</v>
      </c>
      <c r="AC95" s="536">
        <f>'3. Scrap (GC)'!L55</f>
        <v>-50.636321639999984</v>
      </c>
      <c r="AD95" s="536">
        <f>'3. Scrap (GC)'!M55</f>
        <v>-35.224516860000001</v>
      </c>
      <c r="AE95" s="536">
        <f>'3. Scrap (GC)'!N55</f>
        <v>-39.625424159999994</v>
      </c>
      <c r="AF95" s="536">
        <f>'3. Scrap (GC)'!O55</f>
        <v>-46.229661519999993</v>
      </c>
      <c r="AG95" s="536">
        <f>'3. Scrap (GC)'!P55</f>
        <v>-46.229661519999993</v>
      </c>
      <c r="AH95" s="536">
        <f>'3. Scrap (GC)'!Q55</f>
        <v>-46.229661519999993</v>
      </c>
      <c r="AI95" s="535"/>
      <c r="AJ95" s="535"/>
      <c r="AK95" s="535"/>
      <c r="AL95" s="535"/>
      <c r="AM95" s="535"/>
      <c r="AN95" s="536" t="str">
        <f>'3. Scrap (GC)'!B55</f>
        <v>HV Inverter (800V inverter)</v>
      </c>
      <c r="AO95" s="451" t="str">
        <f>'3. Scrap (GC)'!W55</f>
        <v/>
      </c>
      <c r="AP95" s="451">
        <v>59</v>
      </c>
      <c r="AQ95" s="451" t="str">
        <f>Settings!$A$1</f>
        <v>V2</v>
      </c>
    </row>
    <row r="96" spans="1:43" ht="12.75" customHeight="1" x14ac:dyDescent="0.2">
      <c r="A96" s="451">
        <f>'Input-FX Rates'!$C$4</f>
        <v>242</v>
      </c>
      <c r="B96" s="451" t="str">
        <f>'Input-FX Rates'!$B$4</f>
        <v>ICH Icheon (242)</v>
      </c>
      <c r="C96" s="451">
        <f>'Input-FX Rates'!$C$6</f>
        <v>780</v>
      </c>
      <c r="D96" s="451" t="str">
        <f>'Input-FX Rates'!$B$6</f>
        <v>780 BU Controls</v>
      </c>
      <c r="E96" s="451" t="str">
        <f>'Input-FX Rates'!$C$5</f>
        <v>7851</v>
      </c>
      <c r="F96" s="451" t="str">
        <f>'Input-FX Rates'!$B$5</f>
        <v>7851 PL eMotor Controls</v>
      </c>
      <c r="G96" s="451" t="s">
        <v>539</v>
      </c>
      <c r="H96" s="451" t="s">
        <v>549</v>
      </c>
      <c r="I96" s="535"/>
      <c r="J96" s="535"/>
      <c r="K96" s="536">
        <f>'3. Scrap (GC)'!C56</f>
        <v>-27.009262172431853</v>
      </c>
      <c r="L96" s="536">
        <f>'3. Scrap (GC)'!E56</f>
        <v>-151.61520494155968</v>
      </c>
      <c r="M96" s="535"/>
      <c r="N96" s="535"/>
      <c r="O96" s="536">
        <f>'3. Scrap (GC)'!R56</f>
        <v>0</v>
      </c>
      <c r="P96" s="536">
        <f>'3. Scrap (GC)'!S56</f>
        <v>0</v>
      </c>
      <c r="Q96" s="535"/>
      <c r="R96" s="535"/>
      <c r="S96" s="535"/>
      <c r="T96" s="535"/>
      <c r="U96" s="535"/>
      <c r="V96" s="535"/>
      <c r="W96" s="536">
        <f>'3. Scrap (GC)'!F56</f>
        <v>0</v>
      </c>
      <c r="X96" s="536">
        <f>'3. Scrap (GC)'!G56</f>
        <v>0</v>
      </c>
      <c r="Y96" s="536">
        <f>'3. Scrap (GC)'!H56</f>
        <v>0</v>
      </c>
      <c r="Z96" s="536">
        <f>'3. Scrap (GC)'!I56</f>
        <v>0</v>
      </c>
      <c r="AA96" s="536">
        <f>'3. Scrap (GC)'!J56</f>
        <v>0</v>
      </c>
      <c r="AB96" s="536">
        <f>'3. Scrap (GC)'!K56</f>
        <v>0</v>
      </c>
      <c r="AC96" s="536">
        <f>'3. Scrap (GC)'!L56</f>
        <v>0</v>
      </c>
      <c r="AD96" s="536">
        <f>'3. Scrap (GC)'!M56</f>
        <v>0</v>
      </c>
      <c r="AE96" s="536">
        <f>'3. Scrap (GC)'!N56</f>
        <v>0</v>
      </c>
      <c r="AF96" s="536">
        <f>'3. Scrap (GC)'!O56</f>
        <v>0</v>
      </c>
      <c r="AG96" s="536">
        <f>'3. Scrap (GC)'!P56</f>
        <v>0</v>
      </c>
      <c r="AH96" s="536">
        <f>'3. Scrap (GC)'!Q56</f>
        <v>0</v>
      </c>
      <c r="AI96" s="535"/>
      <c r="AJ96" s="535"/>
      <c r="AK96" s="535"/>
      <c r="AL96" s="535"/>
      <c r="AM96" s="535"/>
      <c r="AN96" s="536" t="str">
        <f>'3. Scrap (GC)'!B56</f>
        <v>HV Inverter (800V inverter)</v>
      </c>
      <c r="AO96" s="451" t="str">
        <f>'3. Scrap (GC)'!W56</f>
        <v/>
      </c>
      <c r="AP96" s="451">
        <v>60</v>
      </c>
      <c r="AQ96" s="451" t="str">
        <f>Settings!$A$1</f>
        <v>V2</v>
      </c>
    </row>
    <row r="97" spans="1:44" ht="12.75" customHeight="1" x14ac:dyDescent="0.2">
      <c r="A97" s="451">
        <f>'Input-FX Rates'!$C$4</f>
        <v>242</v>
      </c>
      <c r="B97" s="451" t="str">
        <f>'Input-FX Rates'!$B$4</f>
        <v>ICH Icheon (242)</v>
      </c>
      <c r="C97" s="451">
        <f>'Input-FX Rates'!$C$6</f>
        <v>780</v>
      </c>
      <c r="D97" s="451" t="str">
        <f>'Input-FX Rates'!$B$6</f>
        <v>780 BU Controls</v>
      </c>
      <c r="E97" s="451" t="str">
        <f>'Input-FX Rates'!$C$5</f>
        <v>7851</v>
      </c>
      <c r="F97" s="451" t="str">
        <f>'Input-FX Rates'!$B$5</f>
        <v>7851 PL eMotor Controls</v>
      </c>
      <c r="G97" s="451" t="s">
        <v>539</v>
      </c>
      <c r="H97" s="451" t="s">
        <v>548</v>
      </c>
      <c r="I97" s="535"/>
      <c r="J97" s="535"/>
      <c r="K97" s="536">
        <f>'3. Scrap (GC)'!C57</f>
        <v>2212.6232222632275</v>
      </c>
      <c r="L97" s="536">
        <f>'3. Scrap (GC)'!E57</f>
        <v>15833.870813332158</v>
      </c>
      <c r="M97" s="535"/>
      <c r="N97" s="535"/>
      <c r="O97" s="536">
        <f>'3. Scrap (GC)'!R57</f>
        <v>28039.850240000003</v>
      </c>
      <c r="P97" s="536">
        <f>'3. Scrap (GC)'!S57</f>
        <v>0</v>
      </c>
      <c r="Q97" s="535"/>
      <c r="R97" s="535"/>
      <c r="S97" s="535"/>
      <c r="T97" s="535"/>
      <c r="U97" s="535"/>
      <c r="V97" s="535"/>
      <c r="W97" s="536">
        <f>'3. Scrap (GC)'!F57</f>
        <v>2549.10482</v>
      </c>
      <c r="X97" s="536">
        <f>'3. Scrap (GC)'!G57</f>
        <v>2201.5133799999999</v>
      </c>
      <c r="Y97" s="536">
        <f>'3. Scrap (GC)'!H57</f>
        <v>2317.4781199999998</v>
      </c>
      <c r="Z97" s="536">
        <f>'3. Scrap (GC)'!I57</f>
        <v>2433.1400799999997</v>
      </c>
      <c r="AA97" s="536">
        <f>'3. Scrap (GC)'!J57</f>
        <v>2433.1400799999997</v>
      </c>
      <c r="AB97" s="536">
        <f>'3. Scrap (GC)'!K57</f>
        <v>2201.5133799999999</v>
      </c>
      <c r="AC97" s="536">
        <f>'3. Scrap (GC)'!L57</f>
        <v>2665.0695599999995</v>
      </c>
      <c r="AD97" s="536">
        <f>'3. Scrap (GC)'!M57</f>
        <v>1853.9219399999999</v>
      </c>
      <c r="AE97" s="536">
        <f>'3. Scrap (GC)'!N57</f>
        <v>2085.54864</v>
      </c>
      <c r="AF97" s="536">
        <f>'3. Scrap (GC)'!O57</f>
        <v>2433.1400799999997</v>
      </c>
      <c r="AG97" s="536">
        <f>'3. Scrap (GC)'!P57</f>
        <v>2433.1400799999997</v>
      </c>
      <c r="AH97" s="536">
        <f>'3. Scrap (GC)'!Q57</f>
        <v>2433.1400799999997</v>
      </c>
      <c r="AI97" s="535"/>
      <c r="AJ97" s="535"/>
      <c r="AK97" s="535"/>
      <c r="AL97" s="535"/>
      <c r="AM97" s="535"/>
      <c r="AN97" s="536" t="str">
        <f>'3. Scrap (GC)'!B57</f>
        <v>HV Inverter (800V inverter)</v>
      </c>
      <c r="AO97" s="451" t="str">
        <f>'3. Scrap (GC)'!W57</f>
        <v/>
      </c>
      <c r="AP97" s="451">
        <v>61</v>
      </c>
      <c r="AQ97" s="451" t="str">
        <f>Settings!$A$1</f>
        <v>V2</v>
      </c>
    </row>
    <row r="98" spans="1:44" ht="12.75" customHeight="1" x14ac:dyDescent="0.2">
      <c r="A98" s="451">
        <f>'Input-FX Rates'!$C$4</f>
        <v>242</v>
      </c>
      <c r="B98" s="451" t="str">
        <f>'Input-FX Rates'!$B$4</f>
        <v>ICH Icheon (242)</v>
      </c>
      <c r="C98" s="451">
        <f>'Input-FX Rates'!$C$6</f>
        <v>780</v>
      </c>
      <c r="D98" s="451" t="str">
        <f>'Input-FX Rates'!$B$6</f>
        <v>780 BU Controls</v>
      </c>
      <c r="E98" s="451" t="str">
        <f>'Input-FX Rates'!$C$5</f>
        <v>7851</v>
      </c>
      <c r="F98" s="451" t="str">
        <f>'Input-FX Rates'!$B$5</f>
        <v>7851 PL eMotor Controls</v>
      </c>
      <c r="G98" s="451" t="s">
        <v>539</v>
      </c>
      <c r="H98" s="451" t="s">
        <v>547</v>
      </c>
      <c r="I98" s="535"/>
      <c r="J98" s="535"/>
      <c r="K98" s="536">
        <f>'3. Scrap (GC)'!C60</f>
        <v>0</v>
      </c>
      <c r="L98" s="536">
        <f>'3. Scrap (GC)'!E60</f>
        <v>-66.843957950895771</v>
      </c>
      <c r="M98" s="535"/>
      <c r="N98" s="535"/>
      <c r="O98" s="536">
        <f>'3. Scrap (GC)'!R60</f>
        <v>-367.34000000000009</v>
      </c>
      <c r="P98" s="536">
        <f>'3. Scrap (GC)'!S60</f>
        <v>0</v>
      </c>
      <c r="Q98" s="535"/>
      <c r="R98" s="535"/>
      <c r="S98" s="535"/>
      <c r="T98" s="535"/>
      <c r="U98" s="535"/>
      <c r="V98" s="535"/>
      <c r="W98" s="536">
        <f>'3. Scrap (GC)'!F60</f>
        <v>-18.45729990167159</v>
      </c>
      <c r="X98" s="536">
        <f>'3. Scrap (GC)'!G60</f>
        <v>-18.45729990167159</v>
      </c>
      <c r="Y98" s="536">
        <f>'3. Scrap (GC)'!H60</f>
        <v>-29.353488036709283</v>
      </c>
      <c r="Z98" s="536">
        <f>'3. Scrap (GC)'!I60</f>
        <v>-29.353488036709283</v>
      </c>
      <c r="AA98" s="536">
        <f>'3. Scrap (GC)'!J60</f>
        <v>-33.96480301540479</v>
      </c>
      <c r="AB98" s="536">
        <f>'3. Scrap (GC)'!K60</f>
        <v>-33.96480301540479</v>
      </c>
      <c r="AC98" s="536">
        <f>'3. Scrap (GC)'!L60</f>
        <v>-33.96480301540479</v>
      </c>
      <c r="AD98" s="536">
        <f>'3. Scrap (GC)'!M60</f>
        <v>-33.96480301540479</v>
      </c>
      <c r="AE98" s="536">
        <f>'3. Scrap (GC)'!N60</f>
        <v>-33.96480301540479</v>
      </c>
      <c r="AF98" s="536">
        <f>'3. Scrap (GC)'!O60</f>
        <v>-33.96480301540479</v>
      </c>
      <c r="AG98" s="536">
        <f>'3. Scrap (GC)'!P60</f>
        <v>-33.96480301540479</v>
      </c>
      <c r="AH98" s="536">
        <f>'3. Scrap (GC)'!Q60</f>
        <v>-33.96480301540479</v>
      </c>
      <c r="AI98" s="535"/>
      <c r="AJ98" s="535"/>
      <c r="AK98" s="535"/>
      <c r="AL98" s="535"/>
      <c r="AM98" s="535"/>
      <c r="AN98" s="536" t="str">
        <f>'3. Scrap (GC)'!B60</f>
        <v>HV Double Inverter (HPCU)</v>
      </c>
      <c r="AO98" s="451" t="str">
        <f>'3. Scrap (GC)'!W60</f>
        <v/>
      </c>
      <c r="AP98" s="451">
        <v>62</v>
      </c>
      <c r="AQ98" s="451" t="str">
        <f>Settings!$A$1</f>
        <v>V2</v>
      </c>
    </row>
    <row r="99" spans="1:44" ht="12.75" customHeight="1" x14ac:dyDescent="0.2">
      <c r="A99" s="451">
        <f>'Input-FX Rates'!$C$4</f>
        <v>242</v>
      </c>
      <c r="B99" s="451" t="str">
        <f>'Input-FX Rates'!$B$4</f>
        <v>ICH Icheon (242)</v>
      </c>
      <c r="C99" s="451">
        <f>'Input-FX Rates'!$C$6</f>
        <v>780</v>
      </c>
      <c r="D99" s="451" t="str">
        <f>'Input-FX Rates'!$B$6</f>
        <v>780 BU Controls</v>
      </c>
      <c r="E99" s="451" t="str">
        <f>'Input-FX Rates'!$C$5</f>
        <v>7851</v>
      </c>
      <c r="F99" s="451" t="str">
        <f>'Input-FX Rates'!$B$5</f>
        <v>7851 PL eMotor Controls</v>
      </c>
      <c r="G99" s="451" t="s">
        <v>539</v>
      </c>
      <c r="H99" s="451" t="s">
        <v>546</v>
      </c>
      <c r="I99" s="535"/>
      <c r="J99" s="535"/>
      <c r="K99" s="536">
        <f>'3. Scrap (GC)'!C61</f>
        <v>-50.061481121520849</v>
      </c>
      <c r="L99" s="536">
        <f>'3. Scrap (GC)'!E61</f>
        <v>-379.98058755464581</v>
      </c>
      <c r="M99" s="535"/>
      <c r="N99" s="535"/>
      <c r="O99" s="536">
        <f>'3. Scrap (GC)'!R61</f>
        <v>-600.98</v>
      </c>
      <c r="P99" s="536">
        <f>'3. Scrap (GC)'!S61</f>
        <v>0</v>
      </c>
      <c r="Q99" s="535"/>
      <c r="R99" s="535"/>
      <c r="S99" s="535"/>
      <c r="T99" s="535"/>
      <c r="U99" s="535"/>
      <c r="V99" s="535"/>
      <c r="W99" s="536">
        <f>'3. Scrap (GC)'!F61</f>
        <v>-151.31</v>
      </c>
      <c r="X99" s="536">
        <f>'3. Scrap (GC)'!G61</f>
        <v>-102.42</v>
      </c>
      <c r="Y99" s="536">
        <f>'3. Scrap (GC)'!H61</f>
        <v>-93.93</v>
      </c>
      <c r="Z99" s="536">
        <f>'3. Scrap (GC)'!I61</f>
        <v>-88.31</v>
      </c>
      <c r="AA99" s="536">
        <f>'3. Scrap (GC)'!J61</f>
        <v>-102.65</v>
      </c>
      <c r="AB99" s="536">
        <f>'3. Scrap (GC)'!K61</f>
        <v>-62.36</v>
      </c>
      <c r="AC99" s="536">
        <f>'3. Scrap (GC)'!L61</f>
        <v>0</v>
      </c>
      <c r="AD99" s="536">
        <f>'3. Scrap (GC)'!M61</f>
        <v>0</v>
      </c>
      <c r="AE99" s="536">
        <f>'3. Scrap (GC)'!N61</f>
        <v>0</v>
      </c>
      <c r="AF99" s="536">
        <f>'3. Scrap (GC)'!O61</f>
        <v>0</v>
      </c>
      <c r="AG99" s="536">
        <f>'3. Scrap (GC)'!P61</f>
        <v>0</v>
      </c>
      <c r="AH99" s="536">
        <f>'3. Scrap (GC)'!Q61</f>
        <v>0</v>
      </c>
      <c r="AI99" s="535"/>
      <c r="AJ99" s="535"/>
      <c r="AK99" s="535"/>
      <c r="AL99" s="535"/>
      <c r="AM99" s="535"/>
      <c r="AN99" s="536" t="str">
        <f>'3. Scrap (GC)'!B61</f>
        <v>HV Double Inverter (HPCU)</v>
      </c>
      <c r="AO99" s="451" t="str">
        <f>'3. Scrap (GC)'!W61</f>
        <v/>
      </c>
      <c r="AP99" s="451">
        <v>63</v>
      </c>
      <c r="AQ99" s="451" t="str">
        <f>Settings!$A$1</f>
        <v>V2</v>
      </c>
    </row>
    <row r="100" spans="1:44" ht="12.75" customHeight="1" x14ac:dyDescent="0.2">
      <c r="A100" s="451">
        <f>'Input-FX Rates'!$C$4</f>
        <v>242</v>
      </c>
      <c r="B100" s="451" t="str">
        <f>'Input-FX Rates'!$B$4</f>
        <v>ICH Icheon (242)</v>
      </c>
      <c r="C100" s="451">
        <f>'Input-FX Rates'!$C$6</f>
        <v>780</v>
      </c>
      <c r="D100" s="451" t="str">
        <f>'Input-FX Rates'!$B$6</f>
        <v>780 BU Controls</v>
      </c>
      <c r="E100" s="451" t="str">
        <f>'Input-FX Rates'!$C$5</f>
        <v>7851</v>
      </c>
      <c r="F100" s="451" t="str">
        <f>'Input-FX Rates'!$B$5</f>
        <v>7851 PL eMotor Controls</v>
      </c>
      <c r="G100" s="451" t="s">
        <v>539</v>
      </c>
      <c r="H100" s="451" t="s">
        <v>545</v>
      </c>
      <c r="I100" s="535"/>
      <c r="J100" s="535"/>
      <c r="K100" s="536">
        <f>'3. Scrap (GC)'!C62</f>
        <v>0</v>
      </c>
      <c r="L100" s="536">
        <f>'3. Scrap (GC)'!E62</f>
        <v>463.75950008097993</v>
      </c>
      <c r="M100" s="535"/>
      <c r="N100" s="535"/>
      <c r="O100" s="536">
        <f>'3. Scrap (GC)'!R62</f>
        <v>13902.7968</v>
      </c>
      <c r="P100" s="536">
        <f>'3. Scrap (GC)'!S62</f>
        <v>0</v>
      </c>
      <c r="Q100" s="535"/>
      <c r="R100" s="535"/>
      <c r="S100" s="535"/>
      <c r="T100" s="535"/>
      <c r="U100" s="535"/>
      <c r="V100" s="535"/>
      <c r="W100" s="536">
        <f>'3. Scrap (GC)'!F62</f>
        <v>698.55744000000004</v>
      </c>
      <c r="X100" s="536">
        <f>'3. Scrap (GC)'!G62</f>
        <v>698.55744000000004</v>
      </c>
      <c r="Y100" s="536">
        <f>'3. Scrap (GC)'!H62</f>
        <v>1110.94784</v>
      </c>
      <c r="Z100" s="536">
        <f>'3. Scrap (GC)'!I62</f>
        <v>1110.94784</v>
      </c>
      <c r="AA100" s="536">
        <f>'3. Scrap (GC)'!J62</f>
        <v>1285.4732799999999</v>
      </c>
      <c r="AB100" s="536">
        <f>'3. Scrap (GC)'!K62</f>
        <v>1285.4732799999999</v>
      </c>
      <c r="AC100" s="536">
        <f>'3. Scrap (GC)'!L62</f>
        <v>1285.4732799999999</v>
      </c>
      <c r="AD100" s="536">
        <f>'3. Scrap (GC)'!M62</f>
        <v>1285.4732799999999</v>
      </c>
      <c r="AE100" s="536">
        <f>'3. Scrap (GC)'!N62</f>
        <v>1285.4732799999999</v>
      </c>
      <c r="AF100" s="536">
        <f>'3. Scrap (GC)'!O62</f>
        <v>1285.4732799999999</v>
      </c>
      <c r="AG100" s="536">
        <f>'3. Scrap (GC)'!P62</f>
        <v>1285.4732799999999</v>
      </c>
      <c r="AH100" s="536">
        <f>'3. Scrap (GC)'!Q62</f>
        <v>1285.4732799999999</v>
      </c>
      <c r="AI100" s="535"/>
      <c r="AJ100" s="535"/>
      <c r="AK100" s="535"/>
      <c r="AL100" s="535"/>
      <c r="AM100" s="535"/>
      <c r="AN100" s="536" t="str">
        <f>'3. Scrap (GC)'!B62</f>
        <v>HV Double Inverter (HPCU)</v>
      </c>
      <c r="AO100" s="451" t="str">
        <f>'3. Scrap (GC)'!W62</f>
        <v/>
      </c>
      <c r="AP100" s="451">
        <v>64</v>
      </c>
      <c r="AQ100" s="451" t="str">
        <f>Settings!$A$1</f>
        <v>V2</v>
      </c>
    </row>
    <row r="101" spans="1:44" ht="12.75" customHeight="1" x14ac:dyDescent="0.2">
      <c r="A101" s="451">
        <f>'Input-FX Rates'!$C$4</f>
        <v>242</v>
      </c>
      <c r="B101" s="451" t="str">
        <f>'Input-FX Rates'!$B$4</f>
        <v>ICH Icheon (242)</v>
      </c>
      <c r="C101" s="451">
        <f>'Input-FX Rates'!$C$6</f>
        <v>780</v>
      </c>
      <c r="D101" s="451" t="str">
        <f>'Input-FX Rates'!$B$6</f>
        <v>780 BU Controls</v>
      </c>
      <c r="E101" s="451" t="str">
        <f>'Input-FX Rates'!$C$5</f>
        <v>7851</v>
      </c>
      <c r="F101" s="451" t="str">
        <f>'Input-FX Rates'!$B$5</f>
        <v>7851 PL eMotor Controls</v>
      </c>
      <c r="G101" s="451" t="s">
        <v>539</v>
      </c>
      <c r="H101" s="451" t="s">
        <v>544</v>
      </c>
      <c r="I101" s="535"/>
      <c r="J101" s="535"/>
      <c r="K101" s="536">
        <f>'3. Scrap (GC)'!C65</f>
        <v>0</v>
      </c>
      <c r="L101" s="536">
        <f>'3. Scrap (GC)'!E65</f>
        <v>0</v>
      </c>
      <c r="M101" s="535"/>
      <c r="N101" s="535"/>
      <c r="O101" s="536">
        <f>'3. Scrap (GC)'!R65</f>
        <v>-642.63084543999992</v>
      </c>
      <c r="P101" s="536">
        <f>'3. Scrap (GC)'!S65</f>
        <v>0</v>
      </c>
      <c r="Q101" s="535"/>
      <c r="R101" s="535"/>
      <c r="S101" s="535"/>
      <c r="T101" s="535"/>
      <c r="U101" s="535"/>
      <c r="V101" s="535"/>
      <c r="W101" s="536">
        <f>'3. Scrap (GC)'!F65</f>
        <v>-62.225418465514167</v>
      </c>
      <c r="X101" s="536">
        <f>'3. Scrap (GC)'!G65</f>
        <v>-53.819632453250129</v>
      </c>
      <c r="Y101" s="536">
        <f>'3. Scrap (GC)'!H65</f>
        <v>-53.169580276575466</v>
      </c>
      <c r="Z101" s="536">
        <f>'3. Scrap (GC)'!I65</f>
        <v>-55.972216680054309</v>
      </c>
      <c r="AA101" s="536">
        <f>'3. Scrap (GC)'!J65</f>
        <v>-54.6956262526732</v>
      </c>
      <c r="AB101" s="536">
        <f>'3. Scrap (GC)'!K65</f>
        <v>-49.583705386279817</v>
      </c>
      <c r="AC101" s="536">
        <f>'3. Scrap (GC)'!L65</f>
        <v>-59.808263161345124</v>
      </c>
      <c r="AD101" s="536">
        <f>'3. Scrap (GC)'!M65</f>
        <v>-41.916044511727861</v>
      </c>
      <c r="AE101" s="536">
        <f>'3. Scrap (GC)'!N65</f>
        <v>-47.073989015064875</v>
      </c>
      <c r="AF101" s="536">
        <f>'3. Scrap (GC)'!O65</f>
        <v>-54.788789286068258</v>
      </c>
      <c r="AG101" s="536">
        <f>'3. Scrap (GC)'!P65</f>
        <v>-54.788789286068258</v>
      </c>
      <c r="AH101" s="536">
        <f>'3. Scrap (GC)'!Q65</f>
        <v>-54.788790665378592</v>
      </c>
      <c r="AI101" s="535"/>
      <c r="AJ101" s="535"/>
      <c r="AK101" s="535"/>
      <c r="AL101" s="535"/>
      <c r="AM101" s="535"/>
      <c r="AN101" s="536" t="str">
        <f>'3. Scrap (GC)'!B65</f>
        <v>All Other</v>
      </c>
      <c r="AO101" s="451" t="str">
        <f>'3. Scrap (GC)'!W65</f>
        <v>EPF4 scrap is shown at other side due to no sales on MTC side</v>
      </c>
      <c r="AP101" s="451">
        <v>65</v>
      </c>
      <c r="AQ101" s="451" t="str">
        <f>Settings!$A$1</f>
        <v>V2</v>
      </c>
    </row>
    <row r="102" spans="1:44" ht="12.75" customHeight="1" x14ac:dyDescent="0.2">
      <c r="A102" s="451">
        <f>'Input-FX Rates'!$C$4</f>
        <v>242</v>
      </c>
      <c r="B102" s="451" t="str">
        <f>'Input-FX Rates'!$B$4</f>
        <v>ICH Icheon (242)</v>
      </c>
      <c r="C102" s="451">
        <f>'Input-FX Rates'!$C$6</f>
        <v>780</v>
      </c>
      <c r="D102" s="451" t="str">
        <f>'Input-FX Rates'!$B$6</f>
        <v>780 BU Controls</v>
      </c>
      <c r="E102" s="451" t="str">
        <f>'Input-FX Rates'!$C$5</f>
        <v>7851</v>
      </c>
      <c r="F102" s="451" t="str">
        <f>'Input-FX Rates'!$B$5</f>
        <v>7851 PL eMotor Controls</v>
      </c>
      <c r="G102" s="451" t="s">
        <v>539</v>
      </c>
      <c r="H102" s="451" t="s">
        <v>543</v>
      </c>
      <c r="I102" s="535"/>
      <c r="J102" s="535"/>
      <c r="K102" s="536">
        <f>'3. Scrap (GC)'!C66</f>
        <v>0</v>
      </c>
      <c r="L102" s="536">
        <f>'3. Scrap (GC)'!E66</f>
        <v>-125.95429580240085</v>
      </c>
      <c r="M102" s="535"/>
      <c r="N102" s="535"/>
      <c r="O102" s="536">
        <f>'3. Scrap (GC)'!R66</f>
        <v>-707.35333333333313</v>
      </c>
      <c r="P102" s="536">
        <f>'3. Scrap (GC)'!S66</f>
        <v>0</v>
      </c>
      <c r="Q102" s="535"/>
      <c r="R102" s="535"/>
      <c r="S102" s="535"/>
      <c r="T102" s="535"/>
      <c r="U102" s="535"/>
      <c r="V102" s="535"/>
      <c r="W102" s="536">
        <f>'3. Scrap (GC)'!F66</f>
        <v>-14.35666666666666</v>
      </c>
      <c r="X102" s="536">
        <f>'3. Scrap (GC)'!G66</f>
        <v>-16.246666666666659</v>
      </c>
      <c r="Y102" s="536">
        <f>'3. Scrap (GC)'!H66</f>
        <v>-13.736666666666659</v>
      </c>
      <c r="Z102" s="536">
        <f>'3. Scrap (GC)'!I66</f>
        <v>-18.356666666666658</v>
      </c>
      <c r="AA102" s="536">
        <f>'3. Scrap (GC)'!J66</f>
        <v>-48.016666666666659</v>
      </c>
      <c r="AB102" s="536">
        <f>'3. Scrap (GC)'!K66</f>
        <v>-75.306666666666672</v>
      </c>
      <c r="AC102" s="536">
        <f>'3. Scrap (GC)'!L66</f>
        <v>-138.66666666666666</v>
      </c>
      <c r="AD102" s="536">
        <f>'3. Scrap (GC)'!M66</f>
        <v>-108.66666666666666</v>
      </c>
      <c r="AE102" s="536">
        <f>'3. Scrap (GC)'!N66</f>
        <v>-113.66666666666666</v>
      </c>
      <c r="AF102" s="536">
        <f>'3. Scrap (GC)'!O66</f>
        <v>-72.666666666666671</v>
      </c>
      <c r="AG102" s="536">
        <f>'3. Scrap (GC)'!P66</f>
        <v>-87.666666666666671</v>
      </c>
      <c r="AH102" s="536">
        <f>'3. Scrap (GC)'!Q66</f>
        <v>0</v>
      </c>
      <c r="AI102" s="535"/>
      <c r="AJ102" s="535"/>
      <c r="AK102" s="535"/>
      <c r="AL102" s="535"/>
      <c r="AM102" s="535"/>
      <c r="AN102" s="536" t="str">
        <f>'3. Scrap (GC)'!B66</f>
        <v>All Other</v>
      </c>
      <c r="AO102" s="451" t="str">
        <f>'3. Scrap (GC)'!W66</f>
        <v>EPF4 start up is shown at other side due to no sales on MTC side</v>
      </c>
      <c r="AP102" s="451">
        <v>66</v>
      </c>
      <c r="AQ102" s="451" t="str">
        <f>Settings!$A$1</f>
        <v>V2</v>
      </c>
    </row>
    <row r="103" spans="1:44" ht="12.75" customHeight="1" x14ac:dyDescent="0.2">
      <c r="A103" s="451">
        <f>'Input-FX Rates'!$C$4</f>
        <v>242</v>
      </c>
      <c r="B103" s="451" t="str">
        <f>'Input-FX Rates'!$B$4</f>
        <v>ICH Icheon (242)</v>
      </c>
      <c r="C103" s="451">
        <f>'Input-FX Rates'!$C$6</f>
        <v>780</v>
      </c>
      <c r="D103" s="451" t="str">
        <f>'Input-FX Rates'!$B$6</f>
        <v>780 BU Controls</v>
      </c>
      <c r="E103" s="451" t="str">
        <f>'Input-FX Rates'!$C$5</f>
        <v>7851</v>
      </c>
      <c r="F103" s="451" t="str">
        <f>'Input-FX Rates'!$B$5</f>
        <v>7851 PL eMotor Controls</v>
      </c>
      <c r="G103" s="451" t="s">
        <v>539</v>
      </c>
      <c r="H103" s="451" t="s">
        <v>542</v>
      </c>
      <c r="I103" s="535"/>
      <c r="J103" s="535"/>
      <c r="K103" s="536">
        <f>'3. Scrap (GC)'!C67</f>
        <v>0</v>
      </c>
      <c r="L103" s="536">
        <f>'3. Scrap (GC)'!E67</f>
        <v>0</v>
      </c>
      <c r="M103" s="535"/>
      <c r="N103" s="535"/>
      <c r="O103" s="536">
        <f>'3. Scrap (GC)'!R67</f>
        <v>0</v>
      </c>
      <c r="P103" s="536">
        <f>'3. Scrap (GC)'!S67</f>
        <v>0</v>
      </c>
      <c r="Q103" s="535"/>
      <c r="R103" s="535"/>
      <c r="S103" s="535"/>
      <c r="T103" s="535"/>
      <c r="U103" s="535"/>
      <c r="V103" s="535"/>
      <c r="W103" s="536">
        <f>'3. Scrap (GC)'!F67</f>
        <v>0</v>
      </c>
      <c r="X103" s="536">
        <f>'3. Scrap (GC)'!G67</f>
        <v>0</v>
      </c>
      <c r="Y103" s="536">
        <f>'3. Scrap (GC)'!H67</f>
        <v>0</v>
      </c>
      <c r="Z103" s="536">
        <f>'3. Scrap (GC)'!I67</f>
        <v>0</v>
      </c>
      <c r="AA103" s="536">
        <f>'3. Scrap (GC)'!J67</f>
        <v>0</v>
      </c>
      <c r="AB103" s="536">
        <f>'3. Scrap (GC)'!K67</f>
        <v>0</v>
      </c>
      <c r="AC103" s="536">
        <f>'3. Scrap (GC)'!L67</f>
        <v>0</v>
      </c>
      <c r="AD103" s="536">
        <f>'3. Scrap (GC)'!M67</f>
        <v>0</v>
      </c>
      <c r="AE103" s="536">
        <f>'3. Scrap (GC)'!N67</f>
        <v>0</v>
      </c>
      <c r="AF103" s="536">
        <f>'3. Scrap (GC)'!O67</f>
        <v>0</v>
      </c>
      <c r="AG103" s="536">
        <f>'3. Scrap (GC)'!P67</f>
        <v>0</v>
      </c>
      <c r="AH103" s="536">
        <f>'3. Scrap (GC)'!Q67</f>
        <v>0</v>
      </c>
      <c r="AI103" s="535"/>
      <c r="AJ103" s="535"/>
      <c r="AK103" s="535"/>
      <c r="AL103" s="535"/>
      <c r="AM103" s="535"/>
      <c r="AN103" s="536" t="str">
        <f>'3. Scrap (GC)'!B67</f>
        <v>All Other</v>
      </c>
      <c r="AO103" s="451" t="str">
        <f>'3. Scrap (GC)'!W67</f>
        <v/>
      </c>
      <c r="AP103" s="451">
        <v>67</v>
      </c>
      <c r="AQ103" s="451" t="str">
        <f>Settings!$A$1</f>
        <v>V2</v>
      </c>
    </row>
    <row r="104" spans="1:44" ht="12.75" customHeight="1" x14ac:dyDescent="0.2">
      <c r="A104" s="451">
        <f>'Input-FX Rates'!$C$4</f>
        <v>242</v>
      </c>
      <c r="B104" s="451" t="str">
        <f>'Input-FX Rates'!$B$4</f>
        <v>ICH Icheon (242)</v>
      </c>
      <c r="C104" s="451">
        <f>'Input-FX Rates'!$C$6</f>
        <v>780</v>
      </c>
      <c r="D104" s="451" t="str">
        <f>'Input-FX Rates'!$B$6</f>
        <v>780 BU Controls</v>
      </c>
      <c r="E104" s="451" t="str">
        <f>'Input-FX Rates'!$C$5</f>
        <v>7851</v>
      </c>
      <c r="F104" s="451" t="str">
        <f>'Input-FX Rates'!$B$5</f>
        <v>7851 PL eMotor Controls</v>
      </c>
      <c r="G104" s="451" t="s">
        <v>539</v>
      </c>
      <c r="H104" s="451" t="s">
        <v>541</v>
      </c>
      <c r="I104" s="535"/>
      <c r="J104" s="535"/>
      <c r="K104" s="536">
        <f>'3. Scrap (GC)'!C70</f>
        <v>-77.070743293952702</v>
      </c>
      <c r="L104" s="536">
        <f>'3. Scrap (GC)'!E70</f>
        <v>-657.55008829860628</v>
      </c>
      <c r="M104" s="535"/>
      <c r="N104" s="535"/>
      <c r="O104" s="536">
        <f>'3. Scrap (GC)'!R70</f>
        <v>-1358.9999999999998</v>
      </c>
      <c r="P104" s="536">
        <f>'3. Scrap (GC)'!S70</f>
        <v>0</v>
      </c>
      <c r="Q104" s="535"/>
      <c r="R104" s="535"/>
      <c r="S104" s="535"/>
      <c r="T104" s="535"/>
      <c r="U104" s="535"/>
      <c r="V104" s="535"/>
      <c r="W104" s="536">
        <f>'3. Scrap (GC)'!F70</f>
        <v>-170</v>
      </c>
      <c r="X104" s="536">
        <f>'3. Scrap (GC)'!G70</f>
        <v>-123</v>
      </c>
      <c r="Y104" s="536">
        <f>'3. Scrap (GC)'!H70</f>
        <v>-112</v>
      </c>
      <c r="Z104" s="536">
        <f>'3. Scrap (GC)'!I70</f>
        <v>-111</v>
      </c>
      <c r="AA104" s="536">
        <f>'3. Scrap (GC)'!J70</f>
        <v>-155</v>
      </c>
      <c r="AB104" s="536">
        <f>'3. Scrap (GC)'!K70</f>
        <v>-142</v>
      </c>
      <c r="AC104" s="536">
        <f>'3. Scrap (GC)'!L70</f>
        <v>-143</v>
      </c>
      <c r="AD104" s="536">
        <f>'3. Scrap (GC)'!M70</f>
        <v>-113</v>
      </c>
      <c r="AE104" s="536">
        <f>'3. Scrap (GC)'!N70</f>
        <v>-118</v>
      </c>
      <c r="AF104" s="536">
        <f>'3. Scrap (GC)'!O70</f>
        <v>-77</v>
      </c>
      <c r="AG104" s="536">
        <f>'3. Scrap (GC)'!P70</f>
        <v>-92</v>
      </c>
      <c r="AH104" s="536">
        <f>'3. Scrap (GC)'!Q70</f>
        <v>-3</v>
      </c>
      <c r="AI104" s="535"/>
      <c r="AJ104" s="535"/>
      <c r="AK104" s="535"/>
      <c r="AL104" s="535"/>
      <c r="AM104" s="535"/>
      <c r="AN104" s="541"/>
      <c r="AO104" s="451" t="str">
        <f>'3. Scrap (GC)'!W70</f>
        <v/>
      </c>
      <c r="AP104" s="451">
        <v>68</v>
      </c>
      <c r="AQ104" s="451" t="str">
        <f>Settings!$A$1</f>
        <v>V2</v>
      </c>
    </row>
    <row r="105" spans="1:44" ht="12.75" customHeight="1" x14ac:dyDescent="0.2">
      <c r="A105" s="451">
        <f>'Input-FX Rates'!$C$4</f>
        <v>242</v>
      </c>
      <c r="B105" s="451" t="str">
        <f>'Input-FX Rates'!$B$4</f>
        <v>ICH Icheon (242)</v>
      </c>
      <c r="C105" s="451">
        <f>'Input-FX Rates'!$C$6</f>
        <v>780</v>
      </c>
      <c r="D105" s="451" t="str">
        <f>'Input-FX Rates'!$B$6</f>
        <v>780 BU Controls</v>
      </c>
      <c r="E105" s="451" t="str">
        <f>'Input-FX Rates'!$C$5</f>
        <v>7851</v>
      </c>
      <c r="F105" s="451" t="str">
        <f>'Input-FX Rates'!$B$5</f>
        <v>7851 PL eMotor Controls</v>
      </c>
      <c r="G105" s="451" t="s">
        <v>539</v>
      </c>
      <c r="H105" s="451" t="s">
        <v>540</v>
      </c>
      <c r="I105" s="535"/>
      <c r="J105" s="535"/>
      <c r="K105" s="536">
        <f>'3. Scrap (GC)'!C71</f>
        <v>14760.765462449239</v>
      </c>
      <c r="L105" s="536">
        <f>'3. Scrap (GC)'!E71</f>
        <v>46472.581596830183</v>
      </c>
      <c r="M105" s="535"/>
      <c r="N105" s="535"/>
      <c r="O105" s="536">
        <f>'3. Scrap (GC)'!R71</f>
        <v>79624.643422408524</v>
      </c>
      <c r="P105" s="536">
        <f>'3. Scrap (GC)'!S71</f>
        <v>0</v>
      </c>
      <c r="Q105" s="535"/>
      <c r="R105" s="535"/>
      <c r="S105" s="535"/>
      <c r="T105" s="535"/>
      <c r="U105" s="535"/>
      <c r="V105" s="535"/>
      <c r="W105" s="536">
        <f>'3. Scrap (GC)'!F71</f>
        <v>6673.3754715668883</v>
      </c>
      <c r="X105" s="536">
        <f>'3. Scrap (GC)'!G71</f>
        <v>5858.563015632275</v>
      </c>
      <c r="Y105" s="536">
        <f>'3. Scrap (GC)'!H71</f>
        <v>6542.694068070261</v>
      </c>
      <c r="Z105" s="536">
        <f>'3. Scrap (GC)'!I71</f>
        <v>6813.9703480943999</v>
      </c>
      <c r="AA105" s="536">
        <f>'3. Scrap (GC)'!J71</f>
        <v>6988.4957880944003</v>
      </c>
      <c r="AB105" s="536">
        <f>'3. Scrap (GC)'!K71</f>
        <v>6445.4788556322737</v>
      </c>
      <c r="AC105" s="536">
        <f>'3. Scrap (GC)'!L71</f>
        <v>7531.9775081427897</v>
      </c>
      <c r="AD105" s="536">
        <f>'3. Scrap (GC)'!M71</f>
        <v>5630.7651459046183</v>
      </c>
      <c r="AE105" s="536">
        <f>'3. Scrap (GC)'!N71</f>
        <v>6173.8358569874154</v>
      </c>
      <c r="AF105" s="536">
        <f>'3. Scrap (GC)'!O71</f>
        <v>6988.4957880944003</v>
      </c>
      <c r="AG105" s="536">
        <f>'3. Scrap (GC)'!P71</f>
        <v>6988.4957880944003</v>
      </c>
      <c r="AH105" s="536">
        <f>'3. Scrap (GC)'!Q71</f>
        <v>6988.4957880944003</v>
      </c>
      <c r="AI105" s="535"/>
      <c r="AJ105" s="535"/>
      <c r="AK105" s="535"/>
      <c r="AL105" s="535"/>
      <c r="AM105" s="535"/>
      <c r="AN105" s="541"/>
      <c r="AO105" s="451" t="str">
        <f>'3. Scrap (GC)'!W71</f>
        <v/>
      </c>
      <c r="AP105" s="451">
        <v>69</v>
      </c>
      <c r="AQ105" s="451" t="str">
        <f>Settings!$A$1</f>
        <v>V2</v>
      </c>
    </row>
    <row r="106" spans="1:44" ht="12.75" customHeight="1" x14ac:dyDescent="0.2">
      <c r="A106" s="451">
        <f>'Input-FX Rates'!$C$4</f>
        <v>242</v>
      </c>
      <c r="B106" s="451" t="str">
        <f>'Input-FX Rates'!$B$4</f>
        <v>ICH Icheon (242)</v>
      </c>
      <c r="C106" s="451">
        <f>'Input-FX Rates'!$C$6</f>
        <v>780</v>
      </c>
      <c r="D106" s="451" t="str">
        <f>'Input-FX Rates'!$B$6</f>
        <v>780 BU Controls</v>
      </c>
      <c r="E106" s="451" t="str">
        <f>'Input-FX Rates'!$C$5</f>
        <v>7851</v>
      </c>
      <c r="F106" s="451" t="str">
        <f>'Input-FX Rates'!$B$5</f>
        <v>7851 PL eMotor Controls</v>
      </c>
      <c r="G106" s="451" t="s">
        <v>539</v>
      </c>
      <c r="H106" s="451" t="s">
        <v>229</v>
      </c>
      <c r="I106" s="535"/>
      <c r="J106" s="535"/>
      <c r="K106" s="536">
        <f>'3. Scrap (GC)'!C75</f>
        <v>-131.5585853354269</v>
      </c>
      <c r="L106" s="536">
        <f>'3. Scrap (GC)'!E75</f>
        <v>-626.03079929591354</v>
      </c>
      <c r="M106" s="535"/>
      <c r="N106" s="535"/>
      <c r="O106" s="536">
        <f>'3. Scrap (GC)'!R75</f>
        <v>-1956.837</v>
      </c>
      <c r="P106" s="536">
        <f>'3. Scrap (GC)'!S75</f>
        <v>0</v>
      </c>
      <c r="Q106" s="535"/>
      <c r="R106" s="535"/>
      <c r="S106" s="535"/>
      <c r="T106" s="535"/>
      <c r="U106" s="535"/>
      <c r="V106" s="535"/>
      <c r="W106" s="536">
        <f>'3. Scrap (GC)'!F75</f>
        <v>-165.64059724137931</v>
      </c>
      <c r="X106" s="536">
        <f>'3. Scrap (GC)'!G75</f>
        <v>-146.14628758620688</v>
      </c>
      <c r="Y106" s="536">
        <f>'3. Scrap (GC)'!H75</f>
        <v>-160.61990068965517</v>
      </c>
      <c r="Z106" s="536">
        <f>'3. Scrap (GC)'!I75</f>
        <v>-167.11486689655172</v>
      </c>
      <c r="AA106" s="536">
        <f>'3. Scrap (GC)'!J75</f>
        <v>-170.75223655172414</v>
      </c>
      <c r="AB106" s="536">
        <f>'3. Scrap (GC)'!K75</f>
        <v>-158.46002689655171</v>
      </c>
      <c r="AC106" s="536">
        <f>'3. Scrap (GC)'!L75</f>
        <v>-183.05164965517241</v>
      </c>
      <c r="AD106" s="536">
        <f>'3. Scrap (GC)'!M75</f>
        <v>-140.01900000000001</v>
      </c>
      <c r="AE106" s="536">
        <f>'3. Scrap (GC)'!N75</f>
        <v>-152.37695310344827</v>
      </c>
      <c r="AF106" s="536">
        <f>'3. Scrap (GC)'!O75</f>
        <v>-170.88515999999998</v>
      </c>
      <c r="AG106" s="536">
        <f>'3. Scrap (GC)'!P75</f>
        <v>-170.88515999999998</v>
      </c>
      <c r="AH106" s="536">
        <f>'3. Scrap (GC)'!Q75</f>
        <v>-170.88516137931035</v>
      </c>
      <c r="AI106" s="535"/>
      <c r="AJ106" s="535"/>
      <c r="AK106" s="535"/>
      <c r="AL106" s="535"/>
      <c r="AM106" s="535"/>
      <c r="AN106" s="541"/>
      <c r="AO106" s="451" t="str">
        <f>'3. Scrap (GC)'!W75</f>
        <v/>
      </c>
      <c r="AP106" s="451">
        <v>70</v>
      </c>
      <c r="AQ106" s="451" t="str">
        <f>Settings!$A$1</f>
        <v>V2</v>
      </c>
    </row>
    <row r="107" spans="1:44" s="537" customFormat="1" ht="12.75" customHeight="1" x14ac:dyDescent="0.2">
      <c r="A107" s="537">
        <f>'Input-FX Rates'!$C$4</f>
        <v>242</v>
      </c>
      <c r="B107" s="537" t="str">
        <f>'Input-FX Rates'!$B$4</f>
        <v>ICH Icheon (242)</v>
      </c>
      <c r="C107" s="537">
        <f>'Input-FX Rates'!$C$6</f>
        <v>780</v>
      </c>
      <c r="D107" s="537" t="str">
        <f>'Input-FX Rates'!$B$6</f>
        <v>780 BU Controls</v>
      </c>
      <c r="E107" s="537" t="str">
        <f>'Input-FX Rates'!$C$5</f>
        <v>7851</v>
      </c>
      <c r="F107" s="537" t="str">
        <f>'Input-FX Rates'!$B$5</f>
        <v>7851 PL eMotor Controls</v>
      </c>
      <c r="G107" s="537" t="s">
        <v>539</v>
      </c>
      <c r="H107" s="537" t="s">
        <v>228</v>
      </c>
      <c r="I107" s="538"/>
      <c r="J107" s="538"/>
      <c r="K107" s="539">
        <f>'3. Scrap (GC)'!C76</f>
        <v>35988.371534659054</v>
      </c>
      <c r="L107" s="539">
        <f>'3. Scrap (GC)'!E76</f>
        <v>94871.705380828425</v>
      </c>
      <c r="M107" s="538"/>
      <c r="N107" s="538"/>
      <c r="O107" s="539">
        <f>'3. Scrap (GC)'!R76</f>
        <v>129843.69047517241</v>
      </c>
      <c r="P107" s="539">
        <f>'3. Scrap (GC)'!S76</f>
        <v>0</v>
      </c>
      <c r="Q107" s="538"/>
      <c r="R107" s="538"/>
      <c r="S107" s="538"/>
      <c r="T107" s="538"/>
      <c r="U107" s="538"/>
      <c r="V107" s="538"/>
      <c r="W107" s="539">
        <f>'3. Scrap (GC)'!F76</f>
        <v>10982.754342068965</v>
      </c>
      <c r="X107" s="539">
        <f>'3. Scrap (GC)'!G76</f>
        <v>9750.9471772413799</v>
      </c>
      <c r="Y107" s="539">
        <f>'3. Scrap (GC)'!H76</f>
        <v>10665.506346896551</v>
      </c>
      <c r="Z107" s="539">
        <f>'3. Scrap (GC)'!I76</f>
        <v>11075.910555172413</v>
      </c>
      <c r="AA107" s="539">
        <f>'3. Scrap (GC)'!J76</f>
        <v>11305.748811034484</v>
      </c>
      <c r="AB107" s="539">
        <f>'3. Scrap (GC)'!K76</f>
        <v>10529.02819310345</v>
      </c>
      <c r="AC107" s="539">
        <f>'3. Scrap (GC)'!L76</f>
        <v>12082.924556551725</v>
      </c>
      <c r="AD107" s="539">
        <f>'3. Scrap (GC)'!M76</f>
        <v>9363.7758931034477</v>
      </c>
      <c r="AE107" s="539">
        <f>'3. Scrap (GC)'!N76</f>
        <v>10144.650669655173</v>
      </c>
      <c r="AF107" s="539">
        <f>'3. Scrap (GC)'!O76</f>
        <v>11314.147977241379</v>
      </c>
      <c r="AG107" s="539">
        <f>'3. Scrap (GC)'!P76</f>
        <v>11314.147977241379</v>
      </c>
      <c r="AH107" s="539">
        <f>'3. Scrap (GC)'!Q76</f>
        <v>11314.147975862068</v>
      </c>
      <c r="AI107" s="538"/>
      <c r="AJ107" s="538"/>
      <c r="AK107" s="538"/>
      <c r="AL107" s="538"/>
      <c r="AM107" s="538"/>
      <c r="AN107" s="540"/>
      <c r="AO107" s="537" t="str">
        <f>'3. Scrap (GC)'!W76</f>
        <v/>
      </c>
      <c r="AP107" s="537">
        <v>71</v>
      </c>
      <c r="AQ107" s="537" t="str">
        <f>Settings!$A$1</f>
        <v>V2</v>
      </c>
      <c r="AR107" s="451"/>
    </row>
    <row r="108" spans="1:44" ht="12.75" customHeight="1" x14ac:dyDescent="0.25">
      <c r="A108" s="451">
        <f>'Input-FX Rates'!$C$4</f>
        <v>242</v>
      </c>
      <c r="B108" s="451" t="str">
        <f>'Input-FX Rates'!$B$4</f>
        <v>ICH Icheon (242)</v>
      </c>
      <c r="C108" s="451">
        <f>'Input-FX Rates'!$C$6</f>
        <v>780</v>
      </c>
      <c r="D108" s="451" t="str">
        <f>'Input-FX Rates'!$B$6</f>
        <v>780 BU Controls</v>
      </c>
      <c r="E108" s="451" t="str">
        <f>'Input-FX Rates'!$C$5</f>
        <v>7851</v>
      </c>
      <c r="F108" s="451" t="str">
        <f>'Input-FX Rates'!$B$5</f>
        <v>7851 PL eMotor Controls</v>
      </c>
      <c r="G108" s="451" t="s">
        <v>538</v>
      </c>
      <c r="H108" s="451" t="s">
        <v>167</v>
      </c>
      <c r="I108" s="535"/>
      <c r="J108" s="535"/>
      <c r="K108" s="536">
        <f>'4. Fix Cost (GC)'!B7</f>
        <v>35988.371534659054</v>
      </c>
      <c r="L108" s="536">
        <f>'4. Fix Cost (GC)'!C7</f>
        <v>94871.705380828425</v>
      </c>
      <c r="M108" s="535"/>
      <c r="N108" s="535"/>
      <c r="O108" s="536">
        <f>'4. Fix Cost (GC)'!Q7</f>
        <v>129843.69047517242</v>
      </c>
      <c r="P108" s="536">
        <f>'4. Fix Cost (GC)'!R7</f>
        <v>129843.69047517242</v>
      </c>
      <c r="Q108" s="535"/>
      <c r="R108" s="535"/>
      <c r="S108" s="535"/>
      <c r="T108" s="535"/>
      <c r="U108" s="535"/>
      <c r="V108" s="535"/>
      <c r="W108" s="536">
        <f>'4. Fix Cost (GC)'!E7</f>
        <v>10982.754342068965</v>
      </c>
      <c r="X108" s="536">
        <f>'4. Fix Cost (GC)'!F7</f>
        <v>9750.9471772413799</v>
      </c>
      <c r="Y108" s="536">
        <f>'4. Fix Cost (GC)'!G7</f>
        <v>10665.506346896551</v>
      </c>
      <c r="Z108" s="536">
        <f>'4. Fix Cost (GC)'!H7</f>
        <v>11075.910555172413</v>
      </c>
      <c r="AA108" s="536">
        <f>'4. Fix Cost (GC)'!I7</f>
        <v>11305.748811034484</v>
      </c>
      <c r="AB108" s="536">
        <f>'4. Fix Cost (GC)'!J7</f>
        <v>10529.02819310345</v>
      </c>
      <c r="AC108" s="536">
        <f>'4. Fix Cost (GC)'!K7</f>
        <v>12082.924556551725</v>
      </c>
      <c r="AD108" s="536">
        <f>'4. Fix Cost (GC)'!L7</f>
        <v>9363.7758931034477</v>
      </c>
      <c r="AE108" s="536">
        <f>'4. Fix Cost (GC)'!M7</f>
        <v>10144.650669655173</v>
      </c>
      <c r="AF108" s="536">
        <f>'4. Fix Cost (GC)'!N7</f>
        <v>11314.147977241379</v>
      </c>
      <c r="AG108" s="536">
        <f>'4. Fix Cost (GC)'!O7</f>
        <v>11314.147977241379</v>
      </c>
      <c r="AH108" s="536">
        <f>'4. Fix Cost (GC)'!P7</f>
        <v>11314.147975862068</v>
      </c>
      <c r="AI108" s="535"/>
      <c r="AJ108" s="535"/>
      <c r="AK108" s="535"/>
      <c r="AL108" s="535"/>
      <c r="AM108" s="535"/>
      <c r="AN108" s="535"/>
      <c r="AO108" s="451" t="str">
        <f>'4. Fix Cost (GC)'!W7</f>
        <v/>
      </c>
      <c r="AP108" s="451">
        <v>72</v>
      </c>
      <c r="AQ108" s="451" t="str">
        <f>Settings!$A$1</f>
        <v>V2</v>
      </c>
      <c r="AR108" s="858"/>
    </row>
    <row r="109" spans="1:44" ht="12.75" customHeight="1" x14ac:dyDescent="0.25">
      <c r="A109" s="451">
        <f>'Input-FX Rates'!$C$4</f>
        <v>242</v>
      </c>
      <c r="B109" s="451" t="str">
        <f>'Input-FX Rates'!$B$4</f>
        <v>ICH Icheon (242)</v>
      </c>
      <c r="C109" s="451">
        <f>'Input-FX Rates'!$C$6</f>
        <v>780</v>
      </c>
      <c r="D109" s="451" t="str">
        <f>'Input-FX Rates'!$B$6</f>
        <v>780 BU Controls</v>
      </c>
      <c r="E109" s="451" t="str">
        <f>'Input-FX Rates'!$C$5</f>
        <v>7851</v>
      </c>
      <c r="F109" s="451" t="str">
        <f>'Input-FX Rates'!$B$5</f>
        <v>7851 PL eMotor Controls</v>
      </c>
      <c r="G109" s="451" t="s">
        <v>538</v>
      </c>
      <c r="H109" s="451" t="s">
        <v>329</v>
      </c>
      <c r="I109" s="535"/>
      <c r="J109" s="535"/>
      <c r="K109" s="536">
        <f>'4. Fix Cost (GC)'!B8</f>
        <v>-1382.3353136365979</v>
      </c>
      <c r="L109" s="536">
        <f>'4. Fix Cost (GC)'!C8</f>
        <v>-2728.4597372731937</v>
      </c>
      <c r="M109" s="535"/>
      <c r="N109" s="535"/>
      <c r="O109" s="536">
        <f>'4. Fix Cost (GC)'!Q8</f>
        <v>-3343.4651710344824</v>
      </c>
      <c r="P109" s="536">
        <f>'4. Fix Cost (GC)'!R8</f>
        <v>-4219.63</v>
      </c>
      <c r="Q109" s="535"/>
      <c r="R109" s="535"/>
      <c r="S109" s="535"/>
      <c r="T109" s="535"/>
      <c r="U109" s="535"/>
      <c r="V109" s="535"/>
      <c r="W109" s="536">
        <f>'4. Fix Cost (GC)'!E8</f>
        <v>-263.41290206896548</v>
      </c>
      <c r="X109" s="536">
        <f>'4. Fix Cost (GC)'!F8</f>
        <v>-263.41078551724138</v>
      </c>
      <c r="Y109" s="536">
        <f>'4. Fix Cost (GC)'!G8</f>
        <v>-263.29525103448276</v>
      </c>
      <c r="Z109" s="536">
        <f>'4. Fix Cost (GC)'!H8</f>
        <v>-240.84254413793104</v>
      </c>
      <c r="AA109" s="536">
        <f>'4. Fix Cost (GC)'!I8</f>
        <v>-254.48639586206895</v>
      </c>
      <c r="AB109" s="536">
        <f>'4. Fix Cost (GC)'!J8</f>
        <v>-260.31828827586207</v>
      </c>
      <c r="AC109" s="536">
        <f>'4. Fix Cost (GC)'!K8</f>
        <v>-336.3720648275862</v>
      </c>
      <c r="AD109" s="536">
        <f>'4. Fix Cost (GC)'!L8</f>
        <v>-312.58632689655172</v>
      </c>
      <c r="AE109" s="536">
        <f>'4. Fix Cost (GC)'!M8</f>
        <v>-286.64483931034482</v>
      </c>
      <c r="AF109" s="536">
        <f>'4. Fix Cost (GC)'!N8</f>
        <v>-287.25047862068965</v>
      </c>
      <c r="AG109" s="536">
        <f>'4. Fix Cost (GC)'!O8</f>
        <v>-282.38786827586205</v>
      </c>
      <c r="AH109" s="536">
        <f>'4. Fix Cost (GC)'!P8</f>
        <v>-292.45742620689651</v>
      </c>
      <c r="AI109" s="535"/>
      <c r="AJ109" s="535"/>
      <c r="AK109" s="535"/>
      <c r="AL109" s="535"/>
      <c r="AM109" s="535"/>
      <c r="AN109" s="535"/>
      <c r="AO109" s="451" t="str">
        <f>'4. Fix Cost (GC)'!W8</f>
        <v>Comparing to FC, Central assessment cost increase as sales amount decrease</v>
      </c>
      <c r="AP109" s="451">
        <v>73</v>
      </c>
      <c r="AQ109" s="451" t="str">
        <f>Settings!$A$1</f>
        <v>V2</v>
      </c>
      <c r="AR109" s="858"/>
    </row>
    <row r="110" spans="1:44" ht="12.75" customHeight="1" x14ac:dyDescent="0.25">
      <c r="A110" s="451">
        <f>'Input-FX Rates'!$C$4</f>
        <v>242</v>
      </c>
      <c r="B110" s="451" t="str">
        <f>'Input-FX Rates'!$B$4</f>
        <v>ICH Icheon (242)</v>
      </c>
      <c r="C110" s="451">
        <f>'Input-FX Rates'!$C$6</f>
        <v>780</v>
      </c>
      <c r="D110" s="451" t="str">
        <f>'Input-FX Rates'!$B$6</f>
        <v>780 BU Controls</v>
      </c>
      <c r="E110" s="451" t="str">
        <f>'Input-FX Rates'!$C$5</f>
        <v>7851</v>
      </c>
      <c r="F110" s="451" t="str">
        <f>'Input-FX Rates'!$B$5</f>
        <v>7851 PL eMotor Controls</v>
      </c>
      <c r="G110" s="451" t="s">
        <v>538</v>
      </c>
      <c r="H110" s="451" t="s">
        <v>327</v>
      </c>
      <c r="I110" s="535"/>
      <c r="J110" s="535"/>
      <c r="K110" s="536">
        <f>'4. Fix Cost (GC)'!B9</f>
        <v>-50.721992356684332</v>
      </c>
      <c r="L110" s="536">
        <f>'4. Fix Cost (GC)'!C9</f>
        <v>-140.91544388453056</v>
      </c>
      <c r="M110" s="535"/>
      <c r="N110" s="535"/>
      <c r="O110" s="536">
        <f>'4. Fix Cost (GC)'!Q9</f>
        <v>-178.44389103448276</v>
      </c>
      <c r="P110" s="536">
        <f>'4. Fix Cost (GC)'!R9</f>
        <v>0</v>
      </c>
      <c r="Q110" s="535"/>
      <c r="R110" s="535"/>
      <c r="S110" s="535"/>
      <c r="T110" s="535"/>
      <c r="U110" s="535"/>
      <c r="V110" s="535"/>
      <c r="W110" s="536">
        <f>'4. Fix Cost (GC)'!E9</f>
        <v>-16.758229655172414</v>
      </c>
      <c r="X110" s="536">
        <f>'4. Fix Cost (GC)'!F9</f>
        <v>-14.80968275862069</v>
      </c>
      <c r="Y110" s="536">
        <f>'4. Fix Cost (GC)'!G9</f>
        <v>-16.068787586206895</v>
      </c>
      <c r="Z110" s="536">
        <f>'4. Fix Cost (GC)'!H9</f>
        <v>-13.810706206896553</v>
      </c>
      <c r="AA110" s="536">
        <f>'4. Fix Cost (GC)'!I9</f>
        <v>-14.237089655172413</v>
      </c>
      <c r="AB110" s="536">
        <f>'4. Fix Cost (GC)'!J9</f>
        <v>-13.68816551724138</v>
      </c>
      <c r="AC110" s="536">
        <f>'4. Fix Cost (GC)'!K9</f>
        <v>-17.657783448275861</v>
      </c>
      <c r="AD110" s="536">
        <f>'4. Fix Cost (GC)'!L9</f>
        <v>-13.350052413793104</v>
      </c>
      <c r="AE110" s="536">
        <f>'4. Fix Cost (GC)'!M9</f>
        <v>-14.489459310344827</v>
      </c>
      <c r="AF110" s="536">
        <f>'4. Fix Cost (GC)'!N9</f>
        <v>-14.811223448275863</v>
      </c>
      <c r="AG110" s="536">
        <f>'4. Fix Cost (GC)'!O9</f>
        <v>-14.282104137931034</v>
      </c>
      <c r="AH110" s="536">
        <f>'4. Fix Cost (GC)'!P9</f>
        <v>-14.480606896551725</v>
      </c>
      <c r="AI110" s="535"/>
      <c r="AJ110" s="535"/>
      <c r="AK110" s="535"/>
      <c r="AL110" s="535"/>
      <c r="AM110" s="535"/>
      <c r="AN110" s="535"/>
      <c r="AO110" s="451" t="str">
        <f>'4. Fix Cost (GC)'!W9</f>
        <v>CM sales decrease leads to FFQ cost assessment increase</v>
      </c>
      <c r="AP110" s="451">
        <v>74</v>
      </c>
      <c r="AQ110" s="451" t="str">
        <f>Settings!$A$1</f>
        <v>V2</v>
      </c>
      <c r="AR110" s="858"/>
    </row>
    <row r="111" spans="1:44" ht="12.75" customHeight="1" x14ac:dyDescent="0.25">
      <c r="A111" s="451">
        <f>'Input-FX Rates'!$C$4</f>
        <v>242</v>
      </c>
      <c r="B111" s="451" t="str">
        <f>'Input-FX Rates'!$B$4</f>
        <v>ICH Icheon (242)</v>
      </c>
      <c r="C111" s="451">
        <f>'Input-FX Rates'!$C$6</f>
        <v>780</v>
      </c>
      <c r="D111" s="451" t="str">
        <f>'Input-FX Rates'!$B$6</f>
        <v>780 BU Controls</v>
      </c>
      <c r="E111" s="451" t="str">
        <f>'Input-FX Rates'!$C$5</f>
        <v>7851</v>
      </c>
      <c r="F111" s="451" t="str">
        <f>'Input-FX Rates'!$B$5</f>
        <v>7851 PL eMotor Controls</v>
      </c>
      <c r="G111" s="451" t="s">
        <v>538</v>
      </c>
      <c r="H111" s="451" t="s">
        <v>326</v>
      </c>
      <c r="I111" s="535"/>
      <c r="J111" s="535"/>
      <c r="K111" s="536">
        <f>'4. Fix Cost (GC)'!B10</f>
        <v>-354.43895396345647</v>
      </c>
      <c r="L111" s="536">
        <f>'4. Fix Cost (GC)'!C10</f>
        <v>-737.69289918143318</v>
      </c>
      <c r="M111" s="535"/>
      <c r="N111" s="535"/>
      <c r="O111" s="536">
        <f>'4. Fix Cost (GC)'!Q10</f>
        <v>-1086.3154937931035</v>
      </c>
      <c r="P111" s="536">
        <f>'4. Fix Cost (GC)'!R10</f>
        <v>0</v>
      </c>
      <c r="Q111" s="535"/>
      <c r="R111" s="535"/>
      <c r="S111" s="535"/>
      <c r="T111" s="535"/>
      <c r="U111" s="535"/>
      <c r="V111" s="535"/>
      <c r="W111" s="536">
        <f>'4. Fix Cost (GC)'!E10</f>
        <v>-120.25609103448275</v>
      </c>
      <c r="X111" s="536">
        <f>'4. Fix Cost (GC)'!F10</f>
        <v>-141.93178</v>
      </c>
      <c r="Y111" s="536">
        <f>'4. Fix Cost (GC)'!G10</f>
        <v>-109.1231248275862</v>
      </c>
      <c r="Z111" s="536">
        <f>'4. Fix Cost (GC)'!H10</f>
        <v>-71.020626896551718</v>
      </c>
      <c r="AA111" s="536">
        <f>'4. Fix Cost (GC)'!I10</f>
        <v>-85.726943448275861</v>
      </c>
      <c r="AB111" s="536">
        <f>'4. Fix Cost (GC)'!J10</f>
        <v>-70.840225517241379</v>
      </c>
      <c r="AC111" s="536">
        <f>'4. Fix Cost (GC)'!K10</f>
        <v>-90.046811034482758</v>
      </c>
      <c r="AD111" s="536">
        <f>'4. Fix Cost (GC)'!L10</f>
        <v>-71.381564137931036</v>
      </c>
      <c r="AE111" s="536">
        <f>'4. Fix Cost (GC)'!M10</f>
        <v>-97.920913103448271</v>
      </c>
      <c r="AF111" s="536">
        <f>'4. Fix Cost (GC)'!N10</f>
        <v>-71.382953103448287</v>
      </c>
      <c r="AG111" s="536">
        <f>'4. Fix Cost (GC)'!O10</f>
        <v>-84.775117241379306</v>
      </c>
      <c r="AH111" s="536">
        <f>'4. Fix Cost (GC)'!P10</f>
        <v>-71.909343448275862</v>
      </c>
      <c r="AI111" s="535"/>
      <c r="AJ111" s="535"/>
      <c r="AK111" s="535"/>
      <c r="AL111" s="535"/>
      <c r="AM111" s="535"/>
      <c r="AN111" s="535"/>
      <c r="AO111" s="451" t="str">
        <f>'4. Fix Cost (GC)'!W10</f>
        <v>Average HC increase vs FC (5.2 -&gt; 6) -82K EUR
Other compensation increase such as welfare point, customery present, and commuting cost due to variable HC increase that is represented in fix cost -273K EUR</v>
      </c>
      <c r="AP111" s="451">
        <v>75</v>
      </c>
      <c r="AQ111" s="451" t="str">
        <f>Settings!$A$1</f>
        <v>V2</v>
      </c>
      <c r="AR111" s="858"/>
    </row>
    <row r="112" spans="1:44" ht="12.75" customHeight="1" x14ac:dyDescent="0.25">
      <c r="A112" s="451">
        <f>'Input-FX Rates'!$C$4</f>
        <v>242</v>
      </c>
      <c r="B112" s="451" t="str">
        <f>'Input-FX Rates'!$B$4</f>
        <v>ICH Icheon (242)</v>
      </c>
      <c r="C112" s="451">
        <f>'Input-FX Rates'!$C$6</f>
        <v>780</v>
      </c>
      <c r="D112" s="451" t="str">
        <f>'Input-FX Rates'!$B$6</f>
        <v>780 BU Controls</v>
      </c>
      <c r="E112" s="451" t="str">
        <f>'Input-FX Rates'!$C$5</f>
        <v>7851</v>
      </c>
      <c r="F112" s="451" t="str">
        <f>'Input-FX Rates'!$B$5</f>
        <v>7851 PL eMotor Controls</v>
      </c>
      <c r="G112" s="451" t="s">
        <v>538</v>
      </c>
      <c r="H112" s="451" t="s">
        <v>325</v>
      </c>
      <c r="I112" s="535"/>
      <c r="J112" s="535"/>
      <c r="K112" s="536">
        <f>'4. Fix Cost (GC)'!B11</f>
        <v>-5.8778589139109965</v>
      </c>
      <c r="L112" s="536">
        <f>'4. Fix Cost (GC)'!C11</f>
        <v>-12.467228467020984</v>
      </c>
      <c r="M112" s="535"/>
      <c r="N112" s="535"/>
      <c r="O112" s="536">
        <f>'4. Fix Cost (GC)'!Q11</f>
        <v>-58.266064137931039</v>
      </c>
      <c r="P112" s="536">
        <f>'4. Fix Cost (GC)'!R11</f>
        <v>0</v>
      </c>
      <c r="Q112" s="535"/>
      <c r="R112" s="535"/>
      <c r="S112" s="535"/>
      <c r="T112" s="535"/>
      <c r="U112" s="535"/>
      <c r="V112" s="535"/>
      <c r="W112" s="536">
        <f>'4. Fix Cost (GC)'!E11</f>
        <v>-1.752056551724138</v>
      </c>
      <c r="X112" s="536">
        <f>'4. Fix Cost (GC)'!F11</f>
        <v>-0.71757448275862068</v>
      </c>
      <c r="Y112" s="536">
        <f>'4. Fix Cost (GC)'!G11</f>
        <v>-0.71757448275862068</v>
      </c>
      <c r="Z112" s="536">
        <f>'4. Fix Cost (GC)'!H11</f>
        <v>-2.0968848275862069</v>
      </c>
      <c r="AA112" s="536">
        <f>'4. Fix Cost (GC)'!I11</f>
        <v>-2.7865393103448275</v>
      </c>
      <c r="AB112" s="536">
        <f>'4. Fix Cost (GC)'!J11</f>
        <v>-0.71757448275862068</v>
      </c>
      <c r="AC112" s="536">
        <f>'4. Fix Cost (GC)'!K11</f>
        <v>-1.752056551724138</v>
      </c>
      <c r="AD112" s="536">
        <f>'4. Fix Cost (GC)'!L11</f>
        <v>-41.407229655172415</v>
      </c>
      <c r="AE112" s="536">
        <f>'4. Fix Cost (GC)'!M11</f>
        <v>-0.71757448275862068</v>
      </c>
      <c r="AF112" s="536">
        <f>'4. Fix Cost (GC)'!N11</f>
        <v>-4.1658503448275868</v>
      </c>
      <c r="AG112" s="536">
        <f>'4. Fix Cost (GC)'!O11</f>
        <v>-0.71757448275862068</v>
      </c>
      <c r="AH112" s="536">
        <f>'4. Fix Cost (GC)'!P11</f>
        <v>-0.71757448275862068</v>
      </c>
      <c r="AI112" s="535"/>
      <c r="AJ112" s="535"/>
      <c r="AK112" s="535"/>
      <c r="AL112" s="535"/>
      <c r="AM112" s="535"/>
      <c r="AN112" s="535"/>
      <c r="AO112" s="451" t="str">
        <f>'4. Fix Cost (GC)'!W11</f>
        <v/>
      </c>
      <c r="AP112" s="451">
        <v>76</v>
      </c>
      <c r="AQ112" s="451" t="str">
        <f>Settings!$A$1</f>
        <v>V2</v>
      </c>
      <c r="AR112" s="858"/>
    </row>
    <row r="113" spans="1:44" ht="12.75" customHeight="1" x14ac:dyDescent="0.25">
      <c r="A113" s="451">
        <f>'Input-FX Rates'!$C$4</f>
        <v>242</v>
      </c>
      <c r="B113" s="451" t="str">
        <f>'Input-FX Rates'!$B$4</f>
        <v>ICH Icheon (242)</v>
      </c>
      <c r="C113" s="451">
        <f>'Input-FX Rates'!$C$6</f>
        <v>780</v>
      </c>
      <c r="D113" s="451" t="str">
        <f>'Input-FX Rates'!$B$6</f>
        <v>780 BU Controls</v>
      </c>
      <c r="E113" s="451" t="str">
        <f>'Input-FX Rates'!$C$5</f>
        <v>7851</v>
      </c>
      <c r="F113" s="451" t="str">
        <f>'Input-FX Rates'!$B$5</f>
        <v>7851 PL eMotor Controls</v>
      </c>
      <c r="G113" s="451" t="s">
        <v>538</v>
      </c>
      <c r="H113" s="451" t="s">
        <v>324</v>
      </c>
      <c r="I113" s="535"/>
      <c r="J113" s="535"/>
      <c r="K113" s="536">
        <f>'4. Fix Cost (GC)'!B12</f>
        <v>-822.70947201175568</v>
      </c>
      <c r="L113" s="536">
        <f>'4. Fix Cost (GC)'!C12</f>
        <v>-770.88654043363476</v>
      </c>
      <c r="M113" s="535"/>
      <c r="N113" s="535"/>
      <c r="O113" s="536">
        <f>'4. Fix Cost (GC)'!Q12</f>
        <v>-94.473004137931028</v>
      </c>
      <c r="P113" s="536">
        <f>'4. Fix Cost (GC)'!R12</f>
        <v>-350</v>
      </c>
      <c r="Q113" s="535"/>
      <c r="R113" s="535"/>
      <c r="S113" s="535"/>
      <c r="T113" s="535"/>
      <c r="U113" s="535"/>
      <c r="V113" s="535"/>
      <c r="W113" s="536">
        <f>'4. Fix Cost (GC)'!E12</f>
        <v>-7.872750344827586</v>
      </c>
      <c r="X113" s="536">
        <f>'4. Fix Cost (GC)'!F12</f>
        <v>-7.872750344827586</v>
      </c>
      <c r="Y113" s="536">
        <f>'4. Fix Cost (GC)'!G12</f>
        <v>-7.872750344827586</v>
      </c>
      <c r="Z113" s="536">
        <f>'4. Fix Cost (GC)'!H12</f>
        <v>-7.872750344827586</v>
      </c>
      <c r="AA113" s="536">
        <f>'4. Fix Cost (GC)'!I12</f>
        <v>-7.872750344827586</v>
      </c>
      <c r="AB113" s="536">
        <f>'4. Fix Cost (GC)'!J12</f>
        <v>-7.872750344827586</v>
      </c>
      <c r="AC113" s="536">
        <f>'4. Fix Cost (GC)'!K12</f>
        <v>-7.872750344827586</v>
      </c>
      <c r="AD113" s="536">
        <f>'4. Fix Cost (GC)'!L12</f>
        <v>-7.872750344827586</v>
      </c>
      <c r="AE113" s="536">
        <f>'4. Fix Cost (GC)'!M12</f>
        <v>-7.872750344827586</v>
      </c>
      <c r="AF113" s="536">
        <f>'4. Fix Cost (GC)'!N12</f>
        <v>-7.872750344827586</v>
      </c>
      <c r="AG113" s="536">
        <f>'4. Fix Cost (GC)'!O12</f>
        <v>-7.872750344827586</v>
      </c>
      <c r="AH113" s="536">
        <f>'4. Fix Cost (GC)'!P12</f>
        <v>-7.872750344827586</v>
      </c>
      <c r="AI113" s="535"/>
      <c r="AJ113" s="535"/>
      <c r="AK113" s="535"/>
      <c r="AL113" s="535"/>
      <c r="AM113" s="535"/>
      <c r="AN113" s="535"/>
      <c r="AO113" s="451" t="str">
        <f>'4. Fix Cost (GC)'!W12</f>
        <v>Target amount is applied rather than VT lab survey result</v>
      </c>
      <c r="AP113" s="451">
        <v>77</v>
      </c>
      <c r="AQ113" s="451" t="str">
        <f>Settings!$A$1</f>
        <v>V2</v>
      </c>
      <c r="AR113" s="858"/>
    </row>
    <row r="114" spans="1:44" ht="12.75" customHeight="1" x14ac:dyDescent="0.25">
      <c r="A114" s="451">
        <f>'Input-FX Rates'!$C$4</f>
        <v>242</v>
      </c>
      <c r="B114" s="451" t="str">
        <f>'Input-FX Rates'!$B$4</f>
        <v>ICH Icheon (242)</v>
      </c>
      <c r="C114" s="451">
        <f>'Input-FX Rates'!$C$6</f>
        <v>780</v>
      </c>
      <c r="D114" s="451" t="str">
        <f>'Input-FX Rates'!$B$6</f>
        <v>780 BU Controls</v>
      </c>
      <c r="E114" s="451" t="str">
        <f>'Input-FX Rates'!$C$5</f>
        <v>7851</v>
      </c>
      <c r="F114" s="451" t="str">
        <f>'Input-FX Rates'!$B$5</f>
        <v>7851 PL eMotor Controls</v>
      </c>
      <c r="G114" s="451" t="s">
        <v>538</v>
      </c>
      <c r="H114" s="451" t="s">
        <v>322</v>
      </c>
      <c r="I114" s="535"/>
      <c r="J114" s="535"/>
      <c r="K114" s="536">
        <f>'4. Fix Cost (GC)'!B13</f>
        <v>-123.37306708275226</v>
      </c>
      <c r="L114" s="536">
        <f>'4. Fix Cost (GC)'!C13</f>
        <v>-206.56269169698447</v>
      </c>
      <c r="M114" s="535"/>
      <c r="N114" s="535"/>
      <c r="O114" s="536">
        <f>'4. Fix Cost (GC)'!Q13</f>
        <v>-129.99999724137933</v>
      </c>
      <c r="P114" s="536">
        <f>'4. Fix Cost (GC)'!R13</f>
        <v>-130</v>
      </c>
      <c r="Q114" s="535"/>
      <c r="R114" s="535"/>
      <c r="S114" s="535"/>
      <c r="T114" s="535"/>
      <c r="U114" s="535"/>
      <c r="V114" s="535"/>
      <c r="W114" s="536">
        <f>'4. Fix Cost (GC)'!E13</f>
        <v>-10.833333103448275</v>
      </c>
      <c r="X114" s="536">
        <f>'4. Fix Cost (GC)'!F13</f>
        <v>-10.833333103448275</v>
      </c>
      <c r="Y114" s="536">
        <f>'4. Fix Cost (GC)'!G13</f>
        <v>-10.833333103448275</v>
      </c>
      <c r="Z114" s="536">
        <f>'4. Fix Cost (GC)'!H13</f>
        <v>-10.833333103448275</v>
      </c>
      <c r="AA114" s="536">
        <f>'4. Fix Cost (GC)'!I13</f>
        <v>-10.833333103448275</v>
      </c>
      <c r="AB114" s="536">
        <f>'4. Fix Cost (GC)'!J13</f>
        <v>-10.833333103448275</v>
      </c>
      <c r="AC114" s="536">
        <f>'4. Fix Cost (GC)'!K13</f>
        <v>-10.833333103448275</v>
      </c>
      <c r="AD114" s="536">
        <f>'4. Fix Cost (GC)'!L13</f>
        <v>-10.833333103448275</v>
      </c>
      <c r="AE114" s="536">
        <f>'4. Fix Cost (GC)'!M13</f>
        <v>-10.833333103448275</v>
      </c>
      <c r="AF114" s="536">
        <f>'4. Fix Cost (GC)'!N13</f>
        <v>-10.833333103448275</v>
      </c>
      <c r="AG114" s="536">
        <f>'4. Fix Cost (GC)'!O13</f>
        <v>-10.833333103448275</v>
      </c>
      <c r="AH114" s="536">
        <f>'4. Fix Cost (GC)'!P13</f>
        <v>-10.833333103448275</v>
      </c>
      <c r="AI114" s="535"/>
      <c r="AJ114" s="535"/>
      <c r="AK114" s="535"/>
      <c r="AL114" s="535"/>
      <c r="AM114" s="535"/>
      <c r="AN114" s="535"/>
      <c r="AO114" s="451" t="str">
        <f>'4. Fix Cost (GC)'!W13</f>
        <v>EPF4 40K, HPCU 40K, Board 50K EUR</v>
      </c>
      <c r="AP114" s="451">
        <v>78</v>
      </c>
      <c r="AQ114" s="451" t="str">
        <f>Settings!$A$1</f>
        <v>V2</v>
      </c>
      <c r="AR114" s="858"/>
    </row>
    <row r="115" spans="1:44" ht="12.75" customHeight="1" x14ac:dyDescent="0.25">
      <c r="A115" s="451">
        <f>'Input-FX Rates'!$C$4</f>
        <v>242</v>
      </c>
      <c r="B115" s="451" t="str">
        <f>'Input-FX Rates'!$B$4</f>
        <v>ICH Icheon (242)</v>
      </c>
      <c r="C115" s="451">
        <f>'Input-FX Rates'!$C$6</f>
        <v>780</v>
      </c>
      <c r="D115" s="451" t="str">
        <f>'Input-FX Rates'!$B$6</f>
        <v>780 BU Controls</v>
      </c>
      <c r="E115" s="451" t="str">
        <f>'Input-FX Rates'!$C$5</f>
        <v>7851</v>
      </c>
      <c r="F115" s="451" t="str">
        <f>'Input-FX Rates'!$B$5</f>
        <v>7851 PL eMotor Controls</v>
      </c>
      <c r="G115" s="451" t="s">
        <v>538</v>
      </c>
      <c r="H115" s="451" t="s">
        <v>304</v>
      </c>
      <c r="I115" s="535"/>
      <c r="J115" s="535"/>
      <c r="K115" s="536">
        <f>'4. Fix Cost (GC)'!B14</f>
        <v>-75.399339251052496</v>
      </c>
      <c r="L115" s="536">
        <f>'4. Fix Cost (GC)'!C14</f>
        <v>-176.48351639426915</v>
      </c>
      <c r="M115" s="535"/>
      <c r="N115" s="535"/>
      <c r="O115" s="536">
        <f>'4. Fix Cost (GC)'!Q14</f>
        <v>-295.63926827586209</v>
      </c>
      <c r="P115" s="536">
        <f>'4. Fix Cost (GC)'!R14</f>
        <v>0</v>
      </c>
      <c r="Q115" s="535"/>
      <c r="R115" s="535"/>
      <c r="S115" s="535"/>
      <c r="T115" s="535"/>
      <c r="U115" s="535"/>
      <c r="V115" s="535"/>
      <c r="W115" s="536">
        <f>'4. Fix Cost (GC)'!E14</f>
        <v>-19.107091034482757</v>
      </c>
      <c r="X115" s="536">
        <f>'4. Fix Cost (GC)'!F14</f>
        <v>-30.969835172413791</v>
      </c>
      <c r="Y115" s="536">
        <f>'4. Fix Cost (GC)'!G14</f>
        <v>-24.607377241379311</v>
      </c>
      <c r="Z115" s="536">
        <f>'4. Fix Cost (GC)'!H14</f>
        <v>-23.91680275862069</v>
      </c>
      <c r="AA115" s="536">
        <f>'4. Fix Cost (GC)'!I14</f>
        <v>-21.072064137931033</v>
      </c>
      <c r="AB115" s="536">
        <f>'4. Fix Cost (GC)'!J14</f>
        <v>-22.452740000000002</v>
      </c>
      <c r="AC115" s="536">
        <f>'4. Fix Cost (GC)'!K14</f>
        <v>-22.317557241379308</v>
      </c>
      <c r="AD115" s="536">
        <f>'4. Fix Cost (GC)'!L14</f>
        <v>-40.410340689655172</v>
      </c>
      <c r="AE115" s="536">
        <f>'4. Fix Cost (GC)'!M14</f>
        <v>-22.387700689655173</v>
      </c>
      <c r="AF115" s="536">
        <f>'4. Fix Cost (GC)'!N14</f>
        <v>-30.420170344827589</v>
      </c>
      <c r="AG115" s="536">
        <f>'4. Fix Cost (GC)'!O14</f>
        <v>-19.705502758620689</v>
      </c>
      <c r="AH115" s="536">
        <f>'4. Fix Cost (GC)'!P14</f>
        <v>-18.272086206896553</v>
      </c>
      <c r="AI115" s="535"/>
      <c r="AJ115" s="535"/>
      <c r="AK115" s="535"/>
      <c r="AL115" s="535"/>
      <c r="AM115" s="535"/>
      <c r="AN115" s="535"/>
      <c r="AO115" s="451" t="str">
        <f>'4. Fix Cost (GC)'!W14</f>
        <v>Calibration and Inspection fee</v>
      </c>
      <c r="AP115" s="451">
        <v>79</v>
      </c>
      <c r="AQ115" s="451" t="str">
        <f>Settings!$A$1</f>
        <v>V2</v>
      </c>
      <c r="AR115" s="858"/>
    </row>
    <row r="116" spans="1:44" ht="12.75" customHeight="1" x14ac:dyDescent="0.25">
      <c r="A116" s="451">
        <f>'Input-FX Rates'!$C$4</f>
        <v>242</v>
      </c>
      <c r="B116" s="451" t="str">
        <f>'Input-FX Rates'!$B$4</f>
        <v>ICH Icheon (242)</v>
      </c>
      <c r="C116" s="451">
        <f>'Input-FX Rates'!$C$6</f>
        <v>780</v>
      </c>
      <c r="D116" s="451" t="str">
        <f>'Input-FX Rates'!$B$6</f>
        <v>780 BU Controls</v>
      </c>
      <c r="E116" s="451" t="str">
        <f>'Input-FX Rates'!$C$5</f>
        <v>7851</v>
      </c>
      <c r="F116" s="451" t="str">
        <f>'Input-FX Rates'!$B$5</f>
        <v>7851 PL eMotor Controls</v>
      </c>
      <c r="G116" s="451" t="s">
        <v>538</v>
      </c>
      <c r="H116" s="451" t="s">
        <v>321</v>
      </c>
      <c r="I116" s="535"/>
      <c r="J116" s="535"/>
      <c r="K116" s="536">
        <f>'4. Fix Cost (GC)'!B15</f>
        <v>-2814.8559972162102</v>
      </c>
      <c r="L116" s="536">
        <f>'4. Fix Cost (GC)'!C15</f>
        <v>-4773.468057331067</v>
      </c>
      <c r="M116" s="535"/>
      <c r="N116" s="535"/>
      <c r="O116" s="536">
        <f>'4. Fix Cost (GC)'!Q15</f>
        <v>-5186.6028896551725</v>
      </c>
      <c r="P116" s="536">
        <f>'4. Fix Cost (GC)'!R15</f>
        <v>-4699.63</v>
      </c>
      <c r="Q116" s="535"/>
      <c r="R116" s="535"/>
      <c r="S116" s="535"/>
      <c r="T116" s="535"/>
      <c r="U116" s="535"/>
      <c r="V116" s="535"/>
      <c r="W116" s="536">
        <f>'4. Fix Cost (GC)'!E15</f>
        <v>-439.99245379310344</v>
      </c>
      <c r="X116" s="536">
        <f>'4. Fix Cost (GC)'!F15</f>
        <v>-470.5457413793103</v>
      </c>
      <c r="Y116" s="536">
        <f>'4. Fix Cost (GC)'!G15</f>
        <v>-432.5181986206897</v>
      </c>
      <c r="Z116" s="536">
        <f>'4. Fix Cost (GC)'!H15</f>
        <v>-370.39364827586212</v>
      </c>
      <c r="AA116" s="536">
        <f>'4. Fix Cost (GC)'!I15</f>
        <v>-397.01511586206891</v>
      </c>
      <c r="AB116" s="536">
        <f>'4. Fix Cost (GC)'!J15</f>
        <v>-386.72307724137937</v>
      </c>
      <c r="AC116" s="536">
        <f>'4. Fix Cost (GC)'!K15</f>
        <v>-486.85235655172414</v>
      </c>
      <c r="AD116" s="536">
        <f>'4. Fix Cost (GC)'!L15</f>
        <v>-497.8415972413793</v>
      </c>
      <c r="AE116" s="536">
        <f>'4. Fix Cost (GC)'!M15</f>
        <v>-440.86657034482761</v>
      </c>
      <c r="AF116" s="536">
        <f>'4. Fix Cost (GC)'!N15</f>
        <v>-426.73675931034484</v>
      </c>
      <c r="AG116" s="536">
        <f>'4. Fix Cost (GC)'!O15</f>
        <v>-420.57425034482765</v>
      </c>
      <c r="AH116" s="536">
        <f>'4. Fix Cost (GC)'!P15</f>
        <v>-416.54312068965521</v>
      </c>
      <c r="AI116" s="535"/>
      <c r="AJ116" s="535"/>
      <c r="AK116" s="535"/>
      <c r="AL116" s="535"/>
      <c r="AM116" s="535"/>
      <c r="AN116" s="535"/>
      <c r="AO116" s="451" t="str">
        <f>'4. Fix Cost (GC)'!W15</f>
        <v/>
      </c>
      <c r="AP116" s="451">
        <v>80</v>
      </c>
      <c r="AQ116" s="451" t="str">
        <f>Settings!$A$1</f>
        <v>V2</v>
      </c>
      <c r="AR116" s="858"/>
    </row>
    <row r="117" spans="1:44" ht="12.75" customHeight="1" x14ac:dyDescent="0.25">
      <c r="A117" s="451">
        <f>'Input-FX Rates'!$C$4</f>
        <v>242</v>
      </c>
      <c r="B117" s="451" t="str">
        <f>'Input-FX Rates'!$B$4</f>
        <v>ICH Icheon (242)</v>
      </c>
      <c r="C117" s="451">
        <f>'Input-FX Rates'!$C$6</f>
        <v>780</v>
      </c>
      <c r="D117" s="451" t="str">
        <f>'Input-FX Rates'!$B$6</f>
        <v>780 BU Controls</v>
      </c>
      <c r="E117" s="451" t="str">
        <f>'Input-FX Rates'!$C$5</f>
        <v>7851</v>
      </c>
      <c r="F117" s="451" t="str">
        <f>'Input-FX Rates'!$B$5</f>
        <v>7851 PL eMotor Controls</v>
      </c>
      <c r="G117" s="451" t="s">
        <v>538</v>
      </c>
      <c r="H117" s="451" t="s">
        <v>305</v>
      </c>
      <c r="I117" s="535"/>
      <c r="J117" s="535"/>
      <c r="K117" s="536">
        <f>'4. Fix Cost (GC)'!B16</f>
        <v>-1416.1248350451217</v>
      </c>
      <c r="L117" s="536">
        <f>'4. Fix Cost (GC)'!C16</f>
        <v>-2828.0833637783035</v>
      </c>
      <c r="M117" s="535"/>
      <c r="N117" s="535"/>
      <c r="O117" s="536">
        <f>'4. Fix Cost (GC)'!Q16</f>
        <v>-3465.1104</v>
      </c>
      <c r="P117" s="536">
        <f>'4. Fix Cost (GC)'!R16</f>
        <v>0</v>
      </c>
      <c r="Q117" s="535"/>
      <c r="R117" s="535"/>
      <c r="S117" s="535"/>
      <c r="T117" s="535"/>
      <c r="U117" s="535"/>
      <c r="V117" s="535"/>
      <c r="W117" s="536">
        <f>'4. Fix Cost (GC)'!E16</f>
        <v>-288.75920000000002</v>
      </c>
      <c r="X117" s="536">
        <f>'4. Fix Cost (GC)'!F16</f>
        <v>-288.75920000000002</v>
      </c>
      <c r="Y117" s="536">
        <f>'4. Fix Cost (GC)'!G16</f>
        <v>-288.75920000000002</v>
      </c>
      <c r="Z117" s="536">
        <f>'4. Fix Cost (GC)'!H16</f>
        <v>-288.75920000000002</v>
      </c>
      <c r="AA117" s="536">
        <f>'4. Fix Cost (GC)'!I16</f>
        <v>-288.75920000000002</v>
      </c>
      <c r="AB117" s="536">
        <f>'4. Fix Cost (GC)'!J16</f>
        <v>-288.75920000000002</v>
      </c>
      <c r="AC117" s="536">
        <f>'4. Fix Cost (GC)'!K16</f>
        <v>-288.75920000000002</v>
      </c>
      <c r="AD117" s="536">
        <f>'4. Fix Cost (GC)'!L16</f>
        <v>-288.75920000000002</v>
      </c>
      <c r="AE117" s="536">
        <f>'4. Fix Cost (GC)'!M16</f>
        <v>-288.75920000000002</v>
      </c>
      <c r="AF117" s="536">
        <f>'4. Fix Cost (GC)'!N16</f>
        <v>-288.75920000000002</v>
      </c>
      <c r="AG117" s="536">
        <f>'4. Fix Cost (GC)'!O16</f>
        <v>-288.75920000000002</v>
      </c>
      <c r="AH117" s="536">
        <f>'4. Fix Cost (GC)'!P16</f>
        <v>-288.75920000000002</v>
      </c>
      <c r="AI117" s="535"/>
      <c r="AJ117" s="535"/>
      <c r="AK117" s="535"/>
      <c r="AL117" s="535"/>
      <c r="AM117" s="535"/>
      <c r="AN117" s="535"/>
      <c r="AO117" s="451" t="str">
        <f>'4. Fix Cost (GC)'!W16</f>
        <v>FC 7+5</v>
      </c>
      <c r="AP117" s="451">
        <v>81</v>
      </c>
      <c r="AQ117" s="451" t="str">
        <f>Settings!$A$1</f>
        <v>V2</v>
      </c>
      <c r="AR117" s="858"/>
    </row>
    <row r="118" spans="1:44" ht="12.75" customHeight="1" x14ac:dyDescent="0.25">
      <c r="A118" s="451">
        <f>'Input-FX Rates'!$C$4</f>
        <v>242</v>
      </c>
      <c r="B118" s="451" t="str">
        <f>'Input-FX Rates'!$B$4</f>
        <v>ICH Icheon (242)</v>
      </c>
      <c r="C118" s="451">
        <f>'Input-FX Rates'!$C$6</f>
        <v>780</v>
      </c>
      <c r="D118" s="451" t="str">
        <f>'Input-FX Rates'!$B$6</f>
        <v>780 BU Controls</v>
      </c>
      <c r="E118" s="451" t="str">
        <f>'Input-FX Rates'!$C$5</f>
        <v>7851</v>
      </c>
      <c r="F118" s="451" t="str">
        <f>'Input-FX Rates'!$B$5</f>
        <v>7851 PL eMotor Controls</v>
      </c>
      <c r="G118" s="451" t="s">
        <v>538</v>
      </c>
      <c r="H118" s="451" t="s">
        <v>307</v>
      </c>
      <c r="I118" s="535"/>
      <c r="J118" s="535"/>
      <c r="K118" s="536">
        <f>'4. Fix Cost (GC)'!B17</f>
        <v>-617.00965750305329</v>
      </c>
      <c r="L118" s="536">
        <f>'4. Fix Cost (GC)'!C17</f>
        <v>-1217.8568060384471</v>
      </c>
      <c r="M118" s="535"/>
      <c r="N118" s="535"/>
      <c r="O118" s="536">
        <f>'4. Fix Cost (GC)'!Q17</f>
        <v>-1554.2090731034482</v>
      </c>
      <c r="P118" s="536">
        <f>'4. Fix Cost (GC)'!R17</f>
        <v>0</v>
      </c>
      <c r="Q118" s="535"/>
      <c r="R118" s="535"/>
      <c r="S118" s="535"/>
      <c r="T118" s="535"/>
      <c r="U118" s="535"/>
      <c r="V118" s="535"/>
      <c r="W118" s="536">
        <f>'4. Fix Cost (GC)'!E17</f>
        <v>-129.51742275862068</v>
      </c>
      <c r="X118" s="536">
        <f>'4. Fix Cost (GC)'!F17</f>
        <v>-129.51742275862068</v>
      </c>
      <c r="Y118" s="536">
        <f>'4. Fix Cost (GC)'!G17</f>
        <v>-129.51742275862068</v>
      </c>
      <c r="Z118" s="536">
        <f>'4. Fix Cost (GC)'!H17</f>
        <v>-129.51742275862068</v>
      </c>
      <c r="AA118" s="536">
        <f>'4. Fix Cost (GC)'!I17</f>
        <v>-129.51742275862068</v>
      </c>
      <c r="AB118" s="536">
        <f>'4. Fix Cost (GC)'!J17</f>
        <v>-129.51742275862068</v>
      </c>
      <c r="AC118" s="536">
        <f>'4. Fix Cost (GC)'!K17</f>
        <v>-129.51742275862068</v>
      </c>
      <c r="AD118" s="536">
        <f>'4. Fix Cost (GC)'!L17</f>
        <v>-129.51742275862068</v>
      </c>
      <c r="AE118" s="536">
        <f>'4. Fix Cost (GC)'!M17</f>
        <v>-129.51742275862068</v>
      </c>
      <c r="AF118" s="536">
        <f>'4. Fix Cost (GC)'!N17</f>
        <v>-129.51742275862068</v>
      </c>
      <c r="AG118" s="536">
        <f>'4. Fix Cost (GC)'!O17</f>
        <v>-129.51742275862068</v>
      </c>
      <c r="AH118" s="536">
        <f>'4. Fix Cost (GC)'!P17</f>
        <v>-129.51742275862068</v>
      </c>
      <c r="AI118" s="535"/>
      <c r="AJ118" s="535"/>
      <c r="AK118" s="535"/>
      <c r="AL118" s="535"/>
      <c r="AM118" s="535"/>
      <c r="AN118" s="535"/>
      <c r="AO118" s="451" t="str">
        <f>'4. Fix Cost (GC)'!W17</f>
        <v>FC 7+5</v>
      </c>
      <c r="AP118" s="451">
        <v>82</v>
      </c>
      <c r="AQ118" s="451" t="str">
        <f>Settings!$A$1</f>
        <v>V2</v>
      </c>
      <c r="AR118" s="858"/>
    </row>
    <row r="119" spans="1:44" ht="12.75" customHeight="1" x14ac:dyDescent="0.25">
      <c r="A119" s="451">
        <f>'Input-FX Rates'!$C$4</f>
        <v>242</v>
      </c>
      <c r="B119" s="451" t="str">
        <f>'Input-FX Rates'!$B$4</f>
        <v>ICH Icheon (242)</v>
      </c>
      <c r="C119" s="451">
        <f>'Input-FX Rates'!$C$6</f>
        <v>780</v>
      </c>
      <c r="D119" s="451" t="str">
        <f>'Input-FX Rates'!$B$6</f>
        <v>780 BU Controls</v>
      </c>
      <c r="E119" s="451" t="str">
        <f>'Input-FX Rates'!$C$5</f>
        <v>7851</v>
      </c>
      <c r="F119" s="451" t="str">
        <f>'Input-FX Rates'!$B$5</f>
        <v>7851 PL eMotor Controls</v>
      </c>
      <c r="G119" s="451" t="s">
        <v>538</v>
      </c>
      <c r="H119" s="451" t="s">
        <v>320</v>
      </c>
      <c r="I119" s="535"/>
      <c r="J119" s="535"/>
      <c r="K119" s="536">
        <f>'4. Fix Cost (GC)'!B18</f>
        <v>-35.343615479708014</v>
      </c>
      <c r="L119" s="536">
        <f>'4. Fix Cost (GC)'!C18</f>
        <v>-70.544849341531616</v>
      </c>
      <c r="M119" s="535"/>
      <c r="N119" s="535"/>
      <c r="O119" s="536">
        <f>'4. Fix Cost (GC)'!Q18</f>
        <v>5471.0167275862068</v>
      </c>
      <c r="P119" s="536">
        <f>'4. Fix Cost (GC)'!R18</f>
        <v>0</v>
      </c>
      <c r="Q119" s="535"/>
      <c r="R119" s="535"/>
      <c r="S119" s="535"/>
      <c r="T119" s="535"/>
      <c r="U119" s="535"/>
      <c r="V119" s="535"/>
      <c r="W119" s="536">
        <f>'4. Fix Cost (GC)'!E18</f>
        <v>72.861393793103446</v>
      </c>
      <c r="X119" s="536">
        <f>'4. Fix Cost (GC)'!F18</f>
        <v>72.861393793103446</v>
      </c>
      <c r="Y119" s="536">
        <f>'4. Fix Cost (GC)'!G18</f>
        <v>72.861393793103446</v>
      </c>
      <c r="Z119" s="536">
        <f>'4. Fix Cost (GC)'!H18</f>
        <v>72.861393793103446</v>
      </c>
      <c r="AA119" s="536">
        <f>'4. Fix Cost (GC)'!I18</f>
        <v>72.861393793103446</v>
      </c>
      <c r="AB119" s="536">
        <f>'4. Fix Cost (GC)'!J18</f>
        <v>773.54168413793104</v>
      </c>
      <c r="AC119" s="536">
        <f>'4. Fix Cost (GC)'!K18</f>
        <v>751.39404413793113</v>
      </c>
      <c r="AD119" s="536">
        <f>'4. Fix Cost (GC)'!L18</f>
        <v>692.26402413793096</v>
      </c>
      <c r="AE119" s="536">
        <f>'4. Fix Cost (GC)'!M18</f>
        <v>603.77793379310344</v>
      </c>
      <c r="AF119" s="536">
        <f>'4. Fix Cost (GC)'!N18</f>
        <v>692.26402413793096</v>
      </c>
      <c r="AG119" s="536">
        <f>'4. Fix Cost (GC)'!O18</f>
        <v>692.26402413793096</v>
      </c>
      <c r="AH119" s="536">
        <f>'4. Fix Cost (GC)'!P18</f>
        <v>901.20402413793101</v>
      </c>
      <c r="AI119" s="535"/>
      <c r="AJ119" s="535"/>
      <c r="AK119" s="535"/>
      <c r="AL119" s="535"/>
      <c r="AM119" s="535"/>
      <c r="AN119" s="535"/>
      <c r="AO119" s="451" t="str">
        <f>'4. Fix Cost (GC)'!W18</f>
        <v>Line share cost increase + PE ICO 4.6M EUR</v>
      </c>
      <c r="AP119" s="451">
        <v>83</v>
      </c>
      <c r="AQ119" s="451" t="str">
        <f>Settings!$A$1</f>
        <v>V2</v>
      </c>
      <c r="AR119" s="858"/>
    </row>
    <row r="120" spans="1:44" ht="12.75" customHeight="1" x14ac:dyDescent="0.25">
      <c r="A120" s="451">
        <f>'Input-FX Rates'!$C$4</f>
        <v>242</v>
      </c>
      <c r="B120" s="451" t="str">
        <f>'Input-FX Rates'!$B$4</f>
        <v>ICH Icheon (242)</v>
      </c>
      <c r="C120" s="451">
        <f>'Input-FX Rates'!$C$6</f>
        <v>780</v>
      </c>
      <c r="D120" s="451" t="str">
        <f>'Input-FX Rates'!$B$6</f>
        <v>780 BU Controls</v>
      </c>
      <c r="E120" s="451" t="str">
        <f>'Input-FX Rates'!$C$5</f>
        <v>7851</v>
      </c>
      <c r="F120" s="451" t="str">
        <f>'Input-FX Rates'!$B$5</f>
        <v>7851 PL eMotor Controls</v>
      </c>
      <c r="G120" s="451" t="s">
        <v>538</v>
      </c>
      <c r="H120" s="451" t="s">
        <v>319</v>
      </c>
      <c r="I120" s="535"/>
      <c r="J120" s="535"/>
      <c r="K120" s="536">
        <f>'4. Fix Cost (GC)'!B19</f>
        <v>0</v>
      </c>
      <c r="L120" s="536">
        <f>'4. Fix Cost (GC)'!C19</f>
        <v>0</v>
      </c>
      <c r="M120" s="535"/>
      <c r="N120" s="535"/>
      <c r="O120" s="536">
        <f>'4. Fix Cost (GC)'!Q19</f>
        <v>0</v>
      </c>
      <c r="P120" s="536">
        <f>'4. Fix Cost (GC)'!R19</f>
        <v>0</v>
      </c>
      <c r="Q120" s="535"/>
      <c r="R120" s="535"/>
      <c r="S120" s="535"/>
      <c r="T120" s="535"/>
      <c r="U120" s="535"/>
      <c r="V120" s="535"/>
      <c r="W120" s="536">
        <f>'4. Fix Cost (GC)'!E19</f>
        <v>0</v>
      </c>
      <c r="X120" s="536">
        <f>'4. Fix Cost (GC)'!F19</f>
        <v>0</v>
      </c>
      <c r="Y120" s="536">
        <f>'4. Fix Cost (GC)'!G19</f>
        <v>0</v>
      </c>
      <c r="Z120" s="536">
        <f>'4. Fix Cost (GC)'!H19</f>
        <v>0</v>
      </c>
      <c r="AA120" s="536">
        <f>'4. Fix Cost (GC)'!I19</f>
        <v>0</v>
      </c>
      <c r="AB120" s="536">
        <f>'4. Fix Cost (GC)'!J19</f>
        <v>0</v>
      </c>
      <c r="AC120" s="536">
        <f>'4. Fix Cost (GC)'!K19</f>
        <v>0</v>
      </c>
      <c r="AD120" s="536">
        <f>'4. Fix Cost (GC)'!L19</f>
        <v>0</v>
      </c>
      <c r="AE120" s="536">
        <f>'4. Fix Cost (GC)'!M19</f>
        <v>0</v>
      </c>
      <c r="AF120" s="536">
        <f>'4. Fix Cost (GC)'!N19</f>
        <v>0</v>
      </c>
      <c r="AG120" s="536">
        <f>'4. Fix Cost (GC)'!O19</f>
        <v>0</v>
      </c>
      <c r="AH120" s="536">
        <f>'4. Fix Cost (GC)'!P19</f>
        <v>0</v>
      </c>
      <c r="AI120" s="535"/>
      <c r="AJ120" s="535"/>
      <c r="AK120" s="535"/>
      <c r="AL120" s="535"/>
      <c r="AM120" s="535"/>
      <c r="AN120" s="535"/>
      <c r="AO120" s="451" t="str">
        <f>'4. Fix Cost (GC)'!W19</f>
        <v/>
      </c>
      <c r="AP120" s="451">
        <v>84</v>
      </c>
      <c r="AQ120" s="451" t="str">
        <f>Settings!$A$1</f>
        <v>V2</v>
      </c>
      <c r="AR120" s="858"/>
    </row>
    <row r="121" spans="1:44" ht="12.75" customHeight="1" x14ac:dyDescent="0.25">
      <c r="A121" s="451">
        <f>'Input-FX Rates'!$C$4</f>
        <v>242</v>
      </c>
      <c r="B121" s="451" t="str">
        <f>'Input-FX Rates'!$B$4</f>
        <v>ICH Icheon (242)</v>
      </c>
      <c r="C121" s="451">
        <f>'Input-FX Rates'!$C$6</f>
        <v>780</v>
      </c>
      <c r="D121" s="451" t="str">
        <f>'Input-FX Rates'!$B$6</f>
        <v>780 BU Controls</v>
      </c>
      <c r="E121" s="451" t="str">
        <f>'Input-FX Rates'!$C$5</f>
        <v>7851</v>
      </c>
      <c r="F121" s="451" t="str">
        <f>'Input-FX Rates'!$B$5</f>
        <v>7851 PL eMotor Controls</v>
      </c>
      <c r="G121" s="451" t="s">
        <v>538</v>
      </c>
      <c r="H121" s="451" t="s">
        <v>317</v>
      </c>
      <c r="I121" s="535"/>
      <c r="J121" s="535"/>
      <c r="K121" s="536">
        <f>'4. Fix Cost (GC)'!B20</f>
        <v>-900.12139105723884</v>
      </c>
      <c r="L121" s="536">
        <f>'4. Fix Cost (GC)'!C20</f>
        <v>-2907.4151408881517</v>
      </c>
      <c r="M121" s="535"/>
      <c r="N121" s="535"/>
      <c r="O121" s="536">
        <f>'4. Fix Cost (GC)'!Q20</f>
        <v>-4535.6300027586203</v>
      </c>
      <c r="P121" s="536">
        <f>'4. Fix Cost (GC)'!R20</f>
        <v>0</v>
      </c>
      <c r="Q121" s="535"/>
      <c r="R121" s="535"/>
      <c r="S121" s="535"/>
      <c r="T121" s="535"/>
      <c r="U121" s="535"/>
      <c r="V121" s="535"/>
      <c r="W121" s="536">
        <f>'4. Fix Cost (GC)'!E20</f>
        <v>-347.60892413793101</v>
      </c>
      <c r="X121" s="536">
        <f>'4. Fix Cost (GC)'!F20</f>
        <v>-358.35892344827585</v>
      </c>
      <c r="Y121" s="536">
        <f>'4. Fix Cost (GC)'!G20</f>
        <v>-374.12975724137937</v>
      </c>
      <c r="Z121" s="536">
        <f>'4. Fix Cost (GC)'!H20</f>
        <v>-378.11933999999997</v>
      </c>
      <c r="AA121" s="536">
        <f>'4. Fix Cost (GC)'!I20</f>
        <v>-382.12975655172414</v>
      </c>
      <c r="AB121" s="536">
        <f>'4. Fix Cost (GC)'!J20</f>
        <v>-383.12975724137937</v>
      </c>
      <c r="AC121" s="536">
        <f>'4. Fix Cost (GC)'!K20</f>
        <v>-383.12975724137937</v>
      </c>
      <c r="AD121" s="536">
        <f>'4. Fix Cost (GC)'!L20</f>
        <v>-383.91309034482759</v>
      </c>
      <c r="AE121" s="536">
        <f>'4. Fix Cost (GC)'!M20</f>
        <v>-384.73600758620688</v>
      </c>
      <c r="AF121" s="536">
        <f>'4. Fix Cost (GC)'!N20</f>
        <v>-384.73600758620688</v>
      </c>
      <c r="AG121" s="536">
        <f>'4. Fix Cost (GC)'!O20</f>
        <v>-384.73600758620688</v>
      </c>
      <c r="AH121" s="536">
        <f>'4. Fix Cost (GC)'!P20</f>
        <v>-390.90267379310342</v>
      </c>
      <c r="AI121" s="535"/>
      <c r="AJ121" s="535"/>
      <c r="AK121" s="535"/>
      <c r="AL121" s="535"/>
      <c r="AM121" s="535"/>
      <c r="AN121" s="535"/>
      <c r="AO121" s="451" t="str">
        <f>'4. Fix Cost (GC)'!W20</f>
        <v>mainly due to new project for HPCU and SVCT (463K EUR will be charged)</v>
      </c>
      <c r="AP121" s="451">
        <v>85</v>
      </c>
      <c r="AQ121" s="451" t="str">
        <f>Settings!$A$1</f>
        <v>V2</v>
      </c>
      <c r="AR121" s="858"/>
    </row>
    <row r="122" spans="1:44" ht="12.75" customHeight="1" x14ac:dyDescent="0.25">
      <c r="A122" s="451">
        <f>'Input-FX Rates'!$C$4</f>
        <v>242</v>
      </c>
      <c r="B122" s="451" t="str">
        <f>'Input-FX Rates'!$B$4</f>
        <v>ICH Icheon (242)</v>
      </c>
      <c r="C122" s="451">
        <f>'Input-FX Rates'!$C$6</f>
        <v>780</v>
      </c>
      <c r="D122" s="451" t="str">
        <f>'Input-FX Rates'!$B$6</f>
        <v>780 BU Controls</v>
      </c>
      <c r="E122" s="451" t="str">
        <f>'Input-FX Rates'!$C$5</f>
        <v>7851</v>
      </c>
      <c r="F122" s="451" t="str">
        <f>'Input-FX Rates'!$B$5</f>
        <v>7851 PL eMotor Controls</v>
      </c>
      <c r="G122" s="451" t="s">
        <v>538</v>
      </c>
      <c r="H122" s="451" t="s">
        <v>316</v>
      </c>
      <c r="I122" s="535"/>
      <c r="J122" s="535"/>
      <c r="K122" s="536">
        <f>'4. Fix Cost (GC)'!B21</f>
        <v>-2968.5994990851223</v>
      </c>
      <c r="L122" s="536">
        <f>'4. Fix Cost (GC)'!C21</f>
        <v>-7023.9001600464335</v>
      </c>
      <c r="M122" s="535"/>
      <c r="N122" s="535"/>
      <c r="O122" s="536">
        <f>'4. Fix Cost (GC)'!Q21</f>
        <v>-4083.9327482758617</v>
      </c>
      <c r="P122" s="536">
        <f>'4. Fix Cost (GC)'!R21</f>
        <v>0</v>
      </c>
      <c r="Q122" s="535"/>
      <c r="R122" s="535"/>
      <c r="S122" s="535"/>
      <c r="T122" s="535"/>
      <c r="U122" s="535"/>
      <c r="V122" s="535"/>
      <c r="W122" s="536">
        <f>'4. Fix Cost (GC)'!E21</f>
        <v>-693.02415310344827</v>
      </c>
      <c r="X122" s="536">
        <f>'4. Fix Cost (GC)'!F21</f>
        <v>-703.7741524137931</v>
      </c>
      <c r="Y122" s="536">
        <f>'4. Fix Cost (GC)'!G21</f>
        <v>-719.54498620689651</v>
      </c>
      <c r="Z122" s="536">
        <f>'4. Fix Cost (GC)'!H21</f>
        <v>-723.53456896551722</v>
      </c>
      <c r="AA122" s="536">
        <f>'4. Fix Cost (GC)'!I21</f>
        <v>-727.54498551724146</v>
      </c>
      <c r="AB122" s="536">
        <f>'4. Fix Cost (GC)'!J21</f>
        <v>-27.86469586206897</v>
      </c>
      <c r="AC122" s="536">
        <f>'4. Fix Cost (GC)'!K21</f>
        <v>-50.012335862068959</v>
      </c>
      <c r="AD122" s="536">
        <f>'4. Fix Cost (GC)'!L21</f>
        <v>-109.9256889655173</v>
      </c>
      <c r="AE122" s="536">
        <f>'4. Fix Cost (GC)'!M21</f>
        <v>-199.23469655172417</v>
      </c>
      <c r="AF122" s="536">
        <f>'4. Fix Cost (GC)'!N21</f>
        <v>-110.74860620689658</v>
      </c>
      <c r="AG122" s="536">
        <f>'4. Fix Cost (GC)'!O21</f>
        <v>-110.74860620689658</v>
      </c>
      <c r="AH122" s="536">
        <f>'4. Fix Cost (GC)'!P21</f>
        <v>92.024727586206879</v>
      </c>
      <c r="AI122" s="535"/>
      <c r="AJ122" s="535"/>
      <c r="AK122" s="535"/>
      <c r="AL122" s="535"/>
      <c r="AM122" s="535"/>
      <c r="AN122" s="535"/>
      <c r="AO122" s="451" t="str">
        <f>'4. Fix Cost (GC)'!W21</f>
        <v/>
      </c>
      <c r="AP122" s="451">
        <v>86</v>
      </c>
      <c r="AQ122" s="451" t="str">
        <f>Settings!$A$1</f>
        <v>V2</v>
      </c>
      <c r="AR122" s="858"/>
    </row>
    <row r="123" spans="1:44" ht="12.75" customHeight="1" x14ac:dyDescent="0.25">
      <c r="A123" s="451">
        <f>'Input-FX Rates'!$C$4</f>
        <v>242</v>
      </c>
      <c r="B123" s="451" t="str">
        <f>'Input-FX Rates'!$B$4</f>
        <v>ICH Icheon (242)</v>
      </c>
      <c r="C123" s="451">
        <f>'Input-FX Rates'!$C$6</f>
        <v>780</v>
      </c>
      <c r="D123" s="451" t="str">
        <f>'Input-FX Rates'!$B$6</f>
        <v>780 BU Controls</v>
      </c>
      <c r="E123" s="451" t="str">
        <f>'Input-FX Rates'!$C$5</f>
        <v>7851</v>
      </c>
      <c r="F123" s="451" t="str">
        <f>'Input-FX Rates'!$B$5</f>
        <v>7851 PL eMotor Controls</v>
      </c>
      <c r="G123" s="451" t="s">
        <v>538</v>
      </c>
      <c r="H123" s="451" t="s">
        <v>315</v>
      </c>
      <c r="I123" s="535"/>
      <c r="J123" s="535"/>
      <c r="K123" s="536">
        <f>'4. Fix Cost (GC)'!B22</f>
        <v>0</v>
      </c>
      <c r="L123" s="536">
        <f>'4. Fix Cost (GC)'!C22</f>
        <v>0</v>
      </c>
      <c r="M123" s="535"/>
      <c r="N123" s="535"/>
      <c r="O123" s="536">
        <f>'4. Fix Cost (GC)'!Q22</f>
        <v>0</v>
      </c>
      <c r="P123" s="536">
        <f>'4. Fix Cost (GC)'!R22</f>
        <v>0</v>
      </c>
      <c r="Q123" s="535"/>
      <c r="R123" s="535"/>
      <c r="S123" s="535"/>
      <c r="T123" s="535"/>
      <c r="U123" s="535"/>
      <c r="V123" s="535"/>
      <c r="W123" s="536">
        <f>'4. Fix Cost (GC)'!E22</f>
        <v>0</v>
      </c>
      <c r="X123" s="536">
        <f>'4. Fix Cost (GC)'!F22</f>
        <v>0</v>
      </c>
      <c r="Y123" s="536">
        <f>'4. Fix Cost (GC)'!G22</f>
        <v>0</v>
      </c>
      <c r="Z123" s="536">
        <f>'4. Fix Cost (GC)'!H22</f>
        <v>0</v>
      </c>
      <c r="AA123" s="536">
        <f>'4. Fix Cost (GC)'!I22</f>
        <v>0</v>
      </c>
      <c r="AB123" s="536">
        <f>'4. Fix Cost (GC)'!J22</f>
        <v>0</v>
      </c>
      <c r="AC123" s="536">
        <f>'4. Fix Cost (GC)'!K22</f>
        <v>0</v>
      </c>
      <c r="AD123" s="536">
        <f>'4. Fix Cost (GC)'!L22</f>
        <v>0</v>
      </c>
      <c r="AE123" s="536">
        <f>'4. Fix Cost (GC)'!M22</f>
        <v>0</v>
      </c>
      <c r="AF123" s="536">
        <f>'4. Fix Cost (GC)'!N22</f>
        <v>0</v>
      </c>
      <c r="AG123" s="536">
        <f>'4. Fix Cost (GC)'!O22</f>
        <v>0</v>
      </c>
      <c r="AH123" s="536">
        <f>'4. Fix Cost (GC)'!P22</f>
        <v>0</v>
      </c>
      <c r="AI123" s="535"/>
      <c r="AJ123" s="535"/>
      <c r="AK123" s="535"/>
      <c r="AL123" s="535"/>
      <c r="AM123" s="535"/>
      <c r="AN123" s="535"/>
      <c r="AO123" s="451" t="str">
        <f>'4. Fix Cost (GC)'!W22</f>
        <v/>
      </c>
      <c r="AP123" s="451">
        <v>87</v>
      </c>
      <c r="AQ123" s="451" t="str">
        <f>Settings!$A$1</f>
        <v>V2</v>
      </c>
      <c r="AR123" s="858"/>
    </row>
    <row r="124" spans="1:44" ht="12.75" customHeight="1" x14ac:dyDescent="0.25">
      <c r="A124" s="451">
        <f>'Input-FX Rates'!$C$4</f>
        <v>242</v>
      </c>
      <c r="B124" s="451" t="str">
        <f>'Input-FX Rates'!$B$4</f>
        <v>ICH Icheon (242)</v>
      </c>
      <c r="C124" s="451">
        <f>'Input-FX Rates'!$C$6</f>
        <v>780</v>
      </c>
      <c r="D124" s="451" t="str">
        <f>'Input-FX Rates'!$B$6</f>
        <v>780 BU Controls</v>
      </c>
      <c r="E124" s="451" t="str">
        <f>'Input-FX Rates'!$C$5</f>
        <v>7851</v>
      </c>
      <c r="F124" s="451" t="str">
        <f>'Input-FX Rates'!$B$5</f>
        <v>7851 PL eMotor Controls</v>
      </c>
      <c r="G124" s="451" t="s">
        <v>538</v>
      </c>
      <c r="H124" s="451" t="s">
        <v>292</v>
      </c>
      <c r="I124" s="535"/>
      <c r="J124" s="535"/>
      <c r="K124" s="536">
        <f>'4. Fix Cost (GC)'!B23</f>
        <v>-5783.4554963013316</v>
      </c>
      <c r="L124" s="536">
        <f>'4. Fix Cost (GC)'!C23</f>
        <v>-11797.368217377501</v>
      </c>
      <c r="M124" s="535"/>
      <c r="N124" s="535"/>
      <c r="O124" s="536">
        <f>'4. Fix Cost (GC)'!Q23</f>
        <v>-9270.5356379310342</v>
      </c>
      <c r="P124" s="536">
        <f>'4. Fix Cost (GC)'!R23</f>
        <v>-4699.63</v>
      </c>
      <c r="Q124" s="535"/>
      <c r="R124" s="535"/>
      <c r="S124" s="535"/>
      <c r="T124" s="535"/>
      <c r="U124" s="535"/>
      <c r="V124" s="535"/>
      <c r="W124" s="536">
        <f>'4. Fix Cost (GC)'!E23</f>
        <v>-1133.0166068965516</v>
      </c>
      <c r="X124" s="536">
        <f>'4. Fix Cost (GC)'!F23</f>
        <v>-1174.3198937931033</v>
      </c>
      <c r="Y124" s="536">
        <f>'4. Fix Cost (GC)'!G23</f>
        <v>-1152.0631848275862</v>
      </c>
      <c r="Z124" s="536">
        <f>'4. Fix Cost (GC)'!H23</f>
        <v>-1093.9282172413793</v>
      </c>
      <c r="AA124" s="536">
        <f>'4. Fix Cost (GC)'!I23</f>
        <v>-1124.5601013793105</v>
      </c>
      <c r="AB124" s="536">
        <f>'4. Fix Cost (GC)'!J23</f>
        <v>-414.58777310344834</v>
      </c>
      <c r="AC124" s="536">
        <f>'4. Fix Cost (GC)'!K23</f>
        <v>-536.86469241379314</v>
      </c>
      <c r="AD124" s="536">
        <f>'4. Fix Cost (GC)'!L23</f>
        <v>-607.76728620689664</v>
      </c>
      <c r="AE124" s="536">
        <f>'4. Fix Cost (GC)'!M23</f>
        <v>-640.10126689655169</v>
      </c>
      <c r="AF124" s="536">
        <f>'4. Fix Cost (GC)'!N23</f>
        <v>-537.48536551724135</v>
      </c>
      <c r="AG124" s="536">
        <f>'4. Fix Cost (GC)'!O23</f>
        <v>-531.32285655172416</v>
      </c>
      <c r="AH124" s="536">
        <f>'4. Fix Cost (GC)'!P23</f>
        <v>-324.51839310344826</v>
      </c>
      <c r="AI124" s="535"/>
      <c r="AJ124" s="535"/>
      <c r="AK124" s="535"/>
      <c r="AL124" s="535"/>
      <c r="AM124" s="535"/>
      <c r="AN124" s="535"/>
      <c r="AO124" s="451" t="str">
        <f>'4. Fix Cost (GC)'!W23</f>
        <v/>
      </c>
      <c r="AP124" s="451">
        <v>88</v>
      </c>
      <c r="AQ124" s="451" t="str">
        <f>Settings!$A$1</f>
        <v>V2</v>
      </c>
      <c r="AR124" s="858"/>
    </row>
    <row r="125" spans="1:44" ht="12.75" customHeight="1" x14ac:dyDescent="0.25">
      <c r="A125" s="451">
        <f>'Input-FX Rates'!$C$4</f>
        <v>242</v>
      </c>
      <c r="B125" s="451" t="str">
        <f>'Input-FX Rates'!$B$4</f>
        <v>ICH Icheon (242)</v>
      </c>
      <c r="C125" s="451">
        <f>'Input-FX Rates'!$C$6</f>
        <v>780</v>
      </c>
      <c r="D125" s="451" t="str">
        <f>'Input-FX Rates'!$B$6</f>
        <v>780 BU Controls</v>
      </c>
      <c r="E125" s="451" t="str">
        <f>'Input-FX Rates'!$C$5</f>
        <v>7851</v>
      </c>
      <c r="F125" s="451" t="str">
        <f>'Input-FX Rates'!$B$5</f>
        <v>7851 PL eMotor Controls</v>
      </c>
      <c r="G125" s="451" t="s">
        <v>538</v>
      </c>
      <c r="H125" s="451" t="s">
        <v>313</v>
      </c>
      <c r="I125" s="535"/>
      <c r="J125" s="535"/>
      <c r="K125" s="536">
        <f>'4. Fix Cost (GC)'!B24</f>
        <v>-0.86909560903323468</v>
      </c>
      <c r="L125" s="536">
        <f>'4. Fix Cost (GC)'!C24</f>
        <v>-0.86734503488807635</v>
      </c>
      <c r="M125" s="535"/>
      <c r="N125" s="535"/>
      <c r="O125" s="536">
        <f>'4. Fix Cost (GC)'!Q24</f>
        <v>-4596.68</v>
      </c>
      <c r="P125" s="536">
        <f>'4. Fix Cost (GC)'!R24</f>
        <v>0</v>
      </c>
      <c r="Q125" s="535"/>
      <c r="R125" s="535"/>
      <c r="S125" s="535"/>
      <c r="T125" s="535"/>
      <c r="U125" s="535"/>
      <c r="V125" s="535"/>
      <c r="W125" s="536">
        <f>'4. Fix Cost (GC)'!E24</f>
        <v>0</v>
      </c>
      <c r="X125" s="536">
        <f>'4. Fix Cost (GC)'!F24</f>
        <v>0</v>
      </c>
      <c r="Y125" s="536">
        <f>'4. Fix Cost (GC)'!G24</f>
        <v>0</v>
      </c>
      <c r="Z125" s="536">
        <f>'4. Fix Cost (GC)'!H24</f>
        <v>0</v>
      </c>
      <c r="AA125" s="536">
        <f>'4. Fix Cost (GC)'!I24</f>
        <v>0</v>
      </c>
      <c r="AB125" s="536">
        <f>'4. Fix Cost (GC)'!J24</f>
        <v>-700.68029034482754</v>
      </c>
      <c r="AC125" s="536">
        <f>'4. Fix Cost (GC)'!K24</f>
        <v>-678.53265034482763</v>
      </c>
      <c r="AD125" s="536">
        <f>'4. Fix Cost (GC)'!L24</f>
        <v>-619.40263034482757</v>
      </c>
      <c r="AE125" s="536">
        <f>'4. Fix Cost (GC)'!M24</f>
        <v>-530.91654000000005</v>
      </c>
      <c r="AF125" s="536">
        <f>'4. Fix Cost (GC)'!N24</f>
        <v>-619.40263034482757</v>
      </c>
      <c r="AG125" s="536">
        <f>'4. Fix Cost (GC)'!O24</f>
        <v>-619.40263034482757</v>
      </c>
      <c r="AH125" s="536">
        <f>'4. Fix Cost (GC)'!P24</f>
        <v>-828.34262827586201</v>
      </c>
      <c r="AI125" s="535"/>
      <c r="AJ125" s="535"/>
      <c r="AK125" s="535"/>
      <c r="AL125" s="535"/>
      <c r="AM125" s="535"/>
      <c r="AN125" s="535"/>
      <c r="AO125" s="451" t="str">
        <f>'4. Fix Cost (GC)'!W24</f>
        <v>PE ICO will be shown at final version -4.6M EUR</v>
      </c>
      <c r="AP125" s="451">
        <v>89</v>
      </c>
      <c r="AQ125" s="451" t="str">
        <f>Settings!$A$1</f>
        <v>V2</v>
      </c>
      <c r="AR125" s="858"/>
    </row>
    <row r="126" spans="1:44" ht="12.75" customHeight="1" x14ac:dyDescent="0.25">
      <c r="A126" s="451">
        <f>'Input-FX Rates'!$C$4</f>
        <v>242</v>
      </c>
      <c r="B126" s="451" t="str">
        <f>'Input-FX Rates'!$B$4</f>
        <v>ICH Icheon (242)</v>
      </c>
      <c r="C126" s="451">
        <f>'Input-FX Rates'!$C$6</f>
        <v>780</v>
      </c>
      <c r="D126" s="451" t="str">
        <f>'Input-FX Rates'!$B$6</f>
        <v>780 BU Controls</v>
      </c>
      <c r="E126" s="451" t="str">
        <f>'Input-FX Rates'!$C$5</f>
        <v>7851</v>
      </c>
      <c r="F126" s="451" t="str">
        <f>'Input-FX Rates'!$B$5</f>
        <v>7851 PL eMotor Controls</v>
      </c>
      <c r="G126" s="451" t="s">
        <v>538</v>
      </c>
      <c r="H126" s="451" t="s">
        <v>311</v>
      </c>
      <c r="I126" s="535"/>
      <c r="J126" s="535"/>
      <c r="K126" s="536">
        <f>'4. Fix Cost (GC)'!B25</f>
        <v>-4.2528616033442148</v>
      </c>
      <c r="L126" s="536">
        <f>'4. Fix Cost (GC)'!C25</f>
        <v>-9.6559768951350993</v>
      </c>
      <c r="M126" s="535"/>
      <c r="N126" s="535"/>
      <c r="O126" s="536">
        <f>'4. Fix Cost (GC)'!Q25</f>
        <v>-12.191162068965516</v>
      </c>
      <c r="P126" s="536">
        <f>'4. Fix Cost (GC)'!R25</f>
        <v>0</v>
      </c>
      <c r="Q126" s="535"/>
      <c r="R126" s="535"/>
      <c r="S126" s="535"/>
      <c r="T126" s="535"/>
      <c r="U126" s="535"/>
      <c r="V126" s="535"/>
      <c r="W126" s="536">
        <f>'4. Fix Cost (GC)'!E25</f>
        <v>-1.8420000000000001</v>
      </c>
      <c r="X126" s="536">
        <f>'4. Fix Cost (GC)'!F25</f>
        <v>-2.0125372413793103</v>
      </c>
      <c r="Y126" s="536">
        <f>'4. Fix Cost (GC)'!G25</f>
        <v>-1.3306158620689654</v>
      </c>
      <c r="Z126" s="536">
        <f>'4. Fix Cost (GC)'!H25</f>
        <v>-0.64234965517241382</v>
      </c>
      <c r="AA126" s="536">
        <f>'4. Fix Cost (GC)'!I25</f>
        <v>-0.92651379310344828</v>
      </c>
      <c r="AB126" s="536">
        <f>'4. Fix Cost (GC)'!J25</f>
        <v>-0.63886413793103447</v>
      </c>
      <c r="AC126" s="536">
        <f>'4. Fix Cost (GC)'!K25</f>
        <v>-0.75304068965517246</v>
      </c>
      <c r="AD126" s="536">
        <f>'4. Fix Cost (GC)'!L25</f>
        <v>-0.56464413793103452</v>
      </c>
      <c r="AE126" s="536">
        <f>'4. Fix Cost (GC)'!M25</f>
        <v>-1.3737200000000001</v>
      </c>
      <c r="AF126" s="536">
        <f>'4. Fix Cost (GC)'!N25</f>
        <v>-0.61264482758620697</v>
      </c>
      <c r="AG126" s="536">
        <f>'4. Fix Cost (GC)'!O25</f>
        <v>-0.8714158620689656</v>
      </c>
      <c r="AH126" s="536">
        <f>'4. Fix Cost (GC)'!P25</f>
        <v>-0.62281586206896544</v>
      </c>
      <c r="AI126" s="535"/>
      <c r="AJ126" s="535"/>
      <c r="AK126" s="535"/>
      <c r="AL126" s="535"/>
      <c r="AM126" s="535"/>
      <c r="AN126" s="535"/>
      <c r="AO126" s="451" t="str">
        <f>'4. Fix Cost (GC)'!W25</f>
        <v/>
      </c>
      <c r="AP126" s="451">
        <v>90</v>
      </c>
      <c r="AQ126" s="451" t="str">
        <f>Settings!$A$1</f>
        <v>V2</v>
      </c>
      <c r="AR126" s="858"/>
    </row>
    <row r="127" spans="1:44" ht="12.75" customHeight="1" x14ac:dyDescent="0.25">
      <c r="A127" s="451">
        <f>'Input-FX Rates'!$C$4</f>
        <v>242</v>
      </c>
      <c r="B127" s="451" t="str">
        <f>'Input-FX Rates'!$B$4</f>
        <v>ICH Icheon (242)</v>
      </c>
      <c r="C127" s="451">
        <f>'Input-FX Rates'!$C$6</f>
        <v>780</v>
      </c>
      <c r="D127" s="451" t="str">
        <f>'Input-FX Rates'!$B$6</f>
        <v>780 BU Controls</v>
      </c>
      <c r="E127" s="451" t="str">
        <f>'Input-FX Rates'!$C$5</f>
        <v>7851</v>
      </c>
      <c r="F127" s="451" t="str">
        <f>'Input-FX Rates'!$B$5</f>
        <v>7851 PL eMotor Controls</v>
      </c>
      <c r="G127" s="451" t="s">
        <v>538</v>
      </c>
      <c r="H127" s="451" t="s">
        <v>309</v>
      </c>
      <c r="I127" s="535"/>
      <c r="J127" s="535"/>
      <c r="K127" s="536">
        <f>'4. Fix Cost (GC)'!B26</f>
        <v>-293.49070499756584</v>
      </c>
      <c r="L127" s="536">
        <f>'4. Fix Cost (GC)'!C26</f>
        <v>-556.01488170944697</v>
      </c>
      <c r="M127" s="535"/>
      <c r="N127" s="535"/>
      <c r="O127" s="536">
        <f>'4. Fix Cost (GC)'!Q26</f>
        <v>-627.14792827586211</v>
      </c>
      <c r="P127" s="536">
        <f>'4. Fix Cost (GC)'!R26</f>
        <v>0</v>
      </c>
      <c r="Q127" s="535"/>
      <c r="R127" s="535"/>
      <c r="S127" s="535"/>
      <c r="T127" s="535"/>
      <c r="U127" s="535"/>
      <c r="V127" s="535"/>
      <c r="W127" s="536">
        <f>'4. Fix Cost (GC)'!E26</f>
        <v>-59.546193793103448</v>
      </c>
      <c r="X127" s="536">
        <f>'4. Fix Cost (GC)'!F26</f>
        <v>-51.003214482758615</v>
      </c>
      <c r="Y127" s="536">
        <f>'4. Fix Cost (GC)'!G26</f>
        <v>-50.988166896551725</v>
      </c>
      <c r="Z127" s="536">
        <f>'4. Fix Cost (GC)'!H26</f>
        <v>-47.867592413793105</v>
      </c>
      <c r="AA127" s="536">
        <f>'4. Fix Cost (GC)'!I26</f>
        <v>-50.659765517241382</v>
      </c>
      <c r="AB127" s="536">
        <f>'4. Fix Cost (GC)'!J26</f>
        <v>-49.298517241379315</v>
      </c>
      <c r="AC127" s="536">
        <f>'4. Fix Cost (GC)'!K26</f>
        <v>-62.545648965517245</v>
      </c>
      <c r="AD127" s="536">
        <f>'4. Fix Cost (GC)'!L26</f>
        <v>-52.454735172413791</v>
      </c>
      <c r="AE127" s="536">
        <f>'4. Fix Cost (GC)'!M26</f>
        <v>-51.893211724137934</v>
      </c>
      <c r="AF127" s="536">
        <f>'4. Fix Cost (GC)'!N26</f>
        <v>-49.616340000000001</v>
      </c>
      <c r="AG127" s="536">
        <f>'4. Fix Cost (GC)'!O26</f>
        <v>-50.402129655172416</v>
      </c>
      <c r="AH127" s="536">
        <f>'4. Fix Cost (GC)'!P26</f>
        <v>-50.872412413793107</v>
      </c>
      <c r="AI127" s="535"/>
      <c r="AJ127" s="535"/>
      <c r="AK127" s="535"/>
      <c r="AL127" s="535"/>
      <c r="AM127" s="535"/>
      <c r="AN127" s="535"/>
      <c r="AO127" s="451" t="str">
        <f>'4. Fix Cost (GC)'!W26</f>
        <v/>
      </c>
      <c r="AP127" s="451">
        <v>91</v>
      </c>
      <c r="AQ127" s="451" t="str">
        <f>Settings!$A$1</f>
        <v>V2</v>
      </c>
      <c r="AR127" s="858"/>
    </row>
    <row r="128" spans="1:44" ht="12.75" customHeight="1" x14ac:dyDescent="0.25">
      <c r="A128" s="451">
        <f>'Input-FX Rates'!$C$4</f>
        <v>242</v>
      </c>
      <c r="B128" s="451" t="str">
        <f>'Input-FX Rates'!$B$4</f>
        <v>ICH Icheon (242)</v>
      </c>
      <c r="C128" s="451">
        <f>'Input-FX Rates'!$C$6</f>
        <v>780</v>
      </c>
      <c r="D128" s="451" t="str">
        <f>'Input-FX Rates'!$B$6</f>
        <v>780 BU Controls</v>
      </c>
      <c r="E128" s="451" t="str">
        <f>'Input-FX Rates'!$C$5</f>
        <v>7851</v>
      </c>
      <c r="F128" s="451" t="str">
        <f>'Input-FX Rates'!$B$5</f>
        <v>7851 PL eMotor Controls</v>
      </c>
      <c r="G128" s="451" t="s">
        <v>538</v>
      </c>
      <c r="H128" s="451" t="s">
        <v>307</v>
      </c>
      <c r="I128" s="535"/>
      <c r="J128" s="535"/>
      <c r="K128" s="536">
        <f>'4. Fix Cost (GC)'!B27</f>
        <v>0</v>
      </c>
      <c r="L128" s="536">
        <f>'4. Fix Cost (GC)'!C27</f>
        <v>0</v>
      </c>
      <c r="M128" s="535"/>
      <c r="N128" s="535"/>
      <c r="O128" s="536">
        <f>'4. Fix Cost (GC)'!Q27</f>
        <v>0</v>
      </c>
      <c r="P128" s="536">
        <f>'4. Fix Cost (GC)'!R27</f>
        <v>0</v>
      </c>
      <c r="Q128" s="535"/>
      <c r="R128" s="535"/>
      <c r="S128" s="535"/>
      <c r="T128" s="535"/>
      <c r="U128" s="535"/>
      <c r="V128" s="535"/>
      <c r="W128" s="536">
        <f>'4. Fix Cost (GC)'!E27</f>
        <v>0</v>
      </c>
      <c r="X128" s="536">
        <f>'4. Fix Cost (GC)'!F27</f>
        <v>0</v>
      </c>
      <c r="Y128" s="536">
        <f>'4. Fix Cost (GC)'!G27</f>
        <v>0</v>
      </c>
      <c r="Z128" s="536">
        <f>'4. Fix Cost (GC)'!H27</f>
        <v>0</v>
      </c>
      <c r="AA128" s="536">
        <f>'4. Fix Cost (GC)'!I27</f>
        <v>0</v>
      </c>
      <c r="AB128" s="536">
        <f>'4. Fix Cost (GC)'!J27</f>
        <v>0</v>
      </c>
      <c r="AC128" s="536">
        <f>'4. Fix Cost (GC)'!K27</f>
        <v>0</v>
      </c>
      <c r="AD128" s="536">
        <f>'4. Fix Cost (GC)'!L27</f>
        <v>0</v>
      </c>
      <c r="AE128" s="536">
        <f>'4. Fix Cost (GC)'!M27</f>
        <v>0</v>
      </c>
      <c r="AF128" s="536">
        <f>'4. Fix Cost (GC)'!N27</f>
        <v>0</v>
      </c>
      <c r="AG128" s="536">
        <f>'4. Fix Cost (GC)'!O27</f>
        <v>0</v>
      </c>
      <c r="AH128" s="536">
        <f>'4. Fix Cost (GC)'!P27</f>
        <v>0</v>
      </c>
      <c r="AI128" s="535"/>
      <c r="AJ128" s="535"/>
      <c r="AK128" s="535"/>
      <c r="AL128" s="535"/>
      <c r="AM128" s="535"/>
      <c r="AN128" s="535"/>
      <c r="AO128" s="451" t="str">
        <f>'4. Fix Cost (GC)'!W27</f>
        <v/>
      </c>
      <c r="AP128" s="451">
        <v>92</v>
      </c>
      <c r="AQ128" s="451" t="str">
        <f>Settings!$A$1</f>
        <v>V2</v>
      </c>
      <c r="AR128" s="858"/>
    </row>
    <row r="129" spans="1:44" ht="12.75" customHeight="1" x14ac:dyDescent="0.25">
      <c r="A129" s="451">
        <f>'Input-FX Rates'!$C$4</f>
        <v>242</v>
      </c>
      <c r="B129" s="451" t="str">
        <f>'Input-FX Rates'!$B$4</f>
        <v>ICH Icheon (242)</v>
      </c>
      <c r="C129" s="451">
        <f>'Input-FX Rates'!$C$6</f>
        <v>780</v>
      </c>
      <c r="D129" s="451" t="str">
        <f>'Input-FX Rates'!$B$6</f>
        <v>780 BU Controls</v>
      </c>
      <c r="E129" s="451" t="str">
        <f>'Input-FX Rates'!$C$5</f>
        <v>7851</v>
      </c>
      <c r="F129" s="451" t="str">
        <f>'Input-FX Rates'!$B$5</f>
        <v>7851 PL eMotor Controls</v>
      </c>
      <c r="G129" s="451" t="s">
        <v>538</v>
      </c>
      <c r="H129" s="451" t="s">
        <v>305</v>
      </c>
      <c r="I129" s="535"/>
      <c r="J129" s="535"/>
      <c r="K129" s="536">
        <f>'4. Fix Cost (GC)'!B28</f>
        <v>0</v>
      </c>
      <c r="L129" s="536">
        <f>'4. Fix Cost (GC)'!C28</f>
        <v>0</v>
      </c>
      <c r="M129" s="535"/>
      <c r="N129" s="535"/>
      <c r="O129" s="536">
        <f>'4. Fix Cost (GC)'!Q28</f>
        <v>0</v>
      </c>
      <c r="P129" s="536">
        <f>'4. Fix Cost (GC)'!R28</f>
        <v>0</v>
      </c>
      <c r="Q129" s="535"/>
      <c r="R129" s="535"/>
      <c r="S129" s="535"/>
      <c r="T129" s="535"/>
      <c r="U129" s="535"/>
      <c r="V129" s="535"/>
      <c r="W129" s="536">
        <f>'4. Fix Cost (GC)'!E28</f>
        <v>0</v>
      </c>
      <c r="X129" s="536">
        <f>'4. Fix Cost (GC)'!F28</f>
        <v>0</v>
      </c>
      <c r="Y129" s="536">
        <f>'4. Fix Cost (GC)'!G28</f>
        <v>0</v>
      </c>
      <c r="Z129" s="536">
        <f>'4. Fix Cost (GC)'!H28</f>
        <v>0</v>
      </c>
      <c r="AA129" s="536">
        <f>'4. Fix Cost (GC)'!I28</f>
        <v>0</v>
      </c>
      <c r="AB129" s="536">
        <f>'4. Fix Cost (GC)'!J28</f>
        <v>0</v>
      </c>
      <c r="AC129" s="536">
        <f>'4. Fix Cost (GC)'!K28</f>
        <v>0</v>
      </c>
      <c r="AD129" s="536">
        <f>'4. Fix Cost (GC)'!L28</f>
        <v>0</v>
      </c>
      <c r="AE129" s="536">
        <f>'4. Fix Cost (GC)'!M28</f>
        <v>0</v>
      </c>
      <c r="AF129" s="536">
        <f>'4. Fix Cost (GC)'!N28</f>
        <v>0</v>
      </c>
      <c r="AG129" s="536">
        <f>'4. Fix Cost (GC)'!O28</f>
        <v>0</v>
      </c>
      <c r="AH129" s="536">
        <f>'4. Fix Cost (GC)'!P28</f>
        <v>0</v>
      </c>
      <c r="AI129" s="535"/>
      <c r="AJ129" s="535"/>
      <c r="AK129" s="535"/>
      <c r="AL129" s="535"/>
      <c r="AM129" s="535"/>
      <c r="AN129" s="535"/>
      <c r="AO129" s="451" t="str">
        <f>'4. Fix Cost (GC)'!W28</f>
        <v/>
      </c>
      <c r="AP129" s="451">
        <v>93</v>
      </c>
      <c r="AQ129" s="451" t="str">
        <f>Settings!$A$1</f>
        <v>V2</v>
      </c>
      <c r="AR129" s="858"/>
    </row>
    <row r="130" spans="1:44" ht="12.75" customHeight="1" x14ac:dyDescent="0.25">
      <c r="A130" s="451">
        <f>'Input-FX Rates'!$C$4</f>
        <v>242</v>
      </c>
      <c r="B130" s="451" t="str">
        <f>'Input-FX Rates'!$B$4</f>
        <v>ICH Icheon (242)</v>
      </c>
      <c r="C130" s="451">
        <f>'Input-FX Rates'!$C$6</f>
        <v>780</v>
      </c>
      <c r="D130" s="451" t="str">
        <f>'Input-FX Rates'!$B$6</f>
        <v>780 BU Controls</v>
      </c>
      <c r="E130" s="451" t="str">
        <f>'Input-FX Rates'!$C$5</f>
        <v>7851</v>
      </c>
      <c r="F130" s="451" t="str">
        <f>'Input-FX Rates'!$B$5</f>
        <v>7851 PL eMotor Controls</v>
      </c>
      <c r="G130" s="451" t="s">
        <v>538</v>
      </c>
      <c r="H130" s="451" t="s">
        <v>304</v>
      </c>
      <c r="I130" s="535"/>
      <c r="J130" s="535"/>
      <c r="K130" s="536">
        <f>'4. Fix Cost (GC)'!B29</f>
        <v>0</v>
      </c>
      <c r="L130" s="536">
        <f>'4. Fix Cost (GC)'!C29</f>
        <v>0</v>
      </c>
      <c r="M130" s="535"/>
      <c r="N130" s="535"/>
      <c r="O130" s="536">
        <f>'4. Fix Cost (GC)'!Q29</f>
        <v>-14.443801379310257</v>
      </c>
      <c r="P130" s="536">
        <f>'4. Fix Cost (GC)'!R29</f>
        <v>0</v>
      </c>
      <c r="Q130" s="535"/>
      <c r="R130" s="535"/>
      <c r="S130" s="535"/>
      <c r="T130" s="535"/>
      <c r="U130" s="535"/>
      <c r="V130" s="535"/>
      <c r="W130" s="536">
        <f>'4. Fix Cost (GC)'!E29</f>
        <v>-1.2036501149425214</v>
      </c>
      <c r="X130" s="536">
        <f>'4. Fix Cost (GC)'!F29</f>
        <v>-1.2036501149425214</v>
      </c>
      <c r="Y130" s="536">
        <f>'4. Fix Cost (GC)'!G29</f>
        <v>-1.2036501149425214</v>
      </c>
      <c r="Z130" s="536">
        <f>'4. Fix Cost (GC)'!H29</f>
        <v>-1.2036501149425214</v>
      </c>
      <c r="AA130" s="536">
        <f>'4. Fix Cost (GC)'!I29</f>
        <v>-1.2036501149425214</v>
      </c>
      <c r="AB130" s="536">
        <f>'4. Fix Cost (GC)'!J29</f>
        <v>-1.2036501149425214</v>
      </c>
      <c r="AC130" s="536">
        <f>'4. Fix Cost (GC)'!K29</f>
        <v>-1.2036501149425214</v>
      </c>
      <c r="AD130" s="536">
        <f>'4. Fix Cost (GC)'!L29</f>
        <v>-1.2036501149425214</v>
      </c>
      <c r="AE130" s="536">
        <f>'4. Fix Cost (GC)'!M29</f>
        <v>-1.2036501149425214</v>
      </c>
      <c r="AF130" s="536">
        <f>'4. Fix Cost (GC)'!N29</f>
        <v>-1.2036501149425214</v>
      </c>
      <c r="AG130" s="536">
        <f>'4. Fix Cost (GC)'!O29</f>
        <v>-1.2036501149425214</v>
      </c>
      <c r="AH130" s="536">
        <f>'4. Fix Cost (GC)'!P29</f>
        <v>-1.2036501149425214</v>
      </c>
      <c r="AI130" s="535"/>
      <c r="AJ130" s="535"/>
      <c r="AK130" s="535"/>
      <c r="AL130" s="535"/>
      <c r="AM130" s="535"/>
      <c r="AN130" s="535"/>
      <c r="AO130" s="451" t="str">
        <f>'4. Fix Cost (GC)'!W29</f>
        <v/>
      </c>
      <c r="AP130" s="451">
        <v>94</v>
      </c>
      <c r="AQ130" s="451" t="str">
        <f>Settings!$A$1</f>
        <v>V2</v>
      </c>
      <c r="AR130" s="858"/>
    </row>
    <row r="131" spans="1:44" ht="12.75" customHeight="1" x14ac:dyDescent="0.25">
      <c r="A131" s="451">
        <f>'Input-FX Rates'!$C$4</f>
        <v>242</v>
      </c>
      <c r="B131" s="451" t="str">
        <f>'Input-FX Rates'!$B$4</f>
        <v>ICH Icheon (242)</v>
      </c>
      <c r="C131" s="451">
        <f>'Input-FX Rates'!$C$6</f>
        <v>780</v>
      </c>
      <c r="D131" s="451" t="str">
        <f>'Input-FX Rates'!$B$6</f>
        <v>780 BU Controls</v>
      </c>
      <c r="E131" s="451" t="str">
        <f>'Input-FX Rates'!$C$5</f>
        <v>7851</v>
      </c>
      <c r="F131" s="451" t="str">
        <f>'Input-FX Rates'!$B$5</f>
        <v>7851 PL eMotor Controls</v>
      </c>
      <c r="G131" s="451" t="s">
        <v>538</v>
      </c>
      <c r="H131" s="451" t="s">
        <v>302</v>
      </c>
      <c r="I131" s="535"/>
      <c r="J131" s="535"/>
      <c r="K131" s="536">
        <f>'4. Fix Cost (GC)'!B30</f>
        <v>-297.74356660091007</v>
      </c>
      <c r="L131" s="536">
        <f>'4. Fix Cost (GC)'!C30</f>
        <v>-565.67085860458212</v>
      </c>
      <c r="M131" s="535"/>
      <c r="N131" s="535"/>
      <c r="O131" s="536">
        <f>'4. Fix Cost (GC)'!Q30</f>
        <v>-653.78289172413793</v>
      </c>
      <c r="P131" s="536">
        <f>'4. Fix Cost (GC)'!R30</f>
        <v>0</v>
      </c>
      <c r="Q131" s="535"/>
      <c r="R131" s="535"/>
      <c r="S131" s="535"/>
      <c r="T131" s="535"/>
      <c r="U131" s="535"/>
      <c r="V131" s="535"/>
      <c r="W131" s="536">
        <f>'4. Fix Cost (GC)'!E30</f>
        <v>-62.591843908045966</v>
      </c>
      <c r="X131" s="536">
        <f>'4. Fix Cost (GC)'!F30</f>
        <v>-54.219401839080454</v>
      </c>
      <c r="Y131" s="536">
        <f>'4. Fix Cost (GC)'!G30</f>
        <v>-53.522432873563211</v>
      </c>
      <c r="Z131" s="536">
        <f>'4. Fix Cost (GC)'!H30</f>
        <v>-49.713592183908048</v>
      </c>
      <c r="AA131" s="536">
        <f>'4. Fix Cost (GC)'!I30</f>
        <v>-52.789929425287362</v>
      </c>
      <c r="AB131" s="536">
        <f>'4. Fix Cost (GC)'!J30</f>
        <v>-51.141031494252879</v>
      </c>
      <c r="AC131" s="536">
        <f>'4. Fix Cost (GC)'!K30</f>
        <v>-64.502339770114943</v>
      </c>
      <c r="AD131" s="536">
        <f>'4. Fix Cost (GC)'!L30</f>
        <v>-54.223029425287343</v>
      </c>
      <c r="AE131" s="536">
        <f>'4. Fix Cost (GC)'!M30</f>
        <v>-54.470581839080459</v>
      </c>
      <c r="AF131" s="536">
        <f>'4. Fix Cost (GC)'!N30</f>
        <v>-51.432634942528736</v>
      </c>
      <c r="AG131" s="536">
        <f>'4. Fix Cost (GC)'!O30</f>
        <v>-52.477195632183907</v>
      </c>
      <c r="AH131" s="536">
        <f>'4. Fix Cost (GC)'!P30</f>
        <v>-52.698878390804595</v>
      </c>
      <c r="AI131" s="535"/>
      <c r="AJ131" s="535"/>
      <c r="AK131" s="535"/>
      <c r="AL131" s="535"/>
      <c r="AM131" s="535"/>
      <c r="AN131" s="535"/>
      <c r="AO131" s="451" t="str">
        <f>'4. Fix Cost (GC)'!W30</f>
        <v/>
      </c>
      <c r="AP131" s="451">
        <v>95</v>
      </c>
      <c r="AQ131" s="451" t="str">
        <f>Settings!$A$1</f>
        <v>V2</v>
      </c>
      <c r="AR131" s="858"/>
    </row>
    <row r="132" spans="1:44" ht="12.75" customHeight="1" x14ac:dyDescent="0.25">
      <c r="A132" s="451">
        <f>'Input-FX Rates'!$C$4</f>
        <v>242</v>
      </c>
      <c r="B132" s="451" t="str">
        <f>'Input-FX Rates'!$B$4</f>
        <v>ICH Icheon (242)</v>
      </c>
      <c r="C132" s="451">
        <f>'Input-FX Rates'!$C$6</f>
        <v>780</v>
      </c>
      <c r="D132" s="451" t="str">
        <f>'Input-FX Rates'!$B$6</f>
        <v>780 BU Controls</v>
      </c>
      <c r="E132" s="451" t="str">
        <f>'Input-FX Rates'!$C$5</f>
        <v>7851</v>
      </c>
      <c r="F132" s="451" t="str">
        <f>'Input-FX Rates'!$B$5</f>
        <v>7851 PL eMotor Controls</v>
      </c>
      <c r="G132" s="451" t="s">
        <v>538</v>
      </c>
      <c r="H132" s="451" t="s">
        <v>300</v>
      </c>
      <c r="I132" s="535"/>
      <c r="J132" s="535"/>
      <c r="K132" s="536">
        <f>'4. Fix Cost (GC)'!B31</f>
        <v>-508.69290418940398</v>
      </c>
      <c r="L132" s="536">
        <f>'4. Fix Cost (GC)'!C31</f>
        <v>-918.86615920917711</v>
      </c>
      <c r="M132" s="535"/>
      <c r="N132" s="535"/>
      <c r="O132" s="536">
        <f>'4. Fix Cost (GC)'!Q31</f>
        <v>-1444.8027227586206</v>
      </c>
      <c r="P132" s="536">
        <f>'4. Fix Cost (GC)'!R31</f>
        <v>0</v>
      </c>
      <c r="Q132" s="535"/>
      <c r="R132" s="535"/>
      <c r="S132" s="535"/>
      <c r="T132" s="535"/>
      <c r="U132" s="535"/>
      <c r="V132" s="535"/>
      <c r="W132" s="536">
        <f>'4. Fix Cost (GC)'!E31</f>
        <v>-120.40022689655173</v>
      </c>
      <c r="X132" s="536">
        <f>'4. Fix Cost (GC)'!F31</f>
        <v>-120.40022689655173</v>
      </c>
      <c r="Y132" s="536">
        <f>'4. Fix Cost (GC)'!G31</f>
        <v>-120.40022689655173</v>
      </c>
      <c r="Z132" s="536">
        <f>'4. Fix Cost (GC)'!H31</f>
        <v>-120.40022689655173</v>
      </c>
      <c r="AA132" s="536">
        <f>'4. Fix Cost (GC)'!I31</f>
        <v>-120.40022689655173</v>
      </c>
      <c r="AB132" s="536">
        <f>'4. Fix Cost (GC)'!J31</f>
        <v>-120.40022689655173</v>
      </c>
      <c r="AC132" s="536">
        <f>'4. Fix Cost (GC)'!K31</f>
        <v>-120.40022689655173</v>
      </c>
      <c r="AD132" s="536">
        <f>'4. Fix Cost (GC)'!L31</f>
        <v>-120.40022689655173</v>
      </c>
      <c r="AE132" s="536">
        <f>'4. Fix Cost (GC)'!M31</f>
        <v>-120.40022689655173</v>
      </c>
      <c r="AF132" s="536">
        <f>'4. Fix Cost (GC)'!N31</f>
        <v>-120.40022689655173</v>
      </c>
      <c r="AG132" s="536">
        <f>'4. Fix Cost (GC)'!O31</f>
        <v>-120.40022689655173</v>
      </c>
      <c r="AH132" s="536">
        <f>'4. Fix Cost (GC)'!P31</f>
        <v>-120.40022689655173</v>
      </c>
      <c r="AI132" s="535"/>
      <c r="AJ132" s="535"/>
      <c r="AK132" s="535"/>
      <c r="AL132" s="535"/>
      <c r="AM132" s="535"/>
      <c r="AN132" s="535"/>
      <c r="AO132" s="451" t="str">
        <f>'4. Fix Cost (GC)'!W31</f>
        <v/>
      </c>
      <c r="AP132" s="451">
        <v>96</v>
      </c>
      <c r="AQ132" s="451" t="str">
        <f>Settings!$A$1</f>
        <v>V2</v>
      </c>
      <c r="AR132" s="858"/>
    </row>
    <row r="133" spans="1:44" ht="12.75" customHeight="1" x14ac:dyDescent="0.25">
      <c r="A133" s="451">
        <f>'Input-FX Rates'!$C$4</f>
        <v>242</v>
      </c>
      <c r="B133" s="451" t="str">
        <f>'Input-FX Rates'!$B$4</f>
        <v>ICH Icheon (242)</v>
      </c>
      <c r="C133" s="451">
        <f>'Input-FX Rates'!$C$6</f>
        <v>780</v>
      </c>
      <c r="D133" s="451" t="str">
        <f>'Input-FX Rates'!$B$6</f>
        <v>780 BU Controls</v>
      </c>
      <c r="E133" s="451" t="str">
        <f>'Input-FX Rates'!$C$5</f>
        <v>7851</v>
      </c>
      <c r="F133" s="451" t="str">
        <f>'Input-FX Rates'!$B$5</f>
        <v>7851 PL eMotor Controls</v>
      </c>
      <c r="G133" s="451" t="s">
        <v>538</v>
      </c>
      <c r="H133" s="451" t="s">
        <v>299</v>
      </c>
      <c r="I133" s="535"/>
      <c r="J133" s="535"/>
      <c r="K133" s="536">
        <f>'4. Fix Cost (GC)'!B32</f>
        <v>630.53376386917694</v>
      </c>
      <c r="L133" s="536">
        <f>'4. Fix Cost (GC)'!C32</f>
        <v>-3188.4501956407253</v>
      </c>
      <c r="M133" s="535"/>
      <c r="N133" s="535"/>
      <c r="O133" s="536">
        <f>'4. Fix Cost (GC)'!Q32</f>
        <v>-11005.511089655172</v>
      </c>
      <c r="P133" s="536">
        <f>'4. Fix Cost (GC)'!R32</f>
        <v>0</v>
      </c>
      <c r="Q133" s="535"/>
      <c r="R133" s="535"/>
      <c r="S133" s="535"/>
      <c r="T133" s="535"/>
      <c r="U133" s="535"/>
      <c r="V133" s="535"/>
      <c r="W133" s="536">
        <f>'4. Fix Cost (GC)'!E32</f>
        <v>-917.12592413793107</v>
      </c>
      <c r="X133" s="536">
        <f>'4. Fix Cost (GC)'!F32</f>
        <v>-917.12592413793107</v>
      </c>
      <c r="Y133" s="536">
        <f>'4. Fix Cost (GC)'!G32</f>
        <v>-917.12592413793107</v>
      </c>
      <c r="Z133" s="536">
        <f>'4. Fix Cost (GC)'!H32</f>
        <v>-917.12592413793107</v>
      </c>
      <c r="AA133" s="536">
        <f>'4. Fix Cost (GC)'!I32</f>
        <v>-917.12592413793107</v>
      </c>
      <c r="AB133" s="536">
        <f>'4. Fix Cost (GC)'!J32</f>
        <v>-917.12592413793107</v>
      </c>
      <c r="AC133" s="536">
        <f>'4. Fix Cost (GC)'!K32</f>
        <v>-917.12592413793107</v>
      </c>
      <c r="AD133" s="536">
        <f>'4. Fix Cost (GC)'!L32</f>
        <v>-917.12592413793107</v>
      </c>
      <c r="AE133" s="536">
        <f>'4. Fix Cost (GC)'!M32</f>
        <v>-917.12592413793107</v>
      </c>
      <c r="AF133" s="536">
        <f>'4. Fix Cost (GC)'!N32</f>
        <v>-917.12592413793107</v>
      </c>
      <c r="AG133" s="536">
        <f>'4. Fix Cost (GC)'!O32</f>
        <v>-917.12592413793107</v>
      </c>
      <c r="AH133" s="536">
        <f>'4. Fix Cost (GC)'!P32</f>
        <v>-917.12592413793107</v>
      </c>
      <c r="AI133" s="535"/>
      <c r="AJ133" s="535"/>
      <c r="AK133" s="535"/>
      <c r="AL133" s="535"/>
      <c r="AM133" s="535"/>
      <c r="AN133" s="535"/>
      <c r="AO133" s="451" t="str">
        <f>'4. Fix Cost (GC)'!W32</f>
        <v/>
      </c>
      <c r="AP133" s="451">
        <v>97</v>
      </c>
      <c r="AQ133" s="451" t="str">
        <f>Settings!$A$1</f>
        <v>V2</v>
      </c>
      <c r="AR133" s="858"/>
    </row>
    <row r="134" spans="1:44" ht="12.75" customHeight="1" x14ac:dyDescent="0.25">
      <c r="A134" s="451">
        <f>'Input-FX Rates'!$C$4</f>
        <v>242</v>
      </c>
      <c r="B134" s="451" t="str">
        <f>'Input-FX Rates'!$B$4</f>
        <v>ICH Icheon (242)</v>
      </c>
      <c r="C134" s="451">
        <f>'Input-FX Rates'!$C$6</f>
        <v>780</v>
      </c>
      <c r="D134" s="451" t="str">
        <f>'Input-FX Rates'!$B$6</f>
        <v>780 BU Controls</v>
      </c>
      <c r="E134" s="451" t="str">
        <f>'Input-FX Rates'!$C$5</f>
        <v>7851</v>
      </c>
      <c r="F134" s="451" t="str">
        <f>'Input-FX Rates'!$B$5</f>
        <v>7851 PL eMotor Controls</v>
      </c>
      <c r="G134" s="451" t="s">
        <v>538</v>
      </c>
      <c r="H134" s="451" t="s">
        <v>297</v>
      </c>
      <c r="I134" s="535"/>
      <c r="J134" s="535"/>
      <c r="K134" s="536">
        <f>'4. Fix Cost (GC)'!B33</f>
        <v>-1089.9437312748883</v>
      </c>
      <c r="L134" s="536">
        <f>'4. Fix Cost (GC)'!C33</f>
        <v>-2044.1117618149103</v>
      </c>
      <c r="M134" s="535"/>
      <c r="N134" s="535"/>
      <c r="O134" s="536">
        <f>'4. Fix Cost (GC)'!Q33</f>
        <v>-2608.3396689655174</v>
      </c>
      <c r="P134" s="536">
        <f>'4. Fix Cost (GC)'!R33</f>
        <v>0</v>
      </c>
      <c r="Q134" s="535"/>
      <c r="R134" s="535"/>
      <c r="S134" s="535"/>
      <c r="T134" s="535"/>
      <c r="U134" s="535"/>
      <c r="V134" s="535"/>
      <c r="W134" s="536">
        <f>'4. Fix Cost (GC)'!E33</f>
        <v>-217.36163908045975</v>
      </c>
      <c r="X134" s="536">
        <f>'4. Fix Cost (GC)'!F33</f>
        <v>-217.36163908045975</v>
      </c>
      <c r="Y134" s="536">
        <f>'4. Fix Cost (GC)'!G33</f>
        <v>-217.36163908045975</v>
      </c>
      <c r="Z134" s="536">
        <f>'4. Fix Cost (GC)'!H33</f>
        <v>-217.36163908045975</v>
      </c>
      <c r="AA134" s="536">
        <f>'4. Fix Cost (GC)'!I33</f>
        <v>-217.36163908045975</v>
      </c>
      <c r="AB134" s="536">
        <f>'4. Fix Cost (GC)'!J33</f>
        <v>-217.36163908045975</v>
      </c>
      <c r="AC134" s="536">
        <f>'4. Fix Cost (GC)'!K33</f>
        <v>-217.36163908045975</v>
      </c>
      <c r="AD134" s="536">
        <f>'4. Fix Cost (GC)'!L33</f>
        <v>-217.36163908045975</v>
      </c>
      <c r="AE134" s="536">
        <f>'4. Fix Cost (GC)'!M33</f>
        <v>-217.36163908045975</v>
      </c>
      <c r="AF134" s="536">
        <f>'4. Fix Cost (GC)'!N33</f>
        <v>-217.36163908045975</v>
      </c>
      <c r="AG134" s="536">
        <f>'4. Fix Cost (GC)'!O33</f>
        <v>-217.36163908045975</v>
      </c>
      <c r="AH134" s="536">
        <f>'4. Fix Cost (GC)'!P33</f>
        <v>-217.36163908045975</v>
      </c>
      <c r="AI134" s="535"/>
      <c r="AJ134" s="535"/>
      <c r="AK134" s="535"/>
      <c r="AL134" s="535"/>
      <c r="AM134" s="535"/>
      <c r="AN134" s="535"/>
      <c r="AO134" s="451" t="str">
        <f>'4. Fix Cost (GC)'!W33</f>
        <v/>
      </c>
      <c r="AP134" s="451">
        <v>98</v>
      </c>
      <c r="AQ134" s="451" t="str">
        <f>Settings!$A$1</f>
        <v>V2</v>
      </c>
      <c r="AR134" s="858"/>
    </row>
    <row r="135" spans="1:44" ht="12.75" customHeight="1" x14ac:dyDescent="0.25">
      <c r="A135" s="451">
        <f>'Input-FX Rates'!$C$4</f>
        <v>242</v>
      </c>
      <c r="B135" s="451" t="str">
        <f>'Input-FX Rates'!$B$4</f>
        <v>ICH Icheon (242)</v>
      </c>
      <c r="C135" s="451">
        <f>'Input-FX Rates'!$C$6</f>
        <v>780</v>
      </c>
      <c r="D135" s="451" t="str">
        <f>'Input-FX Rates'!$B$6</f>
        <v>780 BU Controls</v>
      </c>
      <c r="E135" s="451" t="str">
        <f>'Input-FX Rates'!$C$5</f>
        <v>7851</v>
      </c>
      <c r="F135" s="451" t="str">
        <f>'Input-FX Rates'!$B$5</f>
        <v>7851 PL eMotor Controls</v>
      </c>
      <c r="G135" s="451" t="s">
        <v>538</v>
      </c>
      <c r="H135" s="451" t="s">
        <v>296</v>
      </c>
      <c r="I135" s="535"/>
      <c r="J135" s="535"/>
      <c r="K135" s="536">
        <f>'4. Fix Cost (GC)'!B34</f>
        <v>-7050.1710301063904</v>
      </c>
      <c r="L135" s="536">
        <f>'4. Fix Cost (GC)'!C34</f>
        <v>-18515.334537681785</v>
      </c>
      <c r="M135" s="535"/>
      <c r="N135" s="535"/>
      <c r="O135" s="536">
        <f>'4. Fix Cost (GC)'!Q34</f>
        <v>-29579.652011034483</v>
      </c>
      <c r="P135" s="536">
        <f>'4. Fix Cost (GC)'!R34</f>
        <v>-4699.63</v>
      </c>
      <c r="Q135" s="535"/>
      <c r="R135" s="535"/>
      <c r="S135" s="535"/>
      <c r="T135" s="535"/>
      <c r="U135" s="535"/>
      <c r="V135" s="535"/>
      <c r="W135" s="536">
        <f>'4. Fix Cost (GC)'!E34</f>
        <v>-2450.49624091954</v>
      </c>
      <c r="X135" s="536">
        <f>'4. Fix Cost (GC)'!F34</f>
        <v>-2483.4270857471265</v>
      </c>
      <c r="Y135" s="536">
        <f>'4. Fix Cost (GC)'!G34</f>
        <v>-2460.4734078160923</v>
      </c>
      <c r="Z135" s="536">
        <f>'4. Fix Cost (GC)'!H34</f>
        <v>-2398.5295995402298</v>
      </c>
      <c r="AA135" s="536">
        <f>'4. Fix Cost (GC)'!I34</f>
        <v>-2432.2378209195404</v>
      </c>
      <c r="AB135" s="536">
        <f>'4. Fix Cost (GC)'!J34</f>
        <v>-2421.2968850574712</v>
      </c>
      <c r="AC135" s="536">
        <f>'4. Fix Cost (GC)'!K34</f>
        <v>-2534.787472643678</v>
      </c>
      <c r="AD135" s="536">
        <f>'4. Fix Cost (GC)'!L34</f>
        <v>-2536.2807360919542</v>
      </c>
      <c r="AE135" s="536">
        <f>'4. Fix Cost (GC)'!M34</f>
        <v>-2480.3761788505744</v>
      </c>
      <c r="AF135" s="536">
        <f>'4. Fix Cost (GC)'!N34</f>
        <v>-2463.20842091954</v>
      </c>
      <c r="AG135" s="536">
        <f>'4. Fix Cost (GC)'!O34</f>
        <v>-2458.0904726436784</v>
      </c>
      <c r="AH135" s="536">
        <f>'4. Fix Cost (GC)'!P34</f>
        <v>-2460.4476898850576</v>
      </c>
      <c r="AI135" s="535"/>
      <c r="AJ135" s="535"/>
      <c r="AK135" s="535"/>
      <c r="AL135" s="535"/>
      <c r="AM135" s="535"/>
      <c r="AN135" s="535"/>
      <c r="AO135" s="451" t="str">
        <f>'4. Fix Cost (GC)'!W34</f>
        <v/>
      </c>
      <c r="AP135" s="451">
        <v>99</v>
      </c>
      <c r="AQ135" s="451" t="str">
        <f>Settings!$A$1</f>
        <v>V2</v>
      </c>
      <c r="AR135" s="858"/>
    </row>
    <row r="136" spans="1:44" ht="12.75" customHeight="1" x14ac:dyDescent="0.25">
      <c r="A136" s="451">
        <f>'Input-FX Rates'!$C$4</f>
        <v>242</v>
      </c>
      <c r="B136" s="451" t="str">
        <f>'Input-FX Rates'!$B$4</f>
        <v>ICH Icheon (242)</v>
      </c>
      <c r="C136" s="451">
        <f>'Input-FX Rates'!$C$6</f>
        <v>780</v>
      </c>
      <c r="D136" s="451" t="str">
        <f>'Input-FX Rates'!$B$6</f>
        <v>780 BU Controls</v>
      </c>
      <c r="E136" s="451" t="str">
        <f>'Input-FX Rates'!$C$5</f>
        <v>7851</v>
      </c>
      <c r="F136" s="451" t="str">
        <f>'Input-FX Rates'!$B$5</f>
        <v>7851 PL eMotor Controls</v>
      </c>
      <c r="G136" s="451" t="s">
        <v>538</v>
      </c>
      <c r="H136" s="451" t="s">
        <v>294</v>
      </c>
      <c r="I136" s="535"/>
      <c r="J136" s="535"/>
      <c r="K136" s="536">
        <f>'4. Fix Cost (GC)'!B36</f>
        <v>-2814.8559972162102</v>
      </c>
      <c r="L136" s="536">
        <f>'4. Fix Cost (GC)'!C36</f>
        <v>-4773.468057331067</v>
      </c>
      <c r="M136" s="535"/>
      <c r="N136" s="535"/>
      <c r="O136" s="536">
        <f>'4. Fix Cost (GC)'!Q36</f>
        <v>-5186.6028896551725</v>
      </c>
      <c r="P136" s="536">
        <f>'4. Fix Cost (GC)'!R36</f>
        <v>-4699.63</v>
      </c>
      <c r="Q136" s="535"/>
      <c r="R136" s="535"/>
      <c r="S136" s="535"/>
      <c r="T136" s="535"/>
      <c r="U136" s="535"/>
      <c r="V136" s="535"/>
      <c r="W136" s="536">
        <f>'4. Fix Cost (GC)'!E36</f>
        <v>-439.99245379310344</v>
      </c>
      <c r="X136" s="536">
        <f>'4. Fix Cost (GC)'!F36</f>
        <v>-470.5457413793103</v>
      </c>
      <c r="Y136" s="536">
        <f>'4. Fix Cost (GC)'!G36</f>
        <v>-432.5181986206897</v>
      </c>
      <c r="Z136" s="536">
        <f>'4. Fix Cost (GC)'!H36</f>
        <v>-370.39364827586212</v>
      </c>
      <c r="AA136" s="536">
        <f>'4. Fix Cost (GC)'!I36</f>
        <v>-397.01511586206891</v>
      </c>
      <c r="AB136" s="536">
        <f>'4. Fix Cost (GC)'!J36</f>
        <v>-386.72307724137937</v>
      </c>
      <c r="AC136" s="536">
        <f>'4. Fix Cost (GC)'!K36</f>
        <v>-486.85235655172414</v>
      </c>
      <c r="AD136" s="536">
        <f>'4. Fix Cost (GC)'!L36</f>
        <v>-497.8415972413793</v>
      </c>
      <c r="AE136" s="536">
        <f>'4. Fix Cost (GC)'!M36</f>
        <v>-440.86657034482761</v>
      </c>
      <c r="AF136" s="536">
        <f>'4. Fix Cost (GC)'!N36</f>
        <v>-426.73675931034484</v>
      </c>
      <c r="AG136" s="536">
        <f>'4. Fix Cost (GC)'!O36</f>
        <v>-420.57425034482765</v>
      </c>
      <c r="AH136" s="536">
        <f>'4. Fix Cost (GC)'!P36</f>
        <v>-416.54312068965521</v>
      </c>
      <c r="AI136" s="535"/>
      <c r="AJ136" s="535"/>
      <c r="AK136" s="535"/>
      <c r="AL136" s="535"/>
      <c r="AM136" s="535"/>
      <c r="AN136" s="535"/>
      <c r="AO136" s="451" t="str">
        <f>'4. Fix Cost (GC)'!W36</f>
        <v/>
      </c>
      <c r="AP136" s="451">
        <v>100</v>
      </c>
      <c r="AQ136" s="451" t="str">
        <f>Settings!$A$1</f>
        <v>V2</v>
      </c>
      <c r="AR136" s="858"/>
    </row>
    <row r="137" spans="1:44" ht="12.75" customHeight="1" x14ac:dyDescent="0.25">
      <c r="A137" s="451">
        <f>'Input-FX Rates'!$C$4</f>
        <v>242</v>
      </c>
      <c r="B137" s="451" t="str">
        <f>'Input-FX Rates'!$B$4</f>
        <v>ICH Icheon (242)</v>
      </c>
      <c r="C137" s="451">
        <f>'Input-FX Rates'!$C$6</f>
        <v>780</v>
      </c>
      <c r="D137" s="451" t="str">
        <f>'Input-FX Rates'!$B$6</f>
        <v>780 BU Controls</v>
      </c>
      <c r="E137" s="451" t="str">
        <f>'Input-FX Rates'!$C$5</f>
        <v>7851</v>
      </c>
      <c r="F137" s="451" t="str">
        <f>'Input-FX Rates'!$B$5</f>
        <v>7851 PL eMotor Controls</v>
      </c>
      <c r="G137" s="451" t="s">
        <v>538</v>
      </c>
      <c r="H137" s="451" t="s">
        <v>293</v>
      </c>
      <c r="I137" s="535"/>
      <c r="J137" s="535"/>
      <c r="K137" s="536">
        <f>'4. Fix Cost (GC)'!B38</f>
        <v>-2968.5994990851223</v>
      </c>
      <c r="L137" s="536">
        <f>'4. Fix Cost (GC)'!C38</f>
        <v>-7023.9001600464335</v>
      </c>
      <c r="M137" s="535"/>
      <c r="N137" s="535"/>
      <c r="O137" s="536">
        <f>'4. Fix Cost (GC)'!Q38</f>
        <v>-4083.9327482758617</v>
      </c>
      <c r="P137" s="536">
        <f>'4. Fix Cost (GC)'!R38</f>
        <v>0</v>
      </c>
      <c r="Q137" s="535"/>
      <c r="R137" s="535"/>
      <c r="S137" s="535"/>
      <c r="T137" s="535"/>
      <c r="U137" s="535"/>
      <c r="V137" s="535"/>
      <c r="W137" s="536">
        <f>'4. Fix Cost (GC)'!E38</f>
        <v>-693.02415310344827</v>
      </c>
      <c r="X137" s="536">
        <f>'4. Fix Cost (GC)'!F38</f>
        <v>-703.7741524137931</v>
      </c>
      <c r="Y137" s="536">
        <f>'4. Fix Cost (GC)'!G38</f>
        <v>-719.54498620689651</v>
      </c>
      <c r="Z137" s="536">
        <f>'4. Fix Cost (GC)'!H38</f>
        <v>-723.53456896551722</v>
      </c>
      <c r="AA137" s="536">
        <f>'4. Fix Cost (GC)'!I38</f>
        <v>-727.54498551724146</v>
      </c>
      <c r="AB137" s="536">
        <f>'4. Fix Cost (GC)'!J38</f>
        <v>-27.86469586206897</v>
      </c>
      <c r="AC137" s="536">
        <f>'4. Fix Cost (GC)'!K38</f>
        <v>-50.012335862068959</v>
      </c>
      <c r="AD137" s="536">
        <f>'4. Fix Cost (GC)'!L38</f>
        <v>-109.9256889655173</v>
      </c>
      <c r="AE137" s="536">
        <f>'4. Fix Cost (GC)'!M38</f>
        <v>-199.23469655172417</v>
      </c>
      <c r="AF137" s="536">
        <f>'4. Fix Cost (GC)'!N38</f>
        <v>-110.74860620689658</v>
      </c>
      <c r="AG137" s="536">
        <f>'4. Fix Cost (GC)'!O38</f>
        <v>-110.74860620689658</v>
      </c>
      <c r="AH137" s="536">
        <f>'4. Fix Cost (GC)'!P38</f>
        <v>92.024727586206879</v>
      </c>
      <c r="AI137" s="535"/>
      <c r="AJ137" s="535"/>
      <c r="AK137" s="535"/>
      <c r="AL137" s="535"/>
      <c r="AM137" s="535"/>
      <c r="AN137" s="535"/>
      <c r="AO137" s="451" t="str">
        <f>'4. Fix Cost (GC)'!W38</f>
        <v/>
      </c>
      <c r="AP137" s="451">
        <v>101</v>
      </c>
      <c r="AQ137" s="451" t="str">
        <f>Settings!$A$1</f>
        <v>V2</v>
      </c>
      <c r="AR137" s="858"/>
    </row>
    <row r="138" spans="1:44" ht="12.75" customHeight="1" x14ac:dyDescent="0.25">
      <c r="A138" s="451">
        <f>'Input-FX Rates'!$C$4</f>
        <v>242</v>
      </c>
      <c r="B138" s="451" t="str">
        <f>'Input-FX Rates'!$B$4</f>
        <v>ICH Icheon (242)</v>
      </c>
      <c r="C138" s="451">
        <f>'Input-FX Rates'!$C$6</f>
        <v>780</v>
      </c>
      <c r="D138" s="451" t="str">
        <f>'Input-FX Rates'!$B$6</f>
        <v>780 BU Controls</v>
      </c>
      <c r="E138" s="451" t="str">
        <f>'Input-FX Rates'!$C$5</f>
        <v>7851</v>
      </c>
      <c r="F138" s="451" t="str">
        <f>'Input-FX Rates'!$B$5</f>
        <v>7851 PL eMotor Controls</v>
      </c>
      <c r="G138" s="451" t="s">
        <v>538</v>
      </c>
      <c r="H138" s="451" t="s">
        <v>292</v>
      </c>
      <c r="I138" s="535"/>
      <c r="J138" s="535"/>
      <c r="K138" s="536">
        <f>'4. Fix Cost (GC)'!B40</f>
        <v>-5783.4554963013325</v>
      </c>
      <c r="L138" s="536">
        <f>'4. Fix Cost (GC)'!C40</f>
        <v>-11797.368217377501</v>
      </c>
      <c r="M138" s="535"/>
      <c r="N138" s="535"/>
      <c r="O138" s="536">
        <f>'4. Fix Cost (GC)'!Q40</f>
        <v>-9270.5356379310342</v>
      </c>
      <c r="P138" s="536">
        <f>'4. Fix Cost (GC)'!R40</f>
        <v>-4699.63</v>
      </c>
      <c r="Q138" s="535"/>
      <c r="R138" s="535"/>
      <c r="S138" s="535"/>
      <c r="T138" s="535"/>
      <c r="U138" s="535"/>
      <c r="V138" s="535"/>
      <c r="W138" s="536">
        <f>'4. Fix Cost (GC)'!E40</f>
        <v>-1133.0166068965518</v>
      </c>
      <c r="X138" s="536">
        <f>'4. Fix Cost (GC)'!F40</f>
        <v>-1174.3198937931033</v>
      </c>
      <c r="Y138" s="536">
        <f>'4. Fix Cost (GC)'!G40</f>
        <v>-1152.0631848275862</v>
      </c>
      <c r="Z138" s="536">
        <f>'4. Fix Cost (GC)'!H40</f>
        <v>-1093.9282172413793</v>
      </c>
      <c r="AA138" s="536">
        <f>'4. Fix Cost (GC)'!I40</f>
        <v>-1124.5601013793103</v>
      </c>
      <c r="AB138" s="536">
        <f>'4. Fix Cost (GC)'!J40</f>
        <v>-414.58777310344834</v>
      </c>
      <c r="AC138" s="536">
        <f>'4. Fix Cost (GC)'!K40</f>
        <v>-536.86469241379314</v>
      </c>
      <c r="AD138" s="536">
        <f>'4. Fix Cost (GC)'!L40</f>
        <v>-607.76728620689664</v>
      </c>
      <c r="AE138" s="536">
        <f>'4. Fix Cost (GC)'!M40</f>
        <v>-640.10126689655181</v>
      </c>
      <c r="AF138" s="536">
        <f>'4. Fix Cost (GC)'!N40</f>
        <v>-537.48536551724135</v>
      </c>
      <c r="AG138" s="536">
        <f>'4. Fix Cost (GC)'!O40</f>
        <v>-531.32285655172416</v>
      </c>
      <c r="AH138" s="536">
        <f>'4. Fix Cost (GC)'!P40</f>
        <v>-324.51839310344832</v>
      </c>
      <c r="AI138" s="535"/>
      <c r="AJ138" s="535"/>
      <c r="AK138" s="535"/>
      <c r="AL138" s="535"/>
      <c r="AM138" s="535"/>
      <c r="AN138" s="535"/>
      <c r="AO138" s="451" t="str">
        <f>'4. Fix Cost (GC)'!W40</f>
        <v/>
      </c>
      <c r="AP138" s="451">
        <v>102</v>
      </c>
      <c r="AQ138" s="451" t="str">
        <f>Settings!$A$1</f>
        <v>V2</v>
      </c>
      <c r="AR138" s="858"/>
    </row>
    <row r="139" spans="1:44" s="537" customFormat="1" ht="12.75" customHeight="1" x14ac:dyDescent="0.25">
      <c r="A139" s="537">
        <f>'Input-FX Rates'!$C$4</f>
        <v>242</v>
      </c>
      <c r="B139" s="537" t="str">
        <f>'Input-FX Rates'!$B$4</f>
        <v>ICH Icheon (242)</v>
      </c>
      <c r="C139" s="537">
        <f>'Input-FX Rates'!$C$6</f>
        <v>780</v>
      </c>
      <c r="D139" s="537" t="str">
        <f>'Input-FX Rates'!$B$6</f>
        <v>780 BU Controls</v>
      </c>
      <c r="E139" s="537" t="str">
        <f>'Input-FX Rates'!$C$5</f>
        <v>7851</v>
      </c>
      <c r="F139" s="537" t="str">
        <f>'Input-FX Rates'!$B$5</f>
        <v>7851 PL eMotor Controls</v>
      </c>
      <c r="G139" s="537" t="s">
        <v>538</v>
      </c>
      <c r="H139" s="537" t="s">
        <v>291</v>
      </c>
      <c r="I139" s="538"/>
      <c r="J139" s="538"/>
      <c r="K139" s="539">
        <f>'4. Fix Cost (GC)'!B42</f>
        <v>-1675.8260186341638</v>
      </c>
      <c r="L139" s="539">
        <f>'4. Fix Cost (GC)'!C42</f>
        <v>-3284.4746189826405</v>
      </c>
      <c r="M139" s="538"/>
      <c r="N139" s="538"/>
      <c r="O139" s="539">
        <f>'4. Fix Cost (GC)'!Q42</f>
        <v>-3970.6130993103448</v>
      </c>
      <c r="P139" s="539">
        <f>'4. Fix Cost (GC)'!R42</f>
        <v>-4219.63</v>
      </c>
      <c r="Q139" s="538"/>
      <c r="R139" s="538"/>
      <c r="S139" s="538"/>
      <c r="T139" s="538"/>
      <c r="U139" s="538"/>
      <c r="V139" s="538"/>
      <c r="W139" s="539">
        <f>'4. Fix Cost (GC)'!E42</f>
        <v>-322.95909586206898</v>
      </c>
      <c r="X139" s="539">
        <f>'4. Fix Cost (GC)'!F42</f>
        <v>-314.41400000000004</v>
      </c>
      <c r="Y139" s="539">
        <f>'4. Fix Cost (GC)'!G42</f>
        <v>-314.28341793103448</v>
      </c>
      <c r="Z139" s="539">
        <f>'4. Fix Cost (GC)'!H42</f>
        <v>-288.71013655172413</v>
      </c>
      <c r="AA139" s="539">
        <f>'4. Fix Cost (GC)'!I42</f>
        <v>-305.14616137931034</v>
      </c>
      <c r="AB139" s="539">
        <f>'4. Fix Cost (GC)'!J42</f>
        <v>-309.6168055172414</v>
      </c>
      <c r="AC139" s="539">
        <f>'4. Fix Cost (GC)'!K42</f>
        <v>-398.91771379310347</v>
      </c>
      <c r="AD139" s="539">
        <f>'4. Fix Cost (GC)'!L42</f>
        <v>-365.04106206896552</v>
      </c>
      <c r="AE139" s="539">
        <f>'4. Fix Cost (GC)'!M42</f>
        <v>-338.53805103448275</v>
      </c>
      <c r="AF139" s="539">
        <f>'4. Fix Cost (GC)'!N42</f>
        <v>-336.86681862068963</v>
      </c>
      <c r="AG139" s="539">
        <f>'4. Fix Cost (GC)'!O42</f>
        <v>-332.78999793103446</v>
      </c>
      <c r="AH139" s="539">
        <f>'4. Fix Cost (GC)'!P42</f>
        <v>-343.32983862068966</v>
      </c>
      <c r="AI139" s="538"/>
      <c r="AJ139" s="538"/>
      <c r="AK139" s="538"/>
      <c r="AL139" s="538"/>
      <c r="AM139" s="538"/>
      <c r="AN139" s="538"/>
      <c r="AO139" s="537" t="str">
        <f>'4. Fix Cost (GC)'!W42</f>
        <v/>
      </c>
      <c r="AP139" s="537">
        <v>103</v>
      </c>
      <c r="AQ139" s="537" t="str">
        <f>Settings!$A$1</f>
        <v>V2</v>
      </c>
      <c r="AR139" s="859"/>
    </row>
    <row r="140" spans="1:44" ht="12.75" customHeight="1" x14ac:dyDescent="0.2">
      <c r="A140" s="451">
        <f>'Input-FX Rates'!$C$4</f>
        <v>242</v>
      </c>
      <c r="B140" s="451" t="str">
        <f>'Input-FX Rates'!$B$4</f>
        <v>ICH Icheon (242)</v>
      </c>
      <c r="C140" s="451">
        <f>'Input-FX Rates'!$C$6</f>
        <v>780</v>
      </c>
      <c r="D140" s="451" t="str">
        <f>'Input-FX Rates'!$B$6</f>
        <v>780 BU Controls</v>
      </c>
      <c r="E140" s="451" t="str">
        <f>'Input-FX Rates'!$C$5</f>
        <v>7851</v>
      </c>
      <c r="F140" s="451" t="str">
        <f>'Input-FX Rates'!$B$5</f>
        <v>7851 PL eMotor Controls</v>
      </c>
      <c r="G140" s="451" t="s">
        <v>537</v>
      </c>
      <c r="H140" s="451" t="s">
        <v>167</v>
      </c>
      <c r="I140" s="535"/>
      <c r="J140" s="535"/>
      <c r="K140" s="536">
        <f>'5.  Logistic Cost (GC)'!B6</f>
        <v>35988.371534659054</v>
      </c>
      <c r="L140" s="536">
        <f>'5.  Logistic Cost (GC)'!C6</f>
        <v>94871.705380828425</v>
      </c>
      <c r="M140" s="536">
        <f>'5.  Logistic Cost (GC)'!D6</f>
        <v>772.43774568186177</v>
      </c>
      <c r="N140" s="536">
        <f>'5.  Logistic Cost (GC)'!E6</f>
        <v>94099.267635146563</v>
      </c>
      <c r="O140" s="536">
        <f>'5.  Logistic Cost (GC)'!M6</f>
        <v>129843.69047517242</v>
      </c>
      <c r="P140" s="536">
        <f>'5.  Logistic Cost (GC)'!L6</f>
        <v>129843.69047517242</v>
      </c>
      <c r="Q140" s="536">
        <f>'5.  Logistic Cost (GC)'!F6</f>
        <v>38292.068656468182</v>
      </c>
      <c r="R140" s="536">
        <f>'5.  Logistic Cost (GC)'!G6</f>
        <v>0</v>
      </c>
      <c r="S140" s="536">
        <f>'5.  Logistic Cost (GC)'!H6</f>
        <v>-2747.0541996641246</v>
      </c>
      <c r="T140" s="536">
        <f>'5.  Logistic Cost (GC)'!I6</f>
        <v>0</v>
      </c>
      <c r="U140" s="536">
        <f>'5.  Logistic Cost (GC)'!J6</f>
        <v>4484.1035878524863</v>
      </c>
      <c r="V140" s="536">
        <f>'5.  Logistic Cost (GC)'!K6</f>
        <v>-4284.6952046306978</v>
      </c>
      <c r="W140" s="535"/>
      <c r="X140" s="535"/>
      <c r="Y140" s="535"/>
      <c r="Z140" s="535"/>
      <c r="AA140" s="535"/>
      <c r="AB140" s="535"/>
      <c r="AC140" s="535"/>
      <c r="AD140" s="535"/>
      <c r="AE140" s="535"/>
      <c r="AF140" s="535"/>
      <c r="AG140" s="535"/>
      <c r="AH140" s="535"/>
      <c r="AI140" s="535"/>
      <c r="AJ140" s="535"/>
      <c r="AK140" s="535"/>
      <c r="AL140" s="535"/>
      <c r="AM140" s="535"/>
      <c r="AN140" s="535"/>
      <c r="AO140" s="451" t="str">
        <f>'5.  Logistic Cost (GC)'!O6</f>
        <v/>
      </c>
      <c r="AP140" s="451">
        <v>104</v>
      </c>
      <c r="AQ140" s="451" t="str">
        <f>Settings!$A$1</f>
        <v>V2</v>
      </c>
    </row>
    <row r="141" spans="1:44" ht="12.75" customHeight="1" x14ac:dyDescent="0.2">
      <c r="A141" s="451">
        <f>'Input-FX Rates'!$C$4</f>
        <v>242</v>
      </c>
      <c r="B141" s="451" t="str">
        <f>'Input-FX Rates'!$B$4</f>
        <v>ICH Icheon (242)</v>
      </c>
      <c r="C141" s="451">
        <f>'Input-FX Rates'!$C$6</f>
        <v>780</v>
      </c>
      <c r="D141" s="451" t="str">
        <f>'Input-FX Rates'!$B$6</f>
        <v>780 BU Controls</v>
      </c>
      <c r="E141" s="451" t="str">
        <f>'Input-FX Rates'!$C$5</f>
        <v>7851</v>
      </c>
      <c r="F141" s="451" t="str">
        <f>'Input-FX Rates'!$B$5</f>
        <v>7851 PL eMotor Controls</v>
      </c>
      <c r="G141" s="451" t="s">
        <v>537</v>
      </c>
      <c r="H141" s="451" t="s">
        <v>359</v>
      </c>
      <c r="I141" s="535"/>
      <c r="J141" s="535"/>
      <c r="K141" s="536">
        <f>'5.  Logistic Cost (GC)'!B7</f>
        <v>36809.301617690333</v>
      </c>
      <c r="L141" s="536">
        <f>'5.  Logistic Cost (GC)'!C7</f>
        <v>86436.872952409234</v>
      </c>
      <c r="M141" s="536">
        <f>'5.  Logistic Cost (GC)'!D7</f>
        <v>772.43774568186177</v>
      </c>
      <c r="N141" s="536">
        <f>'5.  Logistic Cost (GC)'!E7</f>
        <v>85664.435206727372</v>
      </c>
      <c r="O141" s="536">
        <f>'5.  Logistic Cost (GC)'!M7</f>
        <v>129843.69047517242</v>
      </c>
      <c r="P141" s="536">
        <f>'5.  Logistic Cost (GC)'!L7</f>
        <v>129843.69047517242</v>
      </c>
      <c r="Q141" s="536">
        <f>'5.  Logistic Cost (GC)'!F7</f>
        <v>0</v>
      </c>
      <c r="R141" s="536">
        <f>'5.  Logistic Cost (GC)'!G7</f>
        <v>0</v>
      </c>
      <c r="S141" s="536">
        <f>'5.  Logistic Cost (GC)'!H7</f>
        <v>0</v>
      </c>
      <c r="T141" s="536">
        <f>'5.  Logistic Cost (GC)'!I7</f>
        <v>0</v>
      </c>
      <c r="U141" s="536">
        <f>'5.  Logistic Cost (GC)'!J7</f>
        <v>0</v>
      </c>
      <c r="V141" s="536">
        <f>'5.  Logistic Cost (GC)'!K7</f>
        <v>-4284.6952046306978</v>
      </c>
      <c r="W141" s="535"/>
      <c r="X141" s="535"/>
      <c r="Y141" s="535"/>
      <c r="Z141" s="535"/>
      <c r="AA141" s="535"/>
      <c r="AB141" s="535"/>
      <c r="AC141" s="535"/>
      <c r="AD141" s="535"/>
      <c r="AE141" s="535"/>
      <c r="AF141" s="535"/>
      <c r="AG141" s="535"/>
      <c r="AH141" s="535"/>
      <c r="AI141" s="535"/>
      <c r="AJ141" s="535"/>
      <c r="AK141" s="535"/>
      <c r="AL141" s="535"/>
      <c r="AM141" s="535"/>
      <c r="AN141" s="535"/>
      <c r="AO141" s="451" t="str">
        <f>'5.  Logistic Cost (GC)'!O7</f>
        <v/>
      </c>
      <c r="AP141" s="451">
        <v>105</v>
      </c>
      <c r="AQ141" s="451" t="str">
        <f>Settings!$A$1</f>
        <v>V2</v>
      </c>
    </row>
    <row r="142" spans="1:44" ht="12.75" customHeight="1" x14ac:dyDescent="0.25">
      <c r="A142" s="451">
        <f>'Input-FX Rates'!$C$4</f>
        <v>242</v>
      </c>
      <c r="B142" s="451" t="str">
        <f>'Input-FX Rates'!$B$4</f>
        <v>ICH Icheon (242)</v>
      </c>
      <c r="C142" s="451">
        <f>'Input-FX Rates'!$C$6</f>
        <v>780</v>
      </c>
      <c r="D142" s="451" t="str">
        <f>'Input-FX Rates'!$B$6</f>
        <v>780 BU Controls</v>
      </c>
      <c r="E142" s="451" t="str">
        <f>'Input-FX Rates'!$C$5</f>
        <v>7851</v>
      </c>
      <c r="F142" s="451" t="str">
        <f>'Input-FX Rates'!$B$5</f>
        <v>7851 PL eMotor Controls</v>
      </c>
      <c r="G142" s="451" t="s">
        <v>537</v>
      </c>
      <c r="H142" s="451" t="s">
        <v>358</v>
      </c>
      <c r="I142" s="535"/>
      <c r="J142" s="535"/>
      <c r="K142" s="536">
        <f>'5.  Logistic Cost (GC)'!B8</f>
        <v>-682.54481031190164</v>
      </c>
      <c r="L142" s="536">
        <f>'5.  Logistic Cost (GC)'!C8</f>
        <v>-1839.5477665050012</v>
      </c>
      <c r="M142" s="536">
        <f>'5.  Logistic Cost (GC)'!D8</f>
        <v>-83.887014605167053</v>
      </c>
      <c r="N142" s="536">
        <f>'5.  Logistic Cost (GC)'!E8</f>
        <v>-1755.6607518998342</v>
      </c>
      <c r="O142" s="536">
        <f>'5.  Logistic Cost (GC)'!M8</f>
        <v>-2433.7491533079665</v>
      </c>
      <c r="P142" s="536">
        <f>'5.  Logistic Cost (GC)'!L8</f>
        <v>0</v>
      </c>
      <c r="Q142" s="536">
        <f>'5.  Logistic Cost (GC)'!F8</f>
        <v>-714.43555509733153</v>
      </c>
      <c r="R142" s="536">
        <f>'5.  Logistic Cost (GC)'!G8</f>
        <v>0</v>
      </c>
      <c r="S142" s="536">
        <f>'5.  Logistic Cost (GC)'!H8</f>
        <v>-24.995299194223286</v>
      </c>
      <c r="T142" s="536">
        <f>'5.  Logistic Cost (GC)'!I8</f>
        <v>72.869165193147211</v>
      </c>
      <c r="U142" s="536">
        <f>'5.  Logistic Cost (GC)'!J8</f>
        <v>0</v>
      </c>
      <c r="V142" s="536">
        <f>'5.  Logistic Cost (GC)'!K8</f>
        <v>80.310974590225214</v>
      </c>
      <c r="W142" s="535"/>
      <c r="X142" s="535"/>
      <c r="Y142" s="535"/>
      <c r="Z142" s="535"/>
      <c r="AA142" s="535"/>
      <c r="AB142" s="535"/>
      <c r="AC142" s="535"/>
      <c r="AD142" s="535"/>
      <c r="AE142" s="535"/>
      <c r="AF142" s="535"/>
      <c r="AG142" s="535"/>
      <c r="AH142" s="535"/>
      <c r="AI142" s="535"/>
      <c r="AJ142" s="535"/>
      <c r="AK142" s="535"/>
      <c r="AL142" s="535"/>
      <c r="AM142" s="535"/>
      <c r="AN142" s="535"/>
      <c r="AO142" s="451" t="str">
        <f>'5.  Logistic Cost (GC)'!O8</f>
        <v/>
      </c>
      <c r="AP142" s="451">
        <v>106</v>
      </c>
      <c r="AQ142" s="451" t="str">
        <f>Settings!$A$1</f>
        <v>V2</v>
      </c>
      <c r="AR142"/>
    </row>
    <row r="143" spans="1:44" ht="12.75" customHeight="1" x14ac:dyDescent="0.25">
      <c r="A143" s="451">
        <f>'Input-FX Rates'!$C$4</f>
        <v>242</v>
      </c>
      <c r="B143" s="451" t="str">
        <f>'Input-FX Rates'!$B$4</f>
        <v>ICH Icheon (242)</v>
      </c>
      <c r="C143" s="451">
        <f>'Input-FX Rates'!$C$6</f>
        <v>780</v>
      </c>
      <c r="D143" s="451" t="str">
        <f>'Input-FX Rates'!$B$6</f>
        <v>780 BU Controls</v>
      </c>
      <c r="E143" s="451" t="str">
        <f>'Input-FX Rates'!$C$5</f>
        <v>7851</v>
      </c>
      <c r="F143" s="451" t="str">
        <f>'Input-FX Rates'!$B$5</f>
        <v>7851 PL eMotor Controls</v>
      </c>
      <c r="G143" s="451" t="s">
        <v>537</v>
      </c>
      <c r="H143" s="451" t="s">
        <v>357</v>
      </c>
      <c r="I143" s="535"/>
      <c r="J143" s="535"/>
      <c r="K143" s="536">
        <f>'5.  Logistic Cost (GC)'!B10</f>
        <v>-309.11845782966577</v>
      </c>
      <c r="L143" s="536">
        <f>'5.  Logistic Cost (GC)'!C10</f>
        <v>-752.18226243561787</v>
      </c>
      <c r="M143" s="536">
        <f>'5.  Logistic Cost (GC)'!D10</f>
        <v>-79.291568519306693</v>
      </c>
      <c r="N143" s="536">
        <f>'5.  Logistic Cost (GC)'!E10</f>
        <v>-672.89069391631119</v>
      </c>
      <c r="O143" s="536">
        <f>'5.  Logistic Cost (GC)'!M10</f>
        <v>-969.28216154898223</v>
      </c>
      <c r="P143" s="536">
        <f>'5.  Logistic Cost (GC)'!L10</f>
        <v>0</v>
      </c>
      <c r="Q143" s="536">
        <f>'5.  Logistic Cost (GC)'!F10</f>
        <v>-273.82092903302032</v>
      </c>
      <c r="R143" s="536">
        <f>'5.  Logistic Cost (GC)'!G10</f>
        <v>0</v>
      </c>
      <c r="S143" s="536">
        <f>'5.  Logistic Cost (GC)'!H10</f>
        <v>-16.558490312472486</v>
      </c>
      <c r="T143" s="536">
        <f>'5.  Logistic Cost (GC)'!I10</f>
        <v>0</v>
      </c>
      <c r="U143" s="536">
        <f>'5.  Logistic Cost (GC)'!J10</f>
        <v>-37.997265391871565</v>
      </c>
      <c r="V143" s="536">
        <f>'5.  Logistic Cost (GC)'!K10</f>
        <v>31.985217104693334</v>
      </c>
      <c r="W143" s="535"/>
      <c r="X143" s="535"/>
      <c r="Y143" s="535"/>
      <c r="Z143" s="535"/>
      <c r="AA143" s="535"/>
      <c r="AB143" s="535"/>
      <c r="AC143" s="535"/>
      <c r="AD143" s="535"/>
      <c r="AE143" s="535"/>
      <c r="AF143" s="535"/>
      <c r="AG143" s="535"/>
      <c r="AH143" s="535"/>
      <c r="AI143" s="535"/>
      <c r="AJ143" s="535"/>
      <c r="AK143" s="535"/>
      <c r="AL143" s="535"/>
      <c r="AM143" s="535"/>
      <c r="AN143" s="535"/>
      <c r="AO143" s="451" t="str">
        <f>'5.  Logistic Cost (GC)'!O10</f>
        <v/>
      </c>
      <c r="AP143" s="451">
        <v>107</v>
      </c>
      <c r="AQ143" s="451" t="str">
        <f>Settings!$A$1</f>
        <v>V2</v>
      </c>
      <c r="AR143"/>
    </row>
    <row r="144" spans="1:44" ht="12.75" customHeight="1" x14ac:dyDescent="0.25">
      <c r="A144" s="451">
        <f>'Input-FX Rates'!$C$4</f>
        <v>242</v>
      </c>
      <c r="B144" s="451" t="str">
        <f>'Input-FX Rates'!$B$4</f>
        <v>ICH Icheon (242)</v>
      </c>
      <c r="C144" s="451">
        <f>'Input-FX Rates'!$C$6</f>
        <v>780</v>
      </c>
      <c r="D144" s="451" t="str">
        <f>'Input-FX Rates'!$B$6</f>
        <v>780 BU Controls</v>
      </c>
      <c r="E144" s="451" t="str">
        <f>'Input-FX Rates'!$C$5</f>
        <v>7851</v>
      </c>
      <c r="F144" s="451" t="str">
        <f>'Input-FX Rates'!$B$5</f>
        <v>7851 PL eMotor Controls</v>
      </c>
      <c r="G144" s="451" t="s">
        <v>537</v>
      </c>
      <c r="H144" s="451" t="s">
        <v>366</v>
      </c>
      <c r="I144" s="535"/>
      <c r="J144" s="535"/>
      <c r="K144" s="536">
        <f>'5.  Logistic Cost (GC)'!B11</f>
        <v>-153.5737702572857</v>
      </c>
      <c r="L144" s="536">
        <f>'5.  Logistic Cost (GC)'!C11</f>
        <v>-327.94705725621651</v>
      </c>
      <c r="M144" s="536">
        <f>'5.  Logistic Cost (GC)'!D11</f>
        <v>0</v>
      </c>
      <c r="N144" s="536">
        <f>'5.  Logistic Cost (GC)'!E11</f>
        <v>-327.94705725621651</v>
      </c>
      <c r="O144" s="536">
        <f>'5.  Logistic Cost (GC)'!M11</f>
        <v>-443.48376827586208</v>
      </c>
      <c r="P144" s="536">
        <f>'5.  Logistic Cost (GC)'!L11</f>
        <v>0</v>
      </c>
      <c r="Q144" s="536">
        <f>'5.  Logistic Cost (GC)'!F11</f>
        <v>-133.45205553738191</v>
      </c>
      <c r="R144" s="536">
        <f>'5.  Logistic Cost (GC)'!G11</f>
        <v>0</v>
      </c>
      <c r="S144" s="536">
        <f>'5.  Logistic Cost (GC)'!H11</f>
        <v>-16.558490312472486</v>
      </c>
      <c r="T144" s="536">
        <f>'5.  Logistic Cost (GC)'!I11</f>
        <v>0</v>
      </c>
      <c r="U144" s="536">
        <f>'5.  Logistic Cost (GC)'!J11</f>
        <v>19.839371127665867</v>
      </c>
      <c r="V144" s="536">
        <f>'5.  Logistic Cost (GC)'!K11</f>
        <v>14.634463702542973</v>
      </c>
      <c r="W144" s="535"/>
      <c r="X144" s="535"/>
      <c r="Y144" s="535"/>
      <c r="Z144" s="535"/>
      <c r="AA144" s="535"/>
      <c r="AB144" s="535"/>
      <c r="AC144" s="535"/>
      <c r="AD144" s="535"/>
      <c r="AE144" s="535"/>
      <c r="AF144" s="535"/>
      <c r="AG144" s="535"/>
      <c r="AH144" s="535"/>
      <c r="AI144" s="535"/>
      <c r="AJ144" s="535"/>
      <c r="AK144" s="535"/>
      <c r="AL144" s="535"/>
      <c r="AM144" s="535"/>
      <c r="AN144" s="535"/>
      <c r="AO144" s="451" t="str">
        <f>'5.  Logistic Cost (GC)'!O11</f>
        <v/>
      </c>
      <c r="AP144" s="451">
        <v>108</v>
      </c>
      <c r="AQ144" s="451" t="str">
        <f>Settings!$A$1</f>
        <v>V2</v>
      </c>
      <c r="AR144"/>
    </row>
    <row r="145" spans="1:44" ht="12.75" customHeight="1" x14ac:dyDescent="0.25">
      <c r="A145" s="451">
        <f>'Input-FX Rates'!$C$4</f>
        <v>242</v>
      </c>
      <c r="B145" s="451" t="str">
        <f>'Input-FX Rates'!$B$4</f>
        <v>ICH Icheon (242)</v>
      </c>
      <c r="C145" s="451">
        <f>'Input-FX Rates'!$C$6</f>
        <v>780</v>
      </c>
      <c r="D145" s="451" t="str">
        <f>'Input-FX Rates'!$B$6</f>
        <v>780 BU Controls</v>
      </c>
      <c r="E145" s="451" t="str">
        <f>'Input-FX Rates'!$C$5</f>
        <v>7851</v>
      </c>
      <c r="F145" s="451" t="str">
        <f>'Input-FX Rates'!$B$5</f>
        <v>7851 PL eMotor Controls</v>
      </c>
      <c r="G145" s="451" t="s">
        <v>537</v>
      </c>
      <c r="H145" s="451" t="s">
        <v>354</v>
      </c>
      <c r="I145" s="535"/>
      <c r="J145" s="535"/>
      <c r="K145" s="536">
        <f>'5.  Logistic Cost (GC)'!B12</f>
        <v>-75.13237543776728</v>
      </c>
      <c r="L145" s="536">
        <f>'5.  Logistic Cost (GC)'!C12</f>
        <v>-246.14922276846931</v>
      </c>
      <c r="M145" s="536">
        <f>'5.  Logistic Cost (GC)'!D12</f>
        <v>0</v>
      </c>
      <c r="N145" s="536">
        <f>'5.  Logistic Cost (GC)'!E12</f>
        <v>-246.14922276846931</v>
      </c>
      <c r="O145" s="536">
        <f>'5.  Logistic Cost (GC)'!M12</f>
        <v>-240.41130739258088</v>
      </c>
      <c r="P145" s="536">
        <f>'5.  Logistic Cost (GC)'!L12</f>
        <v>0</v>
      </c>
      <c r="Q145" s="536">
        <f>'5.  Logistic Cost (GC)'!F12</f>
        <v>-100.16598225860773</v>
      </c>
      <c r="R145" s="536">
        <f>'5.  Logistic Cost (GC)'!G12</f>
        <v>0</v>
      </c>
      <c r="S145" s="536">
        <f>'5.  Logistic Cost (GC)'!H12</f>
        <v>0</v>
      </c>
      <c r="T145" s="536">
        <f>'5.  Logistic Cost (GC)'!I12</f>
        <v>0</v>
      </c>
      <c r="U145" s="536">
        <f>'5.  Logistic Cost (GC)'!J12</f>
        <v>97.97059589180617</v>
      </c>
      <c r="V145" s="536">
        <f>'5.  Logistic Cost (GC)'!K12</f>
        <v>7.9333017426899914</v>
      </c>
      <c r="W145" s="535"/>
      <c r="X145" s="535"/>
      <c r="Y145" s="535"/>
      <c r="Z145" s="535"/>
      <c r="AA145" s="535"/>
      <c r="AB145" s="535"/>
      <c r="AC145" s="535"/>
      <c r="AD145" s="535"/>
      <c r="AE145" s="535"/>
      <c r="AF145" s="535"/>
      <c r="AG145" s="535"/>
      <c r="AH145" s="535"/>
      <c r="AI145" s="535"/>
      <c r="AJ145" s="535"/>
      <c r="AK145" s="535"/>
      <c r="AL145" s="535"/>
      <c r="AM145" s="535"/>
      <c r="AN145" s="535"/>
      <c r="AO145" s="451" t="str">
        <f>'5.  Logistic Cost (GC)'!O12</f>
        <v/>
      </c>
      <c r="AP145" s="451">
        <v>109</v>
      </c>
      <c r="AQ145" s="451" t="str">
        <f>Settings!$A$1</f>
        <v>V2</v>
      </c>
      <c r="AR145"/>
    </row>
    <row r="146" spans="1:44" ht="12.75" customHeight="1" x14ac:dyDescent="0.25">
      <c r="A146" s="451">
        <f>'Input-FX Rates'!$C$4</f>
        <v>242</v>
      </c>
      <c r="B146" s="451" t="str">
        <f>'Input-FX Rates'!$B$4</f>
        <v>ICH Icheon (242)</v>
      </c>
      <c r="C146" s="451">
        <f>'Input-FX Rates'!$C$6</f>
        <v>780</v>
      </c>
      <c r="D146" s="451" t="str">
        <f>'Input-FX Rates'!$B$6</f>
        <v>780 BU Controls</v>
      </c>
      <c r="E146" s="451" t="str">
        <f>'Input-FX Rates'!$C$5</f>
        <v>7851</v>
      </c>
      <c r="F146" s="451" t="str">
        <f>'Input-FX Rates'!$B$5</f>
        <v>7851 PL eMotor Controls</v>
      </c>
      <c r="G146" s="451" t="s">
        <v>537</v>
      </c>
      <c r="H146" s="451" t="s">
        <v>353</v>
      </c>
      <c r="I146" s="535"/>
      <c r="J146" s="535"/>
      <c r="K146" s="536">
        <f>'5.  Logistic Cost (GC)'!B13</f>
        <v>-34.073838936879582</v>
      </c>
      <c r="L146" s="536">
        <f>'5.  Logistic Cost (GC)'!C13</f>
        <v>-79.291568519306693</v>
      </c>
      <c r="M146" s="536">
        <f>'5.  Logistic Cost (GC)'!D13</f>
        <v>-79.291568519306693</v>
      </c>
      <c r="N146" s="536">
        <f>'5.  Logistic Cost (GC)'!E13</f>
        <v>0</v>
      </c>
      <c r="O146" s="536">
        <f>'5.  Logistic Cost (GC)'!M13</f>
        <v>0</v>
      </c>
      <c r="P146" s="536">
        <f>'5.  Logistic Cost (GC)'!L13</f>
        <v>0</v>
      </c>
      <c r="Q146" s="536">
        <f>'5.  Logistic Cost (GC)'!F13</f>
        <v>0</v>
      </c>
      <c r="R146" s="536">
        <f>'5.  Logistic Cost (GC)'!G13</f>
        <v>0</v>
      </c>
      <c r="S146" s="536">
        <f>'5.  Logistic Cost (GC)'!H13</f>
        <v>0</v>
      </c>
      <c r="T146" s="536">
        <f>'5.  Logistic Cost (GC)'!I13</f>
        <v>0</v>
      </c>
      <c r="U146" s="536">
        <f>'5.  Logistic Cost (GC)'!J13</f>
        <v>0</v>
      </c>
      <c r="V146" s="536">
        <f>'5.  Logistic Cost (GC)'!K13</f>
        <v>0</v>
      </c>
      <c r="W146" s="535"/>
      <c r="X146" s="535"/>
      <c r="Y146" s="535"/>
      <c r="Z146" s="535"/>
      <c r="AA146" s="535"/>
      <c r="AB146" s="535"/>
      <c r="AC146" s="535"/>
      <c r="AD146" s="535"/>
      <c r="AE146" s="535"/>
      <c r="AF146" s="535"/>
      <c r="AG146" s="535"/>
      <c r="AH146" s="535"/>
      <c r="AI146" s="535"/>
      <c r="AJ146" s="535"/>
      <c r="AK146" s="535"/>
      <c r="AL146" s="535"/>
      <c r="AM146" s="535"/>
      <c r="AN146" s="535"/>
      <c r="AO146" s="451" t="str">
        <f>'5.  Logistic Cost (GC)'!O13</f>
        <v/>
      </c>
      <c r="AP146" s="451">
        <v>110</v>
      </c>
      <c r="AQ146" s="451" t="str">
        <f>Settings!$A$1</f>
        <v>V2</v>
      </c>
      <c r="AR146"/>
    </row>
    <row r="147" spans="1:44" ht="12.75" customHeight="1" x14ac:dyDescent="0.25">
      <c r="A147" s="451">
        <f>'Input-FX Rates'!$C$4</f>
        <v>242</v>
      </c>
      <c r="B147" s="451" t="str">
        <f>'Input-FX Rates'!$B$4</f>
        <v>ICH Icheon (242)</v>
      </c>
      <c r="C147" s="451">
        <f>'Input-FX Rates'!$C$6</f>
        <v>780</v>
      </c>
      <c r="D147" s="451" t="str">
        <f>'Input-FX Rates'!$B$6</f>
        <v>780 BU Controls</v>
      </c>
      <c r="E147" s="451" t="str">
        <f>'Input-FX Rates'!$C$5</f>
        <v>7851</v>
      </c>
      <c r="F147" s="451" t="str">
        <f>'Input-FX Rates'!$B$5</f>
        <v>7851 PL eMotor Controls</v>
      </c>
      <c r="G147" s="451" t="s">
        <v>537</v>
      </c>
      <c r="H147" s="451" t="s">
        <v>351</v>
      </c>
      <c r="I147" s="535"/>
      <c r="J147" s="535"/>
      <c r="K147" s="536">
        <f>'5.  Logistic Cost (GC)'!B14</f>
        <v>0</v>
      </c>
      <c r="L147" s="536">
        <f>'5.  Logistic Cost (GC)'!C14</f>
        <v>0</v>
      </c>
      <c r="M147" s="536">
        <f>'5.  Logistic Cost (GC)'!D14</f>
        <v>0</v>
      </c>
      <c r="N147" s="536">
        <f>'5.  Logistic Cost (GC)'!E14</f>
        <v>0</v>
      </c>
      <c r="O147" s="536">
        <f>'5.  Logistic Cost (GC)'!M14</f>
        <v>0</v>
      </c>
      <c r="P147" s="536">
        <f>'5.  Logistic Cost (GC)'!L14</f>
        <v>0</v>
      </c>
      <c r="Q147" s="536">
        <f>'5.  Logistic Cost (GC)'!F14</f>
        <v>0</v>
      </c>
      <c r="R147" s="536">
        <f>'5.  Logistic Cost (GC)'!G14</f>
        <v>0</v>
      </c>
      <c r="S147" s="536">
        <f>'5.  Logistic Cost (GC)'!H14</f>
        <v>0</v>
      </c>
      <c r="T147" s="536">
        <f>'5.  Logistic Cost (GC)'!I14</f>
        <v>0</v>
      </c>
      <c r="U147" s="536">
        <f>'5.  Logistic Cost (GC)'!J14</f>
        <v>0</v>
      </c>
      <c r="V147" s="536">
        <f>'5.  Logistic Cost (GC)'!K14</f>
        <v>0</v>
      </c>
      <c r="W147" s="535"/>
      <c r="X147" s="535"/>
      <c r="Y147" s="535"/>
      <c r="Z147" s="535"/>
      <c r="AA147" s="535"/>
      <c r="AB147" s="535"/>
      <c r="AC147" s="535"/>
      <c r="AD147" s="535"/>
      <c r="AE147" s="535"/>
      <c r="AF147" s="535"/>
      <c r="AG147" s="535"/>
      <c r="AH147" s="535"/>
      <c r="AI147" s="535"/>
      <c r="AJ147" s="535"/>
      <c r="AK147" s="535"/>
      <c r="AL147" s="535"/>
      <c r="AM147" s="535"/>
      <c r="AN147" s="535"/>
      <c r="AO147" s="451" t="str">
        <f>'5.  Logistic Cost (GC)'!O14</f>
        <v/>
      </c>
      <c r="AP147" s="451">
        <v>111</v>
      </c>
      <c r="AQ147" s="451" t="str">
        <f>Settings!$A$1</f>
        <v>V2</v>
      </c>
      <c r="AR147"/>
    </row>
    <row r="148" spans="1:44" ht="12.75" customHeight="1" x14ac:dyDescent="0.25">
      <c r="A148" s="451">
        <f>'Input-FX Rates'!$C$4</f>
        <v>242</v>
      </c>
      <c r="B148" s="451" t="str">
        <f>'Input-FX Rates'!$B$4</f>
        <v>ICH Icheon (242)</v>
      </c>
      <c r="C148" s="451">
        <f>'Input-FX Rates'!$C$6</f>
        <v>780</v>
      </c>
      <c r="D148" s="451" t="str">
        <f>'Input-FX Rates'!$B$6</f>
        <v>780 BU Controls</v>
      </c>
      <c r="E148" s="451" t="str">
        <f>'Input-FX Rates'!$C$5</f>
        <v>7851</v>
      </c>
      <c r="F148" s="451" t="str">
        <f>'Input-FX Rates'!$B$5</f>
        <v>7851 PL eMotor Controls</v>
      </c>
      <c r="G148" s="451" t="s">
        <v>537</v>
      </c>
      <c r="H148" s="451" t="s">
        <v>911</v>
      </c>
      <c r="I148" s="535"/>
      <c r="J148" s="535"/>
      <c r="K148" s="536">
        <f>'5.  Logistic Cost (GC)'!B15</f>
        <v>-36.309011714992636</v>
      </c>
      <c r="L148" s="536">
        <f>'5.  Logistic Cost (GC)'!C15</f>
        <v>-69.757609659586933</v>
      </c>
      <c r="M148" s="536">
        <f>'5.  Logistic Cost (GC)'!D15</f>
        <v>0</v>
      </c>
      <c r="N148" s="536">
        <f>'5.  Logistic Cost (GC)'!E15</f>
        <v>-69.757609659586933</v>
      </c>
      <c r="O148" s="536">
        <f>'5.  Logistic Cost (GC)'!M15</f>
        <v>-257.33191346674619</v>
      </c>
      <c r="P148" s="536">
        <f>'5.  Logistic Cost (GC)'!L15</f>
        <v>0</v>
      </c>
      <c r="Q148" s="536">
        <f>'5.  Logistic Cost (GC)'!F15</f>
        <v>-28.386808977720523</v>
      </c>
      <c r="R148" s="536">
        <f>'5.  Logistic Cost (GC)'!G15</f>
        <v>0</v>
      </c>
      <c r="S148" s="536">
        <f>'5.  Logistic Cost (GC)'!H15</f>
        <v>0</v>
      </c>
      <c r="T148" s="536">
        <f>'5.  Logistic Cost (GC)'!I15</f>
        <v>0</v>
      </c>
      <c r="U148" s="536">
        <f>'5.  Logistic Cost (GC)'!J15</f>
        <v>-167.67915747083779</v>
      </c>
      <c r="V148" s="536">
        <f>'5.  Logistic Cost (GC)'!K15</f>
        <v>8.4916626413991025</v>
      </c>
      <c r="W148" s="535"/>
      <c r="X148" s="535"/>
      <c r="Y148" s="535"/>
      <c r="Z148" s="535"/>
      <c r="AA148" s="535"/>
      <c r="AB148" s="535"/>
      <c r="AC148" s="535"/>
      <c r="AD148" s="535"/>
      <c r="AE148" s="535"/>
      <c r="AF148" s="535"/>
      <c r="AG148" s="535"/>
      <c r="AH148" s="535"/>
      <c r="AI148" s="535"/>
      <c r="AJ148" s="535"/>
      <c r="AK148" s="535"/>
      <c r="AL148" s="535"/>
      <c r="AM148" s="535"/>
      <c r="AN148" s="535"/>
      <c r="AO148" s="451" t="str">
        <f>'5.  Logistic Cost (GC)'!O15</f>
        <v>800V Inverter / EPF4 Material duty increasing</v>
      </c>
      <c r="AP148" s="451">
        <v>112</v>
      </c>
      <c r="AQ148" s="451" t="str">
        <f>Settings!$A$1</f>
        <v>V2</v>
      </c>
      <c r="AR148"/>
    </row>
    <row r="149" spans="1:44" ht="12.75" customHeight="1" x14ac:dyDescent="0.25">
      <c r="A149" s="451">
        <f>'Input-FX Rates'!$C$4</f>
        <v>242</v>
      </c>
      <c r="B149" s="451" t="str">
        <f>'Input-FX Rates'!$B$4</f>
        <v>ICH Icheon (242)</v>
      </c>
      <c r="C149" s="451">
        <f>'Input-FX Rates'!$C$6</f>
        <v>780</v>
      </c>
      <c r="D149" s="451" t="str">
        <f>'Input-FX Rates'!$B$6</f>
        <v>780 BU Controls</v>
      </c>
      <c r="E149" s="451" t="str">
        <f>'Input-FX Rates'!$C$5</f>
        <v>7851</v>
      </c>
      <c r="F149" s="451" t="str">
        <f>'Input-FX Rates'!$B$5</f>
        <v>7851 PL eMotor Controls</v>
      </c>
      <c r="G149" s="451" t="s">
        <v>537</v>
      </c>
      <c r="H149" s="451" t="s">
        <v>912</v>
      </c>
      <c r="I149" s="535"/>
      <c r="J149" s="535"/>
      <c r="K149" s="536">
        <f>'5.  Logistic Cost (GC)'!B16</f>
        <v>0</v>
      </c>
      <c r="L149" s="536">
        <f>'5.  Logistic Cost (GC)'!C16</f>
        <v>0</v>
      </c>
      <c r="M149" s="536">
        <f>'5.  Logistic Cost (GC)'!D16</f>
        <v>0</v>
      </c>
      <c r="N149" s="536">
        <f>'5.  Logistic Cost (GC)'!E16</f>
        <v>0</v>
      </c>
      <c r="O149" s="536">
        <f>'5.  Logistic Cost (GC)'!M16</f>
        <v>0</v>
      </c>
      <c r="P149" s="536">
        <f>'5.  Logistic Cost (GC)'!L16</f>
        <v>0</v>
      </c>
      <c r="Q149" s="536">
        <f>'5.  Logistic Cost (GC)'!F16</f>
        <v>0</v>
      </c>
      <c r="R149" s="536">
        <f>'5.  Logistic Cost (GC)'!G16</f>
        <v>0</v>
      </c>
      <c r="S149" s="536">
        <f>'5.  Logistic Cost (GC)'!H16</f>
        <v>0</v>
      </c>
      <c r="T149" s="536">
        <f>'5.  Logistic Cost (GC)'!I16</f>
        <v>0</v>
      </c>
      <c r="U149" s="536">
        <f>'5.  Logistic Cost (GC)'!J16</f>
        <v>0</v>
      </c>
      <c r="V149" s="536">
        <f>'5.  Logistic Cost (GC)'!K16</f>
        <v>0</v>
      </c>
      <c r="W149" s="535"/>
      <c r="X149" s="535"/>
      <c r="Y149" s="535"/>
      <c r="Z149" s="535"/>
      <c r="AA149" s="535"/>
      <c r="AB149" s="535"/>
      <c r="AC149" s="535"/>
      <c r="AD149" s="535"/>
      <c r="AE149" s="535"/>
      <c r="AF149" s="535"/>
      <c r="AG149" s="535"/>
      <c r="AH149" s="535"/>
      <c r="AI149" s="535"/>
      <c r="AJ149" s="535"/>
      <c r="AK149" s="535"/>
      <c r="AL149" s="535"/>
      <c r="AM149" s="535"/>
      <c r="AN149" s="535"/>
      <c r="AO149" s="451" t="str">
        <f>'5.  Logistic Cost (GC)'!O16</f>
        <v/>
      </c>
      <c r="AP149" s="451">
        <v>1121</v>
      </c>
      <c r="AQ149" s="451" t="str">
        <f>Settings!$A$1</f>
        <v>V2</v>
      </c>
      <c r="AR149"/>
    </row>
    <row r="150" spans="1:44" ht="12.75" customHeight="1" x14ac:dyDescent="0.2">
      <c r="A150" s="451">
        <f>'Input-FX Rates'!$C$4</f>
        <v>242</v>
      </c>
      <c r="B150" s="451" t="str">
        <f>'Input-FX Rates'!$B$4</f>
        <v>ICH Icheon (242)</v>
      </c>
      <c r="C150" s="451">
        <f>'Input-FX Rates'!$C$6</f>
        <v>780</v>
      </c>
      <c r="D150" s="451" t="str">
        <f>'Input-FX Rates'!$B$6</f>
        <v>780 BU Controls</v>
      </c>
      <c r="E150" s="451" t="str">
        <f>'Input-FX Rates'!$C$5</f>
        <v>7851</v>
      </c>
      <c r="F150" s="451" t="str">
        <f>'Input-FX Rates'!$B$5</f>
        <v>7851 PL eMotor Controls</v>
      </c>
      <c r="G150" s="451" t="s">
        <v>537</v>
      </c>
      <c r="H150" s="451" t="s">
        <v>365</v>
      </c>
      <c r="I150" s="535"/>
      <c r="J150" s="535"/>
      <c r="K150" s="536">
        <f>'5.  Logistic Cost (GC)'!B17</f>
        <v>-10.029461482740535</v>
      </c>
      <c r="L150" s="536">
        <f>'5.  Logistic Cost (GC)'!C17</f>
        <v>-29.036804232038453</v>
      </c>
      <c r="M150" s="536">
        <f>'5.  Logistic Cost (GC)'!D17</f>
        <v>0</v>
      </c>
      <c r="N150" s="536">
        <f>'5.  Logistic Cost (GC)'!E17</f>
        <v>-29.036804232038453</v>
      </c>
      <c r="O150" s="536">
        <f>'5.  Logistic Cost (GC)'!M17</f>
        <v>-28.055172413793102</v>
      </c>
      <c r="P150" s="536">
        <f>'5.  Logistic Cost (GC)'!L17</f>
        <v>0</v>
      </c>
      <c r="Q150" s="536">
        <f>'5.  Logistic Cost (GC)'!F17</f>
        <v>-11.816082259310159</v>
      </c>
      <c r="R150" s="536">
        <f>'5.  Logistic Cost (GC)'!G17</f>
        <v>0</v>
      </c>
      <c r="S150" s="536">
        <f>'5.  Logistic Cost (GC)'!H17</f>
        <v>0</v>
      </c>
      <c r="T150" s="536">
        <f>'5.  Logistic Cost (GC)'!I17</f>
        <v>0</v>
      </c>
      <c r="U150" s="536">
        <f>'5.  Logistic Cost (GC)'!J17</f>
        <v>11.871925059494199</v>
      </c>
      <c r="V150" s="536">
        <f>'5.  Logistic Cost (GC)'!K17</f>
        <v>0.92578901806130887</v>
      </c>
      <c r="W150" s="535"/>
      <c r="X150" s="535"/>
      <c r="Y150" s="535"/>
      <c r="Z150" s="535"/>
      <c r="AA150" s="535"/>
      <c r="AB150" s="535"/>
      <c r="AC150" s="535"/>
      <c r="AD150" s="535"/>
      <c r="AE150" s="535"/>
      <c r="AF150" s="535"/>
      <c r="AG150" s="535"/>
      <c r="AH150" s="535"/>
      <c r="AI150" s="535"/>
      <c r="AJ150" s="535"/>
      <c r="AK150" s="535"/>
      <c r="AL150" s="535"/>
      <c r="AM150" s="535"/>
      <c r="AN150" s="535"/>
      <c r="AO150" s="451" t="str">
        <f>'5.  Logistic Cost (GC)'!O17</f>
        <v/>
      </c>
      <c r="AP150" s="451">
        <v>113</v>
      </c>
      <c r="AQ150" s="451" t="str">
        <f>Settings!$A$1</f>
        <v>V2</v>
      </c>
    </row>
    <row r="151" spans="1:44" ht="12.75" customHeight="1" x14ac:dyDescent="0.2">
      <c r="A151" s="451">
        <f>'Input-FX Rates'!$C$4</f>
        <v>242</v>
      </c>
      <c r="B151" s="451" t="str">
        <f>'Input-FX Rates'!$B$4</f>
        <v>ICH Icheon (242)</v>
      </c>
      <c r="C151" s="451">
        <f>'Input-FX Rates'!$C$6</f>
        <v>780</v>
      </c>
      <c r="D151" s="451" t="str">
        <f>'Input-FX Rates'!$B$6</f>
        <v>780 BU Controls</v>
      </c>
      <c r="E151" s="451" t="str">
        <f>'Input-FX Rates'!$C$5</f>
        <v>7851</v>
      </c>
      <c r="F151" s="451" t="str">
        <f>'Input-FX Rates'!$B$5</f>
        <v>7851 PL eMotor Controls</v>
      </c>
      <c r="G151" s="451" t="s">
        <v>537</v>
      </c>
      <c r="H151" s="451" t="s">
        <v>348</v>
      </c>
      <c r="I151" s="535"/>
      <c r="J151" s="535"/>
      <c r="K151" s="536">
        <f>'5.  Logistic Cost (GC)'!B18</f>
        <v>-373.42635248223587</v>
      </c>
      <c r="L151" s="536">
        <f>'5.  Logistic Cost (GC)'!C18</f>
        <v>-1087.3655040693834</v>
      </c>
      <c r="M151" s="536">
        <f>'5.  Logistic Cost (GC)'!D18</f>
        <v>-4.5954460858603614</v>
      </c>
      <c r="N151" s="536">
        <f>'5.  Logistic Cost (GC)'!E18</f>
        <v>-1082.7700579835232</v>
      </c>
      <c r="O151" s="536">
        <f>'5.  Logistic Cost (GC)'!M18</f>
        <v>-1464.4669917589842</v>
      </c>
      <c r="P151" s="536">
        <f>'5.  Logistic Cost (GC)'!L18</f>
        <v>0</v>
      </c>
      <c r="Q151" s="536">
        <f>'5.  Logistic Cost (GC)'!F18</f>
        <v>-440.61533847732579</v>
      </c>
      <c r="R151" s="536">
        <f>'5.  Logistic Cost (GC)'!G18</f>
        <v>0</v>
      </c>
      <c r="S151" s="536">
        <f>'5.  Logistic Cost (GC)'!H18</f>
        <v>-8.4368088817507996</v>
      </c>
      <c r="T151" s="536">
        <f>'5.  Logistic Cost (GC)'!I18</f>
        <v>72.869165193147211</v>
      </c>
      <c r="U151" s="536">
        <f>'5.  Logistic Cost (GC)'!J18</f>
        <v>-53.83970909506403</v>
      </c>
      <c r="V151" s="536">
        <f>'5.  Logistic Cost (GC)'!K18</f>
        <v>48.325757485531994</v>
      </c>
      <c r="W151" s="535"/>
      <c r="X151" s="535"/>
      <c r="Y151" s="535"/>
      <c r="Z151" s="535"/>
      <c r="AA151" s="535"/>
      <c r="AB151" s="535"/>
      <c r="AC151" s="535"/>
      <c r="AD151" s="535"/>
      <c r="AE151" s="535"/>
      <c r="AF151" s="535"/>
      <c r="AG151" s="535"/>
      <c r="AH151" s="535"/>
      <c r="AI151" s="535"/>
      <c r="AJ151" s="535"/>
      <c r="AK151" s="535"/>
      <c r="AL151" s="535"/>
      <c r="AM151" s="535"/>
      <c r="AN151" s="535"/>
      <c r="AO151" s="451" t="str">
        <f>'5.  Logistic Cost (GC)'!O18</f>
        <v/>
      </c>
      <c r="AP151" s="451">
        <v>114</v>
      </c>
      <c r="AQ151" s="451" t="str">
        <f>Settings!$A$1</f>
        <v>V2</v>
      </c>
    </row>
    <row r="152" spans="1:44" ht="12.75" customHeight="1" x14ac:dyDescent="0.2">
      <c r="A152" s="451">
        <f>'Input-FX Rates'!$C$4</f>
        <v>242</v>
      </c>
      <c r="B152" s="451" t="str">
        <f>'Input-FX Rates'!$B$4</f>
        <v>ICH Icheon (242)</v>
      </c>
      <c r="C152" s="451">
        <f>'Input-FX Rates'!$C$6</f>
        <v>780</v>
      </c>
      <c r="D152" s="451" t="str">
        <f>'Input-FX Rates'!$B$6</f>
        <v>780 BU Controls</v>
      </c>
      <c r="E152" s="451" t="str">
        <f>'Input-FX Rates'!$C$5</f>
        <v>7851</v>
      </c>
      <c r="F152" s="451" t="str">
        <f>'Input-FX Rates'!$B$5</f>
        <v>7851 PL eMotor Controls</v>
      </c>
      <c r="G152" s="451" t="s">
        <v>537</v>
      </c>
      <c r="H152" s="451" t="s">
        <v>364</v>
      </c>
      <c r="I152" s="535"/>
      <c r="J152" s="535"/>
      <c r="K152" s="536">
        <f>'5.  Logistic Cost (GC)'!B19</f>
        <v>-61.531575073863223</v>
      </c>
      <c r="L152" s="536">
        <f>'5.  Logistic Cost (GC)'!C19</f>
        <v>-144.83061636715186</v>
      </c>
      <c r="M152" s="536">
        <f>'5.  Logistic Cost (GC)'!D19</f>
        <v>0</v>
      </c>
      <c r="N152" s="536">
        <f>'5.  Logistic Cost (GC)'!E19</f>
        <v>-144.83061636715186</v>
      </c>
      <c r="O152" s="536">
        <f>'5.  Logistic Cost (GC)'!M19</f>
        <v>-225.96189172413796</v>
      </c>
      <c r="P152" s="536">
        <f>'5.  Logistic Cost (GC)'!L19</f>
        <v>0</v>
      </c>
      <c r="Q152" s="536">
        <f>'5.  Logistic Cost (GC)'!F19</f>
        <v>-58.93650386761189</v>
      </c>
      <c r="R152" s="536">
        <f>'5.  Logistic Cost (GC)'!G19</f>
        <v>0</v>
      </c>
      <c r="S152" s="536">
        <f>'5.  Logistic Cost (GC)'!H19</f>
        <v>-8.4368088817507996</v>
      </c>
      <c r="T152" s="536">
        <f>'5.  Logistic Cost (GC)'!I19</f>
        <v>0</v>
      </c>
      <c r="U152" s="536">
        <f>'5.  Logistic Cost (GC)'!J19</f>
        <v>-21.214449945256632</v>
      </c>
      <c r="V152" s="536">
        <f>'5.  Logistic Cost (GC)'!K19</f>
        <v>7.4564873376332059</v>
      </c>
      <c r="W152" s="535"/>
      <c r="X152" s="535"/>
      <c r="Y152" s="535"/>
      <c r="Z152" s="535"/>
      <c r="AA152" s="535"/>
      <c r="AB152" s="535"/>
      <c r="AC152" s="535"/>
      <c r="AD152" s="535"/>
      <c r="AE152" s="535"/>
      <c r="AF152" s="535"/>
      <c r="AG152" s="535"/>
      <c r="AH152" s="535"/>
      <c r="AI152" s="535"/>
      <c r="AJ152" s="535"/>
      <c r="AK152" s="535"/>
      <c r="AL152" s="535"/>
      <c r="AM152" s="535"/>
      <c r="AN152" s="535"/>
      <c r="AO152" s="451" t="str">
        <f>'5.  Logistic Cost (GC)'!O19</f>
        <v/>
      </c>
      <c r="AP152" s="451">
        <v>115</v>
      </c>
      <c r="AQ152" s="451" t="str">
        <f>Settings!$A$1</f>
        <v>V2</v>
      </c>
    </row>
    <row r="153" spans="1:44" ht="12.75" customHeight="1" x14ac:dyDescent="0.2">
      <c r="A153" s="451">
        <f>'Input-FX Rates'!$C$4</f>
        <v>242</v>
      </c>
      <c r="B153" s="451" t="str">
        <f>'Input-FX Rates'!$B$4</f>
        <v>ICH Icheon (242)</v>
      </c>
      <c r="C153" s="451">
        <f>'Input-FX Rates'!$C$6</f>
        <v>780</v>
      </c>
      <c r="D153" s="451" t="str">
        <f>'Input-FX Rates'!$B$6</f>
        <v>780 BU Controls</v>
      </c>
      <c r="E153" s="451" t="str">
        <f>'Input-FX Rates'!$C$5</f>
        <v>7851</v>
      </c>
      <c r="F153" s="451" t="str">
        <f>'Input-FX Rates'!$B$5</f>
        <v>7851 PL eMotor Controls</v>
      </c>
      <c r="G153" s="451" t="s">
        <v>537</v>
      </c>
      <c r="H153" s="451" t="s">
        <v>345</v>
      </c>
      <c r="I153" s="535"/>
      <c r="J153" s="535"/>
      <c r="K153" s="536">
        <f>'5.  Logistic Cost (GC)'!B20</f>
        <v>-158.02872590223222</v>
      </c>
      <c r="L153" s="536">
        <f>'5.  Logistic Cost (GC)'!C20</f>
        <v>-434.21468126340079</v>
      </c>
      <c r="M153" s="536">
        <f>'5.  Logistic Cost (GC)'!D20</f>
        <v>0</v>
      </c>
      <c r="N153" s="536">
        <f>'5.  Logistic Cost (GC)'!E20</f>
        <v>-434.21468126340079</v>
      </c>
      <c r="O153" s="536">
        <f>'5.  Logistic Cost (GC)'!M20</f>
        <v>-540.90764465128802</v>
      </c>
      <c r="P153" s="536">
        <f>'5.  Logistic Cost (GC)'!L20</f>
        <v>0</v>
      </c>
      <c r="Q153" s="536">
        <f>'5.  Logistic Cost (GC)'!F20</f>
        <v>-176.69623793352238</v>
      </c>
      <c r="R153" s="536">
        <f>'5.  Logistic Cost (GC)'!G20</f>
        <v>0</v>
      </c>
      <c r="S153" s="536">
        <f>'5.  Logistic Cost (GC)'!H20</f>
        <v>0</v>
      </c>
      <c r="T153" s="536">
        <f>'5.  Logistic Cost (GC)'!I20</f>
        <v>0</v>
      </c>
      <c r="U153" s="536">
        <f>'5.  Logistic Cost (GC)'!J20</f>
        <v>52.153932904898234</v>
      </c>
      <c r="V153" s="536">
        <f>'5.  Logistic Cost (GC)'!K20</f>
        <v>17.849341640736952</v>
      </c>
      <c r="W153" s="535"/>
      <c r="X153" s="535"/>
      <c r="Y153" s="535"/>
      <c r="Z153" s="535"/>
      <c r="AA153" s="535"/>
      <c r="AB153" s="535"/>
      <c r="AC153" s="535"/>
      <c r="AD153" s="535"/>
      <c r="AE153" s="535"/>
      <c r="AF153" s="535"/>
      <c r="AG153" s="535"/>
      <c r="AH153" s="535"/>
      <c r="AI153" s="535"/>
      <c r="AJ153" s="535"/>
      <c r="AK153" s="535"/>
      <c r="AL153" s="535"/>
      <c r="AM153" s="535"/>
      <c r="AN153" s="535"/>
      <c r="AO153" s="451" t="str">
        <f>'5.  Logistic Cost (GC)'!O20</f>
        <v/>
      </c>
      <c r="AP153" s="451">
        <v>116</v>
      </c>
      <c r="AQ153" s="451" t="str">
        <f>Settings!$A$1</f>
        <v>V2</v>
      </c>
    </row>
    <row r="154" spans="1:44" ht="12.75" customHeight="1" x14ac:dyDescent="0.2">
      <c r="A154" s="451">
        <f>'Input-FX Rates'!$C$4</f>
        <v>242</v>
      </c>
      <c r="B154" s="451" t="str">
        <f>'Input-FX Rates'!$B$4</f>
        <v>ICH Icheon (242)</v>
      </c>
      <c r="C154" s="451">
        <f>'Input-FX Rates'!$C$6</f>
        <v>780</v>
      </c>
      <c r="D154" s="451" t="str">
        <f>'Input-FX Rates'!$B$6</f>
        <v>780 BU Controls</v>
      </c>
      <c r="E154" s="451" t="str">
        <f>'Input-FX Rates'!$C$5</f>
        <v>7851</v>
      </c>
      <c r="F154" s="451" t="str">
        <f>'Input-FX Rates'!$B$5</f>
        <v>7851 PL eMotor Controls</v>
      </c>
      <c r="G154" s="451" t="s">
        <v>537</v>
      </c>
      <c r="H154" s="451" t="s">
        <v>344</v>
      </c>
      <c r="I154" s="535"/>
      <c r="J154" s="535"/>
      <c r="K154" s="536">
        <f>'5.  Logistic Cost (GC)'!B21</f>
        <v>-1.7432238668220368</v>
      </c>
      <c r="L154" s="536">
        <f>'5.  Logistic Cost (GC)'!C21</f>
        <v>-4.5954460858603614</v>
      </c>
      <c r="M154" s="536">
        <f>'5.  Logistic Cost (GC)'!D21</f>
        <v>-4.5954460858603614</v>
      </c>
      <c r="N154" s="536">
        <f>'5.  Logistic Cost (GC)'!E21</f>
        <v>0</v>
      </c>
      <c r="O154" s="536">
        <f>'5.  Logistic Cost (GC)'!M21</f>
        <v>0</v>
      </c>
      <c r="P154" s="536">
        <f>'5.  Logistic Cost (GC)'!L21</f>
        <v>0</v>
      </c>
      <c r="Q154" s="536">
        <f>'5.  Logistic Cost (GC)'!F21</f>
        <v>0</v>
      </c>
      <c r="R154" s="536">
        <f>'5.  Logistic Cost (GC)'!G21</f>
        <v>0</v>
      </c>
      <c r="S154" s="536">
        <f>'5.  Logistic Cost (GC)'!H21</f>
        <v>0</v>
      </c>
      <c r="T154" s="536">
        <f>'5.  Logistic Cost (GC)'!I21</f>
        <v>0</v>
      </c>
      <c r="U154" s="536">
        <f>'5.  Logistic Cost (GC)'!J21</f>
        <v>0</v>
      </c>
      <c r="V154" s="536">
        <f>'5.  Logistic Cost (GC)'!K21</f>
        <v>0</v>
      </c>
      <c r="W154" s="535"/>
      <c r="X154" s="535"/>
      <c r="Y154" s="535"/>
      <c r="Z154" s="535"/>
      <c r="AA154" s="535"/>
      <c r="AB154" s="535"/>
      <c r="AC154" s="535"/>
      <c r="AD154" s="535"/>
      <c r="AE154" s="535"/>
      <c r="AF154" s="535"/>
      <c r="AG154" s="535"/>
      <c r="AH154" s="535"/>
      <c r="AI154" s="535"/>
      <c r="AJ154" s="535"/>
      <c r="AK154" s="535"/>
      <c r="AL154" s="535"/>
      <c r="AM154" s="535"/>
      <c r="AN154" s="535"/>
      <c r="AO154" s="451" t="str">
        <f>'5.  Logistic Cost (GC)'!O21</f>
        <v/>
      </c>
      <c r="AP154" s="451">
        <v>117</v>
      </c>
      <c r="AQ154" s="451" t="str">
        <f>Settings!$A$1</f>
        <v>V2</v>
      </c>
    </row>
    <row r="155" spans="1:44" ht="12.75" customHeight="1" x14ac:dyDescent="0.2">
      <c r="A155" s="451">
        <f>'Input-FX Rates'!$C$4</f>
        <v>242</v>
      </c>
      <c r="B155" s="451" t="str">
        <f>'Input-FX Rates'!$B$4</f>
        <v>ICH Icheon (242)</v>
      </c>
      <c r="C155" s="451">
        <f>'Input-FX Rates'!$C$6</f>
        <v>780</v>
      </c>
      <c r="D155" s="451" t="str">
        <f>'Input-FX Rates'!$B$6</f>
        <v>780 BU Controls</v>
      </c>
      <c r="E155" s="451" t="str">
        <f>'Input-FX Rates'!$C$5</f>
        <v>7851</v>
      </c>
      <c r="F155" s="451" t="str">
        <f>'Input-FX Rates'!$B$5</f>
        <v>7851 PL eMotor Controls</v>
      </c>
      <c r="G155" s="451" t="s">
        <v>537</v>
      </c>
      <c r="H155" s="451" t="s">
        <v>342</v>
      </c>
      <c r="I155" s="535"/>
      <c r="J155" s="535"/>
      <c r="K155" s="536">
        <f>'5.  Logistic Cost (GC)'!B22</f>
        <v>-145.21677288601305</v>
      </c>
      <c r="L155" s="536">
        <f>'5.  Logistic Cost (GC)'!C22</f>
        <v>-374.7221212819581</v>
      </c>
      <c r="M155" s="536">
        <f>'5.  Logistic Cost (GC)'!D22</f>
        <v>0</v>
      </c>
      <c r="N155" s="536">
        <f>'5.  Logistic Cost (GC)'!E22</f>
        <v>-374.7221212819581</v>
      </c>
      <c r="O155" s="536">
        <f>'5.  Logistic Cost (GC)'!M22</f>
        <v>-436.84286125602426</v>
      </c>
      <c r="P155" s="536">
        <f>'5.  Logistic Cost (GC)'!L22</f>
        <v>0</v>
      </c>
      <c r="Q155" s="536">
        <f>'5.  Logistic Cost (GC)'!F22</f>
        <v>-152.48701887311736</v>
      </c>
      <c r="R155" s="536">
        <f>'5.  Logistic Cost (GC)'!G22</f>
        <v>0</v>
      </c>
      <c r="S155" s="536">
        <f>'5.  Logistic Cost (GC)'!H22</f>
        <v>0</v>
      </c>
      <c r="T155" s="536">
        <f>'5.  Logistic Cost (GC)'!I22</f>
        <v>72.869165193147211</v>
      </c>
      <c r="U155" s="536">
        <f>'5.  Logistic Cost (GC)'!J22</f>
        <v>3.0817924380697579</v>
      </c>
      <c r="V155" s="536">
        <f>'5.  Logistic Cost (GC)'!K22</f>
        <v>14.415321267834202</v>
      </c>
      <c r="W155" s="535"/>
      <c r="X155" s="535"/>
      <c r="Y155" s="535"/>
      <c r="Z155" s="535"/>
      <c r="AA155" s="535"/>
      <c r="AB155" s="535"/>
      <c r="AC155" s="535"/>
      <c r="AD155" s="535"/>
      <c r="AE155" s="535"/>
      <c r="AF155" s="535"/>
      <c r="AG155" s="535"/>
      <c r="AH155" s="535"/>
      <c r="AI155" s="535"/>
      <c r="AJ155" s="535"/>
      <c r="AK155" s="535"/>
      <c r="AL155" s="535"/>
      <c r="AM155" s="535"/>
      <c r="AN155" s="535"/>
      <c r="AO155" s="451" t="str">
        <f>'5.  Logistic Cost (GC)'!O22</f>
        <v/>
      </c>
      <c r="AP155" s="451">
        <v>118</v>
      </c>
      <c r="AQ155" s="451" t="str">
        <f>Settings!$A$1</f>
        <v>V2</v>
      </c>
    </row>
    <row r="156" spans="1:44" ht="12.75" customHeight="1" x14ac:dyDescent="0.2">
      <c r="A156" s="451">
        <f>'Input-FX Rates'!$C$4</f>
        <v>242</v>
      </c>
      <c r="B156" s="451" t="str">
        <f>'Input-FX Rates'!$B$4</f>
        <v>ICH Icheon (242)</v>
      </c>
      <c r="C156" s="451">
        <f>'Input-FX Rates'!$C$6</f>
        <v>780</v>
      </c>
      <c r="D156" s="451" t="str">
        <f>'Input-FX Rates'!$B$6</f>
        <v>780 BU Controls</v>
      </c>
      <c r="E156" s="451" t="str">
        <f>'Input-FX Rates'!$C$5</f>
        <v>7851</v>
      </c>
      <c r="F156" s="451" t="str">
        <f>'Input-FX Rates'!$B$5</f>
        <v>7851 PL eMotor Controls</v>
      </c>
      <c r="G156" s="451" t="s">
        <v>537</v>
      </c>
      <c r="H156" s="451" t="s">
        <v>363</v>
      </c>
      <c r="I156" s="535"/>
      <c r="J156" s="535"/>
      <c r="K156" s="536">
        <f>'5.  Logistic Cost (GC)'!B23</f>
        <v>-6.9060547533053409</v>
      </c>
      <c r="L156" s="536">
        <f>'5.  Logistic Cost (GC)'!C23</f>
        <v>-129.00263907101225</v>
      </c>
      <c r="M156" s="536">
        <f>'5.  Logistic Cost (GC)'!D23</f>
        <v>0</v>
      </c>
      <c r="N156" s="536">
        <f>'5.  Logistic Cost (GC)'!E23</f>
        <v>-129.00263907101225</v>
      </c>
      <c r="O156" s="536">
        <f>'5.  Logistic Cost (GC)'!M23</f>
        <v>-260.75459412753429</v>
      </c>
      <c r="P156" s="536">
        <f>'5.  Logistic Cost (GC)'!L23</f>
        <v>0</v>
      </c>
      <c r="Q156" s="536">
        <f>'5.  Logistic Cost (GC)'!F23</f>
        <v>-52.495577803074141</v>
      </c>
      <c r="R156" s="536">
        <f>'5.  Logistic Cost (GC)'!G23</f>
        <v>0</v>
      </c>
      <c r="S156" s="536">
        <f>'5.  Logistic Cost (GC)'!H23</f>
        <v>0</v>
      </c>
      <c r="T156" s="536">
        <f>'5.  Logistic Cost (GC)'!I23</f>
        <v>0</v>
      </c>
      <c r="U156" s="536">
        <f>'5.  Logistic Cost (GC)'!J23</f>
        <v>-87.860984492775387</v>
      </c>
      <c r="V156" s="536">
        <f>'5.  Logistic Cost (GC)'!K23</f>
        <v>8.6046072393274926</v>
      </c>
      <c r="W156" s="535"/>
      <c r="X156" s="535"/>
      <c r="Y156" s="535"/>
      <c r="Z156" s="535"/>
      <c r="AA156" s="535"/>
      <c r="AB156" s="535"/>
      <c r="AC156" s="535"/>
      <c r="AD156" s="535"/>
      <c r="AE156" s="535"/>
      <c r="AF156" s="535"/>
      <c r="AG156" s="535"/>
      <c r="AH156" s="535"/>
      <c r="AI156" s="535"/>
      <c r="AJ156" s="535"/>
      <c r="AK156" s="535"/>
      <c r="AL156" s="535"/>
      <c r="AM156" s="535"/>
      <c r="AN156" s="535"/>
      <c r="AO156" s="451" t="str">
        <f>'5.  Logistic Cost (GC)'!O23</f>
        <v>800v inverter / HPCU product MIX impact --&gt; Depot outsourcing cost</v>
      </c>
      <c r="AP156" s="451">
        <v>119</v>
      </c>
      <c r="AQ156" s="451" t="str">
        <f>Settings!$A$1</f>
        <v>V2</v>
      </c>
    </row>
    <row r="157" spans="1:44" ht="12.75" customHeight="1" x14ac:dyDescent="0.2">
      <c r="A157" s="451">
        <f>'Input-FX Rates'!$C$4</f>
        <v>242</v>
      </c>
      <c r="B157" s="451" t="str">
        <f>'Input-FX Rates'!$B$4</f>
        <v>ICH Icheon (242)</v>
      </c>
      <c r="C157" s="451">
        <f>'Input-FX Rates'!$C$6</f>
        <v>780</v>
      </c>
      <c r="D157" s="451" t="str">
        <f>'Input-FX Rates'!$B$6</f>
        <v>780 BU Controls</v>
      </c>
      <c r="E157" s="451" t="str">
        <f>'Input-FX Rates'!$C$5</f>
        <v>7851</v>
      </c>
      <c r="F157" s="451" t="str">
        <f>'Input-FX Rates'!$B$5</f>
        <v>7851 PL eMotor Controls</v>
      </c>
      <c r="G157" s="451" t="s">
        <v>537</v>
      </c>
      <c r="H157" s="451" t="s">
        <v>338</v>
      </c>
      <c r="I157" s="535"/>
      <c r="J157" s="535"/>
      <c r="K157" s="536">
        <f>'5.  Logistic Cost (GC)'!B24</f>
        <v>7</v>
      </c>
      <c r="L157" s="536">
        <f>'5.  Logistic Cost (GC)'!C24</f>
        <v>9</v>
      </c>
      <c r="M157" s="536">
        <f>'5.  Logistic Cost (GC)'!D24</f>
        <v>0</v>
      </c>
      <c r="N157" s="536">
        <f>'5.  Logistic Cost (GC)'!E24</f>
        <v>9</v>
      </c>
      <c r="O157" s="536">
        <f>'5.  Logistic Cost (GC)'!M24</f>
        <v>12.333</v>
      </c>
      <c r="P157" s="536">
        <f>'5.  Logistic Cost (GC)'!L24</f>
        <v>0</v>
      </c>
      <c r="Q157" s="536">
        <f>'5.  Logistic Cost (GC)'!F24</f>
        <v>0</v>
      </c>
      <c r="R157" s="536">
        <f>'5.  Logistic Cost (GC)'!G24</f>
        <v>0</v>
      </c>
      <c r="S157" s="536">
        <f>'5.  Logistic Cost (GC)'!H24</f>
        <v>0</v>
      </c>
      <c r="T157" s="536">
        <f>'5.  Logistic Cost (GC)'!I24</f>
        <v>0</v>
      </c>
      <c r="U157" s="536">
        <f>'5.  Logistic Cost (GC)'!J24</f>
        <v>0</v>
      </c>
      <c r="V157" s="536">
        <f>'5.  Logistic Cost (GC)'!K24</f>
        <v>0</v>
      </c>
      <c r="W157" s="535"/>
      <c r="X157" s="535"/>
      <c r="Y157" s="535"/>
      <c r="Z157" s="535"/>
      <c r="AA157" s="535"/>
      <c r="AB157" s="535"/>
      <c r="AC157" s="535"/>
      <c r="AD157" s="535"/>
      <c r="AE157" s="535"/>
      <c r="AF157" s="535"/>
      <c r="AG157" s="535"/>
      <c r="AH157" s="535"/>
      <c r="AI157" s="535"/>
      <c r="AJ157" s="535"/>
      <c r="AK157" s="535"/>
      <c r="AL157" s="535"/>
      <c r="AM157" s="535"/>
      <c r="AN157" s="535"/>
      <c r="AO157" s="451" t="str">
        <f>'5.  Logistic Cost (GC)'!O24</f>
        <v/>
      </c>
      <c r="AP157" s="451">
        <v>125</v>
      </c>
      <c r="AQ157" s="451" t="str">
        <f>Settings!$A$1</f>
        <v>V2</v>
      </c>
    </row>
    <row r="158" spans="1:44" ht="12.75" customHeight="1" x14ac:dyDescent="0.2">
      <c r="A158" s="451">
        <f>'Input-FX Rates'!$C$4</f>
        <v>242</v>
      </c>
      <c r="B158" s="451" t="str">
        <f>'Input-FX Rates'!$B$4</f>
        <v>ICH Icheon (242)</v>
      </c>
      <c r="C158" s="451">
        <f>'Input-FX Rates'!$C$6</f>
        <v>780</v>
      </c>
      <c r="D158" s="451" t="str">
        <f>'Input-FX Rates'!$B$6</f>
        <v>780 BU Controls</v>
      </c>
      <c r="E158" s="451" t="str">
        <f>'Input-FX Rates'!$C$5</f>
        <v>7851</v>
      </c>
      <c r="F158" s="451" t="str">
        <f>'Input-FX Rates'!$B$5</f>
        <v>7851 PL eMotor Controls</v>
      </c>
      <c r="G158" s="451" t="s">
        <v>537</v>
      </c>
      <c r="H158" s="451" t="s">
        <v>337</v>
      </c>
      <c r="I158" s="535"/>
      <c r="J158" s="535"/>
      <c r="K158" s="536">
        <f>'5.  Logistic Cost (GC)'!B25</f>
        <v>7</v>
      </c>
      <c r="L158" s="536">
        <f>'5.  Logistic Cost (GC)'!C25</f>
        <v>9</v>
      </c>
      <c r="M158" s="536">
        <f>'5.  Logistic Cost (GC)'!D25</f>
        <v>0</v>
      </c>
      <c r="N158" s="536">
        <f>'5.  Logistic Cost (GC)'!E25</f>
        <v>9</v>
      </c>
      <c r="O158" s="536">
        <f>'5.  Logistic Cost (GC)'!M25</f>
        <v>12.333</v>
      </c>
      <c r="P158" s="536">
        <f>'5.  Logistic Cost (GC)'!L25</f>
        <v>0</v>
      </c>
      <c r="Q158" s="536">
        <f>'5.  Logistic Cost (GC)'!F25</f>
        <v>0</v>
      </c>
      <c r="R158" s="536">
        <f>'5.  Logistic Cost (GC)'!G25</f>
        <v>0</v>
      </c>
      <c r="S158" s="536">
        <f>'5.  Logistic Cost (GC)'!H25</f>
        <v>0</v>
      </c>
      <c r="T158" s="536">
        <f>'5.  Logistic Cost (GC)'!I25</f>
        <v>0</v>
      </c>
      <c r="U158" s="536">
        <f>'5.  Logistic Cost (GC)'!J25</f>
        <v>0</v>
      </c>
      <c r="V158" s="536">
        <f>'5.  Logistic Cost (GC)'!K25</f>
        <v>0</v>
      </c>
      <c r="W158" s="535"/>
      <c r="X158" s="535"/>
      <c r="Y158" s="535"/>
      <c r="Z158" s="535"/>
      <c r="AA158" s="535"/>
      <c r="AB158" s="535"/>
      <c r="AC158" s="535"/>
      <c r="AD158" s="535"/>
      <c r="AE158" s="535"/>
      <c r="AF158" s="535"/>
      <c r="AG158" s="535"/>
      <c r="AH158" s="535"/>
      <c r="AI158" s="535"/>
      <c r="AJ158" s="535"/>
      <c r="AK158" s="535"/>
      <c r="AL158" s="535"/>
      <c r="AM158" s="535"/>
      <c r="AN158" s="535"/>
      <c r="AO158" s="451" t="str">
        <f>'5.  Logistic Cost (GC)'!O25</f>
        <v/>
      </c>
      <c r="AP158" s="451">
        <v>126</v>
      </c>
      <c r="AQ158" s="451" t="str">
        <f>Settings!$A$1</f>
        <v>V2</v>
      </c>
    </row>
    <row r="159" spans="1:44" s="537" customFormat="1" ht="12.75" customHeight="1" x14ac:dyDescent="0.2">
      <c r="A159" s="537">
        <f>'Input-FX Rates'!$C$4</f>
        <v>242</v>
      </c>
      <c r="B159" s="537" t="str">
        <f>'Input-FX Rates'!$B$4</f>
        <v>ICH Icheon (242)</v>
      </c>
      <c r="C159" s="537">
        <f>'Input-FX Rates'!$C$6</f>
        <v>780</v>
      </c>
      <c r="D159" s="537" t="str">
        <f>'Input-FX Rates'!$B$6</f>
        <v>780 BU Controls</v>
      </c>
      <c r="E159" s="537" t="str">
        <f>'Input-FX Rates'!$C$5</f>
        <v>7851</v>
      </c>
      <c r="F159" s="537" t="str">
        <f>'Input-FX Rates'!$B$5</f>
        <v>7851 PL eMotor Controls</v>
      </c>
      <c r="G159" s="537" t="s">
        <v>537</v>
      </c>
      <c r="H159" s="537" t="s">
        <v>336</v>
      </c>
      <c r="I159" s="538"/>
      <c r="J159" s="538"/>
      <c r="K159" s="539">
        <f>'5.  Logistic Cost (GC)'!B26</f>
        <v>0</v>
      </c>
      <c r="L159" s="539">
        <f>'5.  Logistic Cost (GC)'!C26</f>
        <v>0</v>
      </c>
      <c r="M159" s="539">
        <f>'5.  Logistic Cost (GC)'!D26</f>
        <v>0</v>
      </c>
      <c r="N159" s="539">
        <f>'5.  Logistic Cost (GC)'!E26</f>
        <v>0</v>
      </c>
      <c r="O159" s="539">
        <f>'5.  Logistic Cost (GC)'!M26</f>
        <v>0</v>
      </c>
      <c r="P159" s="539">
        <f>'5.  Logistic Cost (GC)'!L26</f>
        <v>0</v>
      </c>
      <c r="Q159" s="539">
        <f>'5.  Logistic Cost (GC)'!F26</f>
        <v>0</v>
      </c>
      <c r="R159" s="539">
        <f>'5.  Logistic Cost (GC)'!G26</f>
        <v>0</v>
      </c>
      <c r="S159" s="539">
        <f>'5.  Logistic Cost (GC)'!H26</f>
        <v>0</v>
      </c>
      <c r="T159" s="539">
        <f>'5.  Logistic Cost (GC)'!I26</f>
        <v>0</v>
      </c>
      <c r="U159" s="539">
        <f>'5.  Logistic Cost (GC)'!J26</f>
        <v>0</v>
      </c>
      <c r="V159" s="539">
        <f>'5.  Logistic Cost (GC)'!K26</f>
        <v>0</v>
      </c>
      <c r="W159" s="538"/>
      <c r="X159" s="538"/>
      <c r="Y159" s="538"/>
      <c r="Z159" s="538"/>
      <c r="AA159" s="538"/>
      <c r="AB159" s="538"/>
      <c r="AC159" s="538"/>
      <c r="AD159" s="538"/>
      <c r="AE159" s="538"/>
      <c r="AF159" s="538"/>
      <c r="AG159" s="538"/>
      <c r="AH159" s="538"/>
      <c r="AI159" s="538"/>
      <c r="AJ159" s="538"/>
      <c r="AK159" s="538"/>
      <c r="AL159" s="538"/>
      <c r="AM159" s="538"/>
      <c r="AN159" s="538"/>
      <c r="AO159" s="537" t="str">
        <f>'5.  Logistic Cost (GC)'!O26</f>
        <v/>
      </c>
      <c r="AP159" s="537">
        <v>127</v>
      </c>
      <c r="AQ159" s="537" t="str">
        <f>Settings!$A$1</f>
        <v>V2</v>
      </c>
    </row>
    <row r="160" spans="1:44" s="852" customFormat="1" ht="12.75" customHeight="1" x14ac:dyDescent="0.2">
      <c r="A160" s="852">
        <f>'Input-FX Rates'!$C$4</f>
        <v>242</v>
      </c>
      <c r="B160" s="852" t="str">
        <f>'Input-FX Rates'!$B$4</f>
        <v>ICH Icheon (242)</v>
      </c>
      <c r="C160" s="852">
        <f>'Input-FX Rates'!$C$6</f>
        <v>780</v>
      </c>
      <c r="D160" s="852" t="str">
        <f>'Input-FX Rates'!$B$6</f>
        <v>780 BU Controls</v>
      </c>
      <c r="E160" s="852" t="str">
        <f>'Input-FX Rates'!$C$5</f>
        <v>7851</v>
      </c>
      <c r="F160" s="852" t="str">
        <f>'Input-FX Rates'!$B$5</f>
        <v>7851 PL eMotor Controls</v>
      </c>
      <c r="G160" s="852" t="s">
        <v>536</v>
      </c>
      <c r="H160" s="852" t="s">
        <v>383</v>
      </c>
      <c r="I160" s="853"/>
      <c r="J160" s="853"/>
      <c r="K160" s="854">
        <f>'5.1 Inventory (GC)'!C8</f>
        <v>2622.6997909777906</v>
      </c>
      <c r="L160" s="854">
        <f>'5.1 Inventory (GC)'!D8</f>
        <v>2209.8864109213446</v>
      </c>
      <c r="M160" s="853"/>
      <c r="N160" s="853"/>
      <c r="O160" s="854">
        <f>'5.1 Inventory (GC)'!Q8</f>
        <v>2115.0523191852794</v>
      </c>
      <c r="P160" s="853"/>
      <c r="Q160" s="853"/>
      <c r="R160" s="853"/>
      <c r="S160" s="853"/>
      <c r="T160" s="853"/>
      <c r="U160" s="853"/>
      <c r="V160" s="853"/>
      <c r="W160" s="854">
        <f>'5.1 Inventory (GC)'!F8</f>
        <v>3415.7831479877309</v>
      </c>
      <c r="X160" s="854">
        <f>'5.1 Inventory (GC)'!G8</f>
        <v>2861.9045580213151</v>
      </c>
      <c r="Y160" s="854">
        <f>'5.1 Inventory (GC)'!H8</f>
        <v>2523.9332342769394</v>
      </c>
      <c r="Z160" s="854">
        <f>'5.1 Inventory (GC)'!I8</f>
        <v>2591.7876566216473</v>
      </c>
      <c r="AA160" s="854">
        <f>'5.1 Inventory (GC)'!J8</f>
        <v>2397.4107595163123</v>
      </c>
      <c r="AB160" s="854">
        <f>'5.1 Inventory (GC)'!K8</f>
        <v>2550.1856709023887</v>
      </c>
      <c r="AC160" s="854">
        <f>'5.1 Inventory (GC)'!L8</f>
        <v>2625.1526701165267</v>
      </c>
      <c r="AD160" s="854">
        <f>'5.1 Inventory (GC)'!M8</f>
        <v>2115.2595059379551</v>
      </c>
      <c r="AE160" s="854">
        <f>'5.1 Inventory (GC)'!N8</f>
        <v>2223.1128567111832</v>
      </c>
      <c r="AF160" s="854">
        <f>'5.1 Inventory (GC)'!O8</f>
        <v>2337.7490626368908</v>
      </c>
      <c r="AG160" s="854">
        <f>'5.1 Inventory (GC)'!P8</f>
        <v>1886.1731130714663</v>
      </c>
      <c r="AH160" s="854">
        <f>'5.1 Inventory (GC)'!Q8</f>
        <v>2115.0523191852794</v>
      </c>
      <c r="AI160" s="853"/>
      <c r="AJ160" s="853"/>
      <c r="AK160" s="853"/>
      <c r="AL160" s="853"/>
      <c r="AM160" s="853"/>
      <c r="AN160" s="853"/>
      <c r="AO160" s="852" t="str">
        <f>'5.1 Inventory (GC)'!S8</f>
        <v/>
      </c>
      <c r="AP160" s="852">
        <v>128</v>
      </c>
      <c r="AQ160" s="852" t="str">
        <f>Settings!$A$1</f>
        <v>V2</v>
      </c>
    </row>
    <row r="161" spans="1:43" s="852" customFormat="1" ht="12.75" customHeight="1" x14ac:dyDescent="0.2">
      <c r="A161" s="852">
        <f>'Input-FX Rates'!$C$4</f>
        <v>242</v>
      </c>
      <c r="B161" s="852" t="str">
        <f>'Input-FX Rates'!$B$4</f>
        <v>ICH Icheon (242)</v>
      </c>
      <c r="C161" s="852">
        <f>'Input-FX Rates'!$C$6</f>
        <v>780</v>
      </c>
      <c r="D161" s="852" t="str">
        <f>'Input-FX Rates'!$B$6</f>
        <v>780 BU Controls</v>
      </c>
      <c r="E161" s="852" t="str">
        <f>'Input-FX Rates'!$C$5</f>
        <v>7851</v>
      </c>
      <c r="F161" s="852" t="str">
        <f>'Input-FX Rates'!$B$5</f>
        <v>7851 PL eMotor Controls</v>
      </c>
      <c r="G161" s="852" t="s">
        <v>536</v>
      </c>
      <c r="H161" s="852" t="s">
        <v>382</v>
      </c>
      <c r="I161" s="853"/>
      <c r="J161" s="853"/>
      <c r="K161" s="854">
        <f>'5.1 Inventory (GC)'!C9</f>
        <v>1011.297944032381</v>
      </c>
      <c r="L161" s="854">
        <f>'5.1 Inventory (GC)'!D9</f>
        <v>1186.3165373662903</v>
      </c>
      <c r="M161" s="853"/>
      <c r="N161" s="853"/>
      <c r="O161" s="854">
        <f>'5.1 Inventory (GC)'!Q9</f>
        <v>1525.6501155863812</v>
      </c>
      <c r="P161" s="853"/>
      <c r="Q161" s="853"/>
      <c r="R161" s="853"/>
      <c r="S161" s="853"/>
      <c r="T161" s="853"/>
      <c r="U161" s="853"/>
      <c r="V161" s="853"/>
      <c r="W161" s="854">
        <f>'5.1 Inventory (GC)'!F9</f>
        <v>1599.778812195714</v>
      </c>
      <c r="X161" s="854">
        <f>'5.1 Inventory (GC)'!G9</f>
        <v>1260.405683027335</v>
      </c>
      <c r="Y161" s="854">
        <f>'5.1 Inventory (GC)'!H9</f>
        <v>1077.0630927155817</v>
      </c>
      <c r="Z161" s="854">
        <f>'5.1 Inventory (GC)'!I9</f>
        <v>1284.3025328627148</v>
      </c>
      <c r="AA161" s="854">
        <f>'5.1 Inventory (GC)'!J9</f>
        <v>1215.5141444862884</v>
      </c>
      <c r="AB161" s="854">
        <f>'5.1 Inventory (GC)'!K9</f>
        <v>1481.4473182697675</v>
      </c>
      <c r="AC161" s="854">
        <f>'5.1 Inventory (GC)'!L9</f>
        <v>1658.4040436171615</v>
      </c>
      <c r="AD161" s="854">
        <f>'5.1 Inventory (GC)'!M9</f>
        <v>1240.4014529953199</v>
      </c>
      <c r="AE161" s="854">
        <f>'5.1 Inventory (GC)'!N9</f>
        <v>1431.0768250546073</v>
      </c>
      <c r="AF161" s="854">
        <f>'5.1 Inventory (GC)'!O9</f>
        <v>1620.3548681886593</v>
      </c>
      <c r="AG161" s="854">
        <f>'5.1 Inventory (GC)'!P9</f>
        <v>1236.0432144168742</v>
      </c>
      <c r="AH161" s="854">
        <f>'5.1 Inventory (GC)'!Q9</f>
        <v>1525.6501155863812</v>
      </c>
      <c r="AI161" s="853"/>
      <c r="AJ161" s="853"/>
      <c r="AK161" s="853"/>
      <c r="AL161" s="853"/>
      <c r="AM161" s="853"/>
      <c r="AN161" s="853"/>
      <c r="AO161" s="852" t="str">
        <f>'5.1 Inventory (GC)'!S9</f>
        <v/>
      </c>
      <c r="AP161" s="852">
        <v>129</v>
      </c>
      <c r="AQ161" s="852" t="str">
        <f>Settings!$A$1</f>
        <v>V2</v>
      </c>
    </row>
    <row r="162" spans="1:43" s="852" customFormat="1" ht="12.75" customHeight="1" x14ac:dyDescent="0.2">
      <c r="A162" s="852">
        <f>'Input-FX Rates'!$C$4</f>
        <v>242</v>
      </c>
      <c r="B162" s="852" t="str">
        <f>'Input-FX Rates'!$B$4</f>
        <v>ICH Icheon (242)</v>
      </c>
      <c r="C162" s="852">
        <f>'Input-FX Rates'!$C$6</f>
        <v>780</v>
      </c>
      <c r="D162" s="852" t="str">
        <f>'Input-FX Rates'!$B$6</f>
        <v>780 BU Controls</v>
      </c>
      <c r="E162" s="852" t="str">
        <f>'Input-FX Rates'!$C$5</f>
        <v>7851</v>
      </c>
      <c r="F162" s="852" t="str">
        <f>'Input-FX Rates'!$B$5</f>
        <v>7851 PL eMotor Controls</v>
      </c>
      <c r="G162" s="852" t="s">
        <v>536</v>
      </c>
      <c r="H162" s="852" t="s">
        <v>381</v>
      </c>
      <c r="I162" s="853"/>
      <c r="J162" s="853"/>
      <c r="K162" s="854">
        <f>'5.1 Inventory (GC)'!C10</f>
        <v>0</v>
      </c>
      <c r="L162" s="854">
        <f>'5.1 Inventory (GC)'!D10</f>
        <v>0</v>
      </c>
      <c r="M162" s="853"/>
      <c r="N162" s="853"/>
      <c r="O162" s="854">
        <f>'5.1 Inventory (GC)'!Q10</f>
        <v>0</v>
      </c>
      <c r="P162" s="853"/>
      <c r="Q162" s="853"/>
      <c r="R162" s="853"/>
      <c r="S162" s="853"/>
      <c r="T162" s="853"/>
      <c r="U162" s="853"/>
      <c r="V162" s="853"/>
      <c r="W162" s="854">
        <f>'5.1 Inventory (GC)'!F10</f>
        <v>0</v>
      </c>
      <c r="X162" s="854">
        <f>'5.1 Inventory (GC)'!G10</f>
        <v>0</v>
      </c>
      <c r="Y162" s="854">
        <f>'5.1 Inventory (GC)'!H10</f>
        <v>0</v>
      </c>
      <c r="Z162" s="854">
        <f>'5.1 Inventory (GC)'!I10</f>
        <v>0</v>
      </c>
      <c r="AA162" s="854">
        <f>'5.1 Inventory (GC)'!J10</f>
        <v>0</v>
      </c>
      <c r="AB162" s="854">
        <f>'5.1 Inventory (GC)'!K10</f>
        <v>0</v>
      </c>
      <c r="AC162" s="854">
        <f>'5.1 Inventory (GC)'!L10</f>
        <v>0</v>
      </c>
      <c r="AD162" s="854">
        <f>'5.1 Inventory (GC)'!M10</f>
        <v>0</v>
      </c>
      <c r="AE162" s="854">
        <f>'5.1 Inventory (GC)'!N10</f>
        <v>0</v>
      </c>
      <c r="AF162" s="854">
        <f>'5.1 Inventory (GC)'!O10</f>
        <v>0</v>
      </c>
      <c r="AG162" s="854">
        <f>'5.1 Inventory (GC)'!P10</f>
        <v>0</v>
      </c>
      <c r="AH162" s="854">
        <f>'5.1 Inventory (GC)'!Q10</f>
        <v>0</v>
      </c>
      <c r="AI162" s="853"/>
      <c r="AJ162" s="853"/>
      <c r="AK162" s="853"/>
      <c r="AL162" s="853"/>
      <c r="AM162" s="853"/>
      <c r="AN162" s="853"/>
      <c r="AO162" s="852" t="str">
        <f>'5.1 Inventory (GC)'!S10</f>
        <v/>
      </c>
      <c r="AP162" s="852">
        <v>130</v>
      </c>
      <c r="AQ162" s="852" t="str">
        <f>Settings!$A$1</f>
        <v>V2</v>
      </c>
    </row>
    <row r="163" spans="1:43" s="852" customFormat="1" ht="12.75" customHeight="1" x14ac:dyDescent="0.2">
      <c r="A163" s="852">
        <f>'Input-FX Rates'!$C$4</f>
        <v>242</v>
      </c>
      <c r="B163" s="852" t="str">
        <f>'Input-FX Rates'!$B$4</f>
        <v>ICH Icheon (242)</v>
      </c>
      <c r="C163" s="852">
        <f>'Input-FX Rates'!$C$6</f>
        <v>780</v>
      </c>
      <c r="D163" s="852" t="str">
        <f>'Input-FX Rates'!$B$6</f>
        <v>780 BU Controls</v>
      </c>
      <c r="E163" s="852" t="str">
        <f>'Input-FX Rates'!$C$5</f>
        <v>7851</v>
      </c>
      <c r="F163" s="852" t="str">
        <f>'Input-FX Rates'!$B$5</f>
        <v>7851 PL eMotor Controls</v>
      </c>
      <c r="G163" s="852" t="s">
        <v>536</v>
      </c>
      <c r="H163" s="852" t="s">
        <v>964</v>
      </c>
      <c r="I163" s="853"/>
      <c r="J163" s="853"/>
      <c r="K163" s="854">
        <f>'5.1 Inventory (GC)'!C11</f>
        <v>0</v>
      </c>
      <c r="L163" s="854">
        <f>'5.1 Inventory (GC)'!D11</f>
        <v>0</v>
      </c>
      <c r="M163" s="853"/>
      <c r="N163" s="853"/>
      <c r="O163" s="854">
        <f>'5.1 Inventory (GC)'!Q11</f>
        <v>0</v>
      </c>
      <c r="P163" s="853"/>
      <c r="Q163" s="853"/>
      <c r="R163" s="853"/>
      <c r="S163" s="853"/>
      <c r="T163" s="853"/>
      <c r="U163" s="853"/>
      <c r="V163" s="853"/>
      <c r="W163" s="854">
        <f>'5.1 Inventory (GC)'!F11</f>
        <v>0</v>
      </c>
      <c r="X163" s="854">
        <f>'5.1 Inventory (GC)'!G11</f>
        <v>0</v>
      </c>
      <c r="Y163" s="854">
        <f>'5.1 Inventory (GC)'!H11</f>
        <v>0</v>
      </c>
      <c r="Z163" s="854">
        <f>'5.1 Inventory (GC)'!I11</f>
        <v>0</v>
      </c>
      <c r="AA163" s="854">
        <f>'5.1 Inventory (GC)'!J11</f>
        <v>0</v>
      </c>
      <c r="AB163" s="854">
        <f>'5.1 Inventory (GC)'!K11</f>
        <v>0</v>
      </c>
      <c r="AC163" s="854">
        <f>'5.1 Inventory (GC)'!L11</f>
        <v>0</v>
      </c>
      <c r="AD163" s="854">
        <f>'5.1 Inventory (GC)'!M11</f>
        <v>0</v>
      </c>
      <c r="AE163" s="854">
        <f>'5.1 Inventory (GC)'!N11</f>
        <v>0</v>
      </c>
      <c r="AF163" s="854">
        <f>'5.1 Inventory (GC)'!O11</f>
        <v>0</v>
      </c>
      <c r="AG163" s="854">
        <f>'5.1 Inventory (GC)'!P11</f>
        <v>0</v>
      </c>
      <c r="AH163" s="854">
        <f>'5.1 Inventory (GC)'!Q11</f>
        <v>0</v>
      </c>
      <c r="AI163" s="853"/>
      <c r="AJ163" s="853"/>
      <c r="AK163" s="853"/>
      <c r="AL163" s="853"/>
      <c r="AM163" s="853"/>
      <c r="AN163" s="853"/>
      <c r="AO163" s="852" t="str">
        <f>'5.1 Inventory (GC)'!S11</f>
        <v/>
      </c>
      <c r="AP163" s="852">
        <v>131</v>
      </c>
      <c r="AQ163" s="852" t="str">
        <f>Settings!$A$1</f>
        <v>V2</v>
      </c>
    </row>
    <row r="164" spans="1:43" s="852" customFormat="1" ht="12.75" customHeight="1" x14ac:dyDescent="0.2">
      <c r="A164" s="852">
        <f>'Input-FX Rates'!$C$4</f>
        <v>242</v>
      </c>
      <c r="B164" s="852" t="str">
        <f>'Input-FX Rates'!$B$4</f>
        <v>ICH Icheon (242)</v>
      </c>
      <c r="C164" s="852">
        <f>'Input-FX Rates'!$C$6</f>
        <v>780</v>
      </c>
      <c r="D164" s="852" t="str">
        <f>'Input-FX Rates'!$B$6</f>
        <v>780 BU Controls</v>
      </c>
      <c r="E164" s="852" t="str">
        <f>'Input-FX Rates'!$C$5</f>
        <v>7851</v>
      </c>
      <c r="F164" s="852" t="str">
        <f>'Input-FX Rates'!$B$5</f>
        <v>7851 PL eMotor Controls</v>
      </c>
      <c r="G164" s="852" t="s">
        <v>536</v>
      </c>
      <c r="H164" s="852" t="s">
        <v>376</v>
      </c>
      <c r="I164" s="853"/>
      <c r="J164" s="853"/>
      <c r="K164" s="854">
        <f>'5.1 Inventory (GC)'!C12</f>
        <v>0</v>
      </c>
      <c r="L164" s="854">
        <f>'5.1 Inventory (GC)'!D12</f>
        <v>0</v>
      </c>
      <c r="M164" s="853"/>
      <c r="N164" s="853"/>
      <c r="O164" s="854">
        <f>'5.1 Inventory (GC)'!Q12</f>
        <v>0</v>
      </c>
      <c r="P164" s="853"/>
      <c r="Q164" s="853"/>
      <c r="R164" s="853"/>
      <c r="S164" s="853"/>
      <c r="T164" s="853"/>
      <c r="U164" s="853"/>
      <c r="V164" s="853"/>
      <c r="W164" s="854">
        <f>'5.1 Inventory (GC)'!F12</f>
        <v>0</v>
      </c>
      <c r="X164" s="854">
        <f>'5.1 Inventory (GC)'!G12</f>
        <v>0</v>
      </c>
      <c r="Y164" s="854">
        <f>'5.1 Inventory (GC)'!H12</f>
        <v>0</v>
      </c>
      <c r="Z164" s="854">
        <f>'5.1 Inventory (GC)'!I12</f>
        <v>0</v>
      </c>
      <c r="AA164" s="854">
        <f>'5.1 Inventory (GC)'!J12</f>
        <v>0</v>
      </c>
      <c r="AB164" s="854">
        <f>'5.1 Inventory (GC)'!K12</f>
        <v>0</v>
      </c>
      <c r="AC164" s="854">
        <f>'5.1 Inventory (GC)'!L12</f>
        <v>0</v>
      </c>
      <c r="AD164" s="854">
        <f>'5.1 Inventory (GC)'!M12</f>
        <v>0</v>
      </c>
      <c r="AE164" s="854">
        <f>'5.1 Inventory (GC)'!N12</f>
        <v>0</v>
      </c>
      <c r="AF164" s="854">
        <f>'5.1 Inventory (GC)'!O12</f>
        <v>0</v>
      </c>
      <c r="AG164" s="854">
        <f>'5.1 Inventory (GC)'!P12</f>
        <v>0</v>
      </c>
      <c r="AH164" s="854">
        <f>'5.1 Inventory (GC)'!Q12</f>
        <v>0</v>
      </c>
      <c r="AI164" s="853"/>
      <c r="AJ164" s="853"/>
      <c r="AK164" s="853"/>
      <c r="AL164" s="853"/>
      <c r="AM164" s="853"/>
      <c r="AN164" s="853"/>
      <c r="AO164" s="852" t="str">
        <f>'5.1 Inventory (GC)'!S12</f>
        <v/>
      </c>
      <c r="AP164" s="852">
        <v>132</v>
      </c>
      <c r="AQ164" s="852" t="str">
        <f>Settings!$A$1</f>
        <v>V2</v>
      </c>
    </row>
    <row r="165" spans="1:43" s="852" customFormat="1" ht="12.75" customHeight="1" x14ac:dyDescent="0.2">
      <c r="A165" s="852">
        <f>'Input-FX Rates'!$C$4</f>
        <v>242</v>
      </c>
      <c r="B165" s="852" t="str">
        <f>'Input-FX Rates'!$B$4</f>
        <v>ICH Icheon (242)</v>
      </c>
      <c r="C165" s="852">
        <f>'Input-FX Rates'!$C$6</f>
        <v>780</v>
      </c>
      <c r="D165" s="852" t="str">
        <f>'Input-FX Rates'!$B$6</f>
        <v>780 BU Controls</v>
      </c>
      <c r="E165" s="852" t="str">
        <f>'Input-FX Rates'!$C$5</f>
        <v>7851</v>
      </c>
      <c r="F165" s="852" t="str">
        <f>'Input-FX Rates'!$B$5</f>
        <v>7851 PL eMotor Controls</v>
      </c>
      <c r="G165" s="852" t="s">
        <v>536</v>
      </c>
      <c r="H165" s="852" t="s">
        <v>1123</v>
      </c>
      <c r="I165" s="853"/>
      <c r="J165" s="853"/>
      <c r="K165" s="854">
        <f>'5.1 Inventory (GC)'!C13</f>
        <v>0</v>
      </c>
      <c r="L165" s="854">
        <f>'5.1 Inventory (GC)'!D13</f>
        <v>0</v>
      </c>
      <c r="M165" s="853"/>
      <c r="N165" s="853"/>
      <c r="O165" s="854">
        <f>'5.1 Inventory (GC)'!Q13</f>
        <v>0</v>
      </c>
      <c r="P165" s="853"/>
      <c r="Q165" s="853"/>
      <c r="R165" s="853"/>
      <c r="S165" s="853"/>
      <c r="T165" s="853"/>
      <c r="U165" s="853"/>
      <c r="V165" s="853"/>
      <c r="W165" s="854">
        <f>'5.1 Inventory (GC)'!F13</f>
        <v>0</v>
      </c>
      <c r="X165" s="854">
        <f>'5.1 Inventory (GC)'!G13</f>
        <v>0</v>
      </c>
      <c r="Y165" s="854">
        <f>'5.1 Inventory (GC)'!H13</f>
        <v>0</v>
      </c>
      <c r="Z165" s="854">
        <f>'5.1 Inventory (GC)'!I13</f>
        <v>0</v>
      </c>
      <c r="AA165" s="854">
        <f>'5.1 Inventory (GC)'!J13</f>
        <v>0</v>
      </c>
      <c r="AB165" s="854">
        <f>'5.1 Inventory (GC)'!K13</f>
        <v>0</v>
      </c>
      <c r="AC165" s="854">
        <f>'5.1 Inventory (GC)'!L13</f>
        <v>0</v>
      </c>
      <c r="AD165" s="854">
        <f>'5.1 Inventory (GC)'!M13</f>
        <v>0</v>
      </c>
      <c r="AE165" s="854">
        <f>'5.1 Inventory (GC)'!N13</f>
        <v>0</v>
      </c>
      <c r="AF165" s="854">
        <f>'5.1 Inventory (GC)'!O13</f>
        <v>0</v>
      </c>
      <c r="AG165" s="854">
        <f>'5.1 Inventory (GC)'!P13</f>
        <v>0</v>
      </c>
      <c r="AH165" s="854">
        <f>'5.1 Inventory (GC)'!Q13</f>
        <v>0</v>
      </c>
      <c r="AI165" s="853"/>
      <c r="AJ165" s="853"/>
      <c r="AK165" s="853"/>
      <c r="AL165" s="853"/>
      <c r="AM165" s="853"/>
      <c r="AN165" s="853"/>
      <c r="AO165" s="852" t="str">
        <f>'5.1 Inventory (GC)'!S13</f>
        <v/>
      </c>
      <c r="AP165" s="852">
        <v>133</v>
      </c>
      <c r="AQ165" s="852" t="str">
        <f>Settings!$A$1</f>
        <v>V2</v>
      </c>
    </row>
    <row r="166" spans="1:43" s="852" customFormat="1" ht="12.75" customHeight="1" x14ac:dyDescent="0.2">
      <c r="A166" s="852">
        <f>'Input-FX Rates'!$C$4</f>
        <v>242</v>
      </c>
      <c r="B166" s="852" t="str">
        <f>'Input-FX Rates'!$B$4</f>
        <v>ICH Icheon (242)</v>
      </c>
      <c r="C166" s="852">
        <f>'Input-FX Rates'!$C$6</f>
        <v>780</v>
      </c>
      <c r="D166" s="852" t="str">
        <f>'Input-FX Rates'!$B$6</f>
        <v>780 BU Controls</v>
      </c>
      <c r="E166" s="852" t="str">
        <f>'Input-FX Rates'!$C$5</f>
        <v>7851</v>
      </c>
      <c r="F166" s="852" t="str">
        <f>'Input-FX Rates'!$B$5</f>
        <v>7851 PL eMotor Controls</v>
      </c>
      <c r="G166" s="852" t="s">
        <v>536</v>
      </c>
      <c r="H166" s="852" t="s">
        <v>372</v>
      </c>
      <c r="I166" s="853"/>
      <c r="J166" s="853"/>
      <c r="K166" s="854">
        <f>'5.1 Inventory (GC)'!C14</f>
        <v>0</v>
      </c>
      <c r="L166" s="854">
        <f>'5.1 Inventory (GC)'!D14</f>
        <v>0</v>
      </c>
      <c r="M166" s="853"/>
      <c r="N166" s="853"/>
      <c r="O166" s="854">
        <f>'5.1 Inventory (GC)'!Q14</f>
        <v>0</v>
      </c>
      <c r="P166" s="853"/>
      <c r="Q166" s="853"/>
      <c r="R166" s="853"/>
      <c r="S166" s="853"/>
      <c r="T166" s="853"/>
      <c r="U166" s="853"/>
      <c r="V166" s="853"/>
      <c r="W166" s="854">
        <f>'5.1 Inventory (GC)'!F14</f>
        <v>0</v>
      </c>
      <c r="X166" s="854">
        <f>'5.1 Inventory (GC)'!G14</f>
        <v>0</v>
      </c>
      <c r="Y166" s="854">
        <f>'5.1 Inventory (GC)'!H14</f>
        <v>0</v>
      </c>
      <c r="Z166" s="854">
        <f>'5.1 Inventory (GC)'!I14</f>
        <v>0</v>
      </c>
      <c r="AA166" s="854">
        <f>'5.1 Inventory (GC)'!J14</f>
        <v>0</v>
      </c>
      <c r="AB166" s="854">
        <f>'5.1 Inventory (GC)'!K14</f>
        <v>0</v>
      </c>
      <c r="AC166" s="854">
        <f>'5.1 Inventory (GC)'!L14</f>
        <v>0</v>
      </c>
      <c r="AD166" s="854">
        <f>'5.1 Inventory (GC)'!M14</f>
        <v>0</v>
      </c>
      <c r="AE166" s="854">
        <f>'5.1 Inventory (GC)'!N14</f>
        <v>0</v>
      </c>
      <c r="AF166" s="854">
        <f>'5.1 Inventory (GC)'!O14</f>
        <v>0</v>
      </c>
      <c r="AG166" s="854">
        <f>'5.1 Inventory (GC)'!P14</f>
        <v>0</v>
      </c>
      <c r="AH166" s="854">
        <f>'5.1 Inventory (GC)'!Q14</f>
        <v>0</v>
      </c>
      <c r="AI166" s="853"/>
      <c r="AJ166" s="853"/>
      <c r="AK166" s="853"/>
      <c r="AL166" s="853"/>
      <c r="AM166" s="853"/>
      <c r="AN166" s="853"/>
      <c r="AO166" s="852" t="str">
        <f>'5.1 Inventory (GC)'!S14</f>
        <v/>
      </c>
      <c r="AP166" s="852">
        <v>134</v>
      </c>
      <c r="AQ166" s="852" t="str">
        <f>Settings!$A$1</f>
        <v>V2</v>
      </c>
    </row>
    <row r="167" spans="1:43" s="852" customFormat="1" ht="12.75" customHeight="1" x14ac:dyDescent="0.2">
      <c r="A167" s="852">
        <f>'Input-FX Rates'!$C$4</f>
        <v>242</v>
      </c>
      <c r="B167" s="852" t="str">
        <f>'Input-FX Rates'!$B$4</f>
        <v>ICH Icheon (242)</v>
      </c>
      <c r="C167" s="852">
        <f>'Input-FX Rates'!$C$6</f>
        <v>780</v>
      </c>
      <c r="D167" s="852" t="str">
        <f>'Input-FX Rates'!$B$6</f>
        <v>780 BU Controls</v>
      </c>
      <c r="E167" s="852" t="str">
        <f>'Input-FX Rates'!$C$5</f>
        <v>7851</v>
      </c>
      <c r="F167" s="852" t="str">
        <f>'Input-FX Rates'!$B$5</f>
        <v>7851 PL eMotor Controls</v>
      </c>
      <c r="G167" s="852" t="s">
        <v>536</v>
      </c>
      <c r="H167" s="852" t="s">
        <v>1124</v>
      </c>
      <c r="I167" s="853"/>
      <c r="J167" s="853"/>
      <c r="K167" s="854">
        <f>'5.1 Inventory (GC)'!C15</f>
        <v>0</v>
      </c>
      <c r="L167" s="854">
        <f>'5.1 Inventory (GC)'!D15</f>
        <v>0</v>
      </c>
      <c r="M167" s="853"/>
      <c r="N167" s="853"/>
      <c r="O167" s="854">
        <f>'5.1 Inventory (GC)'!Q15</f>
        <v>0</v>
      </c>
      <c r="P167" s="853"/>
      <c r="Q167" s="853"/>
      <c r="R167" s="853"/>
      <c r="S167" s="853"/>
      <c r="T167" s="853"/>
      <c r="U167" s="853"/>
      <c r="V167" s="853"/>
      <c r="W167" s="854">
        <f>'5.1 Inventory (GC)'!F15</f>
        <v>0</v>
      </c>
      <c r="X167" s="854">
        <f>'5.1 Inventory (GC)'!G15</f>
        <v>0</v>
      </c>
      <c r="Y167" s="854">
        <f>'5.1 Inventory (GC)'!H15</f>
        <v>0</v>
      </c>
      <c r="Z167" s="854">
        <f>'5.1 Inventory (GC)'!I15</f>
        <v>0</v>
      </c>
      <c r="AA167" s="854">
        <f>'5.1 Inventory (GC)'!J15</f>
        <v>0</v>
      </c>
      <c r="AB167" s="854">
        <f>'5.1 Inventory (GC)'!K15</f>
        <v>0</v>
      </c>
      <c r="AC167" s="854">
        <f>'5.1 Inventory (GC)'!L15</f>
        <v>0</v>
      </c>
      <c r="AD167" s="854">
        <f>'5.1 Inventory (GC)'!M15</f>
        <v>0</v>
      </c>
      <c r="AE167" s="854">
        <f>'5.1 Inventory (GC)'!N15</f>
        <v>0</v>
      </c>
      <c r="AF167" s="854">
        <f>'5.1 Inventory (GC)'!O15</f>
        <v>0</v>
      </c>
      <c r="AG167" s="854">
        <f>'5.1 Inventory (GC)'!P15</f>
        <v>0</v>
      </c>
      <c r="AH167" s="854">
        <f>'5.1 Inventory (GC)'!Q15</f>
        <v>0</v>
      </c>
      <c r="AI167" s="853"/>
      <c r="AJ167" s="853"/>
      <c r="AK167" s="853"/>
      <c r="AL167" s="853"/>
      <c r="AM167" s="853"/>
      <c r="AN167" s="853"/>
      <c r="AO167" s="852" t="str">
        <f>'5.1 Inventory (GC)'!S15</f>
        <v/>
      </c>
      <c r="AP167" s="852">
        <v>135</v>
      </c>
      <c r="AQ167" s="852" t="str">
        <f>Settings!$A$1</f>
        <v>V2</v>
      </c>
    </row>
    <row r="168" spans="1:43" s="852" customFormat="1" ht="12.75" customHeight="1" x14ac:dyDescent="0.2">
      <c r="A168" s="852">
        <f>'Input-FX Rates'!$C$4</f>
        <v>242</v>
      </c>
      <c r="B168" s="852" t="str">
        <f>'Input-FX Rates'!$B$4</f>
        <v>ICH Icheon (242)</v>
      </c>
      <c r="C168" s="852">
        <f>'Input-FX Rates'!$C$6</f>
        <v>780</v>
      </c>
      <c r="D168" s="852" t="str">
        <f>'Input-FX Rates'!$B$6</f>
        <v>780 BU Controls</v>
      </c>
      <c r="E168" s="852" t="str">
        <f>'Input-FX Rates'!$C$5</f>
        <v>7851</v>
      </c>
      <c r="F168" s="852" t="str">
        <f>'Input-FX Rates'!$B$5</f>
        <v>7851 PL eMotor Controls</v>
      </c>
      <c r="G168" s="852" t="s">
        <v>536</v>
      </c>
      <c r="H168" s="852" t="s">
        <v>963</v>
      </c>
      <c r="I168" s="853"/>
      <c r="J168" s="853"/>
      <c r="K168" s="854">
        <f>'5.1 Inventory (GC)'!C16</f>
        <v>0</v>
      </c>
      <c r="L168" s="854">
        <f>'5.1 Inventory (GC)'!D16</f>
        <v>0</v>
      </c>
      <c r="M168" s="853"/>
      <c r="N168" s="853"/>
      <c r="O168" s="854">
        <f>'5.1 Inventory (GC)'!Q16</f>
        <v>0</v>
      </c>
      <c r="P168" s="853"/>
      <c r="Q168" s="853"/>
      <c r="R168" s="853"/>
      <c r="S168" s="853"/>
      <c r="T168" s="853"/>
      <c r="U168" s="853"/>
      <c r="V168" s="853"/>
      <c r="W168" s="854">
        <f>'5.1 Inventory (GC)'!F16</f>
        <v>0</v>
      </c>
      <c r="X168" s="854">
        <f>'5.1 Inventory (GC)'!G16</f>
        <v>0</v>
      </c>
      <c r="Y168" s="854">
        <f>'5.1 Inventory (GC)'!H16</f>
        <v>0</v>
      </c>
      <c r="Z168" s="854">
        <f>'5.1 Inventory (GC)'!I16</f>
        <v>0</v>
      </c>
      <c r="AA168" s="854">
        <f>'5.1 Inventory (GC)'!J16</f>
        <v>0</v>
      </c>
      <c r="AB168" s="854">
        <f>'5.1 Inventory (GC)'!K16</f>
        <v>0</v>
      </c>
      <c r="AC168" s="854">
        <f>'5.1 Inventory (GC)'!L16</f>
        <v>0</v>
      </c>
      <c r="AD168" s="854">
        <f>'5.1 Inventory (GC)'!M16</f>
        <v>0</v>
      </c>
      <c r="AE168" s="854">
        <f>'5.1 Inventory (GC)'!N16</f>
        <v>0</v>
      </c>
      <c r="AF168" s="854">
        <f>'5.1 Inventory (GC)'!O16</f>
        <v>0</v>
      </c>
      <c r="AG168" s="854">
        <f>'5.1 Inventory (GC)'!P16</f>
        <v>0</v>
      </c>
      <c r="AH168" s="854">
        <f>'5.1 Inventory (GC)'!Q16</f>
        <v>0</v>
      </c>
      <c r="AI168" s="853"/>
      <c r="AJ168" s="853"/>
      <c r="AK168" s="853"/>
      <c r="AL168" s="853"/>
      <c r="AM168" s="853"/>
      <c r="AN168" s="853"/>
      <c r="AO168" s="852" t="str">
        <f>'5.1 Inventory (GC)'!S16</f>
        <v/>
      </c>
      <c r="AP168" s="852">
        <v>136</v>
      </c>
      <c r="AQ168" s="852" t="str">
        <f>Settings!$A$1</f>
        <v>V2</v>
      </c>
    </row>
    <row r="169" spans="1:43" s="852" customFormat="1" ht="12.75" customHeight="1" x14ac:dyDescent="0.2">
      <c r="A169" s="852">
        <f>'Input-FX Rates'!$C$4</f>
        <v>242</v>
      </c>
      <c r="B169" s="852" t="str">
        <f>'Input-FX Rates'!$B$4</f>
        <v>ICH Icheon (242)</v>
      </c>
      <c r="C169" s="852">
        <f>'Input-FX Rates'!$C$6</f>
        <v>780</v>
      </c>
      <c r="D169" s="852" t="str">
        <f>'Input-FX Rates'!$B$6</f>
        <v>780 BU Controls</v>
      </c>
      <c r="E169" s="852" t="str">
        <f>'Input-FX Rates'!$C$5</f>
        <v>7851</v>
      </c>
      <c r="F169" s="852" t="str">
        <f>'Input-FX Rates'!$B$5</f>
        <v>7851 PL eMotor Controls</v>
      </c>
      <c r="G169" s="852" t="s">
        <v>536</v>
      </c>
      <c r="H169" s="852" t="s">
        <v>375</v>
      </c>
      <c r="I169" s="853"/>
      <c r="J169" s="853"/>
      <c r="K169" s="854">
        <f>'5.1 Inventory (GC)'!C17</f>
        <v>0</v>
      </c>
      <c r="L169" s="854">
        <f>'5.1 Inventory (GC)'!D17</f>
        <v>0</v>
      </c>
      <c r="M169" s="853"/>
      <c r="N169" s="853"/>
      <c r="O169" s="854">
        <f>'5.1 Inventory (GC)'!Q17</f>
        <v>0</v>
      </c>
      <c r="P169" s="853"/>
      <c r="Q169" s="853"/>
      <c r="R169" s="853"/>
      <c r="S169" s="853"/>
      <c r="T169" s="853"/>
      <c r="U169" s="853"/>
      <c r="V169" s="853"/>
      <c r="W169" s="854">
        <f>'5.1 Inventory (GC)'!F17</f>
        <v>0</v>
      </c>
      <c r="X169" s="854">
        <f>'5.1 Inventory (GC)'!G17</f>
        <v>0</v>
      </c>
      <c r="Y169" s="854">
        <f>'5.1 Inventory (GC)'!H17</f>
        <v>0</v>
      </c>
      <c r="Z169" s="854">
        <f>'5.1 Inventory (GC)'!I17</f>
        <v>0</v>
      </c>
      <c r="AA169" s="854">
        <f>'5.1 Inventory (GC)'!J17</f>
        <v>0</v>
      </c>
      <c r="AB169" s="854">
        <f>'5.1 Inventory (GC)'!K17</f>
        <v>0</v>
      </c>
      <c r="AC169" s="854">
        <f>'5.1 Inventory (GC)'!L17</f>
        <v>0</v>
      </c>
      <c r="AD169" s="854">
        <f>'5.1 Inventory (GC)'!M17</f>
        <v>0</v>
      </c>
      <c r="AE169" s="854">
        <f>'5.1 Inventory (GC)'!N17</f>
        <v>0</v>
      </c>
      <c r="AF169" s="854">
        <f>'5.1 Inventory (GC)'!O17</f>
        <v>0</v>
      </c>
      <c r="AG169" s="854">
        <f>'5.1 Inventory (GC)'!P17</f>
        <v>0</v>
      </c>
      <c r="AH169" s="854">
        <f>'5.1 Inventory (GC)'!Q17</f>
        <v>0</v>
      </c>
      <c r="AI169" s="853"/>
      <c r="AJ169" s="853"/>
      <c r="AK169" s="853"/>
      <c r="AL169" s="853"/>
      <c r="AM169" s="853"/>
      <c r="AN169" s="853"/>
      <c r="AO169" s="852" t="str">
        <f>'5.1 Inventory (GC)'!S17</f>
        <v/>
      </c>
      <c r="AP169" s="852">
        <v>137</v>
      </c>
      <c r="AQ169" s="852" t="str">
        <f>Settings!$A$1</f>
        <v>V2</v>
      </c>
    </row>
    <row r="170" spans="1:43" s="852" customFormat="1" ht="12.75" customHeight="1" x14ac:dyDescent="0.2">
      <c r="A170" s="852">
        <f>'Input-FX Rates'!$C$4</f>
        <v>242</v>
      </c>
      <c r="B170" s="852" t="str">
        <f>'Input-FX Rates'!$B$4</f>
        <v>ICH Icheon (242)</v>
      </c>
      <c r="C170" s="852">
        <f>'Input-FX Rates'!$C$6</f>
        <v>780</v>
      </c>
      <c r="D170" s="852" t="str">
        <f>'Input-FX Rates'!$B$6</f>
        <v>780 BU Controls</v>
      </c>
      <c r="E170" s="852" t="str">
        <f>'Input-FX Rates'!$C$5</f>
        <v>7851</v>
      </c>
      <c r="F170" s="852" t="str">
        <f>'Input-FX Rates'!$B$5</f>
        <v>7851 PL eMotor Controls</v>
      </c>
      <c r="G170" s="852" t="s">
        <v>536</v>
      </c>
      <c r="H170" s="852" t="s">
        <v>376</v>
      </c>
      <c r="I170" s="853"/>
      <c r="J170" s="853"/>
      <c r="K170" s="854">
        <f>'5.1 Inventory (GC)'!C18</f>
        <v>0</v>
      </c>
      <c r="L170" s="854">
        <f>'5.1 Inventory (GC)'!D18</f>
        <v>0</v>
      </c>
      <c r="M170" s="853"/>
      <c r="N170" s="853"/>
      <c r="O170" s="854">
        <f>'5.1 Inventory (GC)'!Q18</f>
        <v>0</v>
      </c>
      <c r="P170" s="853"/>
      <c r="Q170" s="853"/>
      <c r="R170" s="853"/>
      <c r="S170" s="853"/>
      <c r="T170" s="853"/>
      <c r="U170" s="853"/>
      <c r="V170" s="853"/>
      <c r="W170" s="854">
        <f>'5.1 Inventory (GC)'!F18</f>
        <v>0</v>
      </c>
      <c r="X170" s="854">
        <f>'5.1 Inventory (GC)'!G18</f>
        <v>0</v>
      </c>
      <c r="Y170" s="854">
        <f>'5.1 Inventory (GC)'!H18</f>
        <v>0</v>
      </c>
      <c r="Z170" s="854">
        <f>'5.1 Inventory (GC)'!I18</f>
        <v>0</v>
      </c>
      <c r="AA170" s="854">
        <f>'5.1 Inventory (GC)'!J18</f>
        <v>0</v>
      </c>
      <c r="AB170" s="854">
        <f>'5.1 Inventory (GC)'!K18</f>
        <v>0</v>
      </c>
      <c r="AC170" s="854">
        <f>'5.1 Inventory (GC)'!L18</f>
        <v>0</v>
      </c>
      <c r="AD170" s="854">
        <f>'5.1 Inventory (GC)'!M18</f>
        <v>0</v>
      </c>
      <c r="AE170" s="854">
        <f>'5.1 Inventory (GC)'!N18</f>
        <v>0</v>
      </c>
      <c r="AF170" s="854">
        <f>'5.1 Inventory (GC)'!O18</f>
        <v>0</v>
      </c>
      <c r="AG170" s="854">
        <f>'5.1 Inventory (GC)'!P18</f>
        <v>0</v>
      </c>
      <c r="AH170" s="854">
        <f>'5.1 Inventory (GC)'!Q18</f>
        <v>0</v>
      </c>
      <c r="AI170" s="853"/>
      <c r="AJ170" s="853"/>
      <c r="AK170" s="853"/>
      <c r="AL170" s="853"/>
      <c r="AM170" s="853"/>
      <c r="AN170" s="853"/>
      <c r="AO170" s="852" t="str">
        <f>'5.1 Inventory (GC)'!S18</f>
        <v/>
      </c>
      <c r="AP170" s="852">
        <v>138</v>
      </c>
      <c r="AQ170" s="852" t="str">
        <f>Settings!$A$1</f>
        <v>V2</v>
      </c>
    </row>
    <row r="171" spans="1:43" s="852" customFormat="1" ht="12.75" customHeight="1" x14ac:dyDescent="0.2">
      <c r="A171" s="852">
        <f>'Input-FX Rates'!$C$4</f>
        <v>242</v>
      </c>
      <c r="B171" s="852" t="str">
        <f>'Input-FX Rates'!$B$4</f>
        <v>ICH Icheon (242)</v>
      </c>
      <c r="C171" s="852">
        <f>'Input-FX Rates'!$C$6</f>
        <v>780</v>
      </c>
      <c r="D171" s="852" t="str">
        <f>'Input-FX Rates'!$B$6</f>
        <v>780 BU Controls</v>
      </c>
      <c r="E171" s="852" t="str">
        <f>'Input-FX Rates'!$C$5</f>
        <v>7851</v>
      </c>
      <c r="F171" s="852" t="str">
        <f>'Input-FX Rates'!$B$5</f>
        <v>7851 PL eMotor Controls</v>
      </c>
      <c r="G171" s="852" t="s">
        <v>536</v>
      </c>
      <c r="H171" s="852" t="s">
        <v>1125</v>
      </c>
      <c r="I171" s="853"/>
      <c r="J171" s="853"/>
      <c r="K171" s="854">
        <f>'5.1 Inventory (GC)'!C19</f>
        <v>1611.4018469454095</v>
      </c>
      <c r="L171" s="854">
        <f>'5.1 Inventory (GC)'!D19</f>
        <v>914.0927045262863</v>
      </c>
      <c r="M171" s="853"/>
      <c r="N171" s="853"/>
      <c r="O171" s="854">
        <f>'5.1 Inventory (GC)'!Q19</f>
        <v>539.1781928552283</v>
      </c>
      <c r="P171" s="853"/>
      <c r="Q171" s="853"/>
      <c r="R171" s="853"/>
      <c r="S171" s="853"/>
      <c r="T171" s="853"/>
      <c r="U171" s="853"/>
      <c r="V171" s="853"/>
      <c r="W171" s="854">
        <f>'5.1 Inventory (GC)'!F19</f>
        <v>1703.2373809993107</v>
      </c>
      <c r="X171" s="854">
        <f>'5.1 Inventory (GC)'!G19</f>
        <v>1496.9791821206898</v>
      </c>
      <c r="Y171" s="854">
        <f>'5.1 Inventory (GC)'!H19</f>
        <v>1349.9241714724137</v>
      </c>
      <c r="Z171" s="854">
        <f>'5.1 Inventory (GC)'!I19</f>
        <v>1217.5746618889657</v>
      </c>
      <c r="AA171" s="854">
        <f>'5.1 Inventory (GC)'!J19</f>
        <v>1098.4601032638623</v>
      </c>
      <c r="AB171" s="854">
        <f>'5.1 Inventory (GC)'!K19</f>
        <v>991.2570005012692</v>
      </c>
      <c r="AC171" s="854">
        <f>'5.1 Inventory (GC)'!L19</f>
        <v>894.77420801493531</v>
      </c>
      <c r="AD171" s="854">
        <f>'5.1 Inventory (GC)'!M19</f>
        <v>807.93969477723476</v>
      </c>
      <c r="AE171" s="854">
        <f>'5.1 Inventory (GC)'!N19</f>
        <v>729.78863286330443</v>
      </c>
      <c r="AF171" s="854">
        <f>'5.1 Inventory (GC)'!O19</f>
        <v>659.45267714076704</v>
      </c>
      <c r="AG171" s="854">
        <f>'5.1 Inventory (GC)'!P19</f>
        <v>596.15031699048347</v>
      </c>
      <c r="AH171" s="854">
        <f>'5.1 Inventory (GC)'!Q19</f>
        <v>539.1781928552283</v>
      </c>
      <c r="AI171" s="853"/>
      <c r="AJ171" s="853"/>
      <c r="AK171" s="853"/>
      <c r="AL171" s="853"/>
      <c r="AM171" s="853"/>
      <c r="AN171" s="853"/>
      <c r="AO171" s="852" t="str">
        <f>'5.1 Inventory (GC)'!S19</f>
        <v/>
      </c>
      <c r="AP171" s="852">
        <v>139</v>
      </c>
      <c r="AQ171" s="852" t="str">
        <f>Settings!$A$1</f>
        <v>V2</v>
      </c>
    </row>
    <row r="172" spans="1:43" s="852" customFormat="1" ht="12.75" customHeight="1" x14ac:dyDescent="0.2">
      <c r="A172" s="852">
        <f>'Input-FX Rates'!$C$4</f>
        <v>242</v>
      </c>
      <c r="B172" s="852" t="str">
        <f>'Input-FX Rates'!$B$4</f>
        <v>ICH Icheon (242)</v>
      </c>
      <c r="C172" s="852">
        <f>'Input-FX Rates'!$C$6</f>
        <v>780</v>
      </c>
      <c r="D172" s="852" t="str">
        <f>'Input-FX Rates'!$B$6</f>
        <v>780 BU Controls</v>
      </c>
      <c r="E172" s="852" t="str">
        <f>'Input-FX Rates'!$C$5</f>
        <v>7851</v>
      </c>
      <c r="F172" s="852" t="str">
        <f>'Input-FX Rates'!$B$5</f>
        <v>7851 PL eMotor Controls</v>
      </c>
      <c r="G172" s="852" t="s">
        <v>536</v>
      </c>
      <c r="H172" s="852" t="s">
        <v>1123</v>
      </c>
      <c r="I172" s="853"/>
      <c r="J172" s="853"/>
      <c r="K172" s="854">
        <f>'5.1 Inventory (GC)'!C20</f>
        <v>0</v>
      </c>
      <c r="L172" s="854">
        <f>'5.1 Inventory (GC)'!D20</f>
        <v>0</v>
      </c>
      <c r="M172" s="853"/>
      <c r="N172" s="853"/>
      <c r="O172" s="854">
        <f>'5.1 Inventory (GC)'!Q20</f>
        <v>9.4400764137931041</v>
      </c>
      <c r="P172" s="853"/>
      <c r="Q172" s="853"/>
      <c r="R172" s="853"/>
      <c r="S172" s="853"/>
      <c r="T172" s="853"/>
      <c r="U172" s="853"/>
      <c r="V172" s="853"/>
      <c r="W172" s="854">
        <f>'5.1 Inventory (GC)'!F20</f>
        <v>10.714602868965519</v>
      </c>
      <c r="X172" s="854">
        <f>'5.1 Inventory (GC)'!G20</f>
        <v>10.631529103448276</v>
      </c>
      <c r="Y172" s="854">
        <f>'5.1 Inventory (GC)'!H20</f>
        <v>10.568859420689657</v>
      </c>
      <c r="Z172" s="854">
        <f>'5.1 Inventory (GC)'!I20</f>
        <v>10.443520055172415</v>
      </c>
      <c r="AA172" s="854">
        <f>'5.1 Inventory (GC)'!J20</f>
        <v>10.326925296551726</v>
      </c>
      <c r="AB172" s="854">
        <f>'5.1 Inventory (GC)'!K20</f>
        <v>10.220532579310346</v>
      </c>
      <c r="AC172" s="854">
        <f>'5.1 Inventory (GC)'!L20</f>
        <v>10.094464496551725</v>
      </c>
      <c r="AD172" s="854">
        <f>'5.1 Inventory (GC)'!M20</f>
        <v>9.9888004965517236</v>
      </c>
      <c r="AE172" s="854">
        <f>'5.1 Inventory (GC)'!N20</f>
        <v>9.8722057379310346</v>
      </c>
      <c r="AF172" s="854">
        <f>'5.1 Inventory (GC)'!O20</f>
        <v>9.7563396965517253</v>
      </c>
      <c r="AG172" s="854">
        <f>'5.1 Inventory (GC)'!P20</f>
        <v>9.649218262068965</v>
      </c>
      <c r="AH172" s="854">
        <f>'5.1 Inventory (GC)'!Q20</f>
        <v>9.4400764137931041</v>
      </c>
      <c r="AI172" s="853"/>
      <c r="AJ172" s="853"/>
      <c r="AK172" s="853"/>
      <c r="AL172" s="853"/>
      <c r="AM172" s="853"/>
      <c r="AN172" s="853"/>
      <c r="AO172" s="852" t="str">
        <f>'5.1 Inventory (GC)'!S20</f>
        <v/>
      </c>
      <c r="AP172" s="852">
        <v>140</v>
      </c>
      <c r="AQ172" s="852" t="str">
        <f>Settings!$A$1</f>
        <v>V2</v>
      </c>
    </row>
    <row r="173" spans="1:43" s="852" customFormat="1" ht="12.75" customHeight="1" x14ac:dyDescent="0.2">
      <c r="A173" s="852">
        <f>'Input-FX Rates'!$C$4</f>
        <v>242</v>
      </c>
      <c r="B173" s="852" t="str">
        <f>'Input-FX Rates'!$B$4</f>
        <v>ICH Icheon (242)</v>
      </c>
      <c r="C173" s="852">
        <f>'Input-FX Rates'!$C$6</f>
        <v>780</v>
      </c>
      <c r="D173" s="852" t="str">
        <f>'Input-FX Rates'!$B$6</f>
        <v>780 BU Controls</v>
      </c>
      <c r="E173" s="852" t="str">
        <f>'Input-FX Rates'!$C$5</f>
        <v>7851</v>
      </c>
      <c r="F173" s="852" t="str">
        <f>'Input-FX Rates'!$B$5</f>
        <v>7851 PL eMotor Controls</v>
      </c>
      <c r="G173" s="852" t="s">
        <v>536</v>
      </c>
      <c r="H173" s="852" t="s">
        <v>373</v>
      </c>
      <c r="I173" s="853"/>
      <c r="J173" s="853"/>
      <c r="K173" s="854">
        <f>'5.1 Inventory (GC)'!C21</f>
        <v>0</v>
      </c>
      <c r="L173" s="854">
        <f>'5.1 Inventory (GC)'!D21</f>
        <v>0</v>
      </c>
      <c r="M173" s="853"/>
      <c r="N173" s="853"/>
      <c r="O173" s="854">
        <f>'5.1 Inventory (GC)'!Q21</f>
        <v>0</v>
      </c>
      <c r="P173" s="853"/>
      <c r="Q173" s="853"/>
      <c r="R173" s="853"/>
      <c r="S173" s="853"/>
      <c r="T173" s="853"/>
      <c r="U173" s="853"/>
      <c r="V173" s="853"/>
      <c r="W173" s="854">
        <f>'5.1 Inventory (GC)'!F21</f>
        <v>0</v>
      </c>
      <c r="X173" s="854">
        <f>'5.1 Inventory (GC)'!G21</f>
        <v>0</v>
      </c>
      <c r="Y173" s="854">
        <f>'5.1 Inventory (GC)'!H21</f>
        <v>0</v>
      </c>
      <c r="Z173" s="854">
        <f>'5.1 Inventory (GC)'!I21</f>
        <v>0</v>
      </c>
      <c r="AA173" s="854">
        <f>'5.1 Inventory (GC)'!J21</f>
        <v>0</v>
      </c>
      <c r="AB173" s="854">
        <f>'5.1 Inventory (GC)'!K21</f>
        <v>0</v>
      </c>
      <c r="AC173" s="854">
        <f>'5.1 Inventory (GC)'!L21</f>
        <v>0</v>
      </c>
      <c r="AD173" s="854">
        <f>'5.1 Inventory (GC)'!M21</f>
        <v>0</v>
      </c>
      <c r="AE173" s="854">
        <f>'5.1 Inventory (GC)'!N21</f>
        <v>0</v>
      </c>
      <c r="AF173" s="854">
        <f>'5.1 Inventory (GC)'!O21</f>
        <v>0</v>
      </c>
      <c r="AG173" s="854">
        <f>'5.1 Inventory (GC)'!P21</f>
        <v>0</v>
      </c>
      <c r="AH173" s="854">
        <f>'5.1 Inventory (GC)'!Q21</f>
        <v>0</v>
      </c>
      <c r="AI173" s="853"/>
      <c r="AJ173" s="853"/>
      <c r="AK173" s="853"/>
      <c r="AL173" s="853"/>
      <c r="AM173" s="853"/>
      <c r="AN173" s="853"/>
      <c r="AO173" s="852" t="str">
        <f>'5.1 Inventory (GC)'!S21</f>
        <v/>
      </c>
      <c r="AP173" s="852">
        <v>1401</v>
      </c>
      <c r="AQ173" s="852" t="str">
        <f>Settings!$A$1</f>
        <v>V2</v>
      </c>
    </row>
    <row r="174" spans="1:43" s="852" customFormat="1" ht="12.75" customHeight="1" x14ac:dyDescent="0.2">
      <c r="A174" s="852">
        <f>'Input-FX Rates'!$C$4</f>
        <v>242</v>
      </c>
      <c r="B174" s="852" t="str">
        <f>'Input-FX Rates'!$B$4</f>
        <v>ICH Icheon (242)</v>
      </c>
      <c r="C174" s="852">
        <f>'Input-FX Rates'!$C$6</f>
        <v>780</v>
      </c>
      <c r="D174" s="852" t="str">
        <f>'Input-FX Rates'!$B$6</f>
        <v>780 BU Controls</v>
      </c>
      <c r="E174" s="852" t="str">
        <f>'Input-FX Rates'!$C$5</f>
        <v>7851</v>
      </c>
      <c r="F174" s="852" t="str">
        <f>'Input-FX Rates'!$B$5</f>
        <v>7851 PL eMotor Controls</v>
      </c>
      <c r="G174" s="852" t="s">
        <v>536</v>
      </c>
      <c r="H174" s="852" t="s">
        <v>374</v>
      </c>
      <c r="I174" s="853"/>
      <c r="J174" s="853"/>
      <c r="K174" s="854">
        <f>'5.1 Inventory (GC)'!C22</f>
        <v>0</v>
      </c>
      <c r="L174" s="854">
        <f>'5.1 Inventory (GC)'!D22</f>
        <v>0</v>
      </c>
      <c r="M174" s="853"/>
      <c r="N174" s="853"/>
      <c r="O174" s="854">
        <f>'5.1 Inventory (GC)'!Q22</f>
        <v>0</v>
      </c>
      <c r="P174" s="853"/>
      <c r="Q174" s="853"/>
      <c r="R174" s="853"/>
      <c r="S174" s="853"/>
      <c r="T174" s="853"/>
      <c r="U174" s="853"/>
      <c r="V174" s="853"/>
      <c r="W174" s="854">
        <f>'5.1 Inventory (GC)'!F22</f>
        <v>0</v>
      </c>
      <c r="X174" s="854">
        <f>'5.1 Inventory (GC)'!G22</f>
        <v>0</v>
      </c>
      <c r="Y174" s="854">
        <f>'5.1 Inventory (GC)'!H22</f>
        <v>0</v>
      </c>
      <c r="Z174" s="854">
        <f>'5.1 Inventory (GC)'!I22</f>
        <v>0</v>
      </c>
      <c r="AA174" s="854">
        <f>'5.1 Inventory (GC)'!J22</f>
        <v>0</v>
      </c>
      <c r="AB174" s="854">
        <f>'5.1 Inventory (GC)'!K22</f>
        <v>0</v>
      </c>
      <c r="AC174" s="854">
        <f>'5.1 Inventory (GC)'!L22</f>
        <v>0</v>
      </c>
      <c r="AD174" s="854">
        <f>'5.1 Inventory (GC)'!M22</f>
        <v>0</v>
      </c>
      <c r="AE174" s="854">
        <f>'5.1 Inventory (GC)'!N22</f>
        <v>0</v>
      </c>
      <c r="AF174" s="854">
        <f>'5.1 Inventory (GC)'!O22</f>
        <v>0</v>
      </c>
      <c r="AG174" s="854">
        <f>'5.1 Inventory (GC)'!P22</f>
        <v>0</v>
      </c>
      <c r="AH174" s="854">
        <f>'5.1 Inventory (GC)'!Q22</f>
        <v>0</v>
      </c>
      <c r="AI174" s="853"/>
      <c r="AJ174" s="853"/>
      <c r="AK174" s="853"/>
      <c r="AL174" s="853"/>
      <c r="AM174" s="853"/>
      <c r="AN174" s="853"/>
      <c r="AO174" s="852" t="str">
        <f>'5.1 Inventory (GC)'!S22</f>
        <v/>
      </c>
      <c r="AP174" s="852">
        <v>1402</v>
      </c>
      <c r="AQ174" s="852" t="str">
        <f>Settings!$A$1</f>
        <v>V2</v>
      </c>
    </row>
    <row r="175" spans="1:43" s="852" customFormat="1" ht="12.75" customHeight="1" x14ac:dyDescent="0.2">
      <c r="A175" s="852">
        <f>'Input-FX Rates'!$C$4</f>
        <v>242</v>
      </c>
      <c r="B175" s="852" t="str">
        <f>'Input-FX Rates'!$B$4</f>
        <v>ICH Icheon (242)</v>
      </c>
      <c r="C175" s="852">
        <f>'Input-FX Rates'!$C$6</f>
        <v>780</v>
      </c>
      <c r="D175" s="852" t="str">
        <f>'Input-FX Rates'!$B$6</f>
        <v>780 BU Controls</v>
      </c>
      <c r="E175" s="852" t="str">
        <f>'Input-FX Rates'!$C$5</f>
        <v>7851</v>
      </c>
      <c r="F175" s="852" t="str">
        <f>'Input-FX Rates'!$B$5</f>
        <v>7851 PL eMotor Controls</v>
      </c>
      <c r="G175" s="852" t="s">
        <v>536</v>
      </c>
      <c r="H175" s="852" t="s">
        <v>1126</v>
      </c>
      <c r="I175" s="853"/>
      <c r="J175" s="853"/>
      <c r="K175" s="854">
        <f>'5.1 Inventory (GC)'!C23</f>
        <v>0</v>
      </c>
      <c r="L175" s="854">
        <f>'5.1 Inventory (GC)'!D23</f>
        <v>109.47716902876792</v>
      </c>
      <c r="M175" s="853"/>
      <c r="N175" s="853"/>
      <c r="O175" s="854">
        <f>'5.1 Inventory (GC)'!Q23</f>
        <v>40.783934329876786</v>
      </c>
      <c r="P175" s="853"/>
      <c r="Q175" s="853"/>
      <c r="R175" s="853"/>
      <c r="S175" s="853"/>
      <c r="T175" s="853"/>
      <c r="U175" s="853"/>
      <c r="V175" s="853"/>
      <c r="W175" s="854">
        <f>'5.1 Inventory (GC)'!F23</f>
        <v>102.052351923741</v>
      </c>
      <c r="X175" s="854">
        <f>'5.1 Inventory (GC)'!G23</f>
        <v>93.888163769841711</v>
      </c>
      <c r="Y175" s="854">
        <f>'5.1 Inventory (GC)'!H23</f>
        <v>86.377110668254375</v>
      </c>
      <c r="Z175" s="854">
        <f>'5.1 Inventory (GC)'!I23</f>
        <v>79.466941814794026</v>
      </c>
      <c r="AA175" s="854">
        <f>'5.1 Inventory (GC)'!J23</f>
        <v>73.10958646961052</v>
      </c>
      <c r="AB175" s="854">
        <f>'5.1 Inventory (GC)'!K23</f>
        <v>67.260819552041681</v>
      </c>
      <c r="AC175" s="854">
        <f>'5.1 Inventory (GC)'!L23</f>
        <v>61.879953987878345</v>
      </c>
      <c r="AD175" s="854">
        <f>'5.1 Inventory (GC)'!M23</f>
        <v>56.929557668848091</v>
      </c>
      <c r="AE175" s="854">
        <f>'5.1 Inventory (GC)'!N23</f>
        <v>52.375193055340247</v>
      </c>
      <c r="AF175" s="854">
        <f>'5.1 Inventory (GC)'!O23</f>
        <v>48.185177610913023</v>
      </c>
      <c r="AG175" s="854">
        <f>'5.1 Inventory (GC)'!P23</f>
        <v>44.330363402039985</v>
      </c>
      <c r="AH175" s="854">
        <f>'5.1 Inventory (GC)'!Q23</f>
        <v>40.783934329876786</v>
      </c>
      <c r="AI175" s="853"/>
      <c r="AJ175" s="853"/>
      <c r="AK175" s="853"/>
      <c r="AL175" s="853"/>
      <c r="AM175" s="853"/>
      <c r="AN175" s="853"/>
      <c r="AO175" s="852" t="str">
        <f>'5.1 Inventory (GC)'!S23</f>
        <v/>
      </c>
      <c r="AP175" s="852">
        <v>1403</v>
      </c>
      <c r="AQ175" s="852" t="str">
        <f>Settings!$A$1</f>
        <v>V2</v>
      </c>
    </row>
    <row r="176" spans="1:43" s="852" customFormat="1" ht="12.75" customHeight="1" x14ac:dyDescent="0.2">
      <c r="A176" s="852">
        <f>'Input-FX Rates'!$C$4</f>
        <v>242</v>
      </c>
      <c r="B176" s="852" t="str">
        <f>'Input-FX Rates'!$B$4</f>
        <v>ICH Icheon (242)</v>
      </c>
      <c r="C176" s="852">
        <f>'Input-FX Rates'!$C$6</f>
        <v>780</v>
      </c>
      <c r="D176" s="852" t="str">
        <f>'Input-FX Rates'!$B$6</f>
        <v>780 BU Controls</v>
      </c>
      <c r="E176" s="852" t="str">
        <f>'Input-FX Rates'!$C$5</f>
        <v>7851</v>
      </c>
      <c r="F176" s="852" t="str">
        <f>'Input-FX Rates'!$B$5</f>
        <v>7851 PL eMotor Controls</v>
      </c>
      <c r="G176" s="852" t="s">
        <v>536</v>
      </c>
      <c r="H176" s="852" t="s">
        <v>380</v>
      </c>
      <c r="I176" s="853"/>
      <c r="J176" s="853"/>
      <c r="K176" s="854">
        <f>'5.1 Inventory (GC)'!C24</f>
        <v>684.96927233706401</v>
      </c>
      <c r="L176" s="854">
        <f>'5.1 Inventory (GC)'!D24</f>
        <v>864.47216755693</v>
      </c>
      <c r="M176" s="853"/>
      <c r="N176" s="853"/>
      <c r="O176" s="854">
        <f>'5.1 Inventory (GC)'!Q24</f>
        <v>3028.3565768089943</v>
      </c>
      <c r="P176" s="853"/>
      <c r="Q176" s="853"/>
      <c r="R176" s="853"/>
      <c r="S176" s="853"/>
      <c r="T176" s="853"/>
      <c r="U176" s="853"/>
      <c r="V176" s="853"/>
      <c r="W176" s="854">
        <f>'5.1 Inventory (GC)'!F24</f>
        <v>835.91605666872761</v>
      </c>
      <c r="X176" s="854">
        <f>'5.1 Inventory (GC)'!G24</f>
        <v>1105.9341425986659</v>
      </c>
      <c r="Y176" s="854">
        <f>'5.1 Inventory (GC)'!H24</f>
        <v>1012.2206234396261</v>
      </c>
      <c r="Z176" s="854">
        <f>'5.1 Inventory (GC)'!I24</f>
        <v>842.63541543995029</v>
      </c>
      <c r="AA176" s="854">
        <f>'5.1 Inventory (GC)'!J24</f>
        <v>860.70070234585808</v>
      </c>
      <c r="AB176" s="854">
        <f>'5.1 Inventory (GC)'!K24</f>
        <v>2831.0813453170376</v>
      </c>
      <c r="AC176" s="854">
        <f>'5.1 Inventory (GC)'!L24</f>
        <v>2928.8236939334779</v>
      </c>
      <c r="AD176" s="854">
        <f>'5.1 Inventory (GC)'!M24</f>
        <v>2501.7096754364356</v>
      </c>
      <c r="AE176" s="854">
        <f>'5.1 Inventory (GC)'!N24</f>
        <v>2156.5424033287713</v>
      </c>
      <c r="AF176" s="854">
        <f>'5.1 Inventory (GC)'!O24</f>
        <v>2481.7565768089944</v>
      </c>
      <c r="AG176" s="854">
        <f>'5.1 Inventory (GC)'!P24</f>
        <v>2697.0967960112425</v>
      </c>
      <c r="AH176" s="854">
        <f>'5.1 Inventory (GC)'!Q24</f>
        <v>3028.3565768089943</v>
      </c>
      <c r="AI176" s="853"/>
      <c r="AJ176" s="853"/>
      <c r="AK176" s="853"/>
      <c r="AL176" s="853"/>
      <c r="AM176" s="853"/>
      <c r="AN176" s="853"/>
      <c r="AO176" s="852" t="str">
        <f>'5.1 Inventory (GC)'!S24</f>
        <v/>
      </c>
      <c r="AP176" s="852">
        <v>142</v>
      </c>
      <c r="AQ176" s="852" t="str">
        <f>Settings!$A$1</f>
        <v>V2</v>
      </c>
    </row>
    <row r="177" spans="1:43" s="852" customFormat="1" ht="12.75" customHeight="1" x14ac:dyDescent="0.2">
      <c r="A177" s="852">
        <f>'Input-FX Rates'!$C$4</f>
        <v>242</v>
      </c>
      <c r="B177" s="852" t="str">
        <f>'Input-FX Rates'!$B$4</f>
        <v>ICH Icheon (242)</v>
      </c>
      <c r="C177" s="852">
        <f>'Input-FX Rates'!$C$6</f>
        <v>780</v>
      </c>
      <c r="D177" s="852" t="str">
        <f>'Input-FX Rates'!$B$6</f>
        <v>780 BU Controls</v>
      </c>
      <c r="E177" s="852" t="str">
        <f>'Input-FX Rates'!$C$5</f>
        <v>7851</v>
      </c>
      <c r="F177" s="852" t="str">
        <f>'Input-FX Rates'!$B$5</f>
        <v>7851 PL eMotor Controls</v>
      </c>
      <c r="G177" s="852" t="s">
        <v>536</v>
      </c>
      <c r="H177" s="852" t="s">
        <v>379</v>
      </c>
      <c r="I177" s="853"/>
      <c r="J177" s="853"/>
      <c r="K177" s="854">
        <f>'5.1 Inventory (GC)'!C25</f>
        <v>684.96927233706401</v>
      </c>
      <c r="L177" s="854">
        <f>'5.1 Inventory (GC)'!D25</f>
        <v>864.47216755693</v>
      </c>
      <c r="M177" s="853"/>
      <c r="N177" s="853"/>
      <c r="O177" s="854">
        <f>'5.1 Inventory (GC)'!Q25</f>
        <v>3028.3565768089943</v>
      </c>
      <c r="P177" s="853"/>
      <c r="Q177" s="853"/>
      <c r="R177" s="853"/>
      <c r="S177" s="853"/>
      <c r="T177" s="853"/>
      <c r="U177" s="853"/>
      <c r="V177" s="853"/>
      <c r="W177" s="854">
        <f>'5.1 Inventory (GC)'!F25</f>
        <v>835.91605666872761</v>
      </c>
      <c r="X177" s="854">
        <f>'5.1 Inventory (GC)'!G25</f>
        <v>1105.9341425986659</v>
      </c>
      <c r="Y177" s="854">
        <f>'5.1 Inventory (GC)'!H25</f>
        <v>1012.2206234396261</v>
      </c>
      <c r="Z177" s="854">
        <f>'5.1 Inventory (GC)'!I25</f>
        <v>842.63541543995029</v>
      </c>
      <c r="AA177" s="854">
        <f>'5.1 Inventory (GC)'!J25</f>
        <v>860.70070234585808</v>
      </c>
      <c r="AB177" s="854">
        <f>'5.1 Inventory (GC)'!K25</f>
        <v>2831.0813453170376</v>
      </c>
      <c r="AC177" s="854">
        <f>'5.1 Inventory (GC)'!L25</f>
        <v>2928.8236939334779</v>
      </c>
      <c r="AD177" s="854">
        <f>'5.1 Inventory (GC)'!M25</f>
        <v>2501.7096754364356</v>
      </c>
      <c r="AE177" s="854">
        <f>'5.1 Inventory (GC)'!N25</f>
        <v>2156.5424033287713</v>
      </c>
      <c r="AF177" s="854">
        <f>'5.1 Inventory (GC)'!O25</f>
        <v>2481.7565768089944</v>
      </c>
      <c r="AG177" s="854">
        <f>'5.1 Inventory (GC)'!P25</f>
        <v>2697.0967960112425</v>
      </c>
      <c r="AH177" s="854">
        <f>'5.1 Inventory (GC)'!Q25</f>
        <v>3028.3565768089943</v>
      </c>
      <c r="AI177" s="853"/>
      <c r="AJ177" s="853"/>
      <c r="AK177" s="853"/>
      <c r="AL177" s="853"/>
      <c r="AM177" s="853"/>
      <c r="AN177" s="853"/>
      <c r="AO177" s="852" t="str">
        <f>'5.1 Inventory (GC)'!S25</f>
        <v/>
      </c>
      <c r="AP177" s="852">
        <v>143</v>
      </c>
      <c r="AQ177" s="852" t="str">
        <f>Settings!$A$1</f>
        <v>V2</v>
      </c>
    </row>
    <row r="178" spans="1:43" s="852" customFormat="1" ht="12.75" customHeight="1" x14ac:dyDescent="0.2">
      <c r="A178" s="852">
        <f>'Input-FX Rates'!$C$4</f>
        <v>242</v>
      </c>
      <c r="B178" s="852" t="str">
        <f>'Input-FX Rates'!$B$4</f>
        <v>ICH Icheon (242)</v>
      </c>
      <c r="C178" s="852">
        <f>'Input-FX Rates'!$C$6</f>
        <v>780</v>
      </c>
      <c r="D178" s="852" t="str">
        <f>'Input-FX Rates'!$B$6</f>
        <v>780 BU Controls</v>
      </c>
      <c r="E178" s="852" t="str">
        <f>'Input-FX Rates'!$C$5</f>
        <v>7851</v>
      </c>
      <c r="F178" s="852" t="str">
        <f>'Input-FX Rates'!$B$5</f>
        <v>7851 PL eMotor Controls</v>
      </c>
      <c r="G178" s="852" t="s">
        <v>536</v>
      </c>
      <c r="H178" s="852" t="s">
        <v>376</v>
      </c>
      <c r="I178" s="853"/>
      <c r="J178" s="853"/>
      <c r="K178" s="854">
        <f>'5.1 Inventory (GC)'!C26</f>
        <v>0</v>
      </c>
      <c r="L178" s="854">
        <f>'5.1 Inventory (GC)'!D26</f>
        <v>0</v>
      </c>
      <c r="M178" s="853"/>
      <c r="N178" s="853"/>
      <c r="O178" s="854">
        <f>'5.1 Inventory (GC)'!Q26</f>
        <v>0</v>
      </c>
      <c r="P178" s="853"/>
      <c r="Q178" s="853"/>
      <c r="R178" s="853"/>
      <c r="S178" s="853"/>
      <c r="T178" s="853"/>
      <c r="U178" s="853"/>
      <c r="V178" s="853"/>
      <c r="W178" s="854">
        <f>'5.1 Inventory (GC)'!F26</f>
        <v>0</v>
      </c>
      <c r="X178" s="854">
        <f>'5.1 Inventory (GC)'!G26</f>
        <v>0</v>
      </c>
      <c r="Y178" s="854">
        <f>'5.1 Inventory (GC)'!H26</f>
        <v>0</v>
      </c>
      <c r="Z178" s="854">
        <f>'5.1 Inventory (GC)'!I26</f>
        <v>0</v>
      </c>
      <c r="AA178" s="854">
        <f>'5.1 Inventory (GC)'!J26</f>
        <v>0</v>
      </c>
      <c r="AB178" s="854">
        <f>'5.1 Inventory (GC)'!K26</f>
        <v>0</v>
      </c>
      <c r="AC178" s="854">
        <f>'5.1 Inventory (GC)'!L26</f>
        <v>0</v>
      </c>
      <c r="AD178" s="854">
        <f>'5.1 Inventory (GC)'!M26</f>
        <v>0</v>
      </c>
      <c r="AE178" s="854">
        <f>'5.1 Inventory (GC)'!N26</f>
        <v>0</v>
      </c>
      <c r="AF178" s="854">
        <f>'5.1 Inventory (GC)'!O26</f>
        <v>0</v>
      </c>
      <c r="AG178" s="854">
        <f>'5.1 Inventory (GC)'!P26</f>
        <v>0</v>
      </c>
      <c r="AH178" s="854">
        <f>'5.1 Inventory (GC)'!Q26</f>
        <v>0</v>
      </c>
      <c r="AI178" s="853"/>
      <c r="AJ178" s="853"/>
      <c r="AK178" s="853"/>
      <c r="AL178" s="853"/>
      <c r="AM178" s="853"/>
      <c r="AN178" s="853"/>
      <c r="AO178" s="852" t="str">
        <f>'5.1 Inventory (GC)'!S26</f>
        <v/>
      </c>
      <c r="AP178" s="852">
        <v>144</v>
      </c>
      <c r="AQ178" s="852" t="str">
        <f>Settings!$A$1</f>
        <v>V2</v>
      </c>
    </row>
    <row r="179" spans="1:43" s="852" customFormat="1" ht="12.75" customHeight="1" x14ac:dyDescent="0.2">
      <c r="A179" s="852">
        <f>'Input-FX Rates'!$C$4</f>
        <v>242</v>
      </c>
      <c r="B179" s="852" t="str">
        <f>'Input-FX Rates'!$B$4</f>
        <v>ICH Icheon (242)</v>
      </c>
      <c r="C179" s="852">
        <f>'Input-FX Rates'!$C$6</f>
        <v>780</v>
      </c>
      <c r="D179" s="852" t="str">
        <f>'Input-FX Rates'!$B$6</f>
        <v>780 BU Controls</v>
      </c>
      <c r="E179" s="852" t="str">
        <f>'Input-FX Rates'!$C$5</f>
        <v>7851</v>
      </c>
      <c r="F179" s="852" t="str">
        <f>'Input-FX Rates'!$B$5</f>
        <v>7851 PL eMotor Controls</v>
      </c>
      <c r="G179" s="852" t="s">
        <v>536</v>
      </c>
      <c r="H179" s="852" t="s">
        <v>372</v>
      </c>
      <c r="I179" s="853"/>
      <c r="J179" s="853"/>
      <c r="K179" s="854">
        <f>'5.1 Inventory (GC)'!C27</f>
        <v>0</v>
      </c>
      <c r="L179" s="854">
        <f>'5.1 Inventory (GC)'!D27</f>
        <v>0</v>
      </c>
      <c r="M179" s="853"/>
      <c r="N179" s="853"/>
      <c r="O179" s="854">
        <f>'5.1 Inventory (GC)'!Q27</f>
        <v>0</v>
      </c>
      <c r="P179" s="853"/>
      <c r="Q179" s="853"/>
      <c r="R179" s="853"/>
      <c r="S179" s="853"/>
      <c r="T179" s="853"/>
      <c r="U179" s="853"/>
      <c r="V179" s="853"/>
      <c r="W179" s="854">
        <f>'5.1 Inventory (GC)'!F27</f>
        <v>0</v>
      </c>
      <c r="X179" s="854">
        <f>'5.1 Inventory (GC)'!G27</f>
        <v>0</v>
      </c>
      <c r="Y179" s="854">
        <f>'5.1 Inventory (GC)'!H27</f>
        <v>0</v>
      </c>
      <c r="Z179" s="854">
        <f>'5.1 Inventory (GC)'!I27</f>
        <v>0</v>
      </c>
      <c r="AA179" s="854">
        <f>'5.1 Inventory (GC)'!J27</f>
        <v>0</v>
      </c>
      <c r="AB179" s="854">
        <f>'5.1 Inventory (GC)'!K27</f>
        <v>0</v>
      </c>
      <c r="AC179" s="854">
        <f>'5.1 Inventory (GC)'!L27</f>
        <v>0</v>
      </c>
      <c r="AD179" s="854">
        <f>'5.1 Inventory (GC)'!M27</f>
        <v>0</v>
      </c>
      <c r="AE179" s="854">
        <f>'5.1 Inventory (GC)'!N27</f>
        <v>0</v>
      </c>
      <c r="AF179" s="854">
        <f>'5.1 Inventory (GC)'!O27</f>
        <v>0</v>
      </c>
      <c r="AG179" s="854">
        <f>'5.1 Inventory (GC)'!P27</f>
        <v>0</v>
      </c>
      <c r="AH179" s="854">
        <f>'5.1 Inventory (GC)'!Q27</f>
        <v>0</v>
      </c>
      <c r="AI179" s="853"/>
      <c r="AJ179" s="853"/>
      <c r="AK179" s="853"/>
      <c r="AL179" s="853"/>
      <c r="AM179" s="853"/>
      <c r="AN179" s="853"/>
      <c r="AO179" s="852" t="str">
        <f>'5.1 Inventory (GC)'!S27</f>
        <v/>
      </c>
      <c r="AP179" s="852">
        <v>145</v>
      </c>
      <c r="AQ179" s="852" t="str">
        <f>Settings!$A$1</f>
        <v>V2</v>
      </c>
    </row>
    <row r="180" spans="1:43" s="852" customFormat="1" ht="12.75" customHeight="1" x14ac:dyDescent="0.2">
      <c r="A180" s="852">
        <f>'Input-FX Rates'!$C$4</f>
        <v>242</v>
      </c>
      <c r="B180" s="852" t="str">
        <f>'Input-FX Rates'!$B$4</f>
        <v>ICH Icheon (242)</v>
      </c>
      <c r="C180" s="852">
        <f>'Input-FX Rates'!$C$6</f>
        <v>780</v>
      </c>
      <c r="D180" s="852" t="str">
        <f>'Input-FX Rates'!$B$6</f>
        <v>780 BU Controls</v>
      </c>
      <c r="E180" s="852" t="str">
        <f>'Input-FX Rates'!$C$5</f>
        <v>7851</v>
      </c>
      <c r="F180" s="852" t="str">
        <f>'Input-FX Rates'!$B$5</f>
        <v>7851 PL eMotor Controls</v>
      </c>
      <c r="G180" s="852" t="s">
        <v>536</v>
      </c>
      <c r="H180" s="852" t="s">
        <v>375</v>
      </c>
      <c r="I180" s="853"/>
      <c r="J180" s="853"/>
      <c r="K180" s="854">
        <f>'5.1 Inventory (GC)'!C28</f>
        <v>0</v>
      </c>
      <c r="L180" s="854">
        <f>'5.1 Inventory (GC)'!D28</f>
        <v>0</v>
      </c>
      <c r="M180" s="853"/>
      <c r="N180" s="853"/>
      <c r="O180" s="854">
        <f>'5.1 Inventory (GC)'!Q28</f>
        <v>0</v>
      </c>
      <c r="P180" s="853"/>
      <c r="Q180" s="853"/>
      <c r="R180" s="853"/>
      <c r="S180" s="853"/>
      <c r="T180" s="853"/>
      <c r="U180" s="853"/>
      <c r="V180" s="853"/>
      <c r="W180" s="854">
        <f>'5.1 Inventory (GC)'!F28</f>
        <v>0</v>
      </c>
      <c r="X180" s="854">
        <f>'5.1 Inventory (GC)'!G28</f>
        <v>0</v>
      </c>
      <c r="Y180" s="854">
        <f>'5.1 Inventory (GC)'!H28</f>
        <v>0</v>
      </c>
      <c r="Z180" s="854">
        <f>'5.1 Inventory (GC)'!I28</f>
        <v>0</v>
      </c>
      <c r="AA180" s="854">
        <f>'5.1 Inventory (GC)'!J28</f>
        <v>0</v>
      </c>
      <c r="AB180" s="854">
        <f>'5.1 Inventory (GC)'!K28</f>
        <v>0</v>
      </c>
      <c r="AC180" s="854">
        <f>'5.1 Inventory (GC)'!L28</f>
        <v>0</v>
      </c>
      <c r="AD180" s="854">
        <f>'5.1 Inventory (GC)'!M28</f>
        <v>0</v>
      </c>
      <c r="AE180" s="854">
        <f>'5.1 Inventory (GC)'!N28</f>
        <v>0</v>
      </c>
      <c r="AF180" s="854">
        <f>'5.1 Inventory (GC)'!O28</f>
        <v>0</v>
      </c>
      <c r="AG180" s="854">
        <f>'5.1 Inventory (GC)'!P28</f>
        <v>0</v>
      </c>
      <c r="AH180" s="854">
        <f>'5.1 Inventory (GC)'!Q28</f>
        <v>0</v>
      </c>
      <c r="AI180" s="853"/>
      <c r="AJ180" s="853"/>
      <c r="AK180" s="853"/>
      <c r="AL180" s="853"/>
      <c r="AM180" s="853"/>
      <c r="AN180" s="853"/>
      <c r="AO180" s="852" t="str">
        <f>'5.1 Inventory (GC)'!S28</f>
        <v/>
      </c>
      <c r="AP180" s="852">
        <v>146</v>
      </c>
      <c r="AQ180" s="852" t="str">
        <f>Settings!$A$1</f>
        <v>V2</v>
      </c>
    </row>
    <row r="181" spans="1:43" s="852" customFormat="1" x14ac:dyDescent="0.2">
      <c r="A181" s="852">
        <f>'Input-FX Rates'!$C$4</f>
        <v>242</v>
      </c>
      <c r="B181" s="852" t="str">
        <f>'Input-FX Rates'!$B$4</f>
        <v>ICH Icheon (242)</v>
      </c>
      <c r="C181" s="852">
        <f>'Input-FX Rates'!$C$6</f>
        <v>780</v>
      </c>
      <c r="D181" s="852" t="str">
        <f>'Input-FX Rates'!$B$6</f>
        <v>780 BU Controls</v>
      </c>
      <c r="E181" s="852" t="str">
        <f>'Input-FX Rates'!$C$5</f>
        <v>7851</v>
      </c>
      <c r="F181" s="852" t="str">
        <f>'Input-FX Rates'!$B$5</f>
        <v>7851 PL eMotor Controls</v>
      </c>
      <c r="G181" s="852" t="s">
        <v>536</v>
      </c>
      <c r="H181" s="852" t="s">
        <v>376</v>
      </c>
      <c r="I181" s="853"/>
      <c r="J181" s="853"/>
      <c r="K181" s="854">
        <f>'5.1 Inventory (GC)'!C29</f>
        <v>0</v>
      </c>
      <c r="L181" s="854">
        <f>'5.1 Inventory (GC)'!D29</f>
        <v>0</v>
      </c>
      <c r="M181" s="853"/>
      <c r="N181" s="853"/>
      <c r="O181" s="854">
        <f>'5.1 Inventory (GC)'!Q29</f>
        <v>0</v>
      </c>
      <c r="P181" s="853"/>
      <c r="Q181" s="853"/>
      <c r="R181" s="853"/>
      <c r="S181" s="853"/>
      <c r="T181" s="853"/>
      <c r="U181" s="853"/>
      <c r="V181" s="853"/>
      <c r="W181" s="854">
        <f>'5.1 Inventory (GC)'!F29</f>
        <v>0</v>
      </c>
      <c r="X181" s="854">
        <f>'5.1 Inventory (GC)'!G29</f>
        <v>0</v>
      </c>
      <c r="Y181" s="854">
        <f>'5.1 Inventory (GC)'!H29</f>
        <v>0</v>
      </c>
      <c r="Z181" s="854">
        <f>'5.1 Inventory (GC)'!I29</f>
        <v>0</v>
      </c>
      <c r="AA181" s="854">
        <f>'5.1 Inventory (GC)'!J29</f>
        <v>0</v>
      </c>
      <c r="AB181" s="854">
        <f>'5.1 Inventory (GC)'!K29</f>
        <v>0</v>
      </c>
      <c r="AC181" s="854">
        <f>'5.1 Inventory (GC)'!L29</f>
        <v>0</v>
      </c>
      <c r="AD181" s="854">
        <f>'5.1 Inventory (GC)'!M29</f>
        <v>0</v>
      </c>
      <c r="AE181" s="854">
        <f>'5.1 Inventory (GC)'!N29</f>
        <v>0</v>
      </c>
      <c r="AF181" s="854">
        <f>'5.1 Inventory (GC)'!O29</f>
        <v>0</v>
      </c>
      <c r="AG181" s="854">
        <f>'5.1 Inventory (GC)'!P29</f>
        <v>0</v>
      </c>
      <c r="AH181" s="854">
        <f>'5.1 Inventory (GC)'!Q29</f>
        <v>0</v>
      </c>
      <c r="AI181" s="853"/>
      <c r="AJ181" s="853"/>
      <c r="AK181" s="853"/>
      <c r="AL181" s="853"/>
      <c r="AM181" s="853"/>
      <c r="AN181" s="853"/>
      <c r="AO181" s="852" t="str">
        <f>'5.1 Inventory (GC)'!S29</f>
        <v/>
      </c>
      <c r="AP181" s="852">
        <v>148</v>
      </c>
      <c r="AQ181" s="852" t="str">
        <f>Settings!$A$1</f>
        <v>V2</v>
      </c>
    </row>
    <row r="182" spans="1:43" s="852" customFormat="1" x14ac:dyDescent="0.2">
      <c r="A182" s="852">
        <f>'Input-FX Rates'!$C$4</f>
        <v>242</v>
      </c>
      <c r="B182" s="852" t="str">
        <f>'Input-FX Rates'!$B$4</f>
        <v>ICH Icheon (242)</v>
      </c>
      <c r="C182" s="852">
        <f>'Input-FX Rates'!$C$6</f>
        <v>780</v>
      </c>
      <c r="D182" s="852" t="str">
        <f>'Input-FX Rates'!$B$6</f>
        <v>780 BU Controls</v>
      </c>
      <c r="E182" s="852" t="str">
        <f>'Input-FX Rates'!$C$5</f>
        <v>7851</v>
      </c>
      <c r="F182" s="852" t="str">
        <f>'Input-FX Rates'!$B$5</f>
        <v>7851 PL eMotor Controls</v>
      </c>
      <c r="G182" s="852" t="s">
        <v>536</v>
      </c>
      <c r="H182" s="852" t="s">
        <v>373</v>
      </c>
      <c r="I182" s="853"/>
      <c r="J182" s="853"/>
      <c r="K182" s="854">
        <f>'5.1 Inventory (GC)'!C30</f>
        <v>0</v>
      </c>
      <c r="L182" s="854">
        <f>'5.1 Inventory (GC)'!D30</f>
        <v>0</v>
      </c>
      <c r="M182" s="853"/>
      <c r="N182" s="853"/>
      <c r="O182" s="854">
        <f>'5.1 Inventory (GC)'!Q30</f>
        <v>0</v>
      </c>
      <c r="P182" s="853"/>
      <c r="Q182" s="853"/>
      <c r="R182" s="853"/>
      <c r="S182" s="853"/>
      <c r="T182" s="853"/>
      <c r="U182" s="853"/>
      <c r="V182" s="853"/>
      <c r="W182" s="854">
        <f>'5.1 Inventory (GC)'!F30</f>
        <v>0</v>
      </c>
      <c r="X182" s="854">
        <f>'5.1 Inventory (GC)'!G30</f>
        <v>0</v>
      </c>
      <c r="Y182" s="854">
        <f>'5.1 Inventory (GC)'!H30</f>
        <v>0</v>
      </c>
      <c r="Z182" s="854">
        <f>'5.1 Inventory (GC)'!I30</f>
        <v>0</v>
      </c>
      <c r="AA182" s="854">
        <f>'5.1 Inventory (GC)'!J30</f>
        <v>0</v>
      </c>
      <c r="AB182" s="854">
        <f>'5.1 Inventory (GC)'!K30</f>
        <v>0</v>
      </c>
      <c r="AC182" s="854">
        <f>'5.1 Inventory (GC)'!L30</f>
        <v>0</v>
      </c>
      <c r="AD182" s="854">
        <f>'5.1 Inventory (GC)'!M30</f>
        <v>0</v>
      </c>
      <c r="AE182" s="854">
        <f>'5.1 Inventory (GC)'!N30</f>
        <v>0</v>
      </c>
      <c r="AF182" s="854">
        <f>'5.1 Inventory (GC)'!O30</f>
        <v>0</v>
      </c>
      <c r="AG182" s="854">
        <f>'5.1 Inventory (GC)'!P30</f>
        <v>0</v>
      </c>
      <c r="AH182" s="854">
        <f>'5.1 Inventory (GC)'!Q30</f>
        <v>0</v>
      </c>
      <c r="AI182" s="853"/>
      <c r="AJ182" s="853"/>
      <c r="AK182" s="853"/>
      <c r="AL182" s="853"/>
      <c r="AM182" s="853"/>
      <c r="AN182" s="853"/>
      <c r="AO182" s="852" t="str">
        <f>'5.1 Inventory (GC)'!S30</f>
        <v/>
      </c>
      <c r="AP182" s="852">
        <v>149</v>
      </c>
      <c r="AQ182" s="852" t="str">
        <f>Settings!$A$1</f>
        <v>V2</v>
      </c>
    </row>
    <row r="183" spans="1:43" s="852" customFormat="1" x14ac:dyDescent="0.2">
      <c r="A183" s="852">
        <f>'Input-FX Rates'!$C$4</f>
        <v>242</v>
      </c>
      <c r="B183" s="852" t="str">
        <f>'Input-FX Rates'!$B$4</f>
        <v>ICH Icheon (242)</v>
      </c>
      <c r="C183" s="852">
        <f>'Input-FX Rates'!$C$6</f>
        <v>780</v>
      </c>
      <c r="D183" s="852" t="str">
        <f>'Input-FX Rates'!$B$6</f>
        <v>780 BU Controls</v>
      </c>
      <c r="E183" s="852" t="str">
        <f>'Input-FX Rates'!$C$5</f>
        <v>7851</v>
      </c>
      <c r="F183" s="852" t="str">
        <f>'Input-FX Rates'!$B$5</f>
        <v>7851 PL eMotor Controls</v>
      </c>
      <c r="G183" s="852" t="s">
        <v>536</v>
      </c>
      <c r="H183" s="852" t="s">
        <v>374</v>
      </c>
      <c r="I183" s="853"/>
      <c r="J183" s="853"/>
      <c r="K183" s="854">
        <f>'5.1 Inventory (GC)'!C31</f>
        <v>0</v>
      </c>
      <c r="L183" s="854">
        <f>'5.1 Inventory (GC)'!D31</f>
        <v>0</v>
      </c>
      <c r="M183" s="853"/>
      <c r="N183" s="853"/>
      <c r="O183" s="854">
        <f>'5.1 Inventory (GC)'!Q31</f>
        <v>0</v>
      </c>
      <c r="P183" s="853"/>
      <c r="Q183" s="853"/>
      <c r="R183" s="853"/>
      <c r="S183" s="853"/>
      <c r="T183" s="853"/>
      <c r="U183" s="853"/>
      <c r="V183" s="853"/>
      <c r="W183" s="854">
        <f>'5.1 Inventory (GC)'!F31</f>
        <v>0</v>
      </c>
      <c r="X183" s="854">
        <f>'5.1 Inventory (GC)'!G31</f>
        <v>0</v>
      </c>
      <c r="Y183" s="854">
        <f>'5.1 Inventory (GC)'!H31</f>
        <v>0</v>
      </c>
      <c r="Z183" s="854">
        <f>'5.1 Inventory (GC)'!I31</f>
        <v>0</v>
      </c>
      <c r="AA183" s="854">
        <f>'5.1 Inventory (GC)'!J31</f>
        <v>0</v>
      </c>
      <c r="AB183" s="854">
        <f>'5.1 Inventory (GC)'!K31</f>
        <v>0</v>
      </c>
      <c r="AC183" s="854">
        <f>'5.1 Inventory (GC)'!L31</f>
        <v>0</v>
      </c>
      <c r="AD183" s="854">
        <f>'5.1 Inventory (GC)'!M31</f>
        <v>0</v>
      </c>
      <c r="AE183" s="854">
        <f>'5.1 Inventory (GC)'!N31</f>
        <v>0</v>
      </c>
      <c r="AF183" s="854">
        <f>'5.1 Inventory (GC)'!O31</f>
        <v>0</v>
      </c>
      <c r="AG183" s="854">
        <f>'5.1 Inventory (GC)'!P31</f>
        <v>0</v>
      </c>
      <c r="AH183" s="854">
        <f>'5.1 Inventory (GC)'!Q31</f>
        <v>0</v>
      </c>
      <c r="AI183" s="853"/>
      <c r="AJ183" s="853"/>
      <c r="AK183" s="853"/>
      <c r="AL183" s="853"/>
      <c r="AM183" s="853"/>
      <c r="AN183" s="853"/>
      <c r="AO183" s="852" t="str">
        <f>'5.1 Inventory (GC)'!S31</f>
        <v/>
      </c>
      <c r="AP183" s="852">
        <v>150</v>
      </c>
      <c r="AQ183" s="852" t="str">
        <f>Settings!$A$1</f>
        <v>V2</v>
      </c>
    </row>
    <row r="184" spans="1:43" s="852" customFormat="1" x14ac:dyDescent="0.2">
      <c r="A184" s="852">
        <f>'Input-FX Rates'!$C$4</f>
        <v>242</v>
      </c>
      <c r="B184" s="852" t="str">
        <f>'Input-FX Rates'!$B$4</f>
        <v>ICH Icheon (242)</v>
      </c>
      <c r="C184" s="852">
        <f>'Input-FX Rates'!$C$6</f>
        <v>780</v>
      </c>
      <c r="D184" s="852" t="str">
        <f>'Input-FX Rates'!$B$6</f>
        <v>780 BU Controls</v>
      </c>
      <c r="E184" s="852" t="str">
        <f>'Input-FX Rates'!$C$5</f>
        <v>7851</v>
      </c>
      <c r="F184" s="852" t="str">
        <f>'Input-FX Rates'!$B$5</f>
        <v>7851 PL eMotor Controls</v>
      </c>
      <c r="G184" s="852" t="s">
        <v>536</v>
      </c>
      <c r="H184" s="852" t="s">
        <v>378</v>
      </c>
      <c r="I184" s="853"/>
      <c r="J184" s="853"/>
      <c r="K184" s="854">
        <f>'5.1 Inventory (GC)'!C32</f>
        <v>217.76401602270582</v>
      </c>
      <c r="L184" s="854">
        <f>'5.1 Inventory (GC)'!D32</f>
        <v>907.27860556648864</v>
      </c>
      <c r="M184" s="853"/>
      <c r="N184" s="853"/>
      <c r="O184" s="854">
        <f>'5.1 Inventory (GC)'!Q32</f>
        <v>876.70318250279274</v>
      </c>
      <c r="P184" s="853"/>
      <c r="Q184" s="853"/>
      <c r="R184" s="853"/>
      <c r="S184" s="853"/>
      <c r="T184" s="853"/>
      <c r="U184" s="853"/>
      <c r="V184" s="853"/>
      <c r="W184" s="854">
        <f>'5.1 Inventory (GC)'!F32</f>
        <v>850.80514673661821</v>
      </c>
      <c r="X184" s="854">
        <f>'5.1 Inventory (GC)'!G32</f>
        <v>1125.6327151131459</v>
      </c>
      <c r="Y184" s="854">
        <f>'5.1 Inventory (GC)'!H32</f>
        <v>1030.2499984118331</v>
      </c>
      <c r="Z184" s="854">
        <f>'5.1 Inventory (GC)'!I32</f>
        <v>857.644188742952</v>
      </c>
      <c r="AA184" s="854">
        <f>'5.1 Inventory (GC)'!J32</f>
        <v>876.03124920698008</v>
      </c>
      <c r="AB184" s="854">
        <f>'5.1 Inventory (GC)'!K32</f>
        <v>1015.835364190369</v>
      </c>
      <c r="AC184" s="854">
        <f>'5.1 Inventory (GC)'!L32</f>
        <v>1174.2902737236416</v>
      </c>
      <c r="AD184" s="854">
        <f>'5.1 Inventory (GC)'!M32</f>
        <v>897.01167983352195</v>
      </c>
      <c r="AE184" s="854">
        <f>'5.1 Inventory (GC)'!N32</f>
        <v>781.30463443131953</v>
      </c>
      <c r="AF184" s="854">
        <f>'5.1 Inventory (GC)'!O32</f>
        <v>876.70318250279274</v>
      </c>
      <c r="AG184" s="854">
        <f>'5.1 Inventory (GC)'!P32</f>
        <v>1095.8789781284909</v>
      </c>
      <c r="AH184" s="854">
        <f>'5.1 Inventory (GC)'!Q32</f>
        <v>876.70318250279274</v>
      </c>
      <c r="AI184" s="853"/>
      <c r="AJ184" s="853"/>
      <c r="AK184" s="853"/>
      <c r="AL184" s="853"/>
      <c r="AM184" s="853"/>
      <c r="AN184" s="853"/>
      <c r="AO184" s="852" t="str">
        <f>'5.1 Inventory (GC)'!S32</f>
        <v/>
      </c>
      <c r="AP184" s="852">
        <v>151</v>
      </c>
      <c r="AQ184" s="852" t="str">
        <f>Settings!$A$1</f>
        <v>V2</v>
      </c>
    </row>
    <row r="185" spans="1:43" s="852" customFormat="1" x14ac:dyDescent="0.2">
      <c r="A185" s="852">
        <f>'Input-FX Rates'!$C$4</f>
        <v>242</v>
      </c>
      <c r="B185" s="852" t="str">
        <f>'Input-FX Rates'!$B$4</f>
        <v>ICH Icheon (242)</v>
      </c>
      <c r="C185" s="852">
        <f>'Input-FX Rates'!$C$6</f>
        <v>780</v>
      </c>
      <c r="D185" s="852" t="str">
        <f>'Input-FX Rates'!$B$6</f>
        <v>780 BU Controls</v>
      </c>
      <c r="E185" s="852" t="str">
        <f>'Input-FX Rates'!$C$5</f>
        <v>7851</v>
      </c>
      <c r="F185" s="852" t="str">
        <f>'Input-FX Rates'!$B$5</f>
        <v>7851 PL eMotor Controls</v>
      </c>
      <c r="G185" s="852" t="s">
        <v>536</v>
      </c>
      <c r="H185" s="852" t="s">
        <v>377</v>
      </c>
      <c r="I185" s="853"/>
      <c r="J185" s="853"/>
      <c r="K185" s="854">
        <f>'5.1 Inventory (GC)'!C33</f>
        <v>217.76401602270582</v>
      </c>
      <c r="L185" s="854">
        <f>'5.1 Inventory (GC)'!D33</f>
        <v>907.27860556648864</v>
      </c>
      <c r="M185" s="853"/>
      <c r="N185" s="853"/>
      <c r="O185" s="854">
        <f>'5.1 Inventory (GC)'!Q33</f>
        <v>876.70318250279274</v>
      </c>
      <c r="P185" s="853"/>
      <c r="Q185" s="853"/>
      <c r="R185" s="853"/>
      <c r="S185" s="853"/>
      <c r="T185" s="853"/>
      <c r="U185" s="853"/>
      <c r="V185" s="853"/>
      <c r="W185" s="854">
        <f>'5.1 Inventory (GC)'!F33</f>
        <v>850.80514673661821</v>
      </c>
      <c r="X185" s="854">
        <f>'5.1 Inventory (GC)'!G33</f>
        <v>1125.6327151131459</v>
      </c>
      <c r="Y185" s="854">
        <f>'5.1 Inventory (GC)'!H33</f>
        <v>1030.2499984118331</v>
      </c>
      <c r="Z185" s="854">
        <f>'5.1 Inventory (GC)'!I33</f>
        <v>857.644188742952</v>
      </c>
      <c r="AA185" s="854">
        <f>'5.1 Inventory (GC)'!J33</f>
        <v>876.03124920698008</v>
      </c>
      <c r="AB185" s="854">
        <f>'5.1 Inventory (GC)'!K33</f>
        <v>1015.835364190369</v>
      </c>
      <c r="AC185" s="854">
        <f>'5.1 Inventory (GC)'!L33</f>
        <v>1174.2902737236416</v>
      </c>
      <c r="AD185" s="854">
        <f>'5.1 Inventory (GC)'!M33</f>
        <v>897.01167983352195</v>
      </c>
      <c r="AE185" s="854">
        <f>'5.1 Inventory (GC)'!N33</f>
        <v>781.30463443131953</v>
      </c>
      <c r="AF185" s="854">
        <f>'5.1 Inventory (GC)'!O33</f>
        <v>876.70318250279274</v>
      </c>
      <c r="AG185" s="854">
        <f>'5.1 Inventory (GC)'!P33</f>
        <v>1095.8789781284909</v>
      </c>
      <c r="AH185" s="854">
        <f>'5.1 Inventory (GC)'!Q33</f>
        <v>876.70318250279274</v>
      </c>
      <c r="AI185" s="853"/>
      <c r="AJ185" s="853"/>
      <c r="AK185" s="853"/>
      <c r="AL185" s="853"/>
      <c r="AM185" s="853"/>
      <c r="AN185" s="853"/>
      <c r="AO185" s="852" t="str">
        <f>'5.1 Inventory (GC)'!S33</f>
        <v/>
      </c>
      <c r="AP185" s="852">
        <v>152</v>
      </c>
      <c r="AQ185" s="852" t="str">
        <f>Settings!$A$1</f>
        <v>V2</v>
      </c>
    </row>
    <row r="186" spans="1:43" s="852" customFormat="1" x14ac:dyDescent="0.2">
      <c r="A186" s="852">
        <f>'Input-FX Rates'!$C$4</f>
        <v>242</v>
      </c>
      <c r="B186" s="852" t="str">
        <f>'Input-FX Rates'!$B$4</f>
        <v>ICH Icheon (242)</v>
      </c>
      <c r="C186" s="852">
        <f>'Input-FX Rates'!$C$6</f>
        <v>780</v>
      </c>
      <c r="D186" s="852" t="str">
        <f>'Input-FX Rates'!$B$6</f>
        <v>780 BU Controls</v>
      </c>
      <c r="E186" s="852" t="str">
        <f>'Input-FX Rates'!$C$5</f>
        <v>7851</v>
      </c>
      <c r="F186" s="852" t="str">
        <f>'Input-FX Rates'!$B$5</f>
        <v>7851 PL eMotor Controls</v>
      </c>
      <c r="G186" s="852" t="s">
        <v>536</v>
      </c>
      <c r="H186" s="852" t="s">
        <v>371</v>
      </c>
      <c r="I186" s="853"/>
      <c r="J186" s="853"/>
      <c r="K186" s="854">
        <f>'5.1 Inventory (GC)'!C34</f>
        <v>0</v>
      </c>
      <c r="L186" s="854">
        <f>'5.1 Inventory (GC)'!D34</f>
        <v>0</v>
      </c>
      <c r="M186" s="853"/>
      <c r="N186" s="853"/>
      <c r="O186" s="854">
        <f>'5.1 Inventory (GC)'!Q34</f>
        <v>0</v>
      </c>
      <c r="P186" s="853"/>
      <c r="Q186" s="853"/>
      <c r="R186" s="853"/>
      <c r="S186" s="853"/>
      <c r="T186" s="853"/>
      <c r="U186" s="853"/>
      <c r="V186" s="853"/>
      <c r="W186" s="854">
        <f>'5.1 Inventory (GC)'!F34</f>
        <v>0</v>
      </c>
      <c r="X186" s="854">
        <f>'5.1 Inventory (GC)'!G34</f>
        <v>0</v>
      </c>
      <c r="Y186" s="854">
        <f>'5.1 Inventory (GC)'!H34</f>
        <v>0</v>
      </c>
      <c r="Z186" s="854">
        <f>'5.1 Inventory (GC)'!I34</f>
        <v>0</v>
      </c>
      <c r="AA186" s="854">
        <f>'5.1 Inventory (GC)'!J34</f>
        <v>0</v>
      </c>
      <c r="AB186" s="854">
        <f>'5.1 Inventory (GC)'!K34</f>
        <v>0</v>
      </c>
      <c r="AC186" s="854">
        <f>'5.1 Inventory (GC)'!L34</f>
        <v>0</v>
      </c>
      <c r="AD186" s="854">
        <f>'5.1 Inventory (GC)'!M34</f>
        <v>0</v>
      </c>
      <c r="AE186" s="854">
        <f>'5.1 Inventory (GC)'!N34</f>
        <v>0</v>
      </c>
      <c r="AF186" s="854">
        <f>'5.1 Inventory (GC)'!O34</f>
        <v>0</v>
      </c>
      <c r="AG186" s="854">
        <f>'5.1 Inventory (GC)'!P34</f>
        <v>0</v>
      </c>
      <c r="AH186" s="854">
        <f>'5.1 Inventory (GC)'!Q34</f>
        <v>0</v>
      </c>
      <c r="AI186" s="853"/>
      <c r="AJ186" s="853"/>
      <c r="AK186" s="853"/>
      <c r="AL186" s="853"/>
      <c r="AM186" s="853"/>
      <c r="AN186" s="853"/>
      <c r="AO186" s="852" t="str">
        <f>'5.1 Inventory (GC)'!S34</f>
        <v/>
      </c>
      <c r="AP186" s="852">
        <v>153</v>
      </c>
      <c r="AQ186" s="852" t="str">
        <f>Settings!$A$1</f>
        <v>V2</v>
      </c>
    </row>
    <row r="187" spans="1:43" s="852" customFormat="1" x14ac:dyDescent="0.2">
      <c r="A187" s="852">
        <f>'Input-FX Rates'!$C$4</f>
        <v>242</v>
      </c>
      <c r="B187" s="852" t="str">
        <f>'Input-FX Rates'!$B$4</f>
        <v>ICH Icheon (242)</v>
      </c>
      <c r="C187" s="852">
        <f>'Input-FX Rates'!$C$6</f>
        <v>780</v>
      </c>
      <c r="D187" s="852" t="str">
        <f>'Input-FX Rates'!$B$6</f>
        <v>780 BU Controls</v>
      </c>
      <c r="E187" s="852" t="str">
        <f>'Input-FX Rates'!$C$5</f>
        <v>7851</v>
      </c>
      <c r="F187" s="852" t="str">
        <f>'Input-FX Rates'!$B$5</f>
        <v>7851 PL eMotor Controls</v>
      </c>
      <c r="G187" s="852" t="s">
        <v>536</v>
      </c>
      <c r="H187" s="852" t="s">
        <v>376</v>
      </c>
      <c r="I187" s="853"/>
      <c r="J187" s="853"/>
      <c r="K187" s="854">
        <f>'5.1 Inventory (GC)'!C35</f>
        <v>0</v>
      </c>
      <c r="L187" s="854">
        <f>'5.1 Inventory (GC)'!D35</f>
        <v>0</v>
      </c>
      <c r="M187" s="853"/>
      <c r="N187" s="853"/>
      <c r="O187" s="854">
        <f>'5.1 Inventory (GC)'!Q35</f>
        <v>0</v>
      </c>
      <c r="P187" s="853"/>
      <c r="Q187" s="853"/>
      <c r="R187" s="853"/>
      <c r="S187" s="853"/>
      <c r="T187" s="853"/>
      <c r="U187" s="853"/>
      <c r="V187" s="853"/>
      <c r="W187" s="854">
        <f>'5.1 Inventory (GC)'!F35</f>
        <v>0</v>
      </c>
      <c r="X187" s="854">
        <f>'5.1 Inventory (GC)'!G35</f>
        <v>0</v>
      </c>
      <c r="Y187" s="854">
        <f>'5.1 Inventory (GC)'!H35</f>
        <v>0</v>
      </c>
      <c r="Z187" s="854">
        <f>'5.1 Inventory (GC)'!I35</f>
        <v>0</v>
      </c>
      <c r="AA187" s="854">
        <f>'5.1 Inventory (GC)'!J35</f>
        <v>0</v>
      </c>
      <c r="AB187" s="854">
        <f>'5.1 Inventory (GC)'!K35</f>
        <v>0</v>
      </c>
      <c r="AC187" s="854">
        <f>'5.1 Inventory (GC)'!L35</f>
        <v>0</v>
      </c>
      <c r="AD187" s="854">
        <f>'5.1 Inventory (GC)'!M35</f>
        <v>0</v>
      </c>
      <c r="AE187" s="854">
        <f>'5.1 Inventory (GC)'!N35</f>
        <v>0</v>
      </c>
      <c r="AF187" s="854">
        <f>'5.1 Inventory (GC)'!O35</f>
        <v>0</v>
      </c>
      <c r="AG187" s="854">
        <f>'5.1 Inventory (GC)'!P35</f>
        <v>0</v>
      </c>
      <c r="AH187" s="854">
        <f>'5.1 Inventory (GC)'!Q35</f>
        <v>0</v>
      </c>
      <c r="AI187" s="853"/>
      <c r="AJ187" s="853"/>
      <c r="AK187" s="853"/>
      <c r="AL187" s="853"/>
      <c r="AM187" s="853"/>
      <c r="AN187" s="853"/>
      <c r="AO187" s="852" t="str">
        <f>'5.1 Inventory (GC)'!S35</f>
        <v/>
      </c>
      <c r="AP187" s="852">
        <v>154</v>
      </c>
      <c r="AQ187" s="852" t="str">
        <f>Settings!$A$1</f>
        <v>V2</v>
      </c>
    </row>
    <row r="188" spans="1:43" s="852" customFormat="1" x14ac:dyDescent="0.2">
      <c r="A188" s="852">
        <f>'Input-FX Rates'!$C$4</f>
        <v>242</v>
      </c>
      <c r="B188" s="852" t="str">
        <f>'Input-FX Rates'!$B$4</f>
        <v>ICH Icheon (242)</v>
      </c>
      <c r="C188" s="852">
        <f>'Input-FX Rates'!$C$6</f>
        <v>780</v>
      </c>
      <c r="D188" s="852" t="str">
        <f>'Input-FX Rates'!$B$6</f>
        <v>780 BU Controls</v>
      </c>
      <c r="E188" s="852" t="str">
        <f>'Input-FX Rates'!$C$5</f>
        <v>7851</v>
      </c>
      <c r="F188" s="852" t="str">
        <f>'Input-FX Rates'!$B$5</f>
        <v>7851 PL eMotor Controls</v>
      </c>
      <c r="G188" s="852" t="s">
        <v>536</v>
      </c>
      <c r="H188" s="852" t="s">
        <v>1123</v>
      </c>
      <c r="I188" s="853"/>
      <c r="J188" s="853"/>
      <c r="K188" s="854">
        <f>'5.1 Inventory (GC)'!C36</f>
        <v>0</v>
      </c>
      <c r="L188" s="854">
        <f>'5.1 Inventory (GC)'!D36</f>
        <v>0</v>
      </c>
      <c r="M188" s="853"/>
      <c r="N188" s="853"/>
      <c r="O188" s="854">
        <f>'5.1 Inventory (GC)'!Q36</f>
        <v>0</v>
      </c>
      <c r="P188" s="853"/>
      <c r="Q188" s="853"/>
      <c r="R188" s="853"/>
      <c r="S188" s="853"/>
      <c r="T188" s="853"/>
      <c r="U188" s="853"/>
      <c r="V188" s="853"/>
      <c r="W188" s="854">
        <f>'5.1 Inventory (GC)'!F36</f>
        <v>0</v>
      </c>
      <c r="X188" s="854">
        <f>'5.1 Inventory (GC)'!G36</f>
        <v>0</v>
      </c>
      <c r="Y188" s="854">
        <f>'5.1 Inventory (GC)'!H36</f>
        <v>0</v>
      </c>
      <c r="Z188" s="854">
        <f>'5.1 Inventory (GC)'!I36</f>
        <v>0</v>
      </c>
      <c r="AA188" s="854">
        <f>'5.1 Inventory (GC)'!J36</f>
        <v>0</v>
      </c>
      <c r="AB188" s="854">
        <f>'5.1 Inventory (GC)'!K36</f>
        <v>0</v>
      </c>
      <c r="AC188" s="854">
        <f>'5.1 Inventory (GC)'!L36</f>
        <v>0</v>
      </c>
      <c r="AD188" s="854">
        <f>'5.1 Inventory (GC)'!M36</f>
        <v>0</v>
      </c>
      <c r="AE188" s="854">
        <f>'5.1 Inventory (GC)'!N36</f>
        <v>0</v>
      </c>
      <c r="AF188" s="854">
        <f>'5.1 Inventory (GC)'!O36</f>
        <v>0</v>
      </c>
      <c r="AG188" s="854">
        <f>'5.1 Inventory (GC)'!P36</f>
        <v>0</v>
      </c>
      <c r="AH188" s="854">
        <f>'5.1 Inventory (GC)'!Q36</f>
        <v>0</v>
      </c>
      <c r="AI188" s="853"/>
      <c r="AJ188" s="853"/>
      <c r="AK188" s="853"/>
      <c r="AL188" s="853"/>
      <c r="AM188" s="853"/>
      <c r="AN188" s="853"/>
      <c r="AO188" s="852" t="str">
        <f>'5.1 Inventory (GC)'!S36</f>
        <v/>
      </c>
      <c r="AP188" s="852">
        <v>155</v>
      </c>
      <c r="AQ188" s="852" t="str">
        <f>Settings!$A$1</f>
        <v>V2</v>
      </c>
    </row>
    <row r="189" spans="1:43" s="852" customFormat="1" x14ac:dyDescent="0.2">
      <c r="A189" s="852">
        <f>'Input-FX Rates'!$C$4</f>
        <v>242</v>
      </c>
      <c r="B189" s="852" t="str">
        <f>'Input-FX Rates'!$B$4</f>
        <v>ICH Icheon (242)</v>
      </c>
      <c r="C189" s="852">
        <f>'Input-FX Rates'!$C$6</f>
        <v>780</v>
      </c>
      <c r="D189" s="852" t="str">
        <f>'Input-FX Rates'!$B$6</f>
        <v>780 BU Controls</v>
      </c>
      <c r="E189" s="852" t="str">
        <f>'Input-FX Rates'!$C$5</f>
        <v>7851</v>
      </c>
      <c r="F189" s="852" t="str">
        <f>'Input-FX Rates'!$B$5</f>
        <v>7851 PL eMotor Controls</v>
      </c>
      <c r="G189" s="852" t="s">
        <v>536</v>
      </c>
      <c r="H189" s="852" t="s">
        <v>372</v>
      </c>
      <c r="I189" s="853"/>
      <c r="J189" s="853"/>
      <c r="K189" s="854">
        <f>'5.1 Inventory (GC)'!C37</f>
        <v>0</v>
      </c>
      <c r="L189" s="854">
        <f>'5.1 Inventory (GC)'!D37</f>
        <v>0</v>
      </c>
      <c r="M189" s="853"/>
      <c r="N189" s="853"/>
      <c r="O189" s="854">
        <f>'5.1 Inventory (GC)'!Q37</f>
        <v>0</v>
      </c>
      <c r="P189" s="853"/>
      <c r="Q189" s="853"/>
      <c r="R189" s="853"/>
      <c r="S189" s="853"/>
      <c r="T189" s="853"/>
      <c r="U189" s="853"/>
      <c r="V189" s="853"/>
      <c r="W189" s="854">
        <f>'5.1 Inventory (GC)'!F37</f>
        <v>0</v>
      </c>
      <c r="X189" s="854">
        <f>'5.1 Inventory (GC)'!G37</f>
        <v>0</v>
      </c>
      <c r="Y189" s="854">
        <f>'5.1 Inventory (GC)'!H37</f>
        <v>0</v>
      </c>
      <c r="Z189" s="854">
        <f>'5.1 Inventory (GC)'!I37</f>
        <v>0</v>
      </c>
      <c r="AA189" s="854">
        <f>'5.1 Inventory (GC)'!J37</f>
        <v>0</v>
      </c>
      <c r="AB189" s="854">
        <f>'5.1 Inventory (GC)'!K37</f>
        <v>0</v>
      </c>
      <c r="AC189" s="854">
        <f>'5.1 Inventory (GC)'!L37</f>
        <v>0</v>
      </c>
      <c r="AD189" s="854">
        <f>'5.1 Inventory (GC)'!M37</f>
        <v>0</v>
      </c>
      <c r="AE189" s="854">
        <f>'5.1 Inventory (GC)'!N37</f>
        <v>0</v>
      </c>
      <c r="AF189" s="854">
        <f>'5.1 Inventory (GC)'!O37</f>
        <v>0</v>
      </c>
      <c r="AG189" s="854">
        <f>'5.1 Inventory (GC)'!P37</f>
        <v>0</v>
      </c>
      <c r="AH189" s="854">
        <f>'5.1 Inventory (GC)'!Q37</f>
        <v>0</v>
      </c>
      <c r="AI189" s="853"/>
      <c r="AJ189" s="853"/>
      <c r="AK189" s="853"/>
      <c r="AL189" s="853"/>
      <c r="AM189" s="853"/>
      <c r="AN189" s="853"/>
      <c r="AO189" s="852" t="str">
        <f>'5.1 Inventory (GC)'!S37</f>
        <v/>
      </c>
      <c r="AP189" s="852">
        <v>157</v>
      </c>
      <c r="AQ189" s="852" t="str">
        <f>Settings!$A$1</f>
        <v>V2</v>
      </c>
    </row>
    <row r="190" spans="1:43" s="852" customFormat="1" x14ac:dyDescent="0.2">
      <c r="A190" s="852">
        <f>'Input-FX Rates'!$C$4</f>
        <v>242</v>
      </c>
      <c r="B190" s="852" t="str">
        <f>'Input-FX Rates'!$B$4</f>
        <v>ICH Icheon (242)</v>
      </c>
      <c r="C190" s="852">
        <f>'Input-FX Rates'!$C$6</f>
        <v>780</v>
      </c>
      <c r="D190" s="852" t="str">
        <f>'Input-FX Rates'!$B$6</f>
        <v>780 BU Controls</v>
      </c>
      <c r="E190" s="852" t="str">
        <f>'Input-FX Rates'!$C$5</f>
        <v>7851</v>
      </c>
      <c r="F190" s="852" t="str">
        <f>'Input-FX Rates'!$B$5</f>
        <v>7851 PL eMotor Controls</v>
      </c>
      <c r="G190" s="852" t="s">
        <v>536</v>
      </c>
      <c r="H190" s="852" t="s">
        <v>375</v>
      </c>
      <c r="I190" s="853"/>
      <c r="J190" s="853"/>
      <c r="K190" s="854">
        <f>'5.1 Inventory (GC)'!C38</f>
        <v>0</v>
      </c>
      <c r="L190" s="854">
        <f>'5.1 Inventory (GC)'!D38</f>
        <v>0</v>
      </c>
      <c r="M190" s="853"/>
      <c r="N190" s="853"/>
      <c r="O190" s="854">
        <f>'5.1 Inventory (GC)'!Q38</f>
        <v>0</v>
      </c>
      <c r="P190" s="853"/>
      <c r="Q190" s="853"/>
      <c r="R190" s="853"/>
      <c r="S190" s="853"/>
      <c r="T190" s="853"/>
      <c r="U190" s="853"/>
      <c r="V190" s="853"/>
      <c r="W190" s="854">
        <f>'5.1 Inventory (GC)'!F38</f>
        <v>0</v>
      </c>
      <c r="X190" s="854">
        <f>'5.1 Inventory (GC)'!G38</f>
        <v>0</v>
      </c>
      <c r="Y190" s="854">
        <f>'5.1 Inventory (GC)'!H38</f>
        <v>0</v>
      </c>
      <c r="Z190" s="854">
        <f>'5.1 Inventory (GC)'!I38</f>
        <v>0</v>
      </c>
      <c r="AA190" s="854">
        <f>'5.1 Inventory (GC)'!J38</f>
        <v>0</v>
      </c>
      <c r="AB190" s="854">
        <f>'5.1 Inventory (GC)'!K38</f>
        <v>0</v>
      </c>
      <c r="AC190" s="854">
        <f>'5.1 Inventory (GC)'!L38</f>
        <v>0</v>
      </c>
      <c r="AD190" s="854">
        <f>'5.1 Inventory (GC)'!M38</f>
        <v>0</v>
      </c>
      <c r="AE190" s="854">
        <f>'5.1 Inventory (GC)'!N38</f>
        <v>0</v>
      </c>
      <c r="AF190" s="854">
        <f>'5.1 Inventory (GC)'!O38</f>
        <v>0</v>
      </c>
      <c r="AG190" s="854">
        <f>'5.1 Inventory (GC)'!P38</f>
        <v>0</v>
      </c>
      <c r="AH190" s="854">
        <f>'5.1 Inventory (GC)'!Q38</f>
        <v>0</v>
      </c>
      <c r="AI190" s="853"/>
      <c r="AJ190" s="853"/>
      <c r="AK190" s="853"/>
      <c r="AL190" s="853"/>
      <c r="AM190" s="853"/>
      <c r="AN190" s="853"/>
      <c r="AO190" s="852" t="str">
        <f>'5.1 Inventory (GC)'!S38</f>
        <v/>
      </c>
      <c r="AP190" s="852">
        <v>158</v>
      </c>
      <c r="AQ190" s="852" t="str">
        <f>Settings!$A$1</f>
        <v>V2</v>
      </c>
    </row>
    <row r="191" spans="1:43" s="852" customFormat="1" x14ac:dyDescent="0.2">
      <c r="A191" s="852">
        <f>'Input-FX Rates'!$C$4</f>
        <v>242</v>
      </c>
      <c r="B191" s="852" t="str">
        <f>'Input-FX Rates'!$B$4</f>
        <v>ICH Icheon (242)</v>
      </c>
      <c r="C191" s="852">
        <f>'Input-FX Rates'!$C$6</f>
        <v>780</v>
      </c>
      <c r="D191" s="852" t="str">
        <f>'Input-FX Rates'!$B$6</f>
        <v>780 BU Controls</v>
      </c>
      <c r="E191" s="852" t="str">
        <f>'Input-FX Rates'!$C$5</f>
        <v>7851</v>
      </c>
      <c r="F191" s="852" t="str">
        <f>'Input-FX Rates'!$B$5</f>
        <v>7851 PL eMotor Controls</v>
      </c>
      <c r="G191" s="852" t="s">
        <v>536</v>
      </c>
      <c r="H191" s="852" t="s">
        <v>376</v>
      </c>
      <c r="I191" s="853"/>
      <c r="J191" s="853"/>
      <c r="K191" s="854">
        <f>'5.1 Inventory (GC)'!C39</f>
        <v>0</v>
      </c>
      <c r="L191" s="854">
        <f>'5.1 Inventory (GC)'!D39</f>
        <v>0</v>
      </c>
      <c r="M191" s="853"/>
      <c r="N191" s="853"/>
      <c r="O191" s="854">
        <f>'5.1 Inventory (GC)'!Q39</f>
        <v>0</v>
      </c>
      <c r="P191" s="853"/>
      <c r="Q191" s="853"/>
      <c r="R191" s="853"/>
      <c r="S191" s="853"/>
      <c r="T191" s="853"/>
      <c r="U191" s="853"/>
      <c r="V191" s="853"/>
      <c r="W191" s="854">
        <f>'5.1 Inventory (GC)'!F39</f>
        <v>0</v>
      </c>
      <c r="X191" s="854">
        <f>'5.1 Inventory (GC)'!G39</f>
        <v>0</v>
      </c>
      <c r="Y191" s="854">
        <f>'5.1 Inventory (GC)'!H39</f>
        <v>0</v>
      </c>
      <c r="Z191" s="854">
        <f>'5.1 Inventory (GC)'!I39</f>
        <v>0</v>
      </c>
      <c r="AA191" s="854">
        <f>'5.1 Inventory (GC)'!J39</f>
        <v>0</v>
      </c>
      <c r="AB191" s="854">
        <f>'5.1 Inventory (GC)'!K39</f>
        <v>0</v>
      </c>
      <c r="AC191" s="854">
        <f>'5.1 Inventory (GC)'!L39</f>
        <v>0</v>
      </c>
      <c r="AD191" s="854">
        <f>'5.1 Inventory (GC)'!M39</f>
        <v>0</v>
      </c>
      <c r="AE191" s="854">
        <f>'5.1 Inventory (GC)'!N39</f>
        <v>0</v>
      </c>
      <c r="AF191" s="854">
        <f>'5.1 Inventory (GC)'!O39</f>
        <v>0</v>
      </c>
      <c r="AG191" s="854">
        <f>'5.1 Inventory (GC)'!P39</f>
        <v>0</v>
      </c>
      <c r="AH191" s="854">
        <f>'5.1 Inventory (GC)'!Q39</f>
        <v>0</v>
      </c>
      <c r="AI191" s="853"/>
      <c r="AJ191" s="853"/>
      <c r="AK191" s="853"/>
      <c r="AL191" s="853"/>
      <c r="AM191" s="853"/>
      <c r="AN191" s="853"/>
      <c r="AO191" s="852" t="str">
        <f>'5.1 Inventory (GC)'!S39</f>
        <v/>
      </c>
      <c r="AP191" s="852">
        <v>159</v>
      </c>
      <c r="AQ191" s="852" t="str">
        <f>Settings!$A$1</f>
        <v>V2</v>
      </c>
    </row>
    <row r="192" spans="1:43" s="852" customFormat="1" x14ac:dyDescent="0.2">
      <c r="A192" s="852">
        <f>'Input-FX Rates'!$C$4</f>
        <v>242</v>
      </c>
      <c r="B192" s="852" t="str">
        <f>'Input-FX Rates'!$B$4</f>
        <v>ICH Icheon (242)</v>
      </c>
      <c r="C192" s="852">
        <f>'Input-FX Rates'!$C$6</f>
        <v>780</v>
      </c>
      <c r="D192" s="852" t="str">
        <f>'Input-FX Rates'!$B$6</f>
        <v>780 BU Controls</v>
      </c>
      <c r="E192" s="852" t="str">
        <f>'Input-FX Rates'!$C$5</f>
        <v>7851</v>
      </c>
      <c r="F192" s="852" t="str">
        <f>'Input-FX Rates'!$B$5</f>
        <v>7851 PL eMotor Controls</v>
      </c>
      <c r="G192" s="852" t="s">
        <v>536</v>
      </c>
      <c r="H192" s="852" t="s">
        <v>962</v>
      </c>
      <c r="I192" s="853"/>
      <c r="J192" s="853"/>
      <c r="K192" s="854">
        <f>'5.1 Inventory (GC)'!C40</f>
        <v>0</v>
      </c>
      <c r="L192" s="854">
        <f>'5.1 Inventory (GC)'!D40</f>
        <v>0</v>
      </c>
      <c r="M192" s="853"/>
      <c r="N192" s="853"/>
      <c r="O192" s="854">
        <f>'5.1 Inventory (GC)'!Q40</f>
        <v>0</v>
      </c>
      <c r="P192" s="853"/>
      <c r="Q192" s="853"/>
      <c r="R192" s="853"/>
      <c r="S192" s="853"/>
      <c r="T192" s="853"/>
      <c r="U192" s="853"/>
      <c r="V192" s="853"/>
      <c r="W192" s="854">
        <f>'5.1 Inventory (GC)'!F40</f>
        <v>0</v>
      </c>
      <c r="X192" s="854">
        <f>'5.1 Inventory (GC)'!G40</f>
        <v>0</v>
      </c>
      <c r="Y192" s="854">
        <f>'5.1 Inventory (GC)'!H40</f>
        <v>0</v>
      </c>
      <c r="Z192" s="854">
        <f>'5.1 Inventory (GC)'!I40</f>
        <v>0</v>
      </c>
      <c r="AA192" s="854">
        <f>'5.1 Inventory (GC)'!J40</f>
        <v>0</v>
      </c>
      <c r="AB192" s="854">
        <f>'5.1 Inventory (GC)'!K40</f>
        <v>0</v>
      </c>
      <c r="AC192" s="854">
        <f>'5.1 Inventory (GC)'!L40</f>
        <v>0</v>
      </c>
      <c r="AD192" s="854">
        <f>'5.1 Inventory (GC)'!M40</f>
        <v>0</v>
      </c>
      <c r="AE192" s="854">
        <f>'5.1 Inventory (GC)'!N40</f>
        <v>0</v>
      </c>
      <c r="AF192" s="854">
        <f>'5.1 Inventory (GC)'!O40</f>
        <v>0</v>
      </c>
      <c r="AG192" s="854">
        <f>'5.1 Inventory (GC)'!P40</f>
        <v>0</v>
      </c>
      <c r="AH192" s="854">
        <f>'5.1 Inventory (GC)'!Q40</f>
        <v>0</v>
      </c>
      <c r="AI192" s="853"/>
      <c r="AJ192" s="853"/>
      <c r="AK192" s="853"/>
      <c r="AL192" s="853"/>
      <c r="AM192" s="853"/>
      <c r="AN192" s="853"/>
      <c r="AO192" s="852" t="str">
        <f>'5.1 Inventory (GC)'!S40</f>
        <v/>
      </c>
      <c r="AP192" s="852">
        <v>160</v>
      </c>
      <c r="AQ192" s="852" t="str">
        <f>Settings!$A$1</f>
        <v>V2</v>
      </c>
    </row>
    <row r="193" spans="1:43" s="852" customFormat="1" x14ac:dyDescent="0.2">
      <c r="A193" s="852">
        <f>'Input-FX Rates'!$C$4</f>
        <v>242</v>
      </c>
      <c r="B193" s="852" t="str">
        <f>'Input-FX Rates'!$B$4</f>
        <v>ICH Icheon (242)</v>
      </c>
      <c r="C193" s="852">
        <f>'Input-FX Rates'!$C$6</f>
        <v>780</v>
      </c>
      <c r="D193" s="852" t="str">
        <f>'Input-FX Rates'!$B$6</f>
        <v>780 BU Controls</v>
      </c>
      <c r="E193" s="852" t="str">
        <f>'Input-FX Rates'!$C$5</f>
        <v>7851</v>
      </c>
      <c r="F193" s="852" t="str">
        <f>'Input-FX Rates'!$B$5</f>
        <v>7851 PL eMotor Controls</v>
      </c>
      <c r="G193" s="852" t="s">
        <v>536</v>
      </c>
      <c r="H193" s="852" t="s">
        <v>1123</v>
      </c>
      <c r="I193" s="853"/>
      <c r="J193" s="853"/>
      <c r="K193" s="854">
        <f>'5.1 Inventory (GC)'!C41</f>
        <v>0</v>
      </c>
      <c r="L193" s="854">
        <f>'5.1 Inventory (GC)'!D41</f>
        <v>0</v>
      </c>
      <c r="M193" s="853"/>
      <c r="N193" s="853"/>
      <c r="O193" s="854">
        <f>'5.1 Inventory (GC)'!Q41</f>
        <v>0</v>
      </c>
      <c r="P193" s="853"/>
      <c r="Q193" s="853"/>
      <c r="R193" s="853"/>
      <c r="S193" s="853"/>
      <c r="T193" s="853"/>
      <c r="U193" s="853"/>
      <c r="V193" s="853"/>
      <c r="W193" s="854">
        <f>'5.1 Inventory (GC)'!F41</f>
        <v>0</v>
      </c>
      <c r="X193" s="854">
        <f>'5.1 Inventory (GC)'!G41</f>
        <v>0</v>
      </c>
      <c r="Y193" s="854">
        <f>'5.1 Inventory (GC)'!H41</f>
        <v>0</v>
      </c>
      <c r="Z193" s="854">
        <f>'5.1 Inventory (GC)'!I41</f>
        <v>0</v>
      </c>
      <c r="AA193" s="854">
        <f>'5.1 Inventory (GC)'!J41</f>
        <v>0</v>
      </c>
      <c r="AB193" s="854">
        <f>'5.1 Inventory (GC)'!K41</f>
        <v>0</v>
      </c>
      <c r="AC193" s="854">
        <f>'5.1 Inventory (GC)'!L41</f>
        <v>0</v>
      </c>
      <c r="AD193" s="854">
        <f>'5.1 Inventory (GC)'!M41</f>
        <v>0</v>
      </c>
      <c r="AE193" s="854">
        <f>'5.1 Inventory (GC)'!N41</f>
        <v>0</v>
      </c>
      <c r="AF193" s="854">
        <f>'5.1 Inventory (GC)'!O41</f>
        <v>0</v>
      </c>
      <c r="AG193" s="854">
        <f>'5.1 Inventory (GC)'!P41</f>
        <v>0</v>
      </c>
      <c r="AH193" s="854">
        <f>'5.1 Inventory (GC)'!Q41</f>
        <v>0</v>
      </c>
      <c r="AI193" s="853"/>
      <c r="AJ193" s="853"/>
      <c r="AK193" s="853"/>
      <c r="AL193" s="853"/>
      <c r="AM193" s="853"/>
      <c r="AN193" s="853"/>
      <c r="AO193" s="852" t="str">
        <f>'5.1 Inventory (GC)'!S41</f>
        <v/>
      </c>
      <c r="AP193" s="852">
        <v>161</v>
      </c>
      <c r="AQ193" s="852" t="str">
        <f>Settings!$A$1</f>
        <v>V2</v>
      </c>
    </row>
    <row r="194" spans="1:43" s="852" customFormat="1" x14ac:dyDescent="0.2">
      <c r="A194" s="852">
        <f>'Input-FX Rates'!$C$4</f>
        <v>242</v>
      </c>
      <c r="B194" s="852" t="str">
        <f>'Input-FX Rates'!$B$4</f>
        <v>ICH Icheon (242)</v>
      </c>
      <c r="C194" s="852">
        <f>'Input-FX Rates'!$C$6</f>
        <v>780</v>
      </c>
      <c r="D194" s="852" t="str">
        <f>'Input-FX Rates'!$B$6</f>
        <v>780 BU Controls</v>
      </c>
      <c r="E194" s="852" t="str">
        <f>'Input-FX Rates'!$C$5</f>
        <v>7851</v>
      </c>
      <c r="F194" s="852" t="str">
        <f>'Input-FX Rates'!$B$5</f>
        <v>7851 PL eMotor Controls</v>
      </c>
      <c r="G194" s="852" t="s">
        <v>536</v>
      </c>
      <c r="H194" s="852" t="s">
        <v>373</v>
      </c>
      <c r="I194" s="853"/>
      <c r="J194" s="853"/>
      <c r="K194" s="854">
        <f>'5.1 Inventory (GC)'!C42</f>
        <v>0</v>
      </c>
      <c r="L194" s="854">
        <f>'5.1 Inventory (GC)'!D42</f>
        <v>0</v>
      </c>
      <c r="M194" s="853"/>
      <c r="N194" s="853"/>
      <c r="O194" s="854">
        <f>'5.1 Inventory (GC)'!Q42</f>
        <v>0</v>
      </c>
      <c r="P194" s="853"/>
      <c r="Q194" s="853"/>
      <c r="R194" s="853"/>
      <c r="S194" s="853"/>
      <c r="T194" s="853"/>
      <c r="U194" s="853"/>
      <c r="V194" s="853"/>
      <c r="W194" s="854">
        <f>'5.1 Inventory (GC)'!F42</f>
        <v>0</v>
      </c>
      <c r="X194" s="854">
        <f>'5.1 Inventory (GC)'!G42</f>
        <v>0</v>
      </c>
      <c r="Y194" s="854">
        <f>'5.1 Inventory (GC)'!H42</f>
        <v>0</v>
      </c>
      <c r="Z194" s="854">
        <f>'5.1 Inventory (GC)'!I42</f>
        <v>0</v>
      </c>
      <c r="AA194" s="854">
        <f>'5.1 Inventory (GC)'!J42</f>
        <v>0</v>
      </c>
      <c r="AB194" s="854">
        <f>'5.1 Inventory (GC)'!K42</f>
        <v>0</v>
      </c>
      <c r="AC194" s="854">
        <f>'5.1 Inventory (GC)'!L42</f>
        <v>0</v>
      </c>
      <c r="AD194" s="854">
        <f>'5.1 Inventory (GC)'!M42</f>
        <v>0</v>
      </c>
      <c r="AE194" s="854">
        <f>'5.1 Inventory (GC)'!N42</f>
        <v>0</v>
      </c>
      <c r="AF194" s="854">
        <f>'5.1 Inventory (GC)'!O42</f>
        <v>0</v>
      </c>
      <c r="AG194" s="854">
        <f>'5.1 Inventory (GC)'!P42</f>
        <v>0</v>
      </c>
      <c r="AH194" s="854">
        <f>'5.1 Inventory (GC)'!Q42</f>
        <v>0</v>
      </c>
      <c r="AI194" s="853"/>
      <c r="AJ194" s="853"/>
      <c r="AK194" s="853"/>
      <c r="AL194" s="853"/>
      <c r="AM194" s="853"/>
      <c r="AN194" s="853"/>
      <c r="AO194" s="852" t="str">
        <f>'5.1 Inventory (GC)'!S42</f>
        <v/>
      </c>
      <c r="AP194" s="852">
        <v>162</v>
      </c>
      <c r="AQ194" s="852" t="str">
        <f>Settings!$A$1</f>
        <v>V2</v>
      </c>
    </row>
    <row r="195" spans="1:43" s="852" customFormat="1" x14ac:dyDescent="0.2">
      <c r="A195" s="852">
        <f>'Input-FX Rates'!$C$4</f>
        <v>242</v>
      </c>
      <c r="B195" s="852" t="str">
        <f>'Input-FX Rates'!$B$4</f>
        <v>ICH Icheon (242)</v>
      </c>
      <c r="C195" s="852">
        <f>'Input-FX Rates'!$C$6</f>
        <v>780</v>
      </c>
      <c r="D195" s="852" t="str">
        <f>'Input-FX Rates'!$B$6</f>
        <v>780 BU Controls</v>
      </c>
      <c r="E195" s="852" t="str">
        <f>'Input-FX Rates'!$C$5</f>
        <v>7851</v>
      </c>
      <c r="F195" s="852" t="str">
        <f>'Input-FX Rates'!$B$5</f>
        <v>7851 PL eMotor Controls</v>
      </c>
      <c r="G195" s="852" t="s">
        <v>536</v>
      </c>
      <c r="H195" s="852" t="s">
        <v>374</v>
      </c>
      <c r="I195" s="853"/>
      <c r="J195" s="853"/>
      <c r="K195" s="854">
        <f>'5.1 Inventory (GC)'!C43</f>
        <v>0</v>
      </c>
      <c r="L195" s="854">
        <f>'5.1 Inventory (GC)'!D43</f>
        <v>0</v>
      </c>
      <c r="M195" s="853"/>
      <c r="N195" s="853"/>
      <c r="O195" s="854">
        <f>'5.1 Inventory (GC)'!Q43</f>
        <v>0</v>
      </c>
      <c r="P195" s="853"/>
      <c r="Q195" s="853"/>
      <c r="R195" s="853"/>
      <c r="S195" s="853"/>
      <c r="T195" s="853"/>
      <c r="U195" s="853"/>
      <c r="V195" s="853"/>
      <c r="W195" s="854">
        <f>'5.1 Inventory (GC)'!F43</f>
        <v>0</v>
      </c>
      <c r="X195" s="854">
        <f>'5.1 Inventory (GC)'!G43</f>
        <v>0</v>
      </c>
      <c r="Y195" s="854">
        <f>'5.1 Inventory (GC)'!H43</f>
        <v>0</v>
      </c>
      <c r="Z195" s="854">
        <f>'5.1 Inventory (GC)'!I43</f>
        <v>0</v>
      </c>
      <c r="AA195" s="854">
        <f>'5.1 Inventory (GC)'!J43</f>
        <v>0</v>
      </c>
      <c r="AB195" s="854">
        <f>'5.1 Inventory (GC)'!K43</f>
        <v>0</v>
      </c>
      <c r="AC195" s="854">
        <f>'5.1 Inventory (GC)'!L43</f>
        <v>0</v>
      </c>
      <c r="AD195" s="854">
        <f>'5.1 Inventory (GC)'!M43</f>
        <v>0</v>
      </c>
      <c r="AE195" s="854">
        <f>'5.1 Inventory (GC)'!N43</f>
        <v>0</v>
      </c>
      <c r="AF195" s="854">
        <f>'5.1 Inventory (GC)'!O43</f>
        <v>0</v>
      </c>
      <c r="AG195" s="854">
        <f>'5.1 Inventory (GC)'!P43</f>
        <v>0</v>
      </c>
      <c r="AH195" s="854">
        <f>'5.1 Inventory (GC)'!Q43</f>
        <v>0</v>
      </c>
      <c r="AI195" s="853"/>
      <c r="AJ195" s="853"/>
      <c r="AK195" s="853"/>
      <c r="AL195" s="853"/>
      <c r="AM195" s="853"/>
      <c r="AN195" s="853"/>
      <c r="AO195" s="852" t="str">
        <f>'5.1 Inventory (GC)'!S43</f>
        <v/>
      </c>
      <c r="AP195" s="852">
        <v>163</v>
      </c>
      <c r="AQ195" s="852" t="str">
        <f>Settings!$A$1</f>
        <v>V2</v>
      </c>
    </row>
    <row r="196" spans="1:43" s="852" customFormat="1" x14ac:dyDescent="0.2">
      <c r="A196" s="852">
        <f>'Input-FX Rates'!$C$4</f>
        <v>242</v>
      </c>
      <c r="B196" s="852" t="str">
        <f>'Input-FX Rates'!$B$4</f>
        <v>ICH Icheon (242)</v>
      </c>
      <c r="C196" s="852">
        <f>'Input-FX Rates'!$C$6</f>
        <v>780</v>
      </c>
      <c r="D196" s="852" t="str">
        <f>'Input-FX Rates'!$B$6</f>
        <v>780 BU Controls</v>
      </c>
      <c r="E196" s="852" t="str">
        <f>'Input-FX Rates'!$C$5</f>
        <v>7851</v>
      </c>
      <c r="F196" s="852" t="str">
        <f>'Input-FX Rates'!$B$5</f>
        <v>7851 PL eMotor Controls</v>
      </c>
      <c r="G196" s="852" t="s">
        <v>536</v>
      </c>
      <c r="H196" s="852" t="s">
        <v>369</v>
      </c>
      <c r="I196" s="853"/>
      <c r="J196" s="853"/>
      <c r="K196" s="854">
        <f>'5.1 Inventory (GC)'!C45</f>
        <v>0</v>
      </c>
      <c r="L196" s="854">
        <f>'5.1 Inventory (GC)'!D45</f>
        <v>0</v>
      </c>
      <c r="M196" s="853"/>
      <c r="N196" s="853"/>
      <c r="O196" s="854">
        <f>'5.1 Inventory (GC)'!Q45</f>
        <v>0</v>
      </c>
      <c r="P196" s="853"/>
      <c r="Q196" s="853"/>
      <c r="R196" s="853"/>
      <c r="S196" s="853"/>
      <c r="T196" s="853"/>
      <c r="U196" s="853"/>
      <c r="V196" s="853"/>
      <c r="W196" s="854">
        <f>'5.1 Inventory (GC)'!F45</f>
        <v>0</v>
      </c>
      <c r="X196" s="854">
        <f>'5.1 Inventory (GC)'!G45</f>
        <v>0</v>
      </c>
      <c r="Y196" s="854">
        <f>'5.1 Inventory (GC)'!H45</f>
        <v>0</v>
      </c>
      <c r="Z196" s="854">
        <f>'5.1 Inventory (GC)'!I45</f>
        <v>0</v>
      </c>
      <c r="AA196" s="854">
        <f>'5.1 Inventory (GC)'!J45</f>
        <v>0</v>
      </c>
      <c r="AB196" s="854">
        <f>'5.1 Inventory (GC)'!K45</f>
        <v>0</v>
      </c>
      <c r="AC196" s="854">
        <f>'5.1 Inventory (GC)'!L45</f>
        <v>0</v>
      </c>
      <c r="AD196" s="854">
        <f>'5.1 Inventory (GC)'!M45</f>
        <v>0</v>
      </c>
      <c r="AE196" s="854">
        <f>'5.1 Inventory (GC)'!N45</f>
        <v>0</v>
      </c>
      <c r="AF196" s="854">
        <f>'5.1 Inventory (GC)'!O45</f>
        <v>0</v>
      </c>
      <c r="AG196" s="854">
        <f>'5.1 Inventory (GC)'!P45</f>
        <v>0</v>
      </c>
      <c r="AH196" s="854">
        <f>'5.1 Inventory (GC)'!Q45</f>
        <v>0</v>
      </c>
      <c r="AI196" s="853"/>
      <c r="AJ196" s="853"/>
      <c r="AK196" s="853"/>
      <c r="AL196" s="853"/>
      <c r="AM196" s="853"/>
      <c r="AN196" s="853"/>
      <c r="AO196" s="852" t="str">
        <f>'5.1 Inventory (GC)'!S44</f>
        <v/>
      </c>
      <c r="AP196" s="852">
        <v>164</v>
      </c>
      <c r="AQ196" s="852" t="str">
        <f>Settings!$A$1</f>
        <v>V2</v>
      </c>
    </row>
    <row r="197" spans="1:43" s="852" customFormat="1" x14ac:dyDescent="0.2">
      <c r="A197" s="852">
        <f>'Input-FX Rates'!$C$4</f>
        <v>242</v>
      </c>
      <c r="B197" s="852" t="str">
        <f>'Input-FX Rates'!$B$4</f>
        <v>ICH Icheon (242)</v>
      </c>
      <c r="C197" s="852">
        <f>'Input-FX Rates'!$C$6</f>
        <v>780</v>
      </c>
      <c r="D197" s="852" t="str">
        <f>'Input-FX Rates'!$B$6</f>
        <v>780 BU Controls</v>
      </c>
      <c r="E197" s="852" t="str">
        <f>'Input-FX Rates'!$C$5</f>
        <v>7851</v>
      </c>
      <c r="F197" s="852" t="str">
        <f>'Input-FX Rates'!$B$5</f>
        <v>7851 PL eMotor Controls</v>
      </c>
      <c r="G197" s="852" t="s">
        <v>536</v>
      </c>
      <c r="H197" s="852" t="s">
        <v>368</v>
      </c>
      <c r="I197" s="853"/>
      <c r="J197" s="853"/>
      <c r="K197" s="854">
        <f>'5.1 Inventory (GC)'!C46</f>
        <v>3525.4330793375607</v>
      </c>
      <c r="L197" s="854">
        <f>'5.1 Inventory (GC)'!D46</f>
        <v>3981.6371837222378</v>
      </c>
      <c r="M197" s="853"/>
      <c r="N197" s="853"/>
      <c r="O197" s="854">
        <f>'5.1 Inventory (GC)'!Q46</f>
        <v>6020.1120786206902</v>
      </c>
      <c r="P197" s="853"/>
      <c r="Q197" s="853"/>
      <c r="R197" s="853"/>
      <c r="S197" s="853"/>
      <c r="T197" s="853"/>
      <c r="U197" s="853"/>
      <c r="V197" s="853"/>
      <c r="W197" s="854">
        <f>'5.1 Inventory (GC)'!F46</f>
        <v>5102.5043517241375</v>
      </c>
      <c r="X197" s="854">
        <f>'5.1 Inventory (GC)'!G46</f>
        <v>5093.4714158620682</v>
      </c>
      <c r="Y197" s="854">
        <f>'5.1 Inventory (GC)'!H46</f>
        <v>4566.4038565517239</v>
      </c>
      <c r="Z197" s="854">
        <f>'5.1 Inventory (GC)'!I46</f>
        <v>4292.0672606896542</v>
      </c>
      <c r="AA197" s="854">
        <f>'5.1 Inventory (GC)'!J46</f>
        <v>4134.1427103448268</v>
      </c>
      <c r="AB197" s="854">
        <f>'5.1 Inventory (GC)'!K46</f>
        <v>6397.1023806896546</v>
      </c>
      <c r="AC197" s="854">
        <f>'5.1 Inventory (GC)'!L46</f>
        <v>6728.2666379310349</v>
      </c>
      <c r="AD197" s="854">
        <f>'5.1 Inventory (GC)'!M46</f>
        <v>5513.9808613793102</v>
      </c>
      <c r="AE197" s="854">
        <f>'5.1 Inventory (GC)'!N46</f>
        <v>5160.9598944827585</v>
      </c>
      <c r="AF197" s="854">
        <f>'5.1 Inventory (GC)'!O46</f>
        <v>5696.2088220689657</v>
      </c>
      <c r="AG197" s="854">
        <f>'5.1 Inventory (GC)'!P46</f>
        <v>5679.1488868965516</v>
      </c>
      <c r="AH197" s="854">
        <f>'5.1 Inventory (GC)'!Q46</f>
        <v>6020.1120786206902</v>
      </c>
      <c r="AI197" s="853"/>
      <c r="AJ197" s="853"/>
      <c r="AK197" s="853"/>
      <c r="AL197" s="853"/>
      <c r="AM197" s="853"/>
      <c r="AN197" s="853"/>
      <c r="AO197" s="852" t="str">
        <f>'5.1 Inventory (GC)'!S46</f>
        <v/>
      </c>
      <c r="AP197" s="852">
        <v>165</v>
      </c>
      <c r="AQ197" s="852" t="str">
        <f>Settings!$A$1</f>
        <v>V2</v>
      </c>
    </row>
    <row r="198" spans="1:43" s="855" customFormat="1" x14ac:dyDescent="0.2">
      <c r="A198" s="855">
        <f>'Input-FX Rates'!$C$4</f>
        <v>242</v>
      </c>
      <c r="B198" s="855" t="str">
        <f>'Input-FX Rates'!$B$4</f>
        <v>ICH Icheon (242)</v>
      </c>
      <c r="C198" s="855">
        <f>'Input-FX Rates'!$C$6</f>
        <v>780</v>
      </c>
      <c r="D198" s="855" t="str">
        <f>'Input-FX Rates'!$B$6</f>
        <v>780 BU Controls</v>
      </c>
      <c r="E198" s="855" t="str">
        <f>'Input-FX Rates'!$C$5</f>
        <v>7851</v>
      </c>
      <c r="F198" s="855" t="str">
        <f>'Input-FX Rates'!$B$5</f>
        <v>7851 PL eMotor Controls</v>
      </c>
      <c r="G198" s="855" t="s">
        <v>536</v>
      </c>
      <c r="H198" s="855" t="s">
        <v>367</v>
      </c>
      <c r="I198" s="856"/>
      <c r="J198" s="856"/>
      <c r="K198" s="857">
        <f>'5.1 Inventory (GC)'!C47</f>
        <v>0</v>
      </c>
      <c r="L198" s="857">
        <f>'5.1 Inventory (GC)'!D47</f>
        <v>23.50711449627585</v>
      </c>
      <c r="M198" s="856"/>
      <c r="N198" s="856"/>
      <c r="O198" s="857">
        <f>'5.1 Inventory (GC)'!Q47</f>
        <v>21.568317795326134</v>
      </c>
      <c r="P198" s="856"/>
      <c r="Q198" s="856"/>
      <c r="R198" s="856"/>
      <c r="S198" s="856"/>
      <c r="T198" s="856"/>
      <c r="U198" s="856"/>
      <c r="V198" s="856"/>
      <c r="W198" s="857">
        <f>'5.1 Inventory (GC)'!F47</f>
        <v>25.447051393752993</v>
      </c>
      <c r="X198" s="857">
        <f>'5.1 Inventory (GC)'!G47</f>
        <v>25.492180062268282</v>
      </c>
      <c r="Y198" s="857">
        <f>'5.1 Inventory (GC)'!H47</f>
        <v>28.434561320912742</v>
      </c>
      <c r="Z198" s="857">
        <f>'5.1 Inventory (GC)'!I47</f>
        <v>30.252016706352588</v>
      </c>
      <c r="AA198" s="857">
        <f>'5.1 Inventory (GC)'!J47</f>
        <v>31.407645931105804</v>
      </c>
      <c r="AB198" s="857">
        <f>'5.1 Inventory (GC)'!K47</f>
        <v>20.297266285298111</v>
      </c>
      <c r="AC198" s="857">
        <f>'5.1 Inventory (GC)'!L47</f>
        <v>19.298237935929929</v>
      </c>
      <c r="AD198" s="857">
        <f>'5.1 Inventory (GC)'!M47</f>
        <v>23.548085083975483</v>
      </c>
      <c r="AE198" s="857">
        <f>'5.1 Inventory (GC)'!N47</f>
        <v>25.158825708756183</v>
      </c>
      <c r="AF198" s="857">
        <f>'5.1 Inventory (GC)'!O47</f>
        <v>22.794756044075445</v>
      </c>
      <c r="AG198" s="857">
        <f>'5.1 Inventory (GC)'!P47</f>
        <v>22.863230575757502</v>
      </c>
      <c r="AH198" s="857">
        <f>'5.1 Inventory (GC)'!Q47</f>
        <v>21.568317795326134</v>
      </c>
      <c r="AI198" s="856"/>
      <c r="AJ198" s="856"/>
      <c r="AK198" s="856"/>
      <c r="AL198" s="856"/>
      <c r="AM198" s="856"/>
      <c r="AN198" s="856"/>
      <c r="AO198" s="855" t="str">
        <f>'5.1 Inventory (GC)'!S47</f>
        <v/>
      </c>
      <c r="AP198" s="855">
        <v>166</v>
      </c>
      <c r="AQ198" s="855" t="str">
        <f>Settings!$A$1</f>
        <v>V2</v>
      </c>
    </row>
    <row r="199" spans="1:43" x14ac:dyDescent="0.2">
      <c r="A199" s="451">
        <f>'Input-FX Rates'!$C$4</f>
        <v>242</v>
      </c>
      <c r="B199" s="451" t="str">
        <f>'Input-FX Rates'!$B$4</f>
        <v>ICH Icheon (242)</v>
      </c>
      <c r="C199" s="451">
        <f>'Input-FX Rates'!$C$6</f>
        <v>780</v>
      </c>
      <c r="D199" s="451" t="str">
        <f>'Input-FX Rates'!$B$6</f>
        <v>780 BU Controls</v>
      </c>
      <c r="E199" s="451" t="str">
        <f>'Input-FX Rates'!$C$5</f>
        <v>7851</v>
      </c>
      <c r="F199" s="451" t="str">
        <f>'Input-FX Rates'!$B$5</f>
        <v>7851 PL eMotor Controls</v>
      </c>
      <c r="G199" s="451" t="s">
        <v>503</v>
      </c>
      <c r="H199" s="451" t="s">
        <v>535</v>
      </c>
      <c r="I199" s="535"/>
      <c r="J199" s="535"/>
      <c r="K199" s="536">
        <f>'6. HC (GC)'!C6</f>
        <v>35988.371534659054</v>
      </c>
      <c r="L199" s="536">
        <f>'6. HC (GC)'!D6</f>
        <v>94871.705380828425</v>
      </c>
      <c r="M199" s="535"/>
      <c r="N199" s="535"/>
      <c r="O199" s="536">
        <f>'6. HC (GC)'!Q6</f>
        <v>11314.147975862068</v>
      </c>
      <c r="P199" s="535"/>
      <c r="Q199" s="535"/>
      <c r="R199" s="535"/>
      <c r="S199" s="535"/>
      <c r="T199" s="535"/>
      <c r="U199" s="535"/>
      <c r="V199" s="535"/>
      <c r="W199" s="536">
        <f>'6. HC (GC)'!F6</f>
        <v>10982.754342068965</v>
      </c>
      <c r="X199" s="536">
        <f>'6. HC (GC)'!G6</f>
        <v>9750.9471772413799</v>
      </c>
      <c r="Y199" s="536">
        <f>'6. HC (GC)'!H6</f>
        <v>10665.506346896551</v>
      </c>
      <c r="Z199" s="536">
        <f>'6. HC (GC)'!I6</f>
        <v>11075.910555172413</v>
      </c>
      <c r="AA199" s="536">
        <f>'6. HC (GC)'!J6</f>
        <v>11305.748811034484</v>
      </c>
      <c r="AB199" s="536">
        <f>'6. HC (GC)'!K6</f>
        <v>10529.02819310345</v>
      </c>
      <c r="AC199" s="536">
        <f>'6. HC (GC)'!L6</f>
        <v>12082.924556551725</v>
      </c>
      <c r="AD199" s="536">
        <f>'6. HC (GC)'!M6</f>
        <v>9363.7758931034477</v>
      </c>
      <c r="AE199" s="536">
        <f>'6. HC (GC)'!N6</f>
        <v>10144.650669655173</v>
      </c>
      <c r="AF199" s="536">
        <f>'6. HC (GC)'!O6</f>
        <v>11314.147977241379</v>
      </c>
      <c r="AG199" s="536">
        <f>'6. HC (GC)'!P6</f>
        <v>11314.147977241379</v>
      </c>
      <c r="AH199" s="536">
        <f>'6. HC (GC)'!Q6</f>
        <v>11314.147975862068</v>
      </c>
      <c r="AI199" s="535"/>
      <c r="AJ199" s="535"/>
      <c r="AK199" s="535"/>
      <c r="AL199" s="535"/>
      <c r="AM199" s="535"/>
      <c r="AN199" s="535"/>
      <c r="AO199" s="451" t="str">
        <f>'6. HC (GC)'!U6</f>
        <v/>
      </c>
      <c r="AP199" s="451">
        <v>168</v>
      </c>
      <c r="AQ199" s="451" t="str">
        <f>Settings!$A$1</f>
        <v>V2</v>
      </c>
    </row>
    <row r="200" spans="1:43" x14ac:dyDescent="0.2">
      <c r="A200" s="451">
        <f>'Input-FX Rates'!$C$4</f>
        <v>242</v>
      </c>
      <c r="B200" s="451" t="str">
        <f>'Input-FX Rates'!$B$4</f>
        <v>ICH Icheon (242)</v>
      </c>
      <c r="C200" s="451">
        <f>'Input-FX Rates'!$C$6</f>
        <v>780</v>
      </c>
      <c r="D200" s="451" t="str">
        <f>'Input-FX Rates'!$B$6</f>
        <v>780 BU Controls</v>
      </c>
      <c r="E200" s="451" t="str">
        <f>'Input-FX Rates'!$C$5</f>
        <v>7851</v>
      </c>
      <c r="F200" s="451" t="str">
        <f>'Input-FX Rates'!$B$5</f>
        <v>7851 PL eMotor Controls</v>
      </c>
      <c r="G200" s="451" t="s">
        <v>503</v>
      </c>
      <c r="H200" s="451" t="s">
        <v>534</v>
      </c>
      <c r="I200" s="535"/>
      <c r="J200" s="535"/>
      <c r="K200" s="536">
        <f>'6. HC (GC)'!C7</f>
        <v>23</v>
      </c>
      <c r="L200" s="536">
        <f>'6. HC (GC)'!D7</f>
        <v>54</v>
      </c>
      <c r="M200" s="535"/>
      <c r="N200" s="535"/>
      <c r="O200" s="536">
        <f>'6. HC (GC)'!Q7</f>
        <v>80</v>
      </c>
      <c r="P200" s="535"/>
      <c r="Q200" s="535"/>
      <c r="R200" s="535"/>
      <c r="S200" s="535"/>
      <c r="T200" s="535"/>
      <c r="U200" s="535"/>
      <c r="V200" s="535"/>
      <c r="W200" s="535"/>
      <c r="X200" s="535"/>
      <c r="Y200" s="535"/>
      <c r="Z200" s="535"/>
      <c r="AA200" s="535"/>
      <c r="AB200" s="535"/>
      <c r="AC200" s="535"/>
      <c r="AD200" s="535"/>
      <c r="AE200" s="535"/>
      <c r="AF200" s="535"/>
      <c r="AG200" s="535"/>
      <c r="AH200" s="535"/>
      <c r="AI200" s="535"/>
      <c r="AJ200" s="535"/>
      <c r="AK200" s="535"/>
      <c r="AL200" s="535"/>
      <c r="AM200" s="535"/>
      <c r="AN200" s="535"/>
      <c r="AO200" s="451" t="str">
        <f>'6. HC (GC)'!U7</f>
        <v>SMD 20, operator 57, Sample application 3</v>
      </c>
      <c r="AP200" s="451">
        <v>170</v>
      </c>
      <c r="AQ200" s="451" t="str">
        <f>Settings!$A$1</f>
        <v>V2</v>
      </c>
    </row>
    <row r="201" spans="1:43" x14ac:dyDescent="0.2">
      <c r="A201" s="451">
        <f>'Input-FX Rates'!$C$4</f>
        <v>242</v>
      </c>
      <c r="B201" s="451" t="str">
        <f>'Input-FX Rates'!$B$4</f>
        <v>ICH Icheon (242)</v>
      </c>
      <c r="C201" s="451">
        <f>'Input-FX Rates'!$C$6</f>
        <v>780</v>
      </c>
      <c r="D201" s="451" t="str">
        <f>'Input-FX Rates'!$B$6</f>
        <v>780 BU Controls</v>
      </c>
      <c r="E201" s="451" t="str">
        <f>'Input-FX Rates'!$C$5</f>
        <v>7851</v>
      </c>
      <c r="F201" s="451" t="str">
        <f>'Input-FX Rates'!$B$5</f>
        <v>7851 PL eMotor Controls</v>
      </c>
      <c r="G201" s="451" t="s">
        <v>503</v>
      </c>
      <c r="H201" s="451" t="s">
        <v>533</v>
      </c>
      <c r="I201" s="535"/>
      <c r="J201" s="535"/>
      <c r="K201" s="536">
        <f>'6. HC (GC)'!C8</f>
        <v>5</v>
      </c>
      <c r="L201" s="536">
        <f>'6. HC (GC)'!D8</f>
        <v>7</v>
      </c>
      <c r="M201" s="535"/>
      <c r="N201" s="535"/>
      <c r="O201" s="536">
        <f>'6. HC (GC)'!Q8</f>
        <v>18</v>
      </c>
      <c r="P201" s="535"/>
      <c r="Q201" s="535"/>
      <c r="R201" s="535"/>
      <c r="S201" s="535"/>
      <c r="T201" s="535"/>
      <c r="U201" s="535"/>
      <c r="V201" s="535"/>
      <c r="W201" s="535"/>
      <c r="X201" s="535"/>
      <c r="Y201" s="535"/>
      <c r="Z201" s="535"/>
      <c r="AA201" s="535"/>
      <c r="AB201" s="535"/>
      <c r="AC201" s="535"/>
      <c r="AD201" s="535"/>
      <c r="AE201" s="535"/>
      <c r="AF201" s="535"/>
      <c r="AG201" s="535"/>
      <c r="AH201" s="535"/>
      <c r="AI201" s="535"/>
      <c r="AJ201" s="535"/>
      <c r="AK201" s="535"/>
      <c r="AL201" s="535"/>
      <c r="AM201" s="535"/>
      <c r="AN201" s="535"/>
      <c r="AO201" s="451" t="str">
        <f>'6. HC (GC)'!U8</f>
        <v>SMD technician 3, Repair 4, Technician 11</v>
      </c>
      <c r="AP201" s="451">
        <v>171</v>
      </c>
      <c r="AQ201" s="451" t="str">
        <f>Settings!$A$1</f>
        <v>V2</v>
      </c>
    </row>
    <row r="202" spans="1:43" x14ac:dyDescent="0.2">
      <c r="A202" s="451">
        <f>'Input-FX Rates'!$C$4</f>
        <v>242</v>
      </c>
      <c r="B202" s="451" t="str">
        <f>'Input-FX Rates'!$B$4</f>
        <v>ICH Icheon (242)</v>
      </c>
      <c r="C202" s="451">
        <f>'Input-FX Rates'!$C$6</f>
        <v>780</v>
      </c>
      <c r="D202" s="451" t="str">
        <f>'Input-FX Rates'!$B$6</f>
        <v>780 BU Controls</v>
      </c>
      <c r="E202" s="451" t="str">
        <f>'Input-FX Rates'!$C$5</f>
        <v>7851</v>
      </c>
      <c r="F202" s="451" t="str">
        <f>'Input-FX Rates'!$B$5</f>
        <v>7851 PL eMotor Controls</v>
      </c>
      <c r="G202" s="451" t="s">
        <v>503</v>
      </c>
      <c r="H202" s="451" t="s">
        <v>532</v>
      </c>
      <c r="I202" s="535"/>
      <c r="J202" s="535"/>
      <c r="K202" s="536">
        <f>'6. HC (GC)'!C9</f>
        <v>5</v>
      </c>
      <c r="L202" s="536">
        <f>'6. HC (GC)'!D9</f>
        <v>6</v>
      </c>
      <c r="M202" s="535"/>
      <c r="N202" s="535"/>
      <c r="O202" s="536">
        <f>'6. HC (GC)'!Q9</f>
        <v>6</v>
      </c>
      <c r="P202" s="535"/>
      <c r="Q202" s="535"/>
      <c r="R202" s="535"/>
      <c r="S202" s="535"/>
      <c r="T202" s="535"/>
      <c r="U202" s="535"/>
      <c r="V202" s="535"/>
      <c r="W202" s="535"/>
      <c r="X202" s="535"/>
      <c r="Y202" s="535"/>
      <c r="Z202" s="535"/>
      <c r="AA202" s="535"/>
      <c r="AB202" s="535"/>
      <c r="AC202" s="535"/>
      <c r="AD202" s="535"/>
      <c r="AE202" s="535"/>
      <c r="AF202" s="535"/>
      <c r="AG202" s="535"/>
      <c r="AH202" s="535"/>
      <c r="AI202" s="535"/>
      <c r="AJ202" s="535"/>
      <c r="AK202" s="535"/>
      <c r="AL202" s="535"/>
      <c r="AM202" s="535"/>
      <c r="AN202" s="535"/>
      <c r="AO202" s="451" t="str">
        <f>'6. HC (GC)'!U9</f>
        <v>Int. WH 3 &amp; Rec. WH</v>
      </c>
      <c r="AP202" s="451">
        <v>172</v>
      </c>
      <c r="AQ202" s="451" t="str">
        <f>Settings!$A$1</f>
        <v>V2</v>
      </c>
    </row>
    <row r="203" spans="1:43" x14ac:dyDescent="0.2">
      <c r="A203" s="451">
        <f>'Input-FX Rates'!$C$4</f>
        <v>242</v>
      </c>
      <c r="B203" s="451" t="str">
        <f>'Input-FX Rates'!$B$4</f>
        <v>ICH Icheon (242)</v>
      </c>
      <c r="C203" s="451">
        <f>'Input-FX Rates'!$C$6</f>
        <v>780</v>
      </c>
      <c r="D203" s="451" t="str">
        <f>'Input-FX Rates'!$B$6</f>
        <v>780 BU Controls</v>
      </c>
      <c r="E203" s="451" t="str">
        <f>'Input-FX Rates'!$C$5</f>
        <v>7851</v>
      </c>
      <c r="F203" s="451" t="str">
        <f>'Input-FX Rates'!$B$5</f>
        <v>7851 PL eMotor Controls</v>
      </c>
      <c r="G203" s="451" t="s">
        <v>503</v>
      </c>
      <c r="H203" s="451" t="s">
        <v>531</v>
      </c>
      <c r="I203" s="535"/>
      <c r="J203" s="535"/>
      <c r="K203" s="536">
        <f>'6. HC (GC)'!C10</f>
        <v>2</v>
      </c>
      <c r="L203" s="536">
        <f>'6. HC (GC)'!D10</f>
        <v>3</v>
      </c>
      <c r="M203" s="535"/>
      <c r="N203" s="535"/>
      <c r="O203" s="536">
        <f>'6. HC (GC)'!Q10</f>
        <v>3</v>
      </c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451" t="str">
        <f>'6. HC (GC)'!U10</f>
        <v>Ship WH</v>
      </c>
      <c r="AP203" s="451">
        <v>173</v>
      </c>
      <c r="AQ203" s="451" t="str">
        <f>Settings!$A$1</f>
        <v>V2</v>
      </c>
    </row>
    <row r="204" spans="1:43" x14ac:dyDescent="0.2">
      <c r="A204" s="451">
        <f>'Input-FX Rates'!$C$4</f>
        <v>242</v>
      </c>
      <c r="B204" s="451" t="str">
        <f>'Input-FX Rates'!$B$4</f>
        <v>ICH Icheon (242)</v>
      </c>
      <c r="C204" s="451">
        <f>'Input-FX Rates'!$C$6</f>
        <v>780</v>
      </c>
      <c r="D204" s="451" t="str">
        <f>'Input-FX Rates'!$B$6</f>
        <v>780 BU Controls</v>
      </c>
      <c r="E204" s="451" t="str">
        <f>'Input-FX Rates'!$C$5</f>
        <v>7851</v>
      </c>
      <c r="F204" s="451" t="str">
        <f>'Input-FX Rates'!$B$5</f>
        <v>7851 PL eMotor Controls</v>
      </c>
      <c r="G204" s="451" t="s">
        <v>503</v>
      </c>
      <c r="H204" s="451" t="s">
        <v>530</v>
      </c>
      <c r="I204" s="535"/>
      <c r="J204" s="535"/>
      <c r="K204" s="536">
        <f>'6. HC (GC)'!C11</f>
        <v>35</v>
      </c>
      <c r="L204" s="536">
        <f>'6. HC (GC)'!D11</f>
        <v>70</v>
      </c>
      <c r="M204" s="535"/>
      <c r="N204" s="535"/>
      <c r="O204" s="536">
        <f>'6. HC (GC)'!Q11</f>
        <v>107</v>
      </c>
      <c r="P204" s="535"/>
      <c r="Q204" s="535"/>
      <c r="R204" s="535"/>
      <c r="S204" s="535"/>
      <c r="T204" s="535"/>
      <c r="U204" s="535"/>
      <c r="V204" s="535"/>
      <c r="W204" s="535"/>
      <c r="X204" s="535"/>
      <c r="Y204" s="535"/>
      <c r="Z204" s="535"/>
      <c r="AA204" s="535"/>
      <c r="AB204" s="535"/>
      <c r="AC204" s="535"/>
      <c r="AD204" s="535"/>
      <c r="AE204" s="535"/>
      <c r="AF204" s="535"/>
      <c r="AG204" s="535"/>
      <c r="AH204" s="535"/>
      <c r="AI204" s="535"/>
      <c r="AJ204" s="535"/>
      <c r="AK204" s="535"/>
      <c r="AL204" s="535"/>
      <c r="AM204" s="535"/>
      <c r="AN204" s="535"/>
      <c r="AO204" s="451" t="str">
        <f>'6. HC (GC)'!U11</f>
        <v/>
      </c>
      <c r="AP204" s="451">
        <v>174</v>
      </c>
      <c r="AQ204" s="451" t="str">
        <f>Settings!$A$1</f>
        <v>V2</v>
      </c>
    </row>
    <row r="205" spans="1:43" x14ac:dyDescent="0.2">
      <c r="A205" s="451">
        <f>'Input-FX Rates'!$C$4</f>
        <v>242</v>
      </c>
      <c r="B205" s="451" t="str">
        <f>'Input-FX Rates'!$B$4</f>
        <v>ICH Icheon (242)</v>
      </c>
      <c r="C205" s="451">
        <f>'Input-FX Rates'!$C$6</f>
        <v>780</v>
      </c>
      <c r="D205" s="451" t="str">
        <f>'Input-FX Rates'!$B$6</f>
        <v>780 BU Controls</v>
      </c>
      <c r="E205" s="451" t="str">
        <f>'Input-FX Rates'!$C$5</f>
        <v>7851</v>
      </c>
      <c r="F205" s="451" t="str">
        <f>'Input-FX Rates'!$B$5</f>
        <v>7851 PL eMotor Controls</v>
      </c>
      <c r="G205" s="451" t="s">
        <v>503</v>
      </c>
      <c r="H205" s="451" t="s">
        <v>529</v>
      </c>
      <c r="I205" s="535"/>
      <c r="J205" s="535"/>
      <c r="K205" s="536">
        <f>'6. HC (GC)'!C12</f>
        <v>6</v>
      </c>
      <c r="L205" s="536">
        <f>'6. HC (GC)'!D12</f>
        <v>5</v>
      </c>
      <c r="M205" s="535"/>
      <c r="N205" s="535"/>
      <c r="O205" s="536">
        <f>'6. HC (GC)'!Q12</f>
        <v>6</v>
      </c>
      <c r="P205" s="535"/>
      <c r="Q205" s="535"/>
      <c r="R205" s="535"/>
      <c r="S205" s="535"/>
      <c r="T205" s="535"/>
      <c r="U205" s="535"/>
      <c r="V205" s="535"/>
      <c r="W205" s="536">
        <f>'6. HC (GC)'!F12</f>
        <v>6</v>
      </c>
      <c r="X205" s="536">
        <f>'6. HC (GC)'!G12</f>
        <v>6</v>
      </c>
      <c r="Y205" s="536">
        <f>'6. HC (GC)'!H12</f>
        <v>6</v>
      </c>
      <c r="Z205" s="536">
        <f>'6. HC (GC)'!I12</f>
        <v>6</v>
      </c>
      <c r="AA205" s="536">
        <f>'6. HC (GC)'!J12</f>
        <v>6</v>
      </c>
      <c r="AB205" s="536">
        <f>'6. HC (GC)'!K12</f>
        <v>6</v>
      </c>
      <c r="AC205" s="536">
        <f>'6. HC (GC)'!L12</f>
        <v>6</v>
      </c>
      <c r="AD205" s="536">
        <f>'6. HC (GC)'!M12</f>
        <v>6</v>
      </c>
      <c r="AE205" s="536">
        <f>'6. HC (GC)'!N12</f>
        <v>6</v>
      </c>
      <c r="AF205" s="536">
        <f>'6. HC (GC)'!O12</f>
        <v>6</v>
      </c>
      <c r="AG205" s="536">
        <f>'6. HC (GC)'!P12</f>
        <v>6</v>
      </c>
      <c r="AH205" s="536">
        <f>'6. HC (GC)'!Q12</f>
        <v>6</v>
      </c>
      <c r="AI205" s="535"/>
      <c r="AJ205" s="535"/>
      <c r="AK205" s="535"/>
      <c r="AL205" s="535"/>
      <c r="AM205" s="535"/>
      <c r="AN205" s="535"/>
      <c r="AO205" s="451" t="str">
        <f>'6. HC (GC)'!U12</f>
        <v>Industrial engineering 1 HC</v>
      </c>
      <c r="AP205" s="451">
        <v>175</v>
      </c>
      <c r="AQ205" s="451" t="str">
        <f>Settings!$A$1</f>
        <v>V2</v>
      </c>
    </row>
    <row r="206" spans="1:43" x14ac:dyDescent="0.2">
      <c r="A206" s="451">
        <f>'Input-FX Rates'!$C$4</f>
        <v>242</v>
      </c>
      <c r="B206" s="451" t="str">
        <f>'Input-FX Rates'!$B$4</f>
        <v>ICH Icheon (242)</v>
      </c>
      <c r="C206" s="451">
        <f>'Input-FX Rates'!$C$6</f>
        <v>780</v>
      </c>
      <c r="D206" s="451" t="str">
        <f>'Input-FX Rates'!$B$6</f>
        <v>780 BU Controls</v>
      </c>
      <c r="E206" s="451" t="str">
        <f>'Input-FX Rates'!$C$5</f>
        <v>7851</v>
      </c>
      <c r="F206" s="451" t="str">
        <f>'Input-FX Rates'!$B$5</f>
        <v>7851 PL eMotor Controls</v>
      </c>
      <c r="G206" s="451" t="s">
        <v>503</v>
      </c>
      <c r="H206" s="451" t="s">
        <v>528</v>
      </c>
      <c r="I206" s="535"/>
      <c r="J206" s="535"/>
      <c r="K206" s="536">
        <f>'6. HC (GC)'!C13</f>
        <v>0</v>
      </c>
      <c r="L206" s="536">
        <f>'6. HC (GC)'!D13</f>
        <v>0</v>
      </c>
      <c r="M206" s="535"/>
      <c r="N206" s="535"/>
      <c r="O206" s="536">
        <f>'6. HC (GC)'!Q13</f>
        <v>0</v>
      </c>
      <c r="P206" s="535"/>
      <c r="Q206" s="535"/>
      <c r="R206" s="535"/>
      <c r="S206" s="535"/>
      <c r="T206" s="535"/>
      <c r="U206" s="535"/>
      <c r="V206" s="535"/>
      <c r="W206" s="536">
        <f>'6. HC (GC)'!F13</f>
        <v>0</v>
      </c>
      <c r="X206" s="536">
        <f>'6. HC (GC)'!G13</f>
        <v>0</v>
      </c>
      <c r="Y206" s="536">
        <f>'6. HC (GC)'!H13</f>
        <v>0</v>
      </c>
      <c r="Z206" s="536">
        <f>'6. HC (GC)'!I13</f>
        <v>0</v>
      </c>
      <c r="AA206" s="536">
        <f>'6. HC (GC)'!J13</f>
        <v>0</v>
      </c>
      <c r="AB206" s="536">
        <f>'6. HC (GC)'!K13</f>
        <v>0</v>
      </c>
      <c r="AC206" s="536">
        <f>'6. HC (GC)'!L13</f>
        <v>0</v>
      </c>
      <c r="AD206" s="536">
        <f>'6. HC (GC)'!M13</f>
        <v>0</v>
      </c>
      <c r="AE206" s="536">
        <f>'6. HC (GC)'!N13</f>
        <v>0</v>
      </c>
      <c r="AF206" s="536">
        <f>'6. HC (GC)'!O13</f>
        <v>0</v>
      </c>
      <c r="AG206" s="536">
        <f>'6. HC (GC)'!P13</f>
        <v>0</v>
      </c>
      <c r="AH206" s="536">
        <f>'6. HC (GC)'!Q13</f>
        <v>0</v>
      </c>
      <c r="AI206" s="535"/>
      <c r="AJ206" s="535"/>
      <c r="AK206" s="535"/>
      <c r="AL206" s="535"/>
      <c r="AM206" s="535"/>
      <c r="AN206" s="535"/>
      <c r="AO206" s="451" t="str">
        <f>'6. HC (GC)'!U13</f>
        <v/>
      </c>
      <c r="AP206" s="451">
        <v>176</v>
      </c>
      <c r="AQ206" s="451" t="str">
        <f>Settings!$A$1</f>
        <v>V2</v>
      </c>
    </row>
    <row r="207" spans="1:43" x14ac:dyDescent="0.2">
      <c r="A207" s="451">
        <f>'Input-FX Rates'!$C$4</f>
        <v>242</v>
      </c>
      <c r="B207" s="451" t="str">
        <f>'Input-FX Rates'!$B$4</f>
        <v>ICH Icheon (242)</v>
      </c>
      <c r="C207" s="451">
        <f>'Input-FX Rates'!$C$6</f>
        <v>780</v>
      </c>
      <c r="D207" s="451" t="str">
        <f>'Input-FX Rates'!$B$6</f>
        <v>780 BU Controls</v>
      </c>
      <c r="E207" s="451" t="str">
        <f>'Input-FX Rates'!$C$5</f>
        <v>7851</v>
      </c>
      <c r="F207" s="451" t="str">
        <f>'Input-FX Rates'!$B$5</f>
        <v>7851 PL eMotor Controls</v>
      </c>
      <c r="G207" s="451" t="s">
        <v>503</v>
      </c>
      <c r="H207" s="451" t="s">
        <v>527</v>
      </c>
      <c r="I207" s="535"/>
      <c r="J207" s="535"/>
      <c r="K207" s="536">
        <f>'6. HC (GC)'!C14</f>
        <v>0</v>
      </c>
      <c r="L207" s="536">
        <f>'6. HC (GC)'!D14</f>
        <v>0</v>
      </c>
      <c r="M207" s="535"/>
      <c r="N207" s="535"/>
      <c r="O207" s="536">
        <f>'6. HC (GC)'!Q14</f>
        <v>0</v>
      </c>
      <c r="P207" s="535"/>
      <c r="Q207" s="535"/>
      <c r="R207" s="535"/>
      <c r="S207" s="535"/>
      <c r="T207" s="535"/>
      <c r="U207" s="535"/>
      <c r="V207" s="535"/>
      <c r="W207" s="536">
        <f>'6. HC (GC)'!F14</f>
        <v>0</v>
      </c>
      <c r="X207" s="536">
        <f>'6. HC (GC)'!G14</f>
        <v>0</v>
      </c>
      <c r="Y207" s="536">
        <f>'6. HC (GC)'!H14</f>
        <v>0</v>
      </c>
      <c r="Z207" s="536">
        <f>'6. HC (GC)'!I14</f>
        <v>0</v>
      </c>
      <c r="AA207" s="536">
        <f>'6. HC (GC)'!J14</f>
        <v>0</v>
      </c>
      <c r="AB207" s="536">
        <f>'6. HC (GC)'!K14</f>
        <v>0</v>
      </c>
      <c r="AC207" s="536">
        <f>'6. HC (GC)'!L14</f>
        <v>0</v>
      </c>
      <c r="AD207" s="536">
        <f>'6. HC (GC)'!M14</f>
        <v>0</v>
      </c>
      <c r="AE207" s="536">
        <f>'6. HC (GC)'!N14</f>
        <v>0</v>
      </c>
      <c r="AF207" s="536">
        <f>'6. HC (GC)'!O14</f>
        <v>0</v>
      </c>
      <c r="AG207" s="536">
        <f>'6. HC (GC)'!P14</f>
        <v>0</v>
      </c>
      <c r="AH207" s="536">
        <f>'6. HC (GC)'!Q14</f>
        <v>0</v>
      </c>
      <c r="AI207" s="535"/>
      <c r="AJ207" s="535"/>
      <c r="AK207" s="535"/>
      <c r="AL207" s="535"/>
      <c r="AM207" s="535"/>
      <c r="AN207" s="535"/>
      <c r="AO207" s="451" t="str">
        <f>'6. HC (GC)'!U14</f>
        <v/>
      </c>
      <c r="AP207" s="451">
        <v>177</v>
      </c>
      <c r="AQ207" s="451" t="str">
        <f>Settings!$A$1</f>
        <v>V2</v>
      </c>
    </row>
    <row r="208" spans="1:43" x14ac:dyDescent="0.2">
      <c r="A208" s="451">
        <f>'Input-FX Rates'!$C$4</f>
        <v>242</v>
      </c>
      <c r="B208" s="451" t="str">
        <f>'Input-FX Rates'!$B$4</f>
        <v>ICH Icheon (242)</v>
      </c>
      <c r="C208" s="451">
        <f>'Input-FX Rates'!$C$6</f>
        <v>780</v>
      </c>
      <c r="D208" s="451" t="str">
        <f>'Input-FX Rates'!$B$6</f>
        <v>780 BU Controls</v>
      </c>
      <c r="E208" s="451" t="str">
        <f>'Input-FX Rates'!$C$5</f>
        <v>7851</v>
      </c>
      <c r="F208" s="451" t="str">
        <f>'Input-FX Rates'!$B$5</f>
        <v>7851 PL eMotor Controls</v>
      </c>
      <c r="G208" s="451" t="s">
        <v>503</v>
      </c>
      <c r="H208" s="451" t="s">
        <v>526</v>
      </c>
      <c r="I208" s="535"/>
      <c r="J208" s="535"/>
      <c r="K208" s="536">
        <f>'6. HC (GC)'!C15</f>
        <v>0</v>
      </c>
      <c r="L208" s="536">
        <f>'6. HC (GC)'!D15</f>
        <v>0</v>
      </c>
      <c r="M208" s="535"/>
      <c r="N208" s="535"/>
      <c r="O208" s="536">
        <f>'6. HC (GC)'!Q15</f>
        <v>0</v>
      </c>
      <c r="P208" s="535"/>
      <c r="Q208" s="535"/>
      <c r="R208" s="535"/>
      <c r="S208" s="535"/>
      <c r="T208" s="535"/>
      <c r="U208" s="535"/>
      <c r="V208" s="535"/>
      <c r="W208" s="536">
        <f>'6. HC (GC)'!F15</f>
        <v>0</v>
      </c>
      <c r="X208" s="536">
        <f>'6. HC (GC)'!G15</f>
        <v>0</v>
      </c>
      <c r="Y208" s="536">
        <f>'6. HC (GC)'!H15</f>
        <v>0</v>
      </c>
      <c r="Z208" s="536">
        <f>'6. HC (GC)'!I15</f>
        <v>0</v>
      </c>
      <c r="AA208" s="536">
        <f>'6. HC (GC)'!J15</f>
        <v>0</v>
      </c>
      <c r="AB208" s="536">
        <f>'6. HC (GC)'!K15</f>
        <v>0</v>
      </c>
      <c r="AC208" s="536">
        <f>'6. HC (GC)'!L15</f>
        <v>0</v>
      </c>
      <c r="AD208" s="536">
        <f>'6. HC (GC)'!M15</f>
        <v>0</v>
      </c>
      <c r="AE208" s="536">
        <f>'6. HC (GC)'!N15</f>
        <v>0</v>
      </c>
      <c r="AF208" s="536">
        <f>'6. HC (GC)'!O15</f>
        <v>0</v>
      </c>
      <c r="AG208" s="536">
        <f>'6. HC (GC)'!P15</f>
        <v>0</v>
      </c>
      <c r="AH208" s="536">
        <f>'6. HC (GC)'!Q15</f>
        <v>0</v>
      </c>
      <c r="AI208" s="535"/>
      <c r="AJ208" s="535"/>
      <c r="AK208" s="535"/>
      <c r="AL208" s="535"/>
      <c r="AM208" s="535"/>
      <c r="AN208" s="535"/>
      <c r="AO208" s="451" t="str">
        <f>'6. HC (GC)'!U15</f>
        <v/>
      </c>
      <c r="AP208" s="451">
        <v>178</v>
      </c>
      <c r="AQ208" s="451" t="str">
        <f>Settings!$A$1</f>
        <v>V2</v>
      </c>
    </row>
    <row r="209" spans="1:43" x14ac:dyDescent="0.2">
      <c r="A209" s="451">
        <f>'Input-FX Rates'!$C$4</f>
        <v>242</v>
      </c>
      <c r="B209" s="451" t="str">
        <f>'Input-FX Rates'!$B$4</f>
        <v>ICH Icheon (242)</v>
      </c>
      <c r="C209" s="451">
        <f>'Input-FX Rates'!$C$6</f>
        <v>780</v>
      </c>
      <c r="D209" s="451" t="str">
        <f>'Input-FX Rates'!$B$6</f>
        <v>780 BU Controls</v>
      </c>
      <c r="E209" s="451" t="str">
        <f>'Input-FX Rates'!$C$5</f>
        <v>7851</v>
      </c>
      <c r="F209" s="451" t="str">
        <f>'Input-FX Rates'!$B$5</f>
        <v>7851 PL eMotor Controls</v>
      </c>
      <c r="G209" s="451" t="s">
        <v>503</v>
      </c>
      <c r="H209" s="451" t="s">
        <v>525</v>
      </c>
      <c r="I209" s="535"/>
      <c r="J209" s="535"/>
      <c r="K209" s="536">
        <f>'6. HC (GC)'!C16</f>
        <v>0</v>
      </c>
      <c r="L209" s="536">
        <f>'6. HC (GC)'!D16</f>
        <v>0</v>
      </c>
      <c r="M209" s="535"/>
      <c r="N209" s="535"/>
      <c r="O209" s="536">
        <f>'6. HC (GC)'!Q16</f>
        <v>0</v>
      </c>
      <c r="P209" s="535"/>
      <c r="Q209" s="535"/>
      <c r="R209" s="535"/>
      <c r="S209" s="535"/>
      <c r="T209" s="535"/>
      <c r="U209" s="535"/>
      <c r="V209" s="535"/>
      <c r="W209" s="536">
        <f>'6. HC (GC)'!F16</f>
        <v>0</v>
      </c>
      <c r="X209" s="536">
        <f>'6. HC (GC)'!G16</f>
        <v>0</v>
      </c>
      <c r="Y209" s="536">
        <f>'6. HC (GC)'!H16</f>
        <v>0</v>
      </c>
      <c r="Z209" s="536">
        <f>'6. HC (GC)'!I16</f>
        <v>0</v>
      </c>
      <c r="AA209" s="536">
        <f>'6. HC (GC)'!J16</f>
        <v>0</v>
      </c>
      <c r="AB209" s="536">
        <f>'6. HC (GC)'!K16</f>
        <v>0</v>
      </c>
      <c r="AC209" s="536">
        <f>'6. HC (GC)'!L16</f>
        <v>0</v>
      </c>
      <c r="AD209" s="536">
        <f>'6. HC (GC)'!M16</f>
        <v>0</v>
      </c>
      <c r="AE209" s="536">
        <f>'6. HC (GC)'!N16</f>
        <v>0</v>
      </c>
      <c r="AF209" s="536">
        <f>'6. HC (GC)'!O16</f>
        <v>0</v>
      </c>
      <c r="AG209" s="536">
        <f>'6. HC (GC)'!P16</f>
        <v>0</v>
      </c>
      <c r="AH209" s="536">
        <f>'6. HC (GC)'!Q16</f>
        <v>0</v>
      </c>
      <c r="AI209" s="535"/>
      <c r="AJ209" s="535"/>
      <c r="AK209" s="535"/>
      <c r="AL209" s="535"/>
      <c r="AM209" s="535"/>
      <c r="AN209" s="535"/>
      <c r="AO209" s="451" t="str">
        <f>'6. HC (GC)'!U16</f>
        <v/>
      </c>
      <c r="AP209" s="451">
        <v>179</v>
      </c>
      <c r="AQ209" s="451" t="str">
        <f>Settings!$A$1</f>
        <v>V2</v>
      </c>
    </row>
    <row r="210" spans="1:43" x14ac:dyDescent="0.2">
      <c r="A210" s="451">
        <f>'Input-FX Rates'!$C$4</f>
        <v>242</v>
      </c>
      <c r="B210" s="451" t="str">
        <f>'Input-FX Rates'!$B$4</f>
        <v>ICH Icheon (242)</v>
      </c>
      <c r="C210" s="451">
        <f>'Input-FX Rates'!$C$6</f>
        <v>780</v>
      </c>
      <c r="D210" s="451" t="str">
        <f>'Input-FX Rates'!$B$6</f>
        <v>780 BU Controls</v>
      </c>
      <c r="E210" s="451" t="str">
        <f>'Input-FX Rates'!$C$5</f>
        <v>7851</v>
      </c>
      <c r="F210" s="451" t="str">
        <f>'Input-FX Rates'!$B$5</f>
        <v>7851 PL eMotor Controls</v>
      </c>
      <c r="G210" s="451" t="s">
        <v>503</v>
      </c>
      <c r="H210" s="451" t="s">
        <v>524</v>
      </c>
      <c r="I210" s="535"/>
      <c r="J210" s="535"/>
      <c r="K210" s="536">
        <f>'6. HC (GC)'!C17</f>
        <v>0</v>
      </c>
      <c r="L210" s="536">
        <f>'6. HC (GC)'!D17</f>
        <v>0</v>
      </c>
      <c r="M210" s="535"/>
      <c r="N210" s="535"/>
      <c r="O210" s="536">
        <f>'6. HC (GC)'!Q17</f>
        <v>0</v>
      </c>
      <c r="P210" s="535"/>
      <c r="Q210" s="535"/>
      <c r="R210" s="535"/>
      <c r="S210" s="535"/>
      <c r="T210" s="535"/>
      <c r="U210" s="535"/>
      <c r="V210" s="535"/>
      <c r="W210" s="536">
        <f>'6. HC (GC)'!F17</f>
        <v>0</v>
      </c>
      <c r="X210" s="536">
        <f>'6. HC (GC)'!G17</f>
        <v>0</v>
      </c>
      <c r="Y210" s="536">
        <f>'6. HC (GC)'!H17</f>
        <v>0</v>
      </c>
      <c r="Z210" s="536">
        <f>'6. HC (GC)'!I17</f>
        <v>0</v>
      </c>
      <c r="AA210" s="536">
        <f>'6. HC (GC)'!J17</f>
        <v>0</v>
      </c>
      <c r="AB210" s="536">
        <f>'6. HC (GC)'!K17</f>
        <v>0</v>
      </c>
      <c r="AC210" s="536">
        <f>'6. HC (GC)'!L17</f>
        <v>0</v>
      </c>
      <c r="AD210" s="536">
        <f>'6. HC (GC)'!M17</f>
        <v>0</v>
      </c>
      <c r="AE210" s="536">
        <f>'6. HC (GC)'!N17</f>
        <v>0</v>
      </c>
      <c r="AF210" s="536">
        <f>'6. HC (GC)'!O17</f>
        <v>0</v>
      </c>
      <c r="AG210" s="536">
        <f>'6. HC (GC)'!P17</f>
        <v>0</v>
      </c>
      <c r="AH210" s="536">
        <f>'6. HC (GC)'!Q17</f>
        <v>0</v>
      </c>
      <c r="AI210" s="535"/>
      <c r="AJ210" s="535"/>
      <c r="AK210" s="535"/>
      <c r="AL210" s="535"/>
      <c r="AM210" s="535"/>
      <c r="AN210" s="535"/>
      <c r="AO210" s="451" t="str">
        <f>'6. HC (GC)'!U17</f>
        <v/>
      </c>
      <c r="AP210" s="451">
        <v>180</v>
      </c>
      <c r="AQ210" s="451" t="str">
        <f>Settings!$A$1</f>
        <v>V2</v>
      </c>
    </row>
    <row r="211" spans="1:43" x14ac:dyDescent="0.2">
      <c r="A211" s="451">
        <f>'Input-FX Rates'!$C$4</f>
        <v>242</v>
      </c>
      <c r="B211" s="451" t="str">
        <f>'Input-FX Rates'!$B$4</f>
        <v>ICH Icheon (242)</v>
      </c>
      <c r="C211" s="451">
        <f>'Input-FX Rates'!$C$6</f>
        <v>780</v>
      </c>
      <c r="D211" s="451" t="str">
        <f>'Input-FX Rates'!$B$6</f>
        <v>780 BU Controls</v>
      </c>
      <c r="E211" s="451" t="str">
        <f>'Input-FX Rates'!$C$5</f>
        <v>7851</v>
      </c>
      <c r="F211" s="451" t="str">
        <f>'Input-FX Rates'!$B$5</f>
        <v>7851 PL eMotor Controls</v>
      </c>
      <c r="G211" s="451" t="s">
        <v>503</v>
      </c>
      <c r="H211" s="451" t="s">
        <v>523</v>
      </c>
      <c r="I211" s="535"/>
      <c r="J211" s="535"/>
      <c r="K211" s="536">
        <f>'6. HC (GC)'!C18</f>
        <v>6</v>
      </c>
      <c r="L211" s="536">
        <f>'6. HC (GC)'!D18</f>
        <v>5</v>
      </c>
      <c r="M211" s="535"/>
      <c r="N211" s="535"/>
      <c r="O211" s="536">
        <f>'6. HC (GC)'!Q18</f>
        <v>6</v>
      </c>
      <c r="P211" s="535"/>
      <c r="Q211" s="535"/>
      <c r="R211" s="535"/>
      <c r="S211" s="535"/>
      <c r="T211" s="535"/>
      <c r="U211" s="535"/>
      <c r="V211" s="535"/>
      <c r="W211" s="536">
        <f>'6. HC (GC)'!F18</f>
        <v>6</v>
      </c>
      <c r="X211" s="536">
        <f>'6. HC (GC)'!G18</f>
        <v>6</v>
      </c>
      <c r="Y211" s="536">
        <f>'6. HC (GC)'!H18</f>
        <v>6</v>
      </c>
      <c r="Z211" s="536">
        <f>'6. HC (GC)'!I18</f>
        <v>6</v>
      </c>
      <c r="AA211" s="536">
        <f>'6. HC (GC)'!J18</f>
        <v>6</v>
      </c>
      <c r="AB211" s="536">
        <f>'6. HC (GC)'!K18</f>
        <v>6</v>
      </c>
      <c r="AC211" s="536">
        <f>'6. HC (GC)'!L18</f>
        <v>6</v>
      </c>
      <c r="AD211" s="536">
        <f>'6. HC (GC)'!M18</f>
        <v>6</v>
      </c>
      <c r="AE211" s="536">
        <f>'6. HC (GC)'!N18</f>
        <v>6</v>
      </c>
      <c r="AF211" s="536">
        <f>'6. HC (GC)'!O18</f>
        <v>6</v>
      </c>
      <c r="AG211" s="536">
        <f>'6. HC (GC)'!P18</f>
        <v>6</v>
      </c>
      <c r="AH211" s="536">
        <f>'6. HC (GC)'!Q18</f>
        <v>6</v>
      </c>
      <c r="AI211" s="535"/>
      <c r="AJ211" s="535"/>
      <c r="AK211" s="535"/>
      <c r="AL211" s="535"/>
      <c r="AM211" s="535"/>
      <c r="AN211" s="535"/>
      <c r="AO211" s="451" t="str">
        <f>'6. HC (GC)'!U18</f>
        <v/>
      </c>
      <c r="AP211" s="451">
        <v>181</v>
      </c>
      <c r="AQ211" s="451" t="str">
        <f>Settings!$A$1</f>
        <v>V2</v>
      </c>
    </row>
    <row r="212" spans="1:43" x14ac:dyDescent="0.2">
      <c r="A212" s="451">
        <f>'Input-FX Rates'!$C$4</f>
        <v>242</v>
      </c>
      <c r="B212" s="451" t="str">
        <f>'Input-FX Rates'!$B$4</f>
        <v>ICH Icheon (242)</v>
      </c>
      <c r="C212" s="451">
        <f>'Input-FX Rates'!$C$6</f>
        <v>780</v>
      </c>
      <c r="D212" s="451" t="str">
        <f>'Input-FX Rates'!$B$6</f>
        <v>780 BU Controls</v>
      </c>
      <c r="E212" s="451" t="str">
        <f>'Input-FX Rates'!$C$5</f>
        <v>7851</v>
      </c>
      <c r="F212" s="451" t="str">
        <f>'Input-FX Rates'!$B$5</f>
        <v>7851 PL eMotor Controls</v>
      </c>
      <c r="G212" s="451" t="s">
        <v>503</v>
      </c>
      <c r="H212" s="451" t="s">
        <v>522</v>
      </c>
      <c r="I212" s="535"/>
      <c r="J212" s="535"/>
      <c r="K212" s="536">
        <f>'6. HC (GC)'!C19</f>
        <v>41</v>
      </c>
      <c r="L212" s="536">
        <f>'6. HC (GC)'!D19</f>
        <v>75</v>
      </c>
      <c r="M212" s="535"/>
      <c r="N212" s="535"/>
      <c r="O212" s="536">
        <f>'6. HC (GC)'!Q19</f>
        <v>113</v>
      </c>
      <c r="P212" s="535"/>
      <c r="Q212" s="535"/>
      <c r="R212" s="535"/>
      <c r="S212" s="535"/>
      <c r="T212" s="535"/>
      <c r="U212" s="535"/>
      <c r="V212" s="535"/>
      <c r="W212" s="535"/>
      <c r="X212" s="535"/>
      <c r="Y212" s="535"/>
      <c r="Z212" s="535"/>
      <c r="AA212" s="535"/>
      <c r="AB212" s="535"/>
      <c r="AC212" s="535"/>
      <c r="AD212" s="535"/>
      <c r="AE212" s="535"/>
      <c r="AF212" s="535"/>
      <c r="AG212" s="535"/>
      <c r="AH212" s="535"/>
      <c r="AI212" s="535"/>
      <c r="AJ212" s="535"/>
      <c r="AK212" s="535"/>
      <c r="AL212" s="535"/>
      <c r="AM212" s="535"/>
      <c r="AN212" s="535"/>
      <c r="AO212" s="451" t="str">
        <f>'6. HC (GC)'!U19</f>
        <v/>
      </c>
      <c r="AP212" s="451">
        <v>182</v>
      </c>
      <c r="AQ212" s="451" t="str">
        <f>Settings!$A$1</f>
        <v>V2</v>
      </c>
    </row>
    <row r="213" spans="1:43" s="852" customFormat="1" x14ac:dyDescent="0.2">
      <c r="A213" s="852">
        <f>'Input-FX Rates'!$C$4</f>
        <v>242</v>
      </c>
      <c r="B213" s="852" t="str">
        <f>'Input-FX Rates'!$B$4</f>
        <v>ICH Icheon (242)</v>
      </c>
      <c r="C213" s="852">
        <f>'Input-FX Rates'!$C$6</f>
        <v>780</v>
      </c>
      <c r="D213" s="852" t="str">
        <f>'Input-FX Rates'!$B$6</f>
        <v>780 BU Controls</v>
      </c>
      <c r="E213" s="852" t="str">
        <f>'Input-FX Rates'!$C$5</f>
        <v>7851</v>
      </c>
      <c r="F213" s="852" t="str">
        <f>'Input-FX Rates'!$B$5</f>
        <v>7851 PL eMotor Controls</v>
      </c>
      <c r="G213" s="852" t="s">
        <v>503</v>
      </c>
      <c r="H213" s="852" t="s">
        <v>1439</v>
      </c>
      <c r="I213" s="853"/>
      <c r="J213" s="853"/>
      <c r="K213" s="854">
        <f>'6. HC (GC)'!C21</f>
        <v>0</v>
      </c>
      <c r="L213" s="854">
        <f>'6. HC (GC)'!D21</f>
        <v>0</v>
      </c>
      <c r="M213" s="853"/>
      <c r="N213" s="853"/>
      <c r="O213" s="854">
        <f>'6. HC (GC)'!Q21</f>
        <v>0</v>
      </c>
      <c r="P213" s="853"/>
      <c r="Q213" s="853"/>
      <c r="R213" s="853"/>
      <c r="S213" s="853"/>
      <c r="T213" s="853"/>
      <c r="U213" s="853"/>
      <c r="V213" s="853"/>
      <c r="W213" s="854">
        <f>'6. HC (GC)'!F21</f>
        <v>0</v>
      </c>
      <c r="X213" s="854">
        <f>'6. HC (GC)'!G21</f>
        <v>0</v>
      </c>
      <c r="Y213" s="854">
        <f>'6. HC (GC)'!H21</f>
        <v>0</v>
      </c>
      <c r="Z213" s="854">
        <f>'6. HC (GC)'!I21</f>
        <v>0</v>
      </c>
      <c r="AA213" s="854">
        <f>'6. HC (GC)'!J21</f>
        <v>0</v>
      </c>
      <c r="AB213" s="854">
        <f>'6. HC (GC)'!K21</f>
        <v>0</v>
      </c>
      <c r="AC213" s="854">
        <f>'6. HC (GC)'!L21</f>
        <v>0</v>
      </c>
      <c r="AD213" s="854">
        <f>'6. HC (GC)'!M21</f>
        <v>0</v>
      </c>
      <c r="AE213" s="854">
        <f>'6. HC (GC)'!N21</f>
        <v>0</v>
      </c>
      <c r="AF213" s="854">
        <f>'6. HC (GC)'!O21</f>
        <v>0</v>
      </c>
      <c r="AG213" s="854">
        <f>'6. HC (GC)'!P21</f>
        <v>0</v>
      </c>
      <c r="AH213" s="854">
        <f>'6. HC (GC)'!Q21</f>
        <v>0</v>
      </c>
      <c r="AI213" s="853"/>
      <c r="AJ213" s="853"/>
      <c r="AK213" s="853"/>
      <c r="AL213" s="853"/>
      <c r="AM213" s="853"/>
      <c r="AN213" s="853"/>
      <c r="AO213" s="852" t="str">
        <f>'6. HC (GC)'!U21</f>
        <v/>
      </c>
      <c r="AP213" s="852">
        <v>183</v>
      </c>
      <c r="AQ213" s="852" t="str">
        <f>Settings!$A$1</f>
        <v>V2</v>
      </c>
    </row>
    <row r="214" spans="1:43" s="852" customFormat="1" x14ac:dyDescent="0.2">
      <c r="A214" s="852">
        <f>'Input-FX Rates'!$C$4</f>
        <v>242</v>
      </c>
      <c r="B214" s="852" t="str">
        <f>'Input-FX Rates'!$B$4</f>
        <v>ICH Icheon (242)</v>
      </c>
      <c r="C214" s="852">
        <f>'Input-FX Rates'!$C$6</f>
        <v>780</v>
      </c>
      <c r="D214" s="852" t="str">
        <f>'Input-FX Rates'!$B$6</f>
        <v>780 BU Controls</v>
      </c>
      <c r="E214" s="852" t="str">
        <f>'Input-FX Rates'!$C$5</f>
        <v>7851</v>
      </c>
      <c r="F214" s="852" t="str">
        <f>'Input-FX Rates'!$B$5</f>
        <v>7851 PL eMotor Controls</v>
      </c>
      <c r="G214" s="852" t="s">
        <v>503</v>
      </c>
      <c r="H214" s="852" t="s">
        <v>1440</v>
      </c>
      <c r="I214" s="853"/>
      <c r="J214" s="853"/>
      <c r="K214" s="854">
        <f>'6. HC (GC)'!C22</f>
        <v>22</v>
      </c>
      <c r="L214" s="854">
        <f>'6. HC (GC)'!D22</f>
        <v>22</v>
      </c>
      <c r="M214" s="853"/>
      <c r="N214" s="853"/>
      <c r="O214" s="854">
        <f>'6. HC (GC)'!Q22</f>
        <v>31</v>
      </c>
      <c r="P214" s="853"/>
      <c r="Q214" s="853"/>
      <c r="R214" s="853"/>
      <c r="S214" s="853"/>
      <c r="T214" s="853"/>
      <c r="U214" s="853"/>
      <c r="V214" s="853"/>
      <c r="W214" s="854">
        <f>'6. HC (GC)'!F22</f>
        <v>0</v>
      </c>
      <c r="X214" s="854">
        <f>'6. HC (GC)'!G22</f>
        <v>0</v>
      </c>
      <c r="Y214" s="854">
        <f>'6. HC (GC)'!H22</f>
        <v>0</v>
      </c>
      <c r="Z214" s="854">
        <f>'6. HC (GC)'!I22</f>
        <v>0</v>
      </c>
      <c r="AA214" s="854">
        <f>'6. HC (GC)'!J22</f>
        <v>0</v>
      </c>
      <c r="AB214" s="854">
        <f>'6. HC (GC)'!K22</f>
        <v>0</v>
      </c>
      <c r="AC214" s="854">
        <f>'6. HC (GC)'!L22</f>
        <v>0</v>
      </c>
      <c r="AD214" s="854">
        <f>'6. HC (GC)'!M22</f>
        <v>0</v>
      </c>
      <c r="AE214" s="854">
        <f>'6. HC (GC)'!N22</f>
        <v>0</v>
      </c>
      <c r="AF214" s="854">
        <f>'6. HC (GC)'!O22</f>
        <v>0</v>
      </c>
      <c r="AG214" s="854">
        <f>'6. HC (GC)'!P22</f>
        <v>0</v>
      </c>
      <c r="AH214" s="854">
        <f>'6. HC (GC)'!Q22</f>
        <v>31</v>
      </c>
      <c r="AI214" s="853"/>
      <c r="AJ214" s="853"/>
      <c r="AK214" s="853"/>
      <c r="AL214" s="853"/>
      <c r="AM214" s="853"/>
      <c r="AN214" s="853"/>
      <c r="AO214" s="852" t="str">
        <f>'6. HC (GC)'!U22</f>
        <v/>
      </c>
      <c r="AP214" s="852">
        <v>1183</v>
      </c>
      <c r="AQ214" s="852" t="str">
        <f>Settings!$A$1</f>
        <v>V2</v>
      </c>
    </row>
    <row r="215" spans="1:43" x14ac:dyDescent="0.2">
      <c r="A215" s="451">
        <f>'Input-FX Rates'!$C$4</f>
        <v>242</v>
      </c>
      <c r="B215" s="451" t="str">
        <f>'Input-FX Rates'!$B$4</f>
        <v>ICH Icheon (242)</v>
      </c>
      <c r="C215" s="451">
        <f>'Input-FX Rates'!$C$6</f>
        <v>780</v>
      </c>
      <c r="D215" s="451" t="str">
        <f>'Input-FX Rates'!$B$6</f>
        <v>780 BU Controls</v>
      </c>
      <c r="E215" s="451" t="str">
        <f>'Input-FX Rates'!$C$5</f>
        <v>7851</v>
      </c>
      <c r="F215" s="451" t="str">
        <f>'Input-FX Rates'!$B$5</f>
        <v>7851 PL eMotor Controls</v>
      </c>
      <c r="G215" s="451" t="s">
        <v>503</v>
      </c>
      <c r="H215" s="451" t="s">
        <v>521</v>
      </c>
      <c r="I215" s="535"/>
      <c r="J215" s="535"/>
      <c r="K215" s="536">
        <f>'6. HC (GC)'!C24</f>
        <v>35</v>
      </c>
      <c r="L215" s="536">
        <f>'6. HC (GC)'!D24</f>
        <v>70</v>
      </c>
      <c r="M215" s="535"/>
      <c r="N215" s="535"/>
      <c r="O215" s="536">
        <f>'6. HC (GC)'!Q24</f>
        <v>107</v>
      </c>
      <c r="P215" s="535"/>
      <c r="Q215" s="535"/>
      <c r="R215" s="535"/>
      <c r="S215" s="535"/>
      <c r="T215" s="535"/>
      <c r="U215" s="535"/>
      <c r="V215" s="535"/>
      <c r="W215" s="535"/>
      <c r="X215" s="535"/>
      <c r="Y215" s="535"/>
      <c r="Z215" s="535"/>
      <c r="AA215" s="535"/>
      <c r="AB215" s="535"/>
      <c r="AC215" s="535"/>
      <c r="AD215" s="535"/>
      <c r="AE215" s="535"/>
      <c r="AF215" s="535"/>
      <c r="AG215" s="535"/>
      <c r="AH215" s="535"/>
      <c r="AI215" s="535"/>
      <c r="AJ215" s="535"/>
      <c r="AK215" s="535"/>
      <c r="AL215" s="535"/>
      <c r="AM215" s="535"/>
      <c r="AN215" s="535"/>
      <c r="AO215" s="451" t="str">
        <f>'6. HC (GC)'!U24</f>
        <v/>
      </c>
      <c r="AP215" s="451">
        <v>184</v>
      </c>
      <c r="AQ215" s="451" t="str">
        <f>Settings!$A$1</f>
        <v>V2</v>
      </c>
    </row>
    <row r="216" spans="1:43" x14ac:dyDescent="0.2">
      <c r="A216" s="451">
        <f>'Input-FX Rates'!$C$4</f>
        <v>242</v>
      </c>
      <c r="B216" s="451" t="str">
        <f>'Input-FX Rates'!$B$4</f>
        <v>ICH Icheon (242)</v>
      </c>
      <c r="C216" s="451">
        <f>'Input-FX Rates'!$C$6</f>
        <v>780</v>
      </c>
      <c r="D216" s="451" t="str">
        <f>'Input-FX Rates'!$B$6</f>
        <v>780 BU Controls</v>
      </c>
      <c r="E216" s="451" t="str">
        <f>'Input-FX Rates'!$C$5</f>
        <v>7851</v>
      </c>
      <c r="F216" s="451" t="str">
        <f>'Input-FX Rates'!$B$5</f>
        <v>7851 PL eMotor Controls</v>
      </c>
      <c r="G216" s="451" t="s">
        <v>503</v>
      </c>
      <c r="H216" s="451" t="s">
        <v>520</v>
      </c>
      <c r="I216" s="535"/>
      <c r="J216" s="535"/>
      <c r="K216" s="536">
        <f>'6. HC (GC)'!C25</f>
        <v>28</v>
      </c>
      <c r="L216" s="536">
        <f>'6. HC (GC)'!D25</f>
        <v>27</v>
      </c>
      <c r="M216" s="535"/>
      <c r="N216" s="535"/>
      <c r="O216" s="536">
        <f>'6. HC (GC)'!Q25</f>
        <v>37</v>
      </c>
      <c r="P216" s="535"/>
      <c r="Q216" s="535"/>
      <c r="R216" s="535"/>
      <c r="S216" s="535"/>
      <c r="T216" s="535"/>
      <c r="U216" s="535"/>
      <c r="V216" s="535"/>
      <c r="W216" s="535"/>
      <c r="X216" s="535"/>
      <c r="Y216" s="535"/>
      <c r="Z216" s="535"/>
      <c r="AA216" s="535"/>
      <c r="AB216" s="535"/>
      <c r="AC216" s="535"/>
      <c r="AD216" s="535"/>
      <c r="AE216" s="535"/>
      <c r="AF216" s="535"/>
      <c r="AG216" s="535"/>
      <c r="AH216" s="535"/>
      <c r="AI216" s="535"/>
      <c r="AJ216" s="535"/>
      <c r="AK216" s="535"/>
      <c r="AL216" s="535"/>
      <c r="AM216" s="535"/>
      <c r="AN216" s="535"/>
      <c r="AO216" s="451" t="str">
        <f>'6. HC (GC)'!U25</f>
        <v/>
      </c>
      <c r="AP216" s="451">
        <v>185</v>
      </c>
      <c r="AQ216" s="451" t="str">
        <f>Settings!$A$1</f>
        <v>V2</v>
      </c>
    </row>
    <row r="217" spans="1:43" x14ac:dyDescent="0.2">
      <c r="A217" s="451">
        <f>'Input-FX Rates'!$C$4</f>
        <v>242</v>
      </c>
      <c r="B217" s="451" t="str">
        <f>'Input-FX Rates'!$B$4</f>
        <v>ICH Icheon (242)</v>
      </c>
      <c r="C217" s="451">
        <f>'Input-FX Rates'!$C$6</f>
        <v>780</v>
      </c>
      <c r="D217" s="451" t="str">
        <f>'Input-FX Rates'!$B$6</f>
        <v>780 BU Controls</v>
      </c>
      <c r="E217" s="451" t="str">
        <f>'Input-FX Rates'!$C$5</f>
        <v>7851</v>
      </c>
      <c r="F217" s="451" t="str">
        <f>'Input-FX Rates'!$B$5</f>
        <v>7851 PL eMotor Controls</v>
      </c>
      <c r="G217" s="451" t="s">
        <v>503</v>
      </c>
      <c r="H217" s="451" t="s">
        <v>519</v>
      </c>
      <c r="I217" s="535"/>
      <c r="J217" s="535"/>
      <c r="K217" s="535"/>
      <c r="L217" s="536">
        <f>'6. HC (GC)'!E6</f>
        <v>94871.705380828425</v>
      </c>
      <c r="M217" s="535"/>
      <c r="N217" s="535"/>
      <c r="O217" s="536">
        <f>'6. HC (GC)'!R6</f>
        <v>129843.69047517242</v>
      </c>
      <c r="P217" s="535"/>
      <c r="Q217" s="535"/>
      <c r="R217" s="535"/>
      <c r="S217" s="535"/>
      <c r="T217" s="535"/>
      <c r="U217" s="535"/>
      <c r="V217" s="535"/>
      <c r="W217" s="535"/>
      <c r="X217" s="535"/>
      <c r="Y217" s="535"/>
      <c r="Z217" s="535"/>
      <c r="AA217" s="535"/>
      <c r="AB217" s="535"/>
      <c r="AC217" s="535"/>
      <c r="AD217" s="535"/>
      <c r="AE217" s="535"/>
      <c r="AF217" s="535"/>
      <c r="AG217" s="535"/>
      <c r="AH217" s="535"/>
      <c r="AI217" s="535"/>
      <c r="AJ217" s="535"/>
      <c r="AK217" s="535"/>
      <c r="AL217" s="535"/>
      <c r="AM217" s="535"/>
      <c r="AN217" s="535"/>
      <c r="AO217" s="451" t="str">
        <f>'6. HC (GC)'!U6</f>
        <v/>
      </c>
      <c r="AP217" s="451">
        <v>186</v>
      </c>
      <c r="AQ217" s="451" t="str">
        <f>Settings!$A$1</f>
        <v>V2</v>
      </c>
    </row>
    <row r="218" spans="1:43" x14ac:dyDescent="0.2">
      <c r="A218" s="451">
        <f>'Input-FX Rates'!$C$4</f>
        <v>242</v>
      </c>
      <c r="B218" s="451" t="str">
        <f>'Input-FX Rates'!$B$4</f>
        <v>ICH Icheon (242)</v>
      </c>
      <c r="C218" s="451">
        <f>'Input-FX Rates'!$C$6</f>
        <v>780</v>
      </c>
      <c r="D218" s="451" t="str">
        <f>'Input-FX Rates'!$B$6</f>
        <v>780 BU Controls</v>
      </c>
      <c r="E218" s="451" t="str">
        <f>'Input-FX Rates'!$C$5</f>
        <v>7851</v>
      </c>
      <c r="F218" s="451" t="str">
        <f>'Input-FX Rates'!$B$5</f>
        <v>7851 PL eMotor Controls</v>
      </c>
      <c r="G218" s="451" t="s">
        <v>503</v>
      </c>
      <c r="H218" s="451" t="s">
        <v>518</v>
      </c>
      <c r="I218" s="535"/>
      <c r="J218" s="535"/>
      <c r="K218" s="535"/>
      <c r="L218" s="536">
        <f>'6. HC (GC)'!E7</f>
        <v>36.6</v>
      </c>
      <c r="M218" s="535"/>
      <c r="N218" s="535"/>
      <c r="O218" s="536">
        <f>'6. HC (GC)'!R7</f>
        <v>79.3</v>
      </c>
      <c r="P218" s="535"/>
      <c r="Q218" s="535"/>
      <c r="R218" s="535"/>
      <c r="S218" s="535"/>
      <c r="T218" s="535"/>
      <c r="U218" s="535"/>
      <c r="V218" s="535"/>
      <c r="W218" s="535"/>
      <c r="X218" s="535"/>
      <c r="Y218" s="535"/>
      <c r="Z218" s="535"/>
      <c r="AA218" s="535"/>
      <c r="AB218" s="535"/>
      <c r="AC218" s="535"/>
      <c r="AD218" s="535"/>
      <c r="AE218" s="535"/>
      <c r="AF218" s="535"/>
      <c r="AG218" s="535"/>
      <c r="AH218" s="535"/>
      <c r="AI218" s="535"/>
      <c r="AJ218" s="535"/>
      <c r="AK218" s="535"/>
      <c r="AL218" s="535"/>
      <c r="AM218" s="535"/>
      <c r="AN218" s="535"/>
      <c r="AO218" s="451" t="str">
        <f>'6. HC (GC)'!U7</f>
        <v>SMD 20, operator 57, Sample application 3</v>
      </c>
      <c r="AP218" s="451">
        <v>188</v>
      </c>
      <c r="AQ218" s="451" t="str">
        <f>Settings!$A$1</f>
        <v>V2</v>
      </c>
    </row>
    <row r="219" spans="1:43" x14ac:dyDescent="0.2">
      <c r="A219" s="451">
        <f>'Input-FX Rates'!$C$4</f>
        <v>242</v>
      </c>
      <c r="B219" s="451" t="str">
        <f>'Input-FX Rates'!$B$4</f>
        <v>ICH Icheon (242)</v>
      </c>
      <c r="C219" s="451">
        <f>'Input-FX Rates'!$C$6</f>
        <v>780</v>
      </c>
      <c r="D219" s="451" t="str">
        <f>'Input-FX Rates'!$B$6</f>
        <v>780 BU Controls</v>
      </c>
      <c r="E219" s="451" t="str">
        <f>'Input-FX Rates'!$C$5</f>
        <v>7851</v>
      </c>
      <c r="F219" s="451" t="str">
        <f>'Input-FX Rates'!$B$5</f>
        <v>7851 PL eMotor Controls</v>
      </c>
      <c r="G219" s="451" t="s">
        <v>503</v>
      </c>
      <c r="H219" s="451" t="s">
        <v>517</v>
      </c>
      <c r="I219" s="535"/>
      <c r="J219" s="535"/>
      <c r="K219" s="535"/>
      <c r="L219" s="536">
        <f>'6. HC (GC)'!E8</f>
        <v>3.8</v>
      </c>
      <c r="M219" s="535"/>
      <c r="N219" s="535"/>
      <c r="O219" s="536">
        <f>'6. HC (GC)'!R8</f>
        <v>17.5</v>
      </c>
      <c r="P219" s="535"/>
      <c r="Q219" s="535"/>
      <c r="R219" s="535"/>
      <c r="S219" s="535"/>
      <c r="T219" s="535"/>
      <c r="U219" s="535"/>
      <c r="V219" s="535"/>
      <c r="W219" s="535"/>
      <c r="X219" s="535"/>
      <c r="Y219" s="535"/>
      <c r="Z219" s="535"/>
      <c r="AA219" s="535"/>
      <c r="AB219" s="535"/>
      <c r="AC219" s="535"/>
      <c r="AD219" s="535"/>
      <c r="AE219" s="535"/>
      <c r="AF219" s="535"/>
      <c r="AG219" s="535"/>
      <c r="AH219" s="535"/>
      <c r="AI219" s="535"/>
      <c r="AJ219" s="535"/>
      <c r="AK219" s="535"/>
      <c r="AL219" s="535"/>
      <c r="AM219" s="535"/>
      <c r="AN219" s="535"/>
      <c r="AO219" s="451" t="str">
        <f>'6. HC (GC)'!U8</f>
        <v>SMD technician 3, Repair 4, Technician 11</v>
      </c>
      <c r="AP219" s="451">
        <v>189</v>
      </c>
      <c r="AQ219" s="451" t="str">
        <f>Settings!$A$1</f>
        <v>V2</v>
      </c>
    </row>
    <row r="220" spans="1:43" x14ac:dyDescent="0.2">
      <c r="A220" s="451">
        <f>'Input-FX Rates'!$C$4</f>
        <v>242</v>
      </c>
      <c r="B220" s="451" t="str">
        <f>'Input-FX Rates'!$B$4</f>
        <v>ICH Icheon (242)</v>
      </c>
      <c r="C220" s="451">
        <f>'Input-FX Rates'!$C$6</f>
        <v>780</v>
      </c>
      <c r="D220" s="451" t="str">
        <f>'Input-FX Rates'!$B$6</f>
        <v>780 BU Controls</v>
      </c>
      <c r="E220" s="451" t="str">
        <f>'Input-FX Rates'!$C$5</f>
        <v>7851</v>
      </c>
      <c r="F220" s="451" t="str">
        <f>'Input-FX Rates'!$B$5</f>
        <v>7851 PL eMotor Controls</v>
      </c>
      <c r="G220" s="451" t="s">
        <v>503</v>
      </c>
      <c r="H220" s="451" t="s">
        <v>516</v>
      </c>
      <c r="I220" s="535"/>
      <c r="J220" s="535"/>
      <c r="K220" s="535"/>
      <c r="L220" s="536">
        <f>'6. HC (GC)'!E9</f>
        <v>3.3</v>
      </c>
      <c r="M220" s="535"/>
      <c r="N220" s="535"/>
      <c r="O220" s="536">
        <f>'6. HC (GC)'!R9</f>
        <v>4.3</v>
      </c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451" t="str">
        <f>'6. HC (GC)'!U9</f>
        <v>Int. WH 3 &amp; Rec. WH</v>
      </c>
      <c r="AP220" s="451">
        <v>190</v>
      </c>
      <c r="AQ220" s="451" t="str">
        <f>Settings!$A$1</f>
        <v>V2</v>
      </c>
    </row>
    <row r="221" spans="1:43" x14ac:dyDescent="0.2">
      <c r="A221" s="451">
        <f>'Input-FX Rates'!$C$4</f>
        <v>242</v>
      </c>
      <c r="B221" s="451" t="str">
        <f>'Input-FX Rates'!$B$4</f>
        <v>ICH Icheon (242)</v>
      </c>
      <c r="C221" s="451">
        <f>'Input-FX Rates'!$C$6</f>
        <v>780</v>
      </c>
      <c r="D221" s="451" t="str">
        <f>'Input-FX Rates'!$B$6</f>
        <v>780 BU Controls</v>
      </c>
      <c r="E221" s="451" t="str">
        <f>'Input-FX Rates'!$C$5</f>
        <v>7851</v>
      </c>
      <c r="F221" s="451" t="str">
        <f>'Input-FX Rates'!$B$5</f>
        <v>7851 PL eMotor Controls</v>
      </c>
      <c r="G221" s="451" t="s">
        <v>503</v>
      </c>
      <c r="H221" s="451" t="s">
        <v>515</v>
      </c>
      <c r="I221" s="535"/>
      <c r="J221" s="535"/>
      <c r="K221" s="535"/>
      <c r="L221" s="536">
        <f>'6. HC (GC)'!E10</f>
        <v>3</v>
      </c>
      <c r="M221" s="535"/>
      <c r="N221" s="535"/>
      <c r="O221" s="536">
        <f>'6. HC (GC)'!R10</f>
        <v>3.8</v>
      </c>
      <c r="P221" s="535"/>
      <c r="Q221" s="535"/>
      <c r="R221" s="535"/>
      <c r="S221" s="535"/>
      <c r="T221" s="535"/>
      <c r="U221" s="535"/>
      <c r="V221" s="535"/>
      <c r="W221" s="535"/>
      <c r="X221" s="535"/>
      <c r="Y221" s="535"/>
      <c r="Z221" s="535"/>
      <c r="AA221" s="535"/>
      <c r="AB221" s="535"/>
      <c r="AC221" s="535"/>
      <c r="AD221" s="535"/>
      <c r="AE221" s="535"/>
      <c r="AF221" s="535"/>
      <c r="AG221" s="535"/>
      <c r="AH221" s="535"/>
      <c r="AI221" s="535"/>
      <c r="AJ221" s="535"/>
      <c r="AK221" s="535"/>
      <c r="AL221" s="535"/>
      <c r="AM221" s="535"/>
      <c r="AN221" s="535"/>
      <c r="AO221" s="451" t="str">
        <f>'6. HC (GC)'!U10</f>
        <v>Ship WH</v>
      </c>
      <c r="AP221" s="451">
        <v>191</v>
      </c>
      <c r="AQ221" s="451" t="str">
        <f>Settings!$A$1</f>
        <v>V2</v>
      </c>
    </row>
    <row r="222" spans="1:43" x14ac:dyDescent="0.2">
      <c r="A222" s="451">
        <f>'Input-FX Rates'!$C$4</f>
        <v>242</v>
      </c>
      <c r="B222" s="451" t="str">
        <f>'Input-FX Rates'!$B$4</f>
        <v>ICH Icheon (242)</v>
      </c>
      <c r="C222" s="451">
        <f>'Input-FX Rates'!$C$6</f>
        <v>780</v>
      </c>
      <c r="D222" s="451" t="str">
        <f>'Input-FX Rates'!$B$6</f>
        <v>780 BU Controls</v>
      </c>
      <c r="E222" s="451" t="str">
        <f>'Input-FX Rates'!$C$5</f>
        <v>7851</v>
      </c>
      <c r="F222" s="451" t="str">
        <f>'Input-FX Rates'!$B$5</f>
        <v>7851 PL eMotor Controls</v>
      </c>
      <c r="G222" s="451" t="s">
        <v>503</v>
      </c>
      <c r="H222" s="451" t="s">
        <v>514</v>
      </c>
      <c r="I222" s="535"/>
      <c r="J222" s="535"/>
      <c r="K222" s="535"/>
      <c r="L222" s="536">
        <f>'6. HC (GC)'!E11</f>
        <v>46.699999999999996</v>
      </c>
      <c r="M222" s="535"/>
      <c r="N222" s="535"/>
      <c r="O222" s="536">
        <f>'6. HC (GC)'!R11</f>
        <v>104.89999999999999</v>
      </c>
      <c r="P222" s="535"/>
      <c r="Q222" s="535"/>
      <c r="R222" s="535"/>
      <c r="S222" s="535"/>
      <c r="T222" s="535"/>
      <c r="U222" s="535"/>
      <c r="V222" s="535"/>
      <c r="W222" s="535"/>
      <c r="X222" s="535"/>
      <c r="Y222" s="535"/>
      <c r="Z222" s="535"/>
      <c r="AA222" s="535"/>
      <c r="AB222" s="535"/>
      <c r="AC222" s="535"/>
      <c r="AD222" s="535"/>
      <c r="AE222" s="535"/>
      <c r="AF222" s="535"/>
      <c r="AG222" s="535"/>
      <c r="AH222" s="535"/>
      <c r="AI222" s="535"/>
      <c r="AJ222" s="535"/>
      <c r="AK222" s="535"/>
      <c r="AL222" s="535"/>
      <c r="AM222" s="535"/>
      <c r="AN222" s="535"/>
      <c r="AO222" s="451" t="str">
        <f>'6. HC (GC)'!U11</f>
        <v/>
      </c>
      <c r="AP222" s="451">
        <v>192</v>
      </c>
      <c r="AQ222" s="451" t="str">
        <f>Settings!$A$1</f>
        <v>V2</v>
      </c>
    </row>
    <row r="223" spans="1:43" x14ac:dyDescent="0.2">
      <c r="A223" s="451">
        <f>'Input-FX Rates'!$C$4</f>
        <v>242</v>
      </c>
      <c r="B223" s="451" t="str">
        <f>'Input-FX Rates'!$B$4</f>
        <v>ICH Icheon (242)</v>
      </c>
      <c r="C223" s="451">
        <f>'Input-FX Rates'!$C$6</f>
        <v>780</v>
      </c>
      <c r="D223" s="451" t="str">
        <f>'Input-FX Rates'!$B$6</f>
        <v>780 BU Controls</v>
      </c>
      <c r="E223" s="451" t="str">
        <f>'Input-FX Rates'!$C$5</f>
        <v>7851</v>
      </c>
      <c r="F223" s="451" t="str">
        <f>'Input-FX Rates'!$B$5</f>
        <v>7851 PL eMotor Controls</v>
      </c>
      <c r="G223" s="451" t="s">
        <v>503</v>
      </c>
      <c r="H223" s="451" t="s">
        <v>513</v>
      </c>
      <c r="I223" s="535"/>
      <c r="J223" s="535"/>
      <c r="K223" s="535"/>
      <c r="L223" s="536">
        <f>'6. HC (GC)'!E12</f>
        <v>5.2</v>
      </c>
      <c r="M223" s="535"/>
      <c r="N223" s="535"/>
      <c r="O223" s="536">
        <f>'6. HC (GC)'!R12</f>
        <v>6</v>
      </c>
      <c r="P223" s="535"/>
      <c r="Q223" s="535"/>
      <c r="R223" s="535"/>
      <c r="S223" s="535"/>
      <c r="T223" s="535"/>
      <c r="U223" s="535"/>
      <c r="V223" s="535"/>
      <c r="W223" s="535"/>
      <c r="X223" s="535"/>
      <c r="Y223" s="535"/>
      <c r="Z223" s="535"/>
      <c r="AA223" s="535"/>
      <c r="AB223" s="535"/>
      <c r="AC223" s="535"/>
      <c r="AD223" s="535"/>
      <c r="AE223" s="535"/>
      <c r="AF223" s="535"/>
      <c r="AG223" s="535"/>
      <c r="AH223" s="535"/>
      <c r="AI223" s="535"/>
      <c r="AJ223" s="535"/>
      <c r="AK223" s="535"/>
      <c r="AL223" s="535"/>
      <c r="AM223" s="535"/>
      <c r="AN223" s="535"/>
      <c r="AO223" s="451" t="str">
        <f>'6. HC (GC)'!U12</f>
        <v>Industrial engineering 1 HC</v>
      </c>
      <c r="AP223" s="451">
        <v>193</v>
      </c>
      <c r="AQ223" s="451" t="str">
        <f>Settings!$A$1</f>
        <v>V2</v>
      </c>
    </row>
    <row r="224" spans="1:43" x14ac:dyDescent="0.2">
      <c r="A224" s="451">
        <f>'Input-FX Rates'!$C$4</f>
        <v>242</v>
      </c>
      <c r="B224" s="451" t="str">
        <f>'Input-FX Rates'!$B$4</f>
        <v>ICH Icheon (242)</v>
      </c>
      <c r="C224" s="451">
        <f>'Input-FX Rates'!$C$6</f>
        <v>780</v>
      </c>
      <c r="D224" s="451" t="str">
        <f>'Input-FX Rates'!$B$6</f>
        <v>780 BU Controls</v>
      </c>
      <c r="E224" s="451" t="str">
        <f>'Input-FX Rates'!$C$5</f>
        <v>7851</v>
      </c>
      <c r="F224" s="451" t="str">
        <f>'Input-FX Rates'!$B$5</f>
        <v>7851 PL eMotor Controls</v>
      </c>
      <c r="G224" s="451" t="s">
        <v>503</v>
      </c>
      <c r="H224" s="451" t="s">
        <v>512</v>
      </c>
      <c r="I224" s="535"/>
      <c r="J224" s="535"/>
      <c r="K224" s="535"/>
      <c r="L224" s="536">
        <f>'6. HC (GC)'!E13</f>
        <v>0</v>
      </c>
      <c r="M224" s="535"/>
      <c r="N224" s="535"/>
      <c r="O224" s="536">
        <f>'6. HC (GC)'!R13</f>
        <v>0</v>
      </c>
      <c r="P224" s="535"/>
      <c r="Q224" s="535"/>
      <c r="R224" s="535"/>
      <c r="S224" s="535"/>
      <c r="T224" s="535"/>
      <c r="U224" s="535"/>
      <c r="V224" s="535"/>
      <c r="W224" s="535"/>
      <c r="X224" s="535"/>
      <c r="Y224" s="535"/>
      <c r="Z224" s="535"/>
      <c r="AA224" s="535"/>
      <c r="AB224" s="535"/>
      <c r="AC224" s="535"/>
      <c r="AD224" s="535"/>
      <c r="AE224" s="535"/>
      <c r="AF224" s="535"/>
      <c r="AG224" s="535"/>
      <c r="AH224" s="535"/>
      <c r="AI224" s="535"/>
      <c r="AJ224" s="535"/>
      <c r="AK224" s="535"/>
      <c r="AL224" s="535"/>
      <c r="AM224" s="535"/>
      <c r="AN224" s="535"/>
      <c r="AO224" s="451" t="str">
        <f>'6. HC (GC)'!U13</f>
        <v/>
      </c>
      <c r="AP224" s="451">
        <v>194</v>
      </c>
      <c r="AQ224" s="451" t="str">
        <f>Settings!$A$1</f>
        <v>V2</v>
      </c>
    </row>
    <row r="225" spans="1:43" x14ac:dyDescent="0.2">
      <c r="A225" s="451">
        <f>'Input-FX Rates'!$C$4</f>
        <v>242</v>
      </c>
      <c r="B225" s="451" t="str">
        <f>'Input-FX Rates'!$B$4</f>
        <v>ICH Icheon (242)</v>
      </c>
      <c r="C225" s="451">
        <f>'Input-FX Rates'!$C$6</f>
        <v>780</v>
      </c>
      <c r="D225" s="451" t="str">
        <f>'Input-FX Rates'!$B$6</f>
        <v>780 BU Controls</v>
      </c>
      <c r="E225" s="451" t="str">
        <f>'Input-FX Rates'!$C$5</f>
        <v>7851</v>
      </c>
      <c r="F225" s="451" t="str">
        <f>'Input-FX Rates'!$B$5</f>
        <v>7851 PL eMotor Controls</v>
      </c>
      <c r="G225" s="451" t="s">
        <v>503</v>
      </c>
      <c r="H225" s="451" t="s">
        <v>511</v>
      </c>
      <c r="I225" s="535"/>
      <c r="J225" s="535"/>
      <c r="K225" s="535"/>
      <c r="L225" s="536">
        <f>'6. HC (GC)'!E14</f>
        <v>0</v>
      </c>
      <c r="M225" s="535"/>
      <c r="N225" s="535"/>
      <c r="O225" s="536">
        <f>'6. HC (GC)'!R14</f>
        <v>0</v>
      </c>
      <c r="P225" s="535"/>
      <c r="Q225" s="535"/>
      <c r="R225" s="535"/>
      <c r="S225" s="535"/>
      <c r="T225" s="535"/>
      <c r="U225" s="535"/>
      <c r="V225" s="535"/>
      <c r="W225" s="535"/>
      <c r="X225" s="535"/>
      <c r="Y225" s="535"/>
      <c r="Z225" s="535"/>
      <c r="AA225" s="535"/>
      <c r="AB225" s="535"/>
      <c r="AC225" s="535"/>
      <c r="AD225" s="535"/>
      <c r="AE225" s="535"/>
      <c r="AF225" s="535"/>
      <c r="AG225" s="535"/>
      <c r="AH225" s="535"/>
      <c r="AI225" s="535"/>
      <c r="AJ225" s="535"/>
      <c r="AK225" s="535"/>
      <c r="AL225" s="535"/>
      <c r="AM225" s="535"/>
      <c r="AN225" s="535"/>
      <c r="AO225" s="451" t="str">
        <f>'6. HC (GC)'!U14</f>
        <v/>
      </c>
      <c r="AP225" s="451">
        <v>195</v>
      </c>
      <c r="AQ225" s="451" t="str">
        <f>Settings!$A$1</f>
        <v>V2</v>
      </c>
    </row>
    <row r="226" spans="1:43" x14ac:dyDescent="0.2">
      <c r="A226" s="451">
        <f>'Input-FX Rates'!$C$4</f>
        <v>242</v>
      </c>
      <c r="B226" s="451" t="str">
        <f>'Input-FX Rates'!$B$4</f>
        <v>ICH Icheon (242)</v>
      </c>
      <c r="C226" s="451">
        <f>'Input-FX Rates'!$C$6</f>
        <v>780</v>
      </c>
      <c r="D226" s="451" t="str">
        <f>'Input-FX Rates'!$B$6</f>
        <v>780 BU Controls</v>
      </c>
      <c r="E226" s="451" t="str">
        <f>'Input-FX Rates'!$C$5</f>
        <v>7851</v>
      </c>
      <c r="F226" s="451" t="str">
        <f>'Input-FX Rates'!$B$5</f>
        <v>7851 PL eMotor Controls</v>
      </c>
      <c r="G226" s="451" t="s">
        <v>503</v>
      </c>
      <c r="H226" s="451" t="s">
        <v>510</v>
      </c>
      <c r="I226" s="535"/>
      <c r="J226" s="535"/>
      <c r="K226" s="535"/>
      <c r="L226" s="536">
        <f>'6. HC (GC)'!E15</f>
        <v>0</v>
      </c>
      <c r="M226" s="535"/>
      <c r="N226" s="535"/>
      <c r="O226" s="536">
        <f>'6. HC (GC)'!R15</f>
        <v>0</v>
      </c>
      <c r="P226" s="535"/>
      <c r="Q226" s="535"/>
      <c r="R226" s="535"/>
      <c r="S226" s="535"/>
      <c r="T226" s="535"/>
      <c r="U226" s="535"/>
      <c r="V226" s="535"/>
      <c r="W226" s="535"/>
      <c r="X226" s="535"/>
      <c r="Y226" s="535"/>
      <c r="Z226" s="535"/>
      <c r="AA226" s="535"/>
      <c r="AB226" s="535"/>
      <c r="AC226" s="535"/>
      <c r="AD226" s="535"/>
      <c r="AE226" s="535"/>
      <c r="AF226" s="535"/>
      <c r="AG226" s="535"/>
      <c r="AH226" s="535"/>
      <c r="AI226" s="535"/>
      <c r="AJ226" s="535"/>
      <c r="AK226" s="535"/>
      <c r="AL226" s="535"/>
      <c r="AM226" s="535"/>
      <c r="AN226" s="535"/>
      <c r="AO226" s="451" t="str">
        <f>'6. HC (GC)'!U15</f>
        <v/>
      </c>
      <c r="AP226" s="451">
        <v>196</v>
      </c>
      <c r="AQ226" s="451" t="str">
        <f>Settings!$A$1</f>
        <v>V2</v>
      </c>
    </row>
    <row r="227" spans="1:43" x14ac:dyDescent="0.2">
      <c r="A227" s="451">
        <f>'Input-FX Rates'!$C$4</f>
        <v>242</v>
      </c>
      <c r="B227" s="451" t="str">
        <f>'Input-FX Rates'!$B$4</f>
        <v>ICH Icheon (242)</v>
      </c>
      <c r="C227" s="451">
        <f>'Input-FX Rates'!$C$6</f>
        <v>780</v>
      </c>
      <c r="D227" s="451" t="str">
        <f>'Input-FX Rates'!$B$6</f>
        <v>780 BU Controls</v>
      </c>
      <c r="E227" s="451" t="str">
        <f>'Input-FX Rates'!$C$5</f>
        <v>7851</v>
      </c>
      <c r="F227" s="451" t="str">
        <f>'Input-FX Rates'!$B$5</f>
        <v>7851 PL eMotor Controls</v>
      </c>
      <c r="G227" s="451" t="s">
        <v>503</v>
      </c>
      <c r="H227" s="451" t="s">
        <v>509</v>
      </c>
      <c r="I227" s="535"/>
      <c r="J227" s="535"/>
      <c r="K227" s="535"/>
      <c r="L227" s="536">
        <f>'6. HC (GC)'!E16</f>
        <v>0</v>
      </c>
      <c r="M227" s="535"/>
      <c r="N227" s="535"/>
      <c r="O227" s="536">
        <f>'6. HC (GC)'!R16</f>
        <v>0</v>
      </c>
      <c r="P227" s="535"/>
      <c r="Q227" s="535"/>
      <c r="R227" s="535"/>
      <c r="S227" s="535"/>
      <c r="T227" s="535"/>
      <c r="U227" s="535"/>
      <c r="V227" s="535"/>
      <c r="W227" s="535"/>
      <c r="X227" s="535"/>
      <c r="Y227" s="535"/>
      <c r="Z227" s="535"/>
      <c r="AA227" s="535"/>
      <c r="AB227" s="535"/>
      <c r="AC227" s="535"/>
      <c r="AD227" s="535"/>
      <c r="AE227" s="535"/>
      <c r="AF227" s="535"/>
      <c r="AG227" s="535"/>
      <c r="AH227" s="535"/>
      <c r="AI227" s="535"/>
      <c r="AJ227" s="535"/>
      <c r="AK227" s="535"/>
      <c r="AL227" s="535"/>
      <c r="AM227" s="535"/>
      <c r="AN227" s="535"/>
      <c r="AO227" s="451" t="str">
        <f>'6. HC (GC)'!U16</f>
        <v/>
      </c>
      <c r="AP227" s="451">
        <v>197</v>
      </c>
      <c r="AQ227" s="451" t="str">
        <f>Settings!$A$1</f>
        <v>V2</v>
      </c>
    </row>
    <row r="228" spans="1:43" x14ac:dyDescent="0.2">
      <c r="A228" s="451">
        <f>'Input-FX Rates'!$C$4</f>
        <v>242</v>
      </c>
      <c r="B228" s="451" t="str">
        <f>'Input-FX Rates'!$B$4</f>
        <v>ICH Icheon (242)</v>
      </c>
      <c r="C228" s="451">
        <f>'Input-FX Rates'!$C$6</f>
        <v>780</v>
      </c>
      <c r="D228" s="451" t="str">
        <f>'Input-FX Rates'!$B$6</f>
        <v>780 BU Controls</v>
      </c>
      <c r="E228" s="451" t="str">
        <f>'Input-FX Rates'!$C$5</f>
        <v>7851</v>
      </c>
      <c r="F228" s="451" t="str">
        <f>'Input-FX Rates'!$B$5</f>
        <v>7851 PL eMotor Controls</v>
      </c>
      <c r="G228" s="451" t="s">
        <v>503</v>
      </c>
      <c r="H228" s="451" t="s">
        <v>508</v>
      </c>
      <c r="I228" s="535"/>
      <c r="J228" s="535"/>
      <c r="K228" s="535"/>
      <c r="L228" s="536">
        <f>'6. HC (GC)'!E17</f>
        <v>0</v>
      </c>
      <c r="M228" s="535"/>
      <c r="N228" s="535"/>
      <c r="O228" s="536">
        <f>'6. HC (GC)'!R17</f>
        <v>0</v>
      </c>
      <c r="P228" s="535"/>
      <c r="Q228" s="535"/>
      <c r="R228" s="535"/>
      <c r="S228" s="535"/>
      <c r="T228" s="535"/>
      <c r="U228" s="535"/>
      <c r="V228" s="535"/>
      <c r="W228" s="535"/>
      <c r="X228" s="535"/>
      <c r="Y228" s="535"/>
      <c r="Z228" s="535"/>
      <c r="AA228" s="535"/>
      <c r="AB228" s="535"/>
      <c r="AC228" s="535"/>
      <c r="AD228" s="535"/>
      <c r="AE228" s="535"/>
      <c r="AF228" s="535"/>
      <c r="AG228" s="535"/>
      <c r="AH228" s="535"/>
      <c r="AI228" s="535"/>
      <c r="AJ228" s="535"/>
      <c r="AK228" s="535"/>
      <c r="AL228" s="535"/>
      <c r="AM228" s="535"/>
      <c r="AN228" s="535"/>
      <c r="AO228" s="451" t="str">
        <f>'6. HC (GC)'!U17</f>
        <v/>
      </c>
      <c r="AP228" s="451">
        <v>198</v>
      </c>
      <c r="AQ228" s="451" t="str">
        <f>Settings!$A$1</f>
        <v>V2</v>
      </c>
    </row>
    <row r="229" spans="1:43" x14ac:dyDescent="0.2">
      <c r="A229" s="451">
        <f>'Input-FX Rates'!$C$4</f>
        <v>242</v>
      </c>
      <c r="B229" s="451" t="str">
        <f>'Input-FX Rates'!$B$4</f>
        <v>ICH Icheon (242)</v>
      </c>
      <c r="C229" s="451">
        <f>'Input-FX Rates'!$C$6</f>
        <v>780</v>
      </c>
      <c r="D229" s="451" t="str">
        <f>'Input-FX Rates'!$B$6</f>
        <v>780 BU Controls</v>
      </c>
      <c r="E229" s="451" t="str">
        <f>'Input-FX Rates'!$C$5</f>
        <v>7851</v>
      </c>
      <c r="F229" s="451" t="str">
        <f>'Input-FX Rates'!$B$5</f>
        <v>7851 PL eMotor Controls</v>
      </c>
      <c r="G229" s="451" t="s">
        <v>503</v>
      </c>
      <c r="H229" s="451" t="s">
        <v>507</v>
      </c>
      <c r="I229" s="535"/>
      <c r="J229" s="535"/>
      <c r="K229" s="535"/>
      <c r="L229" s="536">
        <f>'6. HC (GC)'!E18</f>
        <v>5.2</v>
      </c>
      <c r="M229" s="535"/>
      <c r="N229" s="535"/>
      <c r="O229" s="536">
        <f>'6. HC (GC)'!R18</f>
        <v>6</v>
      </c>
      <c r="P229" s="535"/>
      <c r="Q229" s="535"/>
      <c r="R229" s="535"/>
      <c r="S229" s="535"/>
      <c r="T229" s="535"/>
      <c r="U229" s="535"/>
      <c r="V229" s="535"/>
      <c r="W229" s="535"/>
      <c r="X229" s="535"/>
      <c r="Y229" s="535"/>
      <c r="Z229" s="535"/>
      <c r="AA229" s="535"/>
      <c r="AB229" s="535"/>
      <c r="AC229" s="535"/>
      <c r="AD229" s="535"/>
      <c r="AE229" s="535"/>
      <c r="AF229" s="535"/>
      <c r="AG229" s="535"/>
      <c r="AH229" s="535"/>
      <c r="AI229" s="535"/>
      <c r="AJ229" s="535"/>
      <c r="AK229" s="535"/>
      <c r="AL229" s="535"/>
      <c r="AM229" s="535"/>
      <c r="AN229" s="535"/>
      <c r="AO229" s="451" t="str">
        <f>'6. HC (GC)'!U18</f>
        <v/>
      </c>
      <c r="AP229" s="451">
        <v>199</v>
      </c>
      <c r="AQ229" s="451" t="str">
        <f>Settings!$A$1</f>
        <v>V2</v>
      </c>
    </row>
    <row r="230" spans="1:43" x14ac:dyDescent="0.2">
      <c r="A230" s="451">
        <f>'Input-FX Rates'!$C$4</f>
        <v>242</v>
      </c>
      <c r="B230" s="451" t="str">
        <f>'Input-FX Rates'!$B$4</f>
        <v>ICH Icheon (242)</v>
      </c>
      <c r="C230" s="451">
        <f>'Input-FX Rates'!$C$6</f>
        <v>780</v>
      </c>
      <c r="D230" s="451" t="str">
        <f>'Input-FX Rates'!$B$6</f>
        <v>780 BU Controls</v>
      </c>
      <c r="E230" s="451" t="str">
        <f>'Input-FX Rates'!$C$5</f>
        <v>7851</v>
      </c>
      <c r="F230" s="451" t="str">
        <f>'Input-FX Rates'!$B$5</f>
        <v>7851 PL eMotor Controls</v>
      </c>
      <c r="G230" s="451" t="s">
        <v>503</v>
      </c>
      <c r="H230" s="451" t="s">
        <v>506</v>
      </c>
      <c r="I230" s="535"/>
      <c r="J230" s="535"/>
      <c r="K230" s="535"/>
      <c r="L230" s="536">
        <f>'6. HC (GC)'!E19</f>
        <v>51.9</v>
      </c>
      <c r="M230" s="535"/>
      <c r="N230" s="535"/>
      <c r="O230" s="536">
        <f>'6. HC (GC)'!R19</f>
        <v>110.89999999999999</v>
      </c>
      <c r="P230" s="535"/>
      <c r="Q230" s="535"/>
      <c r="R230" s="535"/>
      <c r="S230" s="535"/>
      <c r="T230" s="535"/>
      <c r="U230" s="535"/>
      <c r="V230" s="535"/>
      <c r="W230" s="535"/>
      <c r="X230" s="535"/>
      <c r="Y230" s="535"/>
      <c r="Z230" s="535"/>
      <c r="AA230" s="535"/>
      <c r="AB230" s="535"/>
      <c r="AC230" s="535"/>
      <c r="AD230" s="535"/>
      <c r="AE230" s="535"/>
      <c r="AF230" s="535"/>
      <c r="AG230" s="535"/>
      <c r="AH230" s="535"/>
      <c r="AI230" s="535"/>
      <c r="AJ230" s="535"/>
      <c r="AK230" s="535"/>
      <c r="AL230" s="535"/>
      <c r="AM230" s="535"/>
      <c r="AN230" s="535"/>
      <c r="AO230" s="451" t="str">
        <f>'6. HC (GC)'!U19</f>
        <v/>
      </c>
      <c r="AP230" s="451">
        <v>200</v>
      </c>
      <c r="AQ230" s="451" t="str">
        <f>Settings!$A$1</f>
        <v>V2</v>
      </c>
    </row>
    <row r="231" spans="1:43" s="852" customFormat="1" x14ac:dyDescent="0.2">
      <c r="A231" s="852">
        <f>'Input-FX Rates'!$C$4</f>
        <v>242</v>
      </c>
      <c r="B231" s="852" t="str">
        <f>'Input-FX Rates'!$B$4</f>
        <v>ICH Icheon (242)</v>
      </c>
      <c r="C231" s="852">
        <f>'Input-FX Rates'!$C$6</f>
        <v>780</v>
      </c>
      <c r="D231" s="852" t="str">
        <f>'Input-FX Rates'!$B$6</f>
        <v>780 BU Controls</v>
      </c>
      <c r="E231" s="852" t="str">
        <f>'Input-FX Rates'!$C$5</f>
        <v>7851</v>
      </c>
      <c r="F231" s="852" t="str">
        <f>'Input-FX Rates'!$B$5</f>
        <v>7851 PL eMotor Controls</v>
      </c>
      <c r="G231" s="852" t="s">
        <v>503</v>
      </c>
      <c r="H231" s="852" t="s">
        <v>1441</v>
      </c>
      <c r="I231" s="853"/>
      <c r="J231" s="853"/>
      <c r="K231" s="853"/>
      <c r="L231" s="854">
        <f>'6. HC (GC)'!E21</f>
        <v>0</v>
      </c>
      <c r="M231" s="853"/>
      <c r="N231" s="853"/>
      <c r="O231" s="854">
        <f>'6. HC (GC)'!R21</f>
        <v>0</v>
      </c>
      <c r="P231" s="853"/>
      <c r="Q231" s="853"/>
      <c r="R231" s="853"/>
      <c r="S231" s="853"/>
      <c r="T231" s="853"/>
      <c r="U231" s="853"/>
      <c r="V231" s="853"/>
      <c r="W231" s="854">
        <f>'6. HC (GC)'!F21</f>
        <v>0</v>
      </c>
      <c r="X231" s="854">
        <f>'6. HC (GC)'!G21</f>
        <v>0</v>
      </c>
      <c r="Y231" s="854">
        <f>'6. HC (GC)'!H21</f>
        <v>0</v>
      </c>
      <c r="Z231" s="854">
        <f>'6. HC (GC)'!I21</f>
        <v>0</v>
      </c>
      <c r="AA231" s="854">
        <f>'6. HC (GC)'!J21</f>
        <v>0</v>
      </c>
      <c r="AB231" s="854">
        <f>'6. HC (GC)'!K21</f>
        <v>0</v>
      </c>
      <c r="AC231" s="854">
        <f>'6. HC (GC)'!L21</f>
        <v>0</v>
      </c>
      <c r="AD231" s="854">
        <f>'6. HC (GC)'!M21</f>
        <v>0</v>
      </c>
      <c r="AE231" s="854">
        <f>'6. HC (GC)'!N21</f>
        <v>0</v>
      </c>
      <c r="AF231" s="854">
        <f>'6. HC (GC)'!O21</f>
        <v>0</v>
      </c>
      <c r="AG231" s="854">
        <f>'6. HC (GC)'!P21</f>
        <v>0</v>
      </c>
      <c r="AH231" s="854">
        <f>'6. HC (GC)'!Q21</f>
        <v>0</v>
      </c>
      <c r="AI231" s="853"/>
      <c r="AJ231" s="853"/>
      <c r="AK231" s="853"/>
      <c r="AL231" s="853"/>
      <c r="AM231" s="853"/>
      <c r="AN231" s="853"/>
      <c r="AO231" s="852" t="str">
        <f>'6. HC (GC)'!U21</f>
        <v/>
      </c>
      <c r="AP231" s="852">
        <v>201</v>
      </c>
      <c r="AQ231" s="852" t="str">
        <f>Settings!$A$1</f>
        <v>V2</v>
      </c>
    </row>
    <row r="232" spans="1:43" s="852" customFormat="1" x14ac:dyDescent="0.2">
      <c r="A232" s="852">
        <f>'Input-FX Rates'!$C$4</f>
        <v>242</v>
      </c>
      <c r="B232" s="852" t="str">
        <f>'Input-FX Rates'!$B$4</f>
        <v>ICH Icheon (242)</v>
      </c>
      <c r="C232" s="852">
        <f>'Input-FX Rates'!$C$6</f>
        <v>780</v>
      </c>
      <c r="D232" s="852" t="str">
        <f>'Input-FX Rates'!$B$6</f>
        <v>780 BU Controls</v>
      </c>
      <c r="E232" s="852" t="str">
        <f>'Input-FX Rates'!$C$5</f>
        <v>7851</v>
      </c>
      <c r="F232" s="852" t="str">
        <f>'Input-FX Rates'!$B$5</f>
        <v>7851 PL eMotor Controls</v>
      </c>
      <c r="G232" s="852" t="s">
        <v>503</v>
      </c>
      <c r="H232" s="852" t="s">
        <v>1442</v>
      </c>
      <c r="I232" s="853"/>
      <c r="J232" s="853"/>
      <c r="K232" s="853"/>
      <c r="L232" s="854">
        <f>'6. HC (GC)'!E22</f>
        <v>22</v>
      </c>
      <c r="M232" s="853"/>
      <c r="N232" s="853"/>
      <c r="O232" s="854">
        <f>'6. HC (GC)'!R22</f>
        <v>31</v>
      </c>
      <c r="P232" s="853"/>
      <c r="Q232" s="853"/>
      <c r="R232" s="853"/>
      <c r="S232" s="853"/>
      <c r="T232" s="853"/>
      <c r="U232" s="853"/>
      <c r="V232" s="853"/>
      <c r="W232" s="854">
        <f>'6. HC (GC)'!F22</f>
        <v>0</v>
      </c>
      <c r="X232" s="854">
        <f>'6. HC (GC)'!G22</f>
        <v>0</v>
      </c>
      <c r="Y232" s="854">
        <f>'6. HC (GC)'!H22</f>
        <v>0</v>
      </c>
      <c r="Z232" s="854">
        <f>'6. HC (GC)'!I22</f>
        <v>0</v>
      </c>
      <c r="AA232" s="854">
        <f>'6. HC (GC)'!J22</f>
        <v>0</v>
      </c>
      <c r="AB232" s="854">
        <f>'6. HC (GC)'!K22</f>
        <v>0</v>
      </c>
      <c r="AC232" s="854">
        <f>'6. HC (GC)'!L22</f>
        <v>0</v>
      </c>
      <c r="AD232" s="854">
        <f>'6. HC (GC)'!M22</f>
        <v>0</v>
      </c>
      <c r="AE232" s="854">
        <f>'6. HC (GC)'!N22</f>
        <v>0</v>
      </c>
      <c r="AF232" s="854">
        <f>'6. HC (GC)'!O22</f>
        <v>0</v>
      </c>
      <c r="AG232" s="854">
        <f>'6. HC (GC)'!P22</f>
        <v>0</v>
      </c>
      <c r="AH232" s="854">
        <f>'6. HC (GC)'!Q22</f>
        <v>31</v>
      </c>
      <c r="AI232" s="853"/>
      <c r="AJ232" s="853"/>
      <c r="AK232" s="853"/>
      <c r="AL232" s="853"/>
      <c r="AM232" s="853"/>
      <c r="AN232" s="853"/>
      <c r="AO232" s="852" t="str">
        <f>'6. HC (GC)'!U22</f>
        <v/>
      </c>
      <c r="AP232" s="852">
        <v>1201</v>
      </c>
      <c r="AQ232" s="852" t="str">
        <f>Settings!$A$1</f>
        <v>V2</v>
      </c>
    </row>
    <row r="233" spans="1:43" x14ac:dyDescent="0.2">
      <c r="A233" s="451">
        <f>'Input-FX Rates'!$C$4</f>
        <v>242</v>
      </c>
      <c r="B233" s="451" t="str">
        <f>'Input-FX Rates'!$B$4</f>
        <v>ICH Icheon (242)</v>
      </c>
      <c r="C233" s="451">
        <f>'Input-FX Rates'!$C$6</f>
        <v>780</v>
      </c>
      <c r="D233" s="451" t="str">
        <f>'Input-FX Rates'!$B$6</f>
        <v>780 BU Controls</v>
      </c>
      <c r="E233" s="451" t="str">
        <f>'Input-FX Rates'!$C$5</f>
        <v>7851</v>
      </c>
      <c r="F233" s="451" t="str">
        <f>'Input-FX Rates'!$B$5</f>
        <v>7851 PL eMotor Controls</v>
      </c>
      <c r="G233" s="451" t="s">
        <v>503</v>
      </c>
      <c r="H233" s="451" t="s">
        <v>505</v>
      </c>
      <c r="I233" s="535"/>
      <c r="J233" s="535"/>
      <c r="K233" s="535"/>
      <c r="L233" s="536">
        <f>'6. HC (GC)'!E24</f>
        <v>47</v>
      </c>
      <c r="M233" s="535"/>
      <c r="N233" s="535"/>
      <c r="O233" s="536">
        <f>'6. HC (GC)'!R24</f>
        <v>104.89999999999999</v>
      </c>
      <c r="P233" s="535"/>
      <c r="Q233" s="535"/>
      <c r="R233" s="535"/>
      <c r="S233" s="535"/>
      <c r="T233" s="535"/>
      <c r="U233" s="535"/>
      <c r="V233" s="535"/>
      <c r="W233" s="535"/>
      <c r="X233" s="535"/>
      <c r="Y233" s="535"/>
      <c r="Z233" s="535"/>
      <c r="AA233" s="535"/>
      <c r="AB233" s="535"/>
      <c r="AC233" s="535"/>
      <c r="AD233" s="535"/>
      <c r="AE233" s="535"/>
      <c r="AF233" s="535"/>
      <c r="AG233" s="535"/>
      <c r="AH233" s="535"/>
      <c r="AI233" s="535"/>
      <c r="AJ233" s="535"/>
      <c r="AK233" s="535"/>
      <c r="AL233" s="535"/>
      <c r="AM233" s="535"/>
      <c r="AN233" s="535"/>
      <c r="AO233" s="451" t="str">
        <f>'6. HC (GC)'!U24</f>
        <v/>
      </c>
      <c r="AP233" s="451">
        <v>202</v>
      </c>
      <c r="AQ233" s="451" t="str">
        <f>Settings!$A$1</f>
        <v>V2</v>
      </c>
    </row>
    <row r="234" spans="1:43" x14ac:dyDescent="0.2">
      <c r="A234" s="451">
        <f>'Input-FX Rates'!$C$4</f>
        <v>242</v>
      </c>
      <c r="B234" s="451" t="str">
        <f>'Input-FX Rates'!$B$4</f>
        <v>ICH Icheon (242)</v>
      </c>
      <c r="C234" s="451">
        <f>'Input-FX Rates'!$C$6</f>
        <v>780</v>
      </c>
      <c r="D234" s="451" t="str">
        <f>'Input-FX Rates'!$B$6</f>
        <v>780 BU Controls</v>
      </c>
      <c r="E234" s="451" t="str">
        <f>'Input-FX Rates'!$C$5</f>
        <v>7851</v>
      </c>
      <c r="F234" s="451" t="str">
        <f>'Input-FX Rates'!$B$5</f>
        <v>7851 PL eMotor Controls</v>
      </c>
      <c r="G234" s="451" t="s">
        <v>503</v>
      </c>
      <c r="H234" s="451" t="s">
        <v>504</v>
      </c>
      <c r="I234" s="535"/>
      <c r="J234" s="535"/>
      <c r="K234" s="535"/>
      <c r="L234" s="536">
        <f>'6. HC (GC)'!E25</f>
        <v>27</v>
      </c>
      <c r="M234" s="535"/>
      <c r="N234" s="535"/>
      <c r="O234" s="536">
        <f>'6. HC (GC)'!R25</f>
        <v>37</v>
      </c>
      <c r="P234" s="535"/>
      <c r="Q234" s="535"/>
      <c r="R234" s="535"/>
      <c r="S234" s="535"/>
      <c r="T234" s="535"/>
      <c r="U234" s="535"/>
      <c r="V234" s="535"/>
      <c r="W234" s="535"/>
      <c r="X234" s="535"/>
      <c r="Y234" s="535"/>
      <c r="Z234" s="535"/>
      <c r="AA234" s="535"/>
      <c r="AB234" s="535"/>
      <c r="AC234" s="535"/>
      <c r="AD234" s="535"/>
      <c r="AE234" s="535"/>
      <c r="AF234" s="535"/>
      <c r="AG234" s="535"/>
      <c r="AH234" s="535"/>
      <c r="AI234" s="535"/>
      <c r="AJ234" s="535"/>
      <c r="AK234" s="535"/>
      <c r="AL234" s="535"/>
      <c r="AM234" s="535"/>
      <c r="AN234" s="535"/>
      <c r="AO234" s="451" t="str">
        <f>'6. HC (GC)'!U25</f>
        <v/>
      </c>
      <c r="AP234" s="451">
        <v>203</v>
      </c>
      <c r="AQ234" s="451" t="str">
        <f>Settings!$A$1</f>
        <v>V2</v>
      </c>
    </row>
    <row r="235" spans="1:43" x14ac:dyDescent="0.2">
      <c r="A235" s="451">
        <f>'Input-FX Rates'!$C$4</f>
        <v>242</v>
      </c>
      <c r="B235" s="451" t="str">
        <f>'Input-FX Rates'!$B$4</f>
        <v>ICH Icheon (242)</v>
      </c>
      <c r="C235" s="451">
        <f>'Input-FX Rates'!$C$6</f>
        <v>780</v>
      </c>
      <c r="D235" s="451" t="str">
        <f>'Input-FX Rates'!$B$6</f>
        <v>780 BU Controls</v>
      </c>
      <c r="E235" s="451" t="str">
        <f>'Input-FX Rates'!$C$5</f>
        <v>7851</v>
      </c>
      <c r="F235" s="451" t="str">
        <f>'Input-FX Rates'!$B$5</f>
        <v>7851 PL eMotor Controls</v>
      </c>
      <c r="G235" s="451" t="s">
        <v>503</v>
      </c>
      <c r="H235" s="451" t="s">
        <v>390</v>
      </c>
      <c r="I235" s="535"/>
      <c r="J235" s="535"/>
      <c r="K235" s="535"/>
      <c r="L235" s="536">
        <f>'6. HC (GC)'!E29</f>
        <v>47.549512953855718</v>
      </c>
      <c r="M235" s="535"/>
      <c r="N235" s="535"/>
      <c r="O235" s="536">
        <f>'6. HC (GC)'!R29</f>
        <v>47.813206896551719</v>
      </c>
      <c r="P235" s="535"/>
      <c r="Q235" s="535"/>
      <c r="R235" s="535"/>
      <c r="S235" s="535"/>
      <c r="T235" s="535"/>
      <c r="U235" s="535"/>
      <c r="V235" s="535"/>
      <c r="W235" s="535"/>
      <c r="X235" s="535"/>
      <c r="Y235" s="535"/>
      <c r="Z235" s="535"/>
      <c r="AA235" s="535"/>
      <c r="AB235" s="535"/>
      <c r="AC235" s="535"/>
      <c r="AD235" s="535"/>
      <c r="AE235" s="535"/>
      <c r="AF235" s="535"/>
      <c r="AG235" s="535"/>
      <c r="AH235" s="535"/>
      <c r="AI235" s="535"/>
      <c r="AJ235" s="535"/>
      <c r="AK235" s="535"/>
      <c r="AL235" s="535"/>
      <c r="AM235" s="535"/>
      <c r="AN235" s="535"/>
      <c r="AO235" s="451" t="str">
        <f>'6. HC (GC)'!U29</f>
        <v>Plant total figure, E01-297(around 4.6K EUR) posted under fix cost area not variable(employee benefit program, present for employee, medical exam, sick and health care, shuttle bus)</v>
      </c>
      <c r="AP235" s="451">
        <v>204</v>
      </c>
      <c r="AQ235" s="451" t="str">
        <f>Settings!$A$1</f>
        <v>V2</v>
      </c>
    </row>
    <row r="236" spans="1:43" x14ac:dyDescent="0.2">
      <c r="A236" s="451">
        <f>'Input-FX Rates'!$C$4</f>
        <v>242</v>
      </c>
      <c r="B236" s="451" t="str">
        <f>'Input-FX Rates'!$B$4</f>
        <v>ICH Icheon (242)</v>
      </c>
      <c r="C236" s="451">
        <f>'Input-FX Rates'!$C$6</f>
        <v>780</v>
      </c>
      <c r="D236" s="451" t="str">
        <f>'Input-FX Rates'!$B$6</f>
        <v>780 BU Controls</v>
      </c>
      <c r="E236" s="451" t="str">
        <f>'Input-FX Rates'!$C$5</f>
        <v>7851</v>
      </c>
      <c r="F236" s="451" t="str">
        <f>'Input-FX Rates'!$B$5</f>
        <v>7851 PL eMotor Controls</v>
      </c>
      <c r="G236" s="451" t="s">
        <v>503</v>
      </c>
      <c r="H236" s="451" t="s">
        <v>388</v>
      </c>
      <c r="I236" s="535"/>
      <c r="J236" s="535"/>
      <c r="K236" s="535"/>
      <c r="L236" s="536">
        <f>'6. HC (GC)'!E30</f>
        <v>64.420636456393837</v>
      </c>
      <c r="M236" s="535"/>
      <c r="N236" s="535"/>
      <c r="O236" s="536">
        <f>'6. HC (GC)'!R30</f>
        <v>64.792453793103448</v>
      </c>
      <c r="P236" s="535"/>
      <c r="Q236" s="535"/>
      <c r="R236" s="535"/>
      <c r="S236" s="535"/>
      <c r="T236" s="535"/>
      <c r="U236" s="535"/>
      <c r="V236" s="535"/>
      <c r="W236" s="535"/>
      <c r="X236" s="535"/>
      <c r="Y236" s="535"/>
      <c r="Z236" s="535"/>
      <c r="AA236" s="535"/>
      <c r="AB236" s="535"/>
      <c r="AC236" s="535"/>
      <c r="AD236" s="535"/>
      <c r="AE236" s="535"/>
      <c r="AF236" s="535"/>
      <c r="AG236" s="535"/>
      <c r="AH236" s="535"/>
      <c r="AI236" s="535"/>
      <c r="AJ236" s="535"/>
      <c r="AK236" s="535"/>
      <c r="AL236" s="535"/>
      <c r="AM236" s="535"/>
      <c r="AN236" s="535"/>
      <c r="AO236" s="451" t="str">
        <f>'6. HC (GC)'!U30</f>
        <v>Plant total figure, E01-297(around 4.6K EUR) posted under fix cost area not variable(employee benefit program, present for employee, medical exam, sick and health care, shuttle bus)</v>
      </c>
      <c r="AP236" s="451">
        <v>205</v>
      </c>
      <c r="AQ236" s="451" t="str">
        <f>Settings!$A$1</f>
        <v>V2</v>
      </c>
    </row>
    <row r="237" spans="1:43" x14ac:dyDescent="0.2">
      <c r="A237" s="451">
        <f>'Input-FX Rates'!$C$4</f>
        <v>242</v>
      </c>
      <c r="B237" s="451" t="str">
        <f>'Input-FX Rates'!$B$4</f>
        <v>ICH Icheon (242)</v>
      </c>
      <c r="C237" s="451">
        <f>'Input-FX Rates'!$C$6</f>
        <v>780</v>
      </c>
      <c r="D237" s="451" t="str">
        <f>'Input-FX Rates'!$B$6</f>
        <v>780 BU Controls</v>
      </c>
      <c r="E237" s="451" t="str">
        <f>'Input-FX Rates'!$C$5</f>
        <v>7851</v>
      </c>
      <c r="F237" s="451" t="str">
        <f>'Input-FX Rates'!$B$5</f>
        <v>7851 PL eMotor Controls</v>
      </c>
      <c r="G237" s="451" t="s">
        <v>503</v>
      </c>
      <c r="H237" s="451" t="s">
        <v>386</v>
      </c>
      <c r="I237" s="535"/>
      <c r="J237" s="535"/>
      <c r="K237" s="535"/>
      <c r="L237" s="536">
        <f>'6. HC (GC)'!E31</f>
        <v>94.19406831530722</v>
      </c>
      <c r="M237" s="535"/>
      <c r="N237" s="535"/>
      <c r="O237" s="536">
        <f>'6. HC (GC)'!R31</f>
        <v>95.113240689655171</v>
      </c>
      <c r="P237" s="535"/>
      <c r="Q237" s="535"/>
      <c r="R237" s="535"/>
      <c r="S237" s="535"/>
      <c r="T237" s="535"/>
      <c r="U237" s="535"/>
      <c r="V237" s="535"/>
      <c r="W237" s="535"/>
      <c r="X237" s="535"/>
      <c r="Y237" s="535"/>
      <c r="Z237" s="535"/>
      <c r="AA237" s="535"/>
      <c r="AB237" s="535"/>
      <c r="AC237" s="535"/>
      <c r="AD237" s="535"/>
      <c r="AE237" s="535"/>
      <c r="AF237" s="535"/>
      <c r="AG237" s="535"/>
      <c r="AH237" s="535"/>
      <c r="AI237" s="535"/>
      <c r="AJ237" s="535"/>
      <c r="AK237" s="535"/>
      <c r="AL237" s="535"/>
      <c r="AM237" s="535"/>
      <c r="AN237" s="535"/>
      <c r="AO237" s="451" t="str">
        <f>'6. HC (GC)'!U31</f>
        <v>Plant total figure</v>
      </c>
      <c r="AP237" s="451">
        <v>206</v>
      </c>
      <c r="AQ237" s="451" t="str">
        <f>Settings!$A$1</f>
        <v>V2</v>
      </c>
    </row>
    <row r="238" spans="1:43" x14ac:dyDescent="0.2">
      <c r="A238" s="451">
        <f>'Input-FX Rates'!$C$4</f>
        <v>242</v>
      </c>
      <c r="B238" s="451" t="str">
        <f>'Input-FX Rates'!$B$4</f>
        <v>ICH Icheon (242)</v>
      </c>
      <c r="C238" s="451">
        <f>'Input-FX Rates'!$C$6</f>
        <v>780</v>
      </c>
      <c r="D238" s="451" t="str">
        <f>'Input-FX Rates'!$B$6</f>
        <v>780 BU Controls</v>
      </c>
      <c r="E238" s="451" t="str">
        <f>'Input-FX Rates'!$C$5</f>
        <v>7851</v>
      </c>
      <c r="F238" s="451" t="str">
        <f>'Input-FX Rates'!$B$5</f>
        <v>7851 PL eMotor Controls</v>
      </c>
      <c r="G238" s="451" t="s">
        <v>503</v>
      </c>
      <c r="H238" s="451" t="s">
        <v>1009</v>
      </c>
      <c r="I238" s="535"/>
      <c r="J238" s="535"/>
      <c r="K238" s="535"/>
      <c r="L238" s="535"/>
      <c r="M238" s="535"/>
      <c r="N238" s="535"/>
      <c r="O238" s="536">
        <f>'6. HC (GC)'!R32</f>
        <v>97223</v>
      </c>
      <c r="P238" s="535"/>
      <c r="Q238" s="535"/>
      <c r="R238" s="535"/>
      <c r="S238" s="535"/>
      <c r="T238" s="535"/>
      <c r="U238" s="535"/>
      <c r="V238" s="535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451" t="str">
        <f>'6. HC (GC)'!U32</f>
        <v>Include overtime</v>
      </c>
      <c r="AP238" s="451">
        <v>1206</v>
      </c>
      <c r="AQ238" s="451" t="str">
        <f>Settings!$A$1</f>
        <v>V2</v>
      </c>
    </row>
    <row r="239" spans="1:43" x14ac:dyDescent="0.2">
      <c r="A239" s="451">
        <f>'Input-FX Rates'!$C$4</f>
        <v>242</v>
      </c>
      <c r="B239" s="451" t="str">
        <f>'Input-FX Rates'!$B$4</f>
        <v>ICH Icheon (242)</v>
      </c>
      <c r="C239" s="451">
        <f>'Input-FX Rates'!$C$6</f>
        <v>780</v>
      </c>
      <c r="D239" s="451" t="str">
        <f>'Input-FX Rates'!$B$6</f>
        <v>780 BU Controls</v>
      </c>
      <c r="E239" s="451" t="str">
        <f>'Input-FX Rates'!$C$5</f>
        <v>7851</v>
      </c>
      <c r="F239" s="451" t="str">
        <f>'Input-FX Rates'!$B$5</f>
        <v>7851 PL eMotor Controls</v>
      </c>
      <c r="G239" s="451" t="s">
        <v>503</v>
      </c>
      <c r="H239" s="451" t="s">
        <v>1010</v>
      </c>
      <c r="I239" s="535"/>
      <c r="J239" s="535"/>
      <c r="K239" s="535"/>
      <c r="L239" s="535"/>
      <c r="M239" s="535"/>
      <c r="N239" s="535"/>
      <c r="O239" s="536">
        <f>'6. HC (GC)'!R33</f>
        <v>8620656</v>
      </c>
      <c r="P239" s="535"/>
      <c r="Q239" s="535"/>
      <c r="R239" s="535"/>
      <c r="S239" s="535"/>
      <c r="T239" s="535"/>
      <c r="U239" s="535"/>
      <c r="V239" s="535"/>
      <c r="W239" s="535"/>
      <c r="X239" s="535"/>
      <c r="Y239" s="535"/>
      <c r="Z239" s="535"/>
      <c r="AA239" s="535"/>
      <c r="AB239" s="535"/>
      <c r="AC239" s="535"/>
      <c r="AD239" s="535"/>
      <c r="AE239" s="535"/>
      <c r="AF239" s="535"/>
      <c r="AG239" s="535"/>
      <c r="AH239" s="535"/>
      <c r="AI239" s="535"/>
      <c r="AJ239" s="535"/>
      <c r="AK239" s="535"/>
      <c r="AL239" s="535"/>
      <c r="AM239" s="535"/>
      <c r="AN239" s="535"/>
      <c r="AO239" s="451" t="str">
        <f>'6. HC (GC)'!U33</f>
        <v/>
      </c>
      <c r="AP239" s="451">
        <v>1207</v>
      </c>
      <c r="AQ239" s="451" t="str">
        <f>Settings!$A$1</f>
        <v>V2</v>
      </c>
    </row>
    <row r="240" spans="1:43" s="852" customFormat="1" x14ac:dyDescent="0.2">
      <c r="A240" s="852">
        <f>'Input-FX Rates'!$C$4</f>
        <v>242</v>
      </c>
      <c r="B240" s="852" t="str">
        <f>'Input-FX Rates'!$B$4</f>
        <v>ICH Icheon (242)</v>
      </c>
      <c r="C240" s="852">
        <f>'Input-FX Rates'!$C$6</f>
        <v>780</v>
      </c>
      <c r="D240" s="852" t="str">
        <f>'Input-FX Rates'!$B$6</f>
        <v>780 BU Controls</v>
      </c>
      <c r="E240" s="852" t="str">
        <f>'Input-FX Rates'!$C$5</f>
        <v>7851</v>
      </c>
      <c r="F240" s="852" t="str">
        <f>'Input-FX Rates'!$B$5</f>
        <v>7851 PL eMotor Controls</v>
      </c>
      <c r="G240" s="852" t="s">
        <v>503</v>
      </c>
      <c r="H240" s="852" t="s">
        <v>944</v>
      </c>
      <c r="I240" s="853"/>
      <c r="J240" s="853"/>
      <c r="K240" s="853"/>
      <c r="L240" s="853"/>
      <c r="M240" s="853"/>
      <c r="N240" s="853"/>
      <c r="O240" s="854">
        <f>'6. HC (GC)'!Q36</f>
        <v>3.7499999999999999E-2</v>
      </c>
      <c r="P240" s="853"/>
      <c r="Q240" s="853"/>
      <c r="R240" s="853"/>
      <c r="S240" s="853"/>
      <c r="T240" s="853"/>
      <c r="U240" s="853"/>
      <c r="V240" s="853"/>
      <c r="W240" s="853"/>
      <c r="X240" s="853"/>
      <c r="Y240" s="853"/>
      <c r="Z240" s="853"/>
      <c r="AA240" s="853"/>
      <c r="AB240" s="853"/>
      <c r="AC240" s="853"/>
      <c r="AD240" s="853"/>
      <c r="AE240" s="853"/>
      <c r="AF240" s="853"/>
      <c r="AG240" s="853"/>
      <c r="AH240" s="854">
        <f>'6. HC (GC)'!R36</f>
        <v>3.7499999999999999E-2</v>
      </c>
      <c r="AI240" s="853"/>
      <c r="AJ240" s="853"/>
      <c r="AK240" s="853"/>
      <c r="AL240" s="853"/>
      <c r="AM240" s="853"/>
      <c r="AN240" s="853"/>
      <c r="AO240" s="852" t="str">
        <f>'6. HC (GC)'!U36</f>
        <v/>
      </c>
      <c r="AP240" s="852">
        <v>207</v>
      </c>
      <c r="AQ240" s="852" t="str">
        <f>Settings!$A$1</f>
        <v>V2</v>
      </c>
    </row>
    <row r="241" spans="1:43" s="852" customFormat="1" x14ac:dyDescent="0.2">
      <c r="A241" s="852">
        <f>'Input-FX Rates'!$C$4</f>
        <v>242</v>
      </c>
      <c r="B241" s="852" t="str">
        <f>'Input-FX Rates'!$B$4</f>
        <v>ICH Icheon (242)</v>
      </c>
      <c r="C241" s="852">
        <f>'Input-FX Rates'!$C$6</f>
        <v>780</v>
      </c>
      <c r="D241" s="852" t="str">
        <f>'Input-FX Rates'!$B$6</f>
        <v>780 BU Controls</v>
      </c>
      <c r="E241" s="852" t="str">
        <f>'Input-FX Rates'!$C$5</f>
        <v>7851</v>
      </c>
      <c r="F241" s="852" t="str">
        <f>'Input-FX Rates'!$B$5</f>
        <v>7851 PL eMotor Controls</v>
      </c>
      <c r="G241" s="852" t="s">
        <v>503</v>
      </c>
      <c r="H241" s="852" t="s">
        <v>945</v>
      </c>
      <c r="I241" s="853"/>
      <c r="J241" s="853"/>
      <c r="K241" s="853"/>
      <c r="L241" s="853"/>
      <c r="M241" s="853"/>
      <c r="N241" s="853"/>
      <c r="O241" s="854">
        <f>'6. HC (GC)'!Q37</f>
        <v>4.1300000000000003E-2</v>
      </c>
      <c r="P241" s="853"/>
      <c r="Q241" s="853"/>
      <c r="R241" s="853"/>
      <c r="S241" s="853"/>
      <c r="T241" s="853"/>
      <c r="U241" s="853"/>
      <c r="V241" s="853"/>
      <c r="W241" s="853"/>
      <c r="X241" s="853"/>
      <c r="Y241" s="853"/>
      <c r="Z241" s="853"/>
      <c r="AA241" s="853"/>
      <c r="AB241" s="853"/>
      <c r="AC241" s="853"/>
      <c r="AD241" s="853"/>
      <c r="AE241" s="853"/>
      <c r="AF241" s="853"/>
      <c r="AG241" s="853"/>
      <c r="AH241" s="854">
        <f>'6. HC (GC)'!R37</f>
        <v>4.1300000000000003E-2</v>
      </c>
      <c r="AI241" s="853"/>
      <c r="AJ241" s="853"/>
      <c r="AK241" s="853"/>
      <c r="AL241" s="853"/>
      <c r="AM241" s="853"/>
      <c r="AN241" s="853"/>
      <c r="AO241" s="852" t="str">
        <f>'6. HC (GC)'!U37</f>
        <v/>
      </c>
      <c r="AP241" s="852">
        <v>208</v>
      </c>
      <c r="AQ241" s="852" t="str">
        <f>Settings!$A$1</f>
        <v>V2</v>
      </c>
    </row>
    <row r="242" spans="1:43" s="852" customFormat="1" x14ac:dyDescent="0.2">
      <c r="A242" s="852">
        <f>'Input-FX Rates'!$C$4</f>
        <v>242</v>
      </c>
      <c r="B242" s="852" t="str">
        <f>'Input-FX Rates'!$B$4</f>
        <v>ICH Icheon (242)</v>
      </c>
      <c r="C242" s="852">
        <f>'Input-FX Rates'!$C$6</f>
        <v>780</v>
      </c>
      <c r="D242" s="852" t="str">
        <f>'Input-FX Rates'!$B$6</f>
        <v>780 BU Controls</v>
      </c>
      <c r="E242" s="852" t="str">
        <f>'Input-FX Rates'!$C$5</f>
        <v>7851</v>
      </c>
      <c r="F242" s="852" t="str">
        <f>'Input-FX Rates'!$B$5</f>
        <v>7851 PL eMotor Controls</v>
      </c>
      <c r="G242" s="852" t="s">
        <v>503</v>
      </c>
      <c r="H242" s="852" t="s">
        <v>1411</v>
      </c>
      <c r="I242" s="853"/>
      <c r="J242" s="853"/>
      <c r="K242" s="853"/>
      <c r="L242" s="853"/>
      <c r="M242" s="853"/>
      <c r="N242" s="853"/>
      <c r="O242" s="854">
        <f>'6. HC (GC)'!Q38</f>
        <v>156.29735940174552</v>
      </c>
      <c r="P242" s="853"/>
      <c r="Q242" s="853"/>
      <c r="R242" s="853"/>
      <c r="S242" s="853"/>
      <c r="T242" s="853"/>
      <c r="U242" s="853"/>
      <c r="V242" s="853"/>
      <c r="W242" s="853"/>
      <c r="X242" s="853"/>
      <c r="Y242" s="853"/>
      <c r="Z242" s="853"/>
      <c r="AA242" s="853"/>
      <c r="AB242" s="853"/>
      <c r="AC242" s="853"/>
      <c r="AD242" s="853"/>
      <c r="AE242" s="853"/>
      <c r="AF242" s="853"/>
      <c r="AG242" s="853"/>
      <c r="AH242" s="854">
        <f>'6. HC (GC)'!R38</f>
        <v>156.29735940174552</v>
      </c>
      <c r="AI242" s="853"/>
      <c r="AJ242" s="853"/>
      <c r="AK242" s="853"/>
      <c r="AL242" s="853"/>
      <c r="AM242" s="853"/>
      <c r="AN242" s="853"/>
      <c r="AO242" s="852" t="str">
        <f>'6. HC (GC)'!U38</f>
        <v/>
      </c>
      <c r="AP242" s="852">
        <v>1208</v>
      </c>
      <c r="AQ242" s="852" t="str">
        <f>Settings!$A$1</f>
        <v>V2</v>
      </c>
    </row>
    <row r="243" spans="1:43" s="855" customFormat="1" x14ac:dyDescent="0.2">
      <c r="A243" s="855">
        <f>'Input-FX Rates'!$C$4</f>
        <v>242</v>
      </c>
      <c r="B243" s="855" t="str">
        <f>'Input-FX Rates'!$B$4</f>
        <v>ICH Icheon (242)</v>
      </c>
      <c r="C243" s="855">
        <f>'Input-FX Rates'!$C$6</f>
        <v>780</v>
      </c>
      <c r="D243" s="855" t="str">
        <f>'Input-FX Rates'!$B$6</f>
        <v>780 BU Controls</v>
      </c>
      <c r="E243" s="855" t="str">
        <f>'Input-FX Rates'!$C$5</f>
        <v>7851</v>
      </c>
      <c r="F243" s="855" t="str">
        <f>'Input-FX Rates'!$B$5</f>
        <v>7851 PL eMotor Controls</v>
      </c>
      <c r="G243" s="855" t="s">
        <v>503</v>
      </c>
      <c r="H243" s="855" t="s">
        <v>1410</v>
      </c>
      <c r="I243" s="856"/>
      <c r="J243" s="856"/>
      <c r="K243" s="856"/>
      <c r="L243" s="856"/>
      <c r="M243" s="856"/>
      <c r="N243" s="856"/>
      <c r="O243" s="857">
        <f>'6. HC (GC)'!Q39</f>
        <v>43.085402759680491</v>
      </c>
      <c r="P243" s="856"/>
      <c r="Q243" s="856"/>
      <c r="R243" s="856"/>
      <c r="S243" s="856"/>
      <c r="T243" s="856"/>
      <c r="U243" s="856"/>
      <c r="V243" s="856"/>
      <c r="W243" s="856"/>
      <c r="X243" s="856"/>
      <c r="Y243" s="856"/>
      <c r="Z243" s="856"/>
      <c r="AA243" s="856"/>
      <c r="AB243" s="856"/>
      <c r="AC243" s="856"/>
      <c r="AD243" s="856"/>
      <c r="AE243" s="856"/>
      <c r="AF243" s="856"/>
      <c r="AG243" s="856"/>
      <c r="AH243" s="857">
        <f>'6. HC (GC)'!R39</f>
        <v>43.085402759680491</v>
      </c>
      <c r="AI243" s="856"/>
      <c r="AJ243" s="856"/>
      <c r="AK243" s="856"/>
      <c r="AL243" s="856"/>
      <c r="AM243" s="856"/>
      <c r="AN243" s="856"/>
      <c r="AO243" s="855" t="str">
        <f>'6. HC (GC)'!U39</f>
        <v/>
      </c>
      <c r="AP243" s="855">
        <v>209</v>
      </c>
      <c r="AQ243" s="855" t="str">
        <f>Settings!$A$1</f>
        <v>V2</v>
      </c>
    </row>
    <row r="244" spans="1:43" x14ac:dyDescent="0.2">
      <c r="A244" s="451">
        <f>'Input-FX Rates'!$C$4</f>
        <v>242</v>
      </c>
      <c r="B244" s="451" t="str">
        <f>'Input-FX Rates'!$B$4</f>
        <v>ICH Icheon (242)</v>
      </c>
      <c r="C244" s="451">
        <f>'Input-FX Rates'!$C$6</f>
        <v>780</v>
      </c>
      <c r="D244" s="451" t="str">
        <f>'Input-FX Rates'!$B$6</f>
        <v>780 BU Controls</v>
      </c>
      <c r="E244" s="451" t="str">
        <f>'Input-FX Rates'!$C$5</f>
        <v>7851</v>
      </c>
      <c r="F244" s="451" t="str">
        <f>'Input-FX Rates'!$B$5</f>
        <v>7851 PL eMotor Controls</v>
      </c>
      <c r="G244" s="451" t="s">
        <v>502</v>
      </c>
      <c r="H244" s="451" t="s">
        <v>434</v>
      </c>
      <c r="I244" s="536">
        <f>'7. BS-Key Figures (GC)'!C8</f>
        <v>50854.220662078274</v>
      </c>
      <c r="J244" s="536">
        <f>'7. BS-Key Figures (GC)'!D8</f>
        <v>92272.494113619265</v>
      </c>
      <c r="K244" s="535"/>
      <c r="L244" s="536">
        <f>'7. BS-Key Figures (GC)'!E8</f>
        <v>94871.705380828425</v>
      </c>
      <c r="M244" s="535"/>
      <c r="N244" s="535"/>
      <c r="O244" s="536">
        <f>'7. BS-Key Figures (GC)'!S8</f>
        <v>129843.69047517242</v>
      </c>
      <c r="P244" s="536">
        <f>'7. BS-Key Figures (GC)'!R8</f>
        <v>129843.69047517242</v>
      </c>
      <c r="Q244" s="535"/>
      <c r="R244" s="535"/>
      <c r="S244" s="535"/>
      <c r="T244" s="535"/>
      <c r="U244" s="535"/>
      <c r="V244" s="535"/>
      <c r="W244" s="536">
        <f>'7. BS-Key Figures (GC)'!F8</f>
        <v>10982.754342068965</v>
      </c>
      <c r="X244" s="536">
        <f>'7. BS-Key Figures (GC)'!G8</f>
        <v>9750.9471772413799</v>
      </c>
      <c r="Y244" s="536">
        <f>'7. BS-Key Figures (GC)'!H8</f>
        <v>10665.506346896551</v>
      </c>
      <c r="Z244" s="536">
        <f>'7. BS-Key Figures (GC)'!I8</f>
        <v>11075.910555172413</v>
      </c>
      <c r="AA244" s="536">
        <f>'7. BS-Key Figures (GC)'!J8</f>
        <v>11305.748811034484</v>
      </c>
      <c r="AB244" s="536">
        <f>'7. BS-Key Figures (GC)'!K8</f>
        <v>10529.02819310345</v>
      </c>
      <c r="AC244" s="536">
        <f>'7. BS-Key Figures (GC)'!L8</f>
        <v>12082.924556551725</v>
      </c>
      <c r="AD244" s="536">
        <f>'7. BS-Key Figures (GC)'!M8</f>
        <v>9363.7758931034477</v>
      </c>
      <c r="AE244" s="536">
        <f>'7. BS-Key Figures (GC)'!N8</f>
        <v>10144.650669655173</v>
      </c>
      <c r="AF244" s="536">
        <f>'7. BS-Key Figures (GC)'!O8</f>
        <v>11314.147977241379</v>
      </c>
      <c r="AG244" s="536">
        <f>'7. BS-Key Figures (GC)'!P8</f>
        <v>11314.147977241379</v>
      </c>
      <c r="AH244" s="536">
        <f>'7. BS-Key Figures (GC)'!Q8</f>
        <v>11314.147975862068</v>
      </c>
      <c r="AI244" s="535"/>
      <c r="AJ244" s="535"/>
      <c r="AK244" s="535"/>
      <c r="AL244" s="535"/>
      <c r="AM244" s="535"/>
      <c r="AN244" s="535"/>
      <c r="AO244" s="451" t="str">
        <f>'7. BS-Key Figures (GC)'!U8</f>
        <v/>
      </c>
      <c r="AP244" s="451">
        <v>210</v>
      </c>
      <c r="AQ244" s="451" t="str">
        <f>Settings!$A$1</f>
        <v>V2</v>
      </c>
    </row>
    <row r="245" spans="1:43" x14ac:dyDescent="0.2">
      <c r="A245" s="451">
        <f>'Input-FX Rates'!$C$4</f>
        <v>242</v>
      </c>
      <c r="B245" s="451" t="str">
        <f>'Input-FX Rates'!$B$4</f>
        <v>ICH Icheon (242)</v>
      </c>
      <c r="C245" s="451">
        <f>'Input-FX Rates'!$C$6</f>
        <v>780</v>
      </c>
      <c r="D245" s="451" t="str">
        <f>'Input-FX Rates'!$B$6</f>
        <v>780 BU Controls</v>
      </c>
      <c r="E245" s="451" t="str">
        <f>'Input-FX Rates'!$C$5</f>
        <v>7851</v>
      </c>
      <c r="F245" s="451" t="str">
        <f>'Input-FX Rates'!$B$5</f>
        <v>7851 PL eMotor Controls</v>
      </c>
      <c r="G245" s="451" t="s">
        <v>502</v>
      </c>
      <c r="H245" s="451" t="s">
        <v>432</v>
      </c>
      <c r="I245" s="536">
        <f>'7. BS-Key Figures (GC)'!C9</f>
        <v>50756.816897234035</v>
      </c>
      <c r="J245" s="536">
        <f>'7. BS-Key Figures (GC)'!D9</f>
        <v>92272.494113619265</v>
      </c>
      <c r="K245" s="535"/>
      <c r="L245" s="536">
        <f>'7. BS-Key Figures (GC)'!E9</f>
        <v>94832.956776748309</v>
      </c>
      <c r="M245" s="535"/>
      <c r="N245" s="535"/>
      <c r="O245" s="536">
        <f>'7. BS-Key Figures (GC)'!S9</f>
        <v>129843.69047517242</v>
      </c>
      <c r="P245" s="535"/>
      <c r="Q245" s="535"/>
      <c r="R245" s="535"/>
      <c r="S245" s="535"/>
      <c r="T245" s="535"/>
      <c r="U245" s="535"/>
      <c r="V245" s="535"/>
      <c r="W245" s="536">
        <f>'7. BS-Key Figures (GC)'!F9</f>
        <v>10982.754342068965</v>
      </c>
      <c r="X245" s="536">
        <f>'7. BS-Key Figures (GC)'!G9</f>
        <v>9750.9471772413799</v>
      </c>
      <c r="Y245" s="536">
        <f>'7. BS-Key Figures (GC)'!H9</f>
        <v>10665.506346896551</v>
      </c>
      <c r="Z245" s="536">
        <f>'7. BS-Key Figures (GC)'!I9</f>
        <v>11075.910555172413</v>
      </c>
      <c r="AA245" s="536">
        <f>'7. BS-Key Figures (GC)'!J9</f>
        <v>11305.748811034484</v>
      </c>
      <c r="AB245" s="536">
        <f>'7. BS-Key Figures (GC)'!K9</f>
        <v>10529.02819310345</v>
      </c>
      <c r="AC245" s="536">
        <f>'7. BS-Key Figures (GC)'!L9</f>
        <v>12082.924556551725</v>
      </c>
      <c r="AD245" s="536">
        <f>'7. BS-Key Figures (GC)'!M9</f>
        <v>9363.7758931034477</v>
      </c>
      <c r="AE245" s="536">
        <f>'7. BS-Key Figures (GC)'!N9</f>
        <v>10144.650669655173</v>
      </c>
      <c r="AF245" s="536">
        <f>'7. BS-Key Figures (GC)'!O9</f>
        <v>11314.147977241379</v>
      </c>
      <c r="AG245" s="536">
        <f>'7. BS-Key Figures (GC)'!P9</f>
        <v>11314.147977241379</v>
      </c>
      <c r="AH245" s="536">
        <f>'7. BS-Key Figures (GC)'!Q9</f>
        <v>11314.147975862068</v>
      </c>
      <c r="AI245" s="535"/>
      <c r="AJ245" s="535"/>
      <c r="AK245" s="535"/>
      <c r="AL245" s="535"/>
      <c r="AM245" s="535"/>
      <c r="AN245" s="535"/>
      <c r="AO245" s="451" t="str">
        <f>'7. BS-Key Figures (GC)'!U9</f>
        <v/>
      </c>
      <c r="AP245" s="451">
        <v>211</v>
      </c>
      <c r="AQ245" s="451" t="str">
        <f>Settings!$A$1</f>
        <v>V2</v>
      </c>
    </row>
    <row r="246" spans="1:43" x14ac:dyDescent="0.2">
      <c r="A246" s="451">
        <f>'Input-FX Rates'!$C$4</f>
        <v>242</v>
      </c>
      <c r="B246" s="451" t="str">
        <f>'Input-FX Rates'!$B$4</f>
        <v>ICH Icheon (242)</v>
      </c>
      <c r="C246" s="451">
        <f>'Input-FX Rates'!$C$6</f>
        <v>780</v>
      </c>
      <c r="D246" s="451" t="str">
        <f>'Input-FX Rates'!$B$6</f>
        <v>780 BU Controls</v>
      </c>
      <c r="E246" s="451" t="str">
        <f>'Input-FX Rates'!$C$5</f>
        <v>7851</v>
      </c>
      <c r="F246" s="451" t="str">
        <f>'Input-FX Rates'!$B$5</f>
        <v>7851 PL eMotor Controls</v>
      </c>
      <c r="G246" s="451" t="s">
        <v>502</v>
      </c>
      <c r="H246" s="451" t="s">
        <v>431</v>
      </c>
      <c r="I246" s="536">
        <f>'7. BS-Key Figures (GC)'!C10</f>
        <v>2666.2069955083584</v>
      </c>
      <c r="J246" s="536">
        <f>'7. BS-Key Figures (GC)'!D10</f>
        <v>3628.2216772009033</v>
      </c>
      <c r="K246" s="535"/>
      <c r="L246" s="536">
        <f>'7. BS-Key Figures (GC)'!E10</f>
        <v>3981.6371837222378</v>
      </c>
      <c r="M246" s="535"/>
      <c r="N246" s="535"/>
      <c r="O246" s="536">
        <f>'7. BS-Key Figures (GC)'!S10</f>
        <v>6020.1120786206902</v>
      </c>
      <c r="P246" s="535"/>
      <c r="Q246" s="535"/>
      <c r="R246" s="535"/>
      <c r="S246" s="535"/>
      <c r="T246" s="535"/>
      <c r="U246" s="535"/>
      <c r="V246" s="535"/>
      <c r="W246" s="536">
        <f>'7. BS-Key Figures (GC)'!F10</f>
        <v>5102.5043517241375</v>
      </c>
      <c r="X246" s="536">
        <f>'7. BS-Key Figures (GC)'!G10</f>
        <v>5093.4714158620682</v>
      </c>
      <c r="Y246" s="536">
        <f>'7. BS-Key Figures (GC)'!H10</f>
        <v>4566.4038565517239</v>
      </c>
      <c r="Z246" s="536">
        <f>'7. BS-Key Figures (GC)'!I10</f>
        <v>4292.0672606896542</v>
      </c>
      <c r="AA246" s="536">
        <f>'7. BS-Key Figures (GC)'!J10</f>
        <v>4134.1427103448268</v>
      </c>
      <c r="AB246" s="536">
        <f>'7. BS-Key Figures (GC)'!K10</f>
        <v>6397.1023806896546</v>
      </c>
      <c r="AC246" s="536">
        <f>'7. BS-Key Figures (GC)'!L10</f>
        <v>6728.2666379310349</v>
      </c>
      <c r="AD246" s="536">
        <f>'7. BS-Key Figures (GC)'!M10</f>
        <v>5513.9808613793102</v>
      </c>
      <c r="AE246" s="536">
        <f>'7. BS-Key Figures (GC)'!N10</f>
        <v>5160.9598944827585</v>
      </c>
      <c r="AF246" s="536">
        <f>'7. BS-Key Figures (GC)'!O10</f>
        <v>5696.2088220689657</v>
      </c>
      <c r="AG246" s="536">
        <f>'7. BS-Key Figures (GC)'!P10</f>
        <v>5679.1488868965516</v>
      </c>
      <c r="AH246" s="536">
        <f>'7. BS-Key Figures (GC)'!Q10</f>
        <v>6020.1120786206902</v>
      </c>
      <c r="AI246" s="535"/>
      <c r="AJ246" s="535"/>
      <c r="AK246" s="535"/>
      <c r="AL246" s="535"/>
      <c r="AM246" s="535"/>
      <c r="AN246" s="535"/>
      <c r="AO246" s="451" t="str">
        <f>'7. BS-Key Figures (GC)'!U10</f>
        <v/>
      </c>
      <c r="AP246" s="451">
        <v>212</v>
      </c>
      <c r="AQ246" s="451" t="str">
        <f>Settings!$A$1</f>
        <v>V2</v>
      </c>
    </row>
    <row r="247" spans="1:43" x14ac:dyDescent="0.2">
      <c r="A247" s="451">
        <f>'Input-FX Rates'!$C$4</f>
        <v>242</v>
      </c>
      <c r="B247" s="451" t="str">
        <f>'Input-FX Rates'!$B$4</f>
        <v>ICH Icheon (242)</v>
      </c>
      <c r="C247" s="451">
        <f>'Input-FX Rates'!$C$6</f>
        <v>780</v>
      </c>
      <c r="D247" s="451" t="str">
        <f>'Input-FX Rates'!$B$6</f>
        <v>780 BU Controls</v>
      </c>
      <c r="E247" s="451" t="str">
        <f>'Input-FX Rates'!$C$5</f>
        <v>7851</v>
      </c>
      <c r="F247" s="451" t="str">
        <f>'Input-FX Rates'!$B$5</f>
        <v>7851 PL eMotor Controls</v>
      </c>
      <c r="G247" s="451" t="s">
        <v>502</v>
      </c>
      <c r="H247" s="451" t="s">
        <v>430</v>
      </c>
      <c r="I247" s="536">
        <f>'7. BS-Key Figures (GC)'!C11</f>
        <v>2124.4627059908385</v>
      </c>
      <c r="J247" s="536">
        <f>'7. BS-Key Figures (GC)'!D11</f>
        <v>1934.1809932279909</v>
      </c>
      <c r="K247" s="535"/>
      <c r="L247" s="536">
        <f>'7. BS-Key Figures (GC)'!E11</f>
        <v>2209.8864105988191</v>
      </c>
      <c r="M247" s="535"/>
      <c r="N247" s="535"/>
      <c r="O247" s="536">
        <f>'7. BS-Key Figures (GC)'!S11</f>
        <v>2115.052319310345</v>
      </c>
      <c r="P247" s="535"/>
      <c r="Q247" s="535"/>
      <c r="R247" s="535"/>
      <c r="S247" s="535"/>
      <c r="T247" s="535"/>
      <c r="U247" s="535"/>
      <c r="V247" s="535"/>
      <c r="W247" s="536">
        <f>'7. BS-Key Figures (GC)'!F11</f>
        <v>3415.7831482758615</v>
      </c>
      <c r="X247" s="536">
        <f>'7. BS-Key Figures (GC)'!G11</f>
        <v>2861.9045579310341</v>
      </c>
      <c r="Y247" s="536">
        <f>'7. BS-Key Figures (GC)'!H11</f>
        <v>2523.9332344827581</v>
      </c>
      <c r="Z247" s="536">
        <f>'7. BS-Key Figures (GC)'!I11</f>
        <v>2591.787656551724</v>
      </c>
      <c r="AA247" s="536">
        <f>'7. BS-Key Figures (GC)'!J11</f>
        <v>2397.4107593103445</v>
      </c>
      <c r="AB247" s="536">
        <f>'7. BS-Key Figures (GC)'!K11</f>
        <v>2550.1856710344823</v>
      </c>
      <c r="AC247" s="536">
        <f>'7. BS-Key Figures (GC)'!L11</f>
        <v>2625.1526703448271</v>
      </c>
      <c r="AD247" s="536">
        <f>'7. BS-Key Figures (GC)'!M11</f>
        <v>2115.2595062068963</v>
      </c>
      <c r="AE247" s="536">
        <f>'7. BS-Key Figures (GC)'!N11</f>
        <v>2223.1128565517238</v>
      </c>
      <c r="AF247" s="536">
        <f>'7. BS-Key Figures (GC)'!O11</f>
        <v>2337.7490627586203</v>
      </c>
      <c r="AG247" s="536">
        <f>'7. BS-Key Figures (GC)'!P11</f>
        <v>1886.173113103448</v>
      </c>
      <c r="AH247" s="536">
        <f>'7. BS-Key Figures (GC)'!Q11</f>
        <v>2115.0523193103445</v>
      </c>
      <c r="AI247" s="535"/>
      <c r="AJ247" s="535"/>
      <c r="AK247" s="535"/>
      <c r="AL247" s="535"/>
      <c r="AM247" s="535"/>
      <c r="AN247" s="535"/>
      <c r="AO247" s="451" t="str">
        <f>'7. BS-Key Figures (GC)'!U11</f>
        <v/>
      </c>
      <c r="AP247" s="451">
        <v>213</v>
      </c>
      <c r="AQ247" s="451" t="str">
        <f>Settings!$A$1</f>
        <v>V2</v>
      </c>
    </row>
    <row r="248" spans="1:43" x14ac:dyDescent="0.2">
      <c r="A248" s="451">
        <f>'Input-FX Rates'!$C$4</f>
        <v>242</v>
      </c>
      <c r="B248" s="451" t="str">
        <f>'Input-FX Rates'!$B$4</f>
        <v>ICH Icheon (242)</v>
      </c>
      <c r="C248" s="451">
        <f>'Input-FX Rates'!$C$6</f>
        <v>780</v>
      </c>
      <c r="D248" s="451" t="str">
        <f>'Input-FX Rates'!$B$6</f>
        <v>780 BU Controls</v>
      </c>
      <c r="E248" s="451" t="str">
        <f>'Input-FX Rates'!$C$5</f>
        <v>7851</v>
      </c>
      <c r="F248" s="451" t="str">
        <f>'Input-FX Rates'!$B$5</f>
        <v>7851 PL eMotor Controls</v>
      </c>
      <c r="G248" s="451" t="s">
        <v>502</v>
      </c>
      <c r="H248" s="451" t="s">
        <v>429</v>
      </c>
      <c r="I248" s="536">
        <f>'7. BS-Key Figures (GC)'!C12</f>
        <v>305.16657817240764</v>
      </c>
      <c r="J248" s="536">
        <f>'7. BS-Key Figures (GC)'!D12</f>
        <v>788.62102633559073</v>
      </c>
      <c r="K248" s="535"/>
      <c r="L248" s="536">
        <f>'7. BS-Key Figures (GC)'!E12</f>
        <v>864.47216755693</v>
      </c>
      <c r="M248" s="535"/>
      <c r="N248" s="535"/>
      <c r="O248" s="536">
        <f>'7. BS-Key Figures (GC)'!S12</f>
        <v>3028.3565765517242</v>
      </c>
      <c r="P248" s="535"/>
      <c r="Q248" s="535"/>
      <c r="R248" s="535"/>
      <c r="S248" s="535"/>
      <c r="T248" s="535"/>
      <c r="U248" s="535"/>
      <c r="V248" s="535"/>
      <c r="W248" s="536">
        <f>'7. BS-Key Figures (GC)'!F12</f>
        <v>835.91605655172407</v>
      </c>
      <c r="X248" s="536">
        <f>'7. BS-Key Figures (GC)'!G12</f>
        <v>1105.9341427586205</v>
      </c>
      <c r="Y248" s="536">
        <f>'7. BS-Key Figures (GC)'!H12</f>
        <v>1012.2206234482757</v>
      </c>
      <c r="Z248" s="536">
        <f>'7. BS-Key Figures (GC)'!I12</f>
        <v>842.63541517241356</v>
      </c>
      <c r="AA248" s="536">
        <f>'7. BS-Key Figures (GC)'!J12</f>
        <v>860.70070206896526</v>
      </c>
      <c r="AB248" s="536">
        <f>'7. BS-Key Figures (GC)'!K12</f>
        <v>2831.0813455172415</v>
      </c>
      <c r="AC248" s="536">
        <f>'7. BS-Key Figures (GC)'!L12</f>
        <v>2928.8236937931033</v>
      </c>
      <c r="AD248" s="536">
        <f>'7. BS-Key Figures (GC)'!M12</f>
        <v>2501.7096751724134</v>
      </c>
      <c r="AE248" s="536">
        <f>'7. BS-Key Figures (GC)'!N12</f>
        <v>2156.5424034482753</v>
      </c>
      <c r="AF248" s="536">
        <f>'7. BS-Key Figures (GC)'!O12</f>
        <v>2481.7565765517238</v>
      </c>
      <c r="AG248" s="536">
        <f>'7. BS-Key Figures (GC)'!P12</f>
        <v>2697.0967958620686</v>
      </c>
      <c r="AH248" s="536">
        <f>'7. BS-Key Figures (GC)'!Q12</f>
        <v>3028.3565765517237</v>
      </c>
      <c r="AI248" s="535"/>
      <c r="AJ248" s="535"/>
      <c r="AK248" s="535"/>
      <c r="AL248" s="535"/>
      <c r="AM248" s="535"/>
      <c r="AN248" s="535"/>
      <c r="AO248" s="451" t="str">
        <f>'7. BS-Key Figures (GC)'!U12</f>
        <v/>
      </c>
      <c r="AP248" s="451">
        <v>214</v>
      </c>
      <c r="AQ248" s="451" t="str">
        <f>Settings!$A$1</f>
        <v>V2</v>
      </c>
    </row>
    <row r="249" spans="1:43" x14ac:dyDescent="0.2">
      <c r="A249" s="451">
        <f>'Input-FX Rates'!$C$4</f>
        <v>242</v>
      </c>
      <c r="B249" s="451" t="str">
        <f>'Input-FX Rates'!$B$4</f>
        <v>ICH Icheon (242)</v>
      </c>
      <c r="C249" s="451">
        <f>'Input-FX Rates'!$C$6</f>
        <v>780</v>
      </c>
      <c r="D249" s="451" t="str">
        <f>'Input-FX Rates'!$B$6</f>
        <v>780 BU Controls</v>
      </c>
      <c r="E249" s="451" t="str">
        <f>'Input-FX Rates'!$C$5</f>
        <v>7851</v>
      </c>
      <c r="F249" s="451" t="str">
        <f>'Input-FX Rates'!$B$5</f>
        <v>7851 PL eMotor Controls</v>
      </c>
      <c r="G249" s="451" t="s">
        <v>502</v>
      </c>
      <c r="H249" s="451" t="s">
        <v>428</v>
      </c>
      <c r="I249" s="536">
        <f>'7. BS-Key Figures (GC)'!C13</f>
        <v>236.57771134511276</v>
      </c>
      <c r="J249" s="536">
        <f>'7. BS-Key Figures (GC)'!D13</f>
        <v>905.41965763732139</v>
      </c>
      <c r="K249" s="535"/>
      <c r="L249" s="536">
        <f>'7. BS-Key Figures (GC)'!E13</f>
        <v>907.27860556648864</v>
      </c>
      <c r="M249" s="535"/>
      <c r="N249" s="535"/>
      <c r="O249" s="536">
        <f>'7. BS-Key Figures (GC)'!S13</f>
        <v>876.70318275862064</v>
      </c>
      <c r="P249" s="535"/>
      <c r="Q249" s="535"/>
      <c r="R249" s="535"/>
      <c r="S249" s="535"/>
      <c r="T249" s="535"/>
      <c r="U249" s="535"/>
      <c r="V249" s="535"/>
      <c r="W249" s="536">
        <f>'7. BS-Key Figures (GC)'!F13</f>
        <v>850.80514689655172</v>
      </c>
      <c r="X249" s="536">
        <f>'7. BS-Key Figures (GC)'!G13</f>
        <v>1125.6327151724138</v>
      </c>
      <c r="Y249" s="536">
        <f>'7. BS-Key Figures (GC)'!H13</f>
        <v>1030.2499986206897</v>
      </c>
      <c r="Z249" s="536">
        <f>'7. BS-Key Figures (GC)'!I13</f>
        <v>857.64418896551729</v>
      </c>
      <c r="AA249" s="536">
        <f>'7. BS-Key Figures (GC)'!J13</f>
        <v>876.03124896551719</v>
      </c>
      <c r="AB249" s="536">
        <f>'7. BS-Key Figures (GC)'!K13</f>
        <v>1015.835364137931</v>
      </c>
      <c r="AC249" s="536">
        <f>'7. BS-Key Figures (GC)'!L13</f>
        <v>1174.2902737931033</v>
      </c>
      <c r="AD249" s="536">
        <f>'7. BS-Key Figures (GC)'!M13</f>
        <v>897.01167999999984</v>
      </c>
      <c r="AE249" s="536">
        <f>'7. BS-Key Figures (GC)'!N13</f>
        <v>781.30463448275839</v>
      </c>
      <c r="AF249" s="536">
        <f>'7. BS-Key Figures (GC)'!O13</f>
        <v>876.70318275862053</v>
      </c>
      <c r="AG249" s="536">
        <f>'7. BS-Key Figures (GC)'!P13</f>
        <v>1095.8789779310343</v>
      </c>
      <c r="AH249" s="536">
        <f>'7. BS-Key Figures (GC)'!Q13</f>
        <v>876.70318275862053</v>
      </c>
      <c r="AI249" s="535"/>
      <c r="AJ249" s="535"/>
      <c r="AK249" s="535"/>
      <c r="AL249" s="535"/>
      <c r="AM249" s="535"/>
      <c r="AN249" s="535"/>
      <c r="AO249" s="451" t="str">
        <f>'7. BS-Key Figures (GC)'!U13</f>
        <v/>
      </c>
      <c r="AP249" s="451">
        <v>215</v>
      </c>
      <c r="AQ249" s="451" t="str">
        <f>Settings!$A$1</f>
        <v>V2</v>
      </c>
    </row>
    <row r="250" spans="1:43" x14ac:dyDescent="0.2">
      <c r="A250" s="451">
        <f>'Input-FX Rates'!$C$4</f>
        <v>242</v>
      </c>
      <c r="B250" s="451" t="str">
        <f>'Input-FX Rates'!$B$4</f>
        <v>ICH Icheon (242)</v>
      </c>
      <c r="C250" s="451">
        <f>'Input-FX Rates'!$C$6</f>
        <v>780</v>
      </c>
      <c r="D250" s="451" t="str">
        <f>'Input-FX Rates'!$B$6</f>
        <v>780 BU Controls</v>
      </c>
      <c r="E250" s="451" t="str">
        <f>'Input-FX Rates'!$C$5</f>
        <v>7851</v>
      </c>
      <c r="F250" s="451" t="str">
        <f>'Input-FX Rates'!$B$5</f>
        <v>7851 PL eMotor Controls</v>
      </c>
      <c r="G250" s="451" t="s">
        <v>502</v>
      </c>
      <c r="H250" s="451" t="s">
        <v>427</v>
      </c>
      <c r="I250" s="536">
        <f>'7. BS-Key Figures (GC)'!C14</f>
        <v>19.073620595756498</v>
      </c>
      <c r="J250" s="536">
        <f>'7. BS-Key Figures (GC)'!D14</f>
        <v>25.431878843964562</v>
      </c>
      <c r="K250" s="535"/>
      <c r="L250" s="536">
        <f>'7. BS-Key Figures (GC)'!E14</f>
        <v>23.827310476374823</v>
      </c>
      <c r="M250" s="535"/>
      <c r="N250" s="535"/>
      <c r="O250" s="536">
        <f>'7. BS-Key Figures (GC)'!S14</f>
        <v>21.568317795326134</v>
      </c>
      <c r="P250" s="535"/>
      <c r="Q250" s="535"/>
      <c r="R250" s="535"/>
      <c r="S250" s="535"/>
      <c r="T250" s="535"/>
      <c r="U250" s="535"/>
      <c r="V250" s="535"/>
      <c r="W250" s="536">
        <f>'7. BS-Key Figures (GC)'!F14</f>
        <v>0</v>
      </c>
      <c r="X250" s="536">
        <f>'7. BS-Key Figures (GC)'!G14</f>
        <v>0</v>
      </c>
      <c r="Y250" s="536">
        <f>'7. BS-Key Figures (GC)'!H14</f>
        <v>0</v>
      </c>
      <c r="Z250" s="536">
        <f>'7. BS-Key Figures (GC)'!I14</f>
        <v>0</v>
      </c>
      <c r="AA250" s="536">
        <f>'7. BS-Key Figures (GC)'!J14</f>
        <v>0</v>
      </c>
      <c r="AB250" s="536">
        <f>'7. BS-Key Figures (GC)'!K14</f>
        <v>0</v>
      </c>
      <c r="AC250" s="536">
        <f>'7. BS-Key Figures (GC)'!L14</f>
        <v>0</v>
      </c>
      <c r="AD250" s="536">
        <f>'7. BS-Key Figures (GC)'!M14</f>
        <v>0</v>
      </c>
      <c r="AE250" s="536">
        <f>'7. BS-Key Figures (GC)'!N14</f>
        <v>0</v>
      </c>
      <c r="AF250" s="536">
        <f>'7. BS-Key Figures (GC)'!O14</f>
        <v>0</v>
      </c>
      <c r="AG250" s="536">
        <f>'7. BS-Key Figures (GC)'!P14</f>
        <v>0</v>
      </c>
      <c r="AH250" s="536">
        <f>'7. BS-Key Figures (GC)'!Q14</f>
        <v>21.568317795326134</v>
      </c>
      <c r="AI250" s="535"/>
      <c r="AJ250" s="535"/>
      <c r="AK250" s="535"/>
      <c r="AL250" s="535"/>
      <c r="AM250" s="535"/>
      <c r="AN250" s="535"/>
      <c r="AO250" s="451" t="str">
        <f>'7. BS-Key Figures (GC)'!U14</f>
        <v/>
      </c>
      <c r="AP250" s="451">
        <v>216</v>
      </c>
      <c r="AQ250" s="451" t="str">
        <f>Settings!$A$1</f>
        <v>V2</v>
      </c>
    </row>
    <row r="251" spans="1:43" x14ac:dyDescent="0.2">
      <c r="A251" s="451">
        <f>'Input-FX Rates'!$C$4</f>
        <v>242</v>
      </c>
      <c r="B251" s="451" t="str">
        <f>'Input-FX Rates'!$B$4</f>
        <v>ICH Icheon (242)</v>
      </c>
      <c r="C251" s="451">
        <f>'Input-FX Rates'!$C$6</f>
        <v>780</v>
      </c>
      <c r="D251" s="451" t="str">
        <f>'Input-FX Rates'!$B$6</f>
        <v>780 BU Controls</v>
      </c>
      <c r="E251" s="451" t="str">
        <f>'Input-FX Rates'!$C$5</f>
        <v>7851</v>
      </c>
      <c r="F251" s="451" t="str">
        <f>'Input-FX Rates'!$B$5</f>
        <v>7851 PL eMotor Controls</v>
      </c>
      <c r="G251" s="451" t="s">
        <v>502</v>
      </c>
      <c r="H251" s="451" t="s">
        <v>426</v>
      </c>
      <c r="I251" s="536">
        <f>'7. BS-Key Figures (GC)'!C15</f>
        <v>0</v>
      </c>
      <c r="J251" s="536">
        <f>'7. BS-Key Figures (GC)'!D15</f>
        <v>30.3</v>
      </c>
      <c r="K251" s="535"/>
      <c r="L251" s="536">
        <f>'7. BS-Key Figures (GC)'!E15</f>
        <v>25.8</v>
      </c>
      <c r="M251" s="535"/>
      <c r="N251" s="535"/>
      <c r="O251" s="536">
        <f>'7. BS-Key Figures (GC)'!S15</f>
        <v>24.200350272855399</v>
      </c>
      <c r="P251" s="536">
        <f>'7. BS-Key Figures (GC)'!R15</f>
        <v>0</v>
      </c>
      <c r="Q251" s="535"/>
      <c r="R251" s="535"/>
      <c r="S251" s="535"/>
      <c r="T251" s="535"/>
      <c r="U251" s="535"/>
      <c r="V251" s="535"/>
      <c r="W251" s="536">
        <f>'7. BS-Key Figures (GC)'!F15</f>
        <v>0</v>
      </c>
      <c r="X251" s="536">
        <f>'7. BS-Key Figures (GC)'!G15</f>
        <v>0</v>
      </c>
      <c r="Y251" s="536">
        <f>'7. BS-Key Figures (GC)'!H15</f>
        <v>0</v>
      </c>
      <c r="Z251" s="536">
        <f>'7. BS-Key Figures (GC)'!I15</f>
        <v>0</v>
      </c>
      <c r="AA251" s="536">
        <f>'7. BS-Key Figures (GC)'!J15</f>
        <v>0</v>
      </c>
      <c r="AB251" s="536">
        <f>'7. BS-Key Figures (GC)'!K15</f>
        <v>0</v>
      </c>
      <c r="AC251" s="536">
        <f>'7. BS-Key Figures (GC)'!L15</f>
        <v>0</v>
      </c>
      <c r="AD251" s="536">
        <f>'7. BS-Key Figures (GC)'!M15</f>
        <v>0</v>
      </c>
      <c r="AE251" s="536">
        <f>'7. BS-Key Figures (GC)'!N15</f>
        <v>0</v>
      </c>
      <c r="AF251" s="536">
        <f>'7. BS-Key Figures (GC)'!O15</f>
        <v>0</v>
      </c>
      <c r="AG251" s="536">
        <f>'7. BS-Key Figures (GC)'!P15</f>
        <v>0</v>
      </c>
      <c r="AH251" s="536">
        <f>'7. BS-Key Figures (GC)'!Q15</f>
        <v>0</v>
      </c>
      <c r="AI251" s="535"/>
      <c r="AJ251" s="535"/>
      <c r="AK251" s="535"/>
      <c r="AL251" s="535"/>
      <c r="AM251" s="535"/>
      <c r="AN251" s="535"/>
      <c r="AO251" s="451" t="str">
        <f>'7. BS-Key Figures (GC)'!U15</f>
        <v/>
      </c>
      <c r="AP251" s="451">
        <v>217</v>
      </c>
      <c r="AQ251" s="451" t="str">
        <f>Settings!$A$1</f>
        <v>V2</v>
      </c>
    </row>
    <row r="252" spans="1:43" x14ac:dyDescent="0.2">
      <c r="A252" s="451">
        <f>'Input-FX Rates'!$C$4</f>
        <v>242</v>
      </c>
      <c r="B252" s="451" t="str">
        <f>'Input-FX Rates'!$B$4</f>
        <v>ICH Icheon (242)</v>
      </c>
      <c r="C252" s="451">
        <f>'Input-FX Rates'!$C$6</f>
        <v>780</v>
      </c>
      <c r="D252" s="451" t="str">
        <f>'Input-FX Rates'!$B$6</f>
        <v>780 BU Controls</v>
      </c>
      <c r="E252" s="451" t="str">
        <f>'Input-FX Rates'!$C$5</f>
        <v>7851</v>
      </c>
      <c r="F252" s="451" t="str">
        <f>'Input-FX Rates'!$B$5</f>
        <v>7851 PL eMotor Controls</v>
      </c>
      <c r="G252" s="451" t="s">
        <v>502</v>
      </c>
      <c r="H252" s="451" t="s">
        <v>425</v>
      </c>
      <c r="I252" s="536">
        <f>'7. BS-Key Figures (GC)'!C16</f>
        <v>9589.7479445535137</v>
      </c>
      <c r="J252" s="536">
        <f>'7. BS-Key Figures (GC)'!D16</f>
        <v>18945.293656884875</v>
      </c>
      <c r="K252" s="535"/>
      <c r="L252" s="536">
        <f>'7. BS-Key Figures (GC)'!E16</f>
        <v>13754.964437025585</v>
      </c>
      <c r="M252" s="535"/>
      <c r="N252" s="535"/>
      <c r="O252" s="536">
        <f>'7. BS-Key Figures (GC)'!S16</f>
        <v>17813.86464</v>
      </c>
      <c r="P252" s="535"/>
      <c r="Q252" s="535"/>
      <c r="R252" s="535"/>
      <c r="S252" s="535"/>
      <c r="T252" s="535"/>
      <c r="U252" s="535"/>
      <c r="V252" s="535"/>
      <c r="W252" s="536">
        <f>'7. BS-Key Figures (GC)'!F16</f>
        <v>18492.54173862069</v>
      </c>
      <c r="X252" s="536">
        <f>'7. BS-Key Figures (GC)'!G16</f>
        <v>17285.60859172414</v>
      </c>
      <c r="Y252" s="536">
        <f>'7. BS-Key Figures (GC)'!H16</f>
        <v>16886.768549655171</v>
      </c>
      <c r="Z252" s="536">
        <f>'7. BS-Key Figures (GC)'!I16</f>
        <v>17288.297514482761</v>
      </c>
      <c r="AA252" s="536">
        <f>'7. BS-Key Figures (GC)'!J16</f>
        <v>17652.749979310345</v>
      </c>
      <c r="AB252" s="536">
        <f>'7. BS-Key Figures (GC)'!K16</f>
        <v>17139.295172413797</v>
      </c>
      <c r="AC252" s="536">
        <f>'7. BS-Key Figures (GC)'!L16</f>
        <v>18102.904835172416</v>
      </c>
      <c r="AD252" s="536">
        <f>'7. BS-Key Figures (GC)'!M16</f>
        <v>16073.823722758621</v>
      </c>
      <c r="AE252" s="536">
        <f>'7. BS-Key Figures (GC)'!N16</f>
        <v>15507.257956551724</v>
      </c>
      <c r="AF252" s="536">
        <f>'7. BS-Key Figures (GC)'!O16</f>
        <v>17079.275000000001</v>
      </c>
      <c r="AG252" s="536">
        <f>'7. BS-Key Figures (GC)'!P16</f>
        <v>17945.732651724138</v>
      </c>
      <c r="AH252" s="536">
        <f>'7. BS-Key Figures (GC)'!Q16</f>
        <v>17813.86464</v>
      </c>
      <c r="AI252" s="535"/>
      <c r="AJ252" s="535"/>
      <c r="AK252" s="535"/>
      <c r="AL252" s="535"/>
      <c r="AM252" s="535"/>
      <c r="AN252" s="535"/>
      <c r="AO252" s="451" t="str">
        <f>'7. BS-Key Figures (GC)'!U16</f>
        <v/>
      </c>
      <c r="AP252" s="451">
        <v>218</v>
      </c>
      <c r="AQ252" s="451" t="str">
        <f>Settings!$A$1</f>
        <v>V2</v>
      </c>
    </row>
    <row r="253" spans="1:43" x14ac:dyDescent="0.2">
      <c r="A253" s="451">
        <f>'Input-FX Rates'!$C$4</f>
        <v>242</v>
      </c>
      <c r="B253" s="451" t="str">
        <f>'Input-FX Rates'!$B$4</f>
        <v>ICH Icheon (242)</v>
      </c>
      <c r="C253" s="451">
        <f>'Input-FX Rates'!$C$6</f>
        <v>780</v>
      </c>
      <c r="D253" s="451" t="str">
        <f>'Input-FX Rates'!$B$6</f>
        <v>780 BU Controls</v>
      </c>
      <c r="E253" s="451" t="str">
        <f>'Input-FX Rates'!$C$5</f>
        <v>7851</v>
      </c>
      <c r="F253" s="451" t="str">
        <f>'Input-FX Rates'!$B$5</f>
        <v>7851 PL eMotor Controls</v>
      </c>
      <c r="G253" s="451" t="s">
        <v>502</v>
      </c>
      <c r="H253" s="451" t="s">
        <v>423</v>
      </c>
      <c r="I253" s="536">
        <f>'7. BS-Key Figures (GC)'!C18</f>
        <v>13696.741471086918</v>
      </c>
      <c r="J253" s="536">
        <f>'7. BS-Key Figures (GC)'!D18</f>
        <v>20836.47917983446</v>
      </c>
      <c r="K253" s="535"/>
      <c r="L253" s="536">
        <f>'7. BS-Key Figures (GC)'!E18</f>
        <v>18763.845837784651</v>
      </c>
      <c r="M253" s="535"/>
      <c r="N253" s="535"/>
      <c r="O253" s="536">
        <f>'7. BS-Key Figures (GC)'!S18</f>
        <v>23953.632407586203</v>
      </c>
      <c r="P253" s="535"/>
      <c r="Q253" s="535"/>
      <c r="R253" s="535"/>
      <c r="S253" s="535"/>
      <c r="T253" s="535"/>
      <c r="U253" s="535"/>
      <c r="V253" s="535"/>
      <c r="W253" s="536">
        <f>'7. BS-Key Figures (GC)'!F18</f>
        <v>24400.330795172413</v>
      </c>
      <c r="X253" s="536">
        <f>'7. BS-Key Figures (GC)'!G18</f>
        <v>23849.708815172413</v>
      </c>
      <c r="Y253" s="536">
        <f>'7. BS-Key Figures (GC)'!H18</f>
        <v>24806.358980689656</v>
      </c>
      <c r="Z253" s="536">
        <f>'7. BS-Key Figures (GC)'!I18</f>
        <v>24101.160016551723</v>
      </c>
      <c r="AA253" s="536">
        <f>'7. BS-Key Figures (GC)'!J18</f>
        <v>23575.184353793098</v>
      </c>
      <c r="AB253" s="536">
        <f>'7. BS-Key Figures (GC)'!K18</f>
        <v>23148.775874482752</v>
      </c>
      <c r="AC253" s="536">
        <f>'7. BS-Key Figures (GC)'!L18</f>
        <v>23667.980586896545</v>
      </c>
      <c r="AD253" s="536">
        <f>'7. BS-Key Figures (GC)'!M18</f>
        <v>23109.167134482752</v>
      </c>
      <c r="AE253" s="536">
        <f>'7. BS-Key Figures (GC)'!N18</f>
        <v>21973.81191310344</v>
      </c>
      <c r="AF253" s="536">
        <f>'7. BS-Key Figures (GC)'!O18</f>
        <v>23435.711176551715</v>
      </c>
      <c r="AG253" s="536">
        <f>'7. BS-Key Figures (GC)'!P18</f>
        <v>24515.464182758609</v>
      </c>
      <c r="AH253" s="536">
        <f>'7. BS-Key Figures (GC)'!Q18</f>
        <v>23953.632407586196</v>
      </c>
      <c r="AI253" s="535"/>
      <c r="AJ253" s="535"/>
      <c r="AK253" s="535"/>
      <c r="AL253" s="535"/>
      <c r="AM253" s="535"/>
      <c r="AN253" s="535"/>
      <c r="AO253" s="451" t="str">
        <f>'7. BS-Key Figures (GC)'!U18</f>
        <v/>
      </c>
      <c r="AP253" s="451">
        <v>219</v>
      </c>
      <c r="AQ253" s="451" t="str">
        <f>Settings!$A$1</f>
        <v>V2</v>
      </c>
    </row>
    <row r="254" spans="1:43" x14ac:dyDescent="0.2">
      <c r="A254" s="451">
        <f>'Input-FX Rates'!$C$4</f>
        <v>242</v>
      </c>
      <c r="B254" s="451" t="str">
        <f>'Input-FX Rates'!$B$4</f>
        <v>ICH Icheon (242)</v>
      </c>
      <c r="C254" s="451">
        <f>'Input-FX Rates'!$C$6</f>
        <v>780</v>
      </c>
      <c r="D254" s="451" t="str">
        <f>'Input-FX Rates'!$B$6</f>
        <v>780 BU Controls</v>
      </c>
      <c r="E254" s="451" t="str">
        <f>'Input-FX Rates'!$C$5</f>
        <v>7851</v>
      </c>
      <c r="F254" s="451" t="str">
        <f>'Input-FX Rates'!$B$5</f>
        <v>7851 PL eMotor Controls</v>
      </c>
      <c r="G254" s="451" t="s">
        <v>502</v>
      </c>
      <c r="H254" s="451" t="s">
        <v>422</v>
      </c>
      <c r="I254" s="536">
        <f>'7. BS-Key Figures (GC)'!C20</f>
        <v>-1440.7865310250454</v>
      </c>
      <c r="J254" s="536">
        <f>'7. BS-Key Figures (GC)'!D20</f>
        <v>1737.0361542513201</v>
      </c>
      <c r="K254" s="535"/>
      <c r="L254" s="536">
        <f>'7. BS-Key Figures (GC)'!E20</f>
        <v>-1027.2442170368267</v>
      </c>
      <c r="M254" s="535"/>
      <c r="N254" s="535"/>
      <c r="O254" s="536">
        <f>'7. BS-Key Figures (GC)'!S20</f>
        <v>-119.65568896551486</v>
      </c>
      <c r="P254" s="535"/>
      <c r="Q254" s="535"/>
      <c r="R254" s="535"/>
      <c r="S254" s="535"/>
      <c r="T254" s="535"/>
      <c r="U254" s="535"/>
      <c r="V254" s="535"/>
      <c r="W254" s="536">
        <f>'7. BS-Key Figures (GC)'!F20</f>
        <v>-805.28470482758405</v>
      </c>
      <c r="X254" s="536">
        <f>'7. BS-Key Figures (GC)'!G20</f>
        <v>-1470.6288075862053</v>
      </c>
      <c r="Y254" s="536">
        <f>'7. BS-Key Figures (GC)'!H20</f>
        <v>-3353.1865744827587</v>
      </c>
      <c r="Z254" s="536">
        <f>'7. BS-Key Figures (GC)'!I20</f>
        <v>-2520.7952413793064</v>
      </c>
      <c r="AA254" s="536">
        <f>'7. BS-Key Figures (GC)'!J20</f>
        <v>-1788.291664137925</v>
      </c>
      <c r="AB254" s="536">
        <f>'7. BS-Key Figures (GC)'!K20</f>
        <v>387.62167862070015</v>
      </c>
      <c r="AC254" s="536">
        <f>'7. BS-Key Figures (GC)'!L20</f>
        <v>1163.1908862069095</v>
      </c>
      <c r="AD254" s="536">
        <f>'7. BS-Key Figures (GC)'!M20</f>
        <v>-1521.3625503448191</v>
      </c>
      <c r="AE254" s="536">
        <f>'7. BS-Key Figures (GC)'!N20</f>
        <v>-1305.5940620689582</v>
      </c>
      <c r="AF254" s="536">
        <f>'7. BS-Key Figures (GC)'!O20</f>
        <v>-660.22735448274886</v>
      </c>
      <c r="AG254" s="536">
        <f>'7. BS-Key Figures (GC)'!P20</f>
        <v>-890.58264413791994</v>
      </c>
      <c r="AH254" s="536">
        <f>'7. BS-Key Figures (GC)'!Q20</f>
        <v>-119.65568896550556</v>
      </c>
      <c r="AI254" s="535"/>
      <c r="AJ254" s="535"/>
      <c r="AK254" s="535"/>
      <c r="AL254" s="535"/>
      <c r="AM254" s="535"/>
      <c r="AN254" s="535"/>
      <c r="AO254" s="451" t="str">
        <f>'7. BS-Key Figures (GC)'!U20</f>
        <v/>
      </c>
      <c r="AP254" s="451">
        <v>220</v>
      </c>
      <c r="AQ254" s="451" t="str">
        <f>Settings!$A$1</f>
        <v>V2</v>
      </c>
    </row>
    <row r="255" spans="1:43" s="855" customFormat="1" x14ac:dyDescent="0.2">
      <c r="A255" s="855">
        <f>'Input-FX Rates'!$C$4</f>
        <v>242</v>
      </c>
      <c r="B255" s="855" t="str">
        <f>'Input-FX Rates'!$B$4</f>
        <v>ICH Icheon (242)</v>
      </c>
      <c r="C255" s="855">
        <f>'Input-FX Rates'!$C$6</f>
        <v>780</v>
      </c>
      <c r="D255" s="855" t="str">
        <f>'Input-FX Rates'!$B$6</f>
        <v>780 BU Controls</v>
      </c>
      <c r="E255" s="855" t="str">
        <f>'Input-FX Rates'!$C$5</f>
        <v>7851</v>
      </c>
      <c r="F255" s="855" t="str">
        <f>'Input-FX Rates'!$B$5</f>
        <v>7851 PL eMotor Controls</v>
      </c>
      <c r="G255" s="855" t="s">
        <v>502</v>
      </c>
      <c r="H255" s="855" t="s">
        <v>1432</v>
      </c>
      <c r="I255" s="857">
        <f>'7. BS-Key Figures (GC)'!C22</f>
        <v>12819.055427152121</v>
      </c>
      <c r="J255" s="857">
        <f>'7. BS-Key Figures (GC)'!D22</f>
        <v>21966.502026335591</v>
      </c>
      <c r="K255" s="856"/>
      <c r="L255" s="857">
        <f>'7. BS-Key Figures (GC)'!E22</f>
        <v>18325.865839893166</v>
      </c>
      <c r="M255" s="856"/>
      <c r="N255" s="856"/>
      <c r="O255" s="857">
        <f>'7. BS-Key Figures (GC)'!S22</f>
        <v>7573.8109765517247</v>
      </c>
      <c r="P255" s="856"/>
      <c r="Q255" s="856"/>
      <c r="R255" s="856"/>
      <c r="S255" s="856"/>
      <c r="T255" s="856"/>
      <c r="U255" s="856"/>
      <c r="V255" s="856"/>
      <c r="W255" s="857">
        <f>'7. BS-Key Figures (GC)'!F22</f>
        <v>268.91073172413792</v>
      </c>
      <c r="X255" s="857">
        <f>'7. BS-Key Figures (GC)'!G22</f>
        <v>2077.3319358620688</v>
      </c>
      <c r="Y255" s="857">
        <f>'7. BS-Key Figures (GC)'!H22</f>
        <v>1873.5519551724137</v>
      </c>
      <c r="Z255" s="857">
        <f>'7. BS-Key Figures (GC)'!I22</f>
        <v>391.16972344827587</v>
      </c>
      <c r="AA255" s="857">
        <f>'7. BS-Key Figures (GC)'!J22</f>
        <v>648.3491937931035</v>
      </c>
      <c r="AB255" s="857">
        <f>'7. BS-Key Figures (GC)'!K22</f>
        <v>143.41260689655172</v>
      </c>
      <c r="AC255" s="857">
        <f>'7. BS-Key Figures (GC)'!L22</f>
        <v>106.70780275862067</v>
      </c>
      <c r="AD255" s="857">
        <f>'7. BS-Key Figures (GC)'!M22</f>
        <v>750.98299310344817</v>
      </c>
      <c r="AE255" s="857">
        <f>'7. BS-Key Figures (GC)'!N22</f>
        <v>236.17054827586205</v>
      </c>
      <c r="AF255" s="857">
        <f>'7. BS-Key Figures (GC)'!O22</f>
        <v>593.89648</v>
      </c>
      <c r="AG255" s="857">
        <f>'7. BS-Key Figures (GC)'!P22</f>
        <v>124.75642965517241</v>
      </c>
      <c r="AH255" s="857">
        <f>'7. BS-Key Figures (GC)'!Q22</f>
        <v>358.57057586206901</v>
      </c>
      <c r="AI255" s="856"/>
      <c r="AJ255" s="856"/>
      <c r="AK255" s="856"/>
      <c r="AL255" s="856"/>
      <c r="AM255" s="856"/>
      <c r="AN255" s="856"/>
      <c r="AO255" s="855" t="str">
        <f>'7. BS-Key Figures (GC)'!U22</f>
        <v/>
      </c>
      <c r="AP255" s="855">
        <v>1221</v>
      </c>
      <c r="AQ255" s="855" t="str">
        <f>Settings!$A$1</f>
        <v>V2</v>
      </c>
    </row>
    <row r="256" spans="1:43" x14ac:dyDescent="0.2">
      <c r="A256" s="451">
        <f>'Input-FX Rates'!$C$4</f>
        <v>242</v>
      </c>
      <c r="B256" s="451" t="str">
        <f>'Input-FX Rates'!$B$4</f>
        <v>ICH Icheon (242)</v>
      </c>
      <c r="C256" s="451">
        <f>'Input-FX Rates'!$C$6</f>
        <v>780</v>
      </c>
      <c r="D256" s="451" t="str">
        <f>'Input-FX Rates'!$B$6</f>
        <v>780 BU Controls</v>
      </c>
      <c r="E256" s="451" t="str">
        <f>'Input-FX Rates'!$C$5</f>
        <v>7851</v>
      </c>
      <c r="F256" s="451" t="str">
        <f>'Input-FX Rates'!$B$5</f>
        <v>7851 PL eMotor Controls</v>
      </c>
      <c r="G256" s="451" t="s">
        <v>490</v>
      </c>
      <c r="H256" s="451" t="s">
        <v>501</v>
      </c>
      <c r="I256" s="535"/>
      <c r="J256" s="536">
        <f>'8. Volumes'!A7</f>
        <v>0.11799999999999999</v>
      </c>
      <c r="K256" s="535"/>
      <c r="L256" s="536">
        <f>'8. Volumes'!B7</f>
        <v>1018.9830000000001</v>
      </c>
      <c r="M256" s="535"/>
      <c r="N256" s="535"/>
      <c r="O256" s="536">
        <f>'8. Volumes'!D7</f>
        <v>1213.3789999999999</v>
      </c>
      <c r="P256" s="535"/>
      <c r="Q256" s="535"/>
      <c r="R256" s="535"/>
      <c r="S256" s="535"/>
      <c r="T256" s="535"/>
      <c r="U256" s="535"/>
      <c r="V256" s="535"/>
      <c r="W256" s="535"/>
      <c r="X256" s="535"/>
      <c r="Y256" s="535"/>
      <c r="Z256" s="535"/>
      <c r="AA256" s="535"/>
      <c r="AB256" s="535"/>
      <c r="AC256" s="535"/>
      <c r="AD256" s="535"/>
      <c r="AE256" s="535"/>
      <c r="AF256" s="535"/>
      <c r="AG256" s="535"/>
      <c r="AH256" s="535"/>
      <c r="AI256" s="535"/>
      <c r="AJ256" s="535"/>
      <c r="AK256" s="535"/>
      <c r="AL256" s="535"/>
      <c r="AM256" s="535"/>
      <c r="AN256" s="451" t="str">
        <f>'8. Volumes'!C7</f>
        <v>HV Board (eICB/eIGB 100/101/102/103)</v>
      </c>
      <c r="AO256" s="535"/>
      <c r="AP256" s="451">
        <v>222</v>
      </c>
      <c r="AQ256" s="451" t="str">
        <f>Settings!$A$1</f>
        <v>V2</v>
      </c>
    </row>
    <row r="257" spans="1:43" x14ac:dyDescent="0.2">
      <c r="A257" s="451">
        <f>'Input-FX Rates'!$C$4</f>
        <v>242</v>
      </c>
      <c r="B257" s="451" t="str">
        <f>'Input-FX Rates'!$B$4</f>
        <v>ICH Icheon (242)</v>
      </c>
      <c r="C257" s="451">
        <f>'Input-FX Rates'!$C$6</f>
        <v>780</v>
      </c>
      <c r="D257" s="451" t="str">
        <f>'Input-FX Rates'!$B$6</f>
        <v>780 BU Controls</v>
      </c>
      <c r="E257" s="451" t="str">
        <f>'Input-FX Rates'!$C$5</f>
        <v>7851</v>
      </c>
      <c r="F257" s="451" t="str">
        <f>'Input-FX Rates'!$B$5</f>
        <v>7851 PL eMotor Controls</v>
      </c>
      <c r="G257" s="451" t="s">
        <v>490</v>
      </c>
      <c r="H257" s="451" t="s">
        <v>500</v>
      </c>
      <c r="I257" s="535"/>
      <c r="J257" s="536">
        <f>'8. Volumes'!A8</f>
        <v>3.3000000000000002E-2</v>
      </c>
      <c r="K257" s="535"/>
      <c r="L257" s="536">
        <f>'8. Volumes'!B8</f>
        <v>536.55900000000008</v>
      </c>
      <c r="M257" s="535"/>
      <c r="N257" s="535"/>
      <c r="O257" s="536">
        <f>'8. Volumes'!D8</f>
        <v>720.61599999999999</v>
      </c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5"/>
      <c r="AG257" s="535"/>
      <c r="AH257" s="535"/>
      <c r="AI257" s="535"/>
      <c r="AJ257" s="535"/>
      <c r="AK257" s="535"/>
      <c r="AL257" s="535"/>
      <c r="AM257" s="535"/>
      <c r="AN257" s="451" t="str">
        <f>'8. Volumes'!C8</f>
        <v>HV Board (eICB/eIGB 200/201)</v>
      </c>
      <c r="AO257" s="535"/>
      <c r="AP257" s="451">
        <v>223</v>
      </c>
      <c r="AQ257" s="451" t="str">
        <f>Settings!$A$1</f>
        <v>V2</v>
      </c>
    </row>
    <row r="258" spans="1:43" x14ac:dyDescent="0.2">
      <c r="A258" s="451">
        <f>'Input-FX Rates'!$C$4</f>
        <v>242</v>
      </c>
      <c r="B258" s="451" t="str">
        <f>'Input-FX Rates'!$B$4</f>
        <v>ICH Icheon (242)</v>
      </c>
      <c r="C258" s="451">
        <f>'Input-FX Rates'!$C$6</f>
        <v>780</v>
      </c>
      <c r="D258" s="451" t="str">
        <f>'Input-FX Rates'!$B$6</f>
        <v>780 BU Controls</v>
      </c>
      <c r="E258" s="451" t="str">
        <f>'Input-FX Rates'!$C$5</f>
        <v>7851</v>
      </c>
      <c r="F258" s="451" t="str">
        <f>'Input-FX Rates'!$B$5</f>
        <v>7851 PL eMotor Controls</v>
      </c>
      <c r="G258" s="451" t="s">
        <v>490</v>
      </c>
      <c r="H258" s="451" t="s">
        <v>499</v>
      </c>
      <c r="I258" s="535"/>
      <c r="J258" s="536">
        <f>'8. Volumes'!A9</f>
        <v>0.156</v>
      </c>
      <c r="K258" s="535"/>
      <c r="L258" s="536">
        <f>'8. Volumes'!B9</f>
        <v>54.209000000000003</v>
      </c>
      <c r="M258" s="535"/>
      <c r="N258" s="535"/>
      <c r="O258" s="536">
        <f>'8. Volumes'!D9</f>
        <v>92.608000000000004</v>
      </c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5"/>
      <c r="AG258" s="535"/>
      <c r="AH258" s="535"/>
      <c r="AI258" s="535"/>
      <c r="AJ258" s="535"/>
      <c r="AK258" s="535"/>
      <c r="AL258" s="535"/>
      <c r="AM258" s="535"/>
      <c r="AN258" s="451" t="str">
        <f>'8. Volumes'!C9</f>
        <v>HV Inverter (800V inverter)</v>
      </c>
      <c r="AO258" s="535"/>
      <c r="AP258" s="451">
        <v>224</v>
      </c>
      <c r="AQ258" s="451" t="str">
        <f>Settings!$A$1</f>
        <v>V2</v>
      </c>
    </row>
    <row r="259" spans="1:43" x14ac:dyDescent="0.2">
      <c r="A259" s="451">
        <f>'Input-FX Rates'!$C$4</f>
        <v>242</v>
      </c>
      <c r="B259" s="451" t="str">
        <f>'Input-FX Rates'!$B$4</f>
        <v>ICH Icheon (242)</v>
      </c>
      <c r="C259" s="451">
        <f>'Input-FX Rates'!$C$6</f>
        <v>780</v>
      </c>
      <c r="D259" s="451" t="str">
        <f>'Input-FX Rates'!$B$6</f>
        <v>780 BU Controls</v>
      </c>
      <c r="E259" s="451" t="str">
        <f>'Input-FX Rates'!$C$5</f>
        <v>7851</v>
      </c>
      <c r="F259" s="451" t="str">
        <f>'Input-FX Rates'!$B$5</f>
        <v>7851 PL eMotor Controls</v>
      </c>
      <c r="G259" s="451" t="s">
        <v>490</v>
      </c>
      <c r="H259" s="451" t="s">
        <v>498</v>
      </c>
      <c r="I259" s="535"/>
      <c r="J259" s="536">
        <f>'8. Volumes'!A10</f>
        <v>-0.38200000000000001</v>
      </c>
      <c r="K259" s="535"/>
      <c r="L259" s="536">
        <f>'8. Volumes'!B10</f>
        <v>3</v>
      </c>
      <c r="M259" s="535"/>
      <c r="N259" s="535"/>
      <c r="O259" s="536">
        <f>'8. Volumes'!D10</f>
        <v>61.02</v>
      </c>
      <c r="P259" s="535"/>
      <c r="Q259" s="535"/>
      <c r="R259" s="535"/>
      <c r="S259" s="535"/>
      <c r="T259" s="535"/>
      <c r="U259" s="535"/>
      <c r="V259" s="535"/>
      <c r="W259" s="535"/>
      <c r="X259" s="535"/>
      <c r="Y259" s="535"/>
      <c r="Z259" s="535"/>
      <c r="AA259" s="535"/>
      <c r="AB259" s="535"/>
      <c r="AC259" s="535"/>
      <c r="AD259" s="535"/>
      <c r="AE259" s="535"/>
      <c r="AF259" s="535"/>
      <c r="AG259" s="535"/>
      <c r="AH259" s="535"/>
      <c r="AI259" s="535"/>
      <c r="AJ259" s="535"/>
      <c r="AK259" s="535"/>
      <c r="AL259" s="535"/>
      <c r="AM259" s="535"/>
      <c r="AN259" s="451" t="str">
        <f>'8. Volumes'!C10</f>
        <v>HV Double Inverter (HPCU)</v>
      </c>
      <c r="AO259" s="535"/>
      <c r="AP259" s="451">
        <v>225</v>
      </c>
      <c r="AQ259" s="451" t="str">
        <f>Settings!$A$1</f>
        <v>V2</v>
      </c>
    </row>
    <row r="260" spans="1:43" x14ac:dyDescent="0.2">
      <c r="A260" s="451">
        <f>'Input-FX Rates'!$C$4</f>
        <v>242</v>
      </c>
      <c r="B260" s="451" t="str">
        <f>'Input-FX Rates'!$B$4</f>
        <v>ICH Icheon (242)</v>
      </c>
      <c r="C260" s="451">
        <f>'Input-FX Rates'!$C$6</f>
        <v>780</v>
      </c>
      <c r="D260" s="451" t="str">
        <f>'Input-FX Rates'!$B$6</f>
        <v>780 BU Controls</v>
      </c>
      <c r="E260" s="451" t="str">
        <f>'Input-FX Rates'!$C$5</f>
        <v>7851</v>
      </c>
      <c r="F260" s="451" t="str">
        <f>'Input-FX Rates'!$B$5</f>
        <v>7851 PL eMotor Controls</v>
      </c>
      <c r="G260" s="451" t="s">
        <v>490</v>
      </c>
      <c r="H260" s="451" t="s">
        <v>497</v>
      </c>
      <c r="I260" s="535"/>
      <c r="J260" s="536">
        <f>'8. Volumes'!A11</f>
        <v>0.55500000000000005</v>
      </c>
      <c r="K260" s="535"/>
      <c r="L260" s="536">
        <f>'8. Volumes'!B11</f>
        <v>24.847999999999999</v>
      </c>
      <c r="M260" s="535"/>
      <c r="N260" s="535"/>
      <c r="O260" s="536">
        <f>'8. Volumes'!D11</f>
        <v>0</v>
      </c>
      <c r="P260" s="535"/>
      <c r="Q260" s="535"/>
      <c r="R260" s="535"/>
      <c r="S260" s="535"/>
      <c r="T260" s="535"/>
      <c r="U260" s="535"/>
      <c r="V260" s="535"/>
      <c r="W260" s="535"/>
      <c r="X260" s="535"/>
      <c r="Y260" s="535"/>
      <c r="Z260" s="535"/>
      <c r="AA260" s="535"/>
      <c r="AB260" s="535"/>
      <c r="AC260" s="535"/>
      <c r="AD260" s="535"/>
      <c r="AE260" s="535"/>
      <c r="AF260" s="535"/>
      <c r="AG260" s="535"/>
      <c r="AH260" s="535"/>
      <c r="AI260" s="535"/>
      <c r="AJ260" s="535"/>
      <c r="AK260" s="535"/>
      <c r="AL260" s="535"/>
      <c r="AM260" s="535"/>
      <c r="AN260" s="451" t="str">
        <f>'8. Volumes'!C11</f>
        <v>MERC</v>
      </c>
      <c r="AO260" s="535"/>
      <c r="AP260" s="451">
        <v>226</v>
      </c>
      <c r="AQ260" s="451" t="str">
        <f>Settings!$A$1</f>
        <v>V2</v>
      </c>
    </row>
    <row r="261" spans="1:43" x14ac:dyDescent="0.2">
      <c r="A261" s="451">
        <f>'Input-FX Rates'!$C$4</f>
        <v>242</v>
      </c>
      <c r="B261" s="451" t="str">
        <f>'Input-FX Rates'!$B$4</f>
        <v>ICH Icheon (242)</v>
      </c>
      <c r="C261" s="451">
        <f>'Input-FX Rates'!$C$6</f>
        <v>780</v>
      </c>
      <c r="D261" s="451" t="str">
        <f>'Input-FX Rates'!$B$6</f>
        <v>780 BU Controls</v>
      </c>
      <c r="E261" s="451" t="str">
        <f>'Input-FX Rates'!$C$5</f>
        <v>7851</v>
      </c>
      <c r="F261" s="451" t="str">
        <f>'Input-FX Rates'!$B$5</f>
        <v>7851 PL eMotor Controls</v>
      </c>
      <c r="G261" s="451" t="s">
        <v>490</v>
      </c>
      <c r="H261" s="451" t="s">
        <v>496</v>
      </c>
      <c r="I261" s="535"/>
      <c r="J261" s="536">
        <f>'8. Volumes'!A12</f>
        <v>0</v>
      </c>
      <c r="K261" s="535"/>
      <c r="L261" s="536">
        <f>'8. Volumes'!B12</f>
        <v>0</v>
      </c>
      <c r="M261" s="535"/>
      <c r="N261" s="535"/>
      <c r="O261" s="536">
        <f>'8. Volumes'!D12</f>
        <v>0</v>
      </c>
      <c r="P261" s="535"/>
      <c r="Q261" s="535"/>
      <c r="R261" s="535"/>
      <c r="S261" s="535"/>
      <c r="T261" s="535"/>
      <c r="U261" s="535"/>
      <c r="V261" s="535"/>
      <c r="W261" s="535"/>
      <c r="X261" s="535"/>
      <c r="Y261" s="535"/>
      <c r="Z261" s="535"/>
      <c r="AA261" s="535"/>
      <c r="AB261" s="535"/>
      <c r="AC261" s="535"/>
      <c r="AD261" s="535"/>
      <c r="AE261" s="535"/>
      <c r="AF261" s="535"/>
      <c r="AG261" s="535"/>
      <c r="AH261" s="535"/>
      <c r="AI261" s="535"/>
      <c r="AJ261" s="535"/>
      <c r="AK261" s="535"/>
      <c r="AL261" s="535"/>
      <c r="AM261" s="535"/>
      <c r="AN261" s="451">
        <f>'8. Volumes'!C12</f>
        <v>0</v>
      </c>
      <c r="AO261" s="535"/>
      <c r="AP261" s="451">
        <v>227</v>
      </c>
      <c r="AQ261" s="451" t="str">
        <f>Settings!$A$1</f>
        <v>V2</v>
      </c>
    </row>
    <row r="262" spans="1:43" x14ac:dyDescent="0.2">
      <c r="A262" s="451">
        <f>'Input-FX Rates'!$C$4</f>
        <v>242</v>
      </c>
      <c r="B262" s="451" t="str">
        <f>'Input-FX Rates'!$B$4</f>
        <v>ICH Icheon (242)</v>
      </c>
      <c r="C262" s="451">
        <f>'Input-FX Rates'!$C$6</f>
        <v>780</v>
      </c>
      <c r="D262" s="451" t="str">
        <f>'Input-FX Rates'!$B$6</f>
        <v>780 BU Controls</v>
      </c>
      <c r="E262" s="451" t="str">
        <f>'Input-FX Rates'!$C$5</f>
        <v>7851</v>
      </c>
      <c r="F262" s="451" t="str">
        <f>'Input-FX Rates'!$B$5</f>
        <v>7851 PL eMotor Controls</v>
      </c>
      <c r="G262" s="451" t="s">
        <v>490</v>
      </c>
      <c r="H262" s="451" t="s">
        <v>495</v>
      </c>
      <c r="I262" s="535"/>
      <c r="J262" s="536">
        <f>'8. Volumes'!A13</f>
        <v>0</v>
      </c>
      <c r="K262" s="535"/>
      <c r="L262" s="536">
        <f>'8. Volumes'!B13</f>
        <v>0</v>
      </c>
      <c r="M262" s="535"/>
      <c r="N262" s="535"/>
      <c r="O262" s="536">
        <f>'8. Volumes'!D13</f>
        <v>0</v>
      </c>
      <c r="P262" s="535"/>
      <c r="Q262" s="535"/>
      <c r="R262" s="535"/>
      <c r="S262" s="535"/>
      <c r="T262" s="535"/>
      <c r="U262" s="535"/>
      <c r="V262" s="535"/>
      <c r="W262" s="535"/>
      <c r="X262" s="535"/>
      <c r="Y262" s="535"/>
      <c r="Z262" s="535"/>
      <c r="AA262" s="535"/>
      <c r="AB262" s="535"/>
      <c r="AC262" s="535"/>
      <c r="AD262" s="535"/>
      <c r="AE262" s="535"/>
      <c r="AF262" s="535"/>
      <c r="AG262" s="535"/>
      <c r="AH262" s="535"/>
      <c r="AI262" s="535"/>
      <c r="AJ262" s="535"/>
      <c r="AK262" s="535"/>
      <c r="AL262" s="535"/>
      <c r="AM262" s="535"/>
      <c r="AN262" s="451">
        <f>'8. Volumes'!C13</f>
        <v>0</v>
      </c>
      <c r="AO262" s="535"/>
      <c r="AP262" s="451">
        <v>228</v>
      </c>
      <c r="AQ262" s="451" t="str">
        <f>Settings!$A$1</f>
        <v>V2</v>
      </c>
    </row>
    <row r="263" spans="1:43" x14ac:dyDescent="0.2">
      <c r="A263" s="451">
        <f>'Input-FX Rates'!$C$4</f>
        <v>242</v>
      </c>
      <c r="B263" s="451" t="str">
        <f>'Input-FX Rates'!$B$4</f>
        <v>ICH Icheon (242)</v>
      </c>
      <c r="C263" s="451">
        <f>'Input-FX Rates'!$C$6</f>
        <v>780</v>
      </c>
      <c r="D263" s="451" t="str">
        <f>'Input-FX Rates'!$B$6</f>
        <v>780 BU Controls</v>
      </c>
      <c r="E263" s="451" t="str">
        <f>'Input-FX Rates'!$C$5</f>
        <v>7851</v>
      </c>
      <c r="F263" s="451" t="str">
        <f>'Input-FX Rates'!$B$5</f>
        <v>7851 PL eMotor Controls</v>
      </c>
      <c r="G263" s="451" t="s">
        <v>490</v>
      </c>
      <c r="H263" s="451" t="s">
        <v>494</v>
      </c>
      <c r="I263" s="535"/>
      <c r="J263" s="536">
        <f>'8. Volumes'!A14</f>
        <v>0</v>
      </c>
      <c r="K263" s="535"/>
      <c r="L263" s="536">
        <f>'8. Volumes'!B14</f>
        <v>0</v>
      </c>
      <c r="M263" s="535"/>
      <c r="N263" s="535"/>
      <c r="O263" s="536">
        <f>'8. Volumes'!D14</f>
        <v>0</v>
      </c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451">
        <f>'8. Volumes'!C14</f>
        <v>0</v>
      </c>
      <c r="AO263" s="535"/>
      <c r="AP263" s="451">
        <v>229</v>
      </c>
      <c r="AQ263" s="451" t="str">
        <f>Settings!$A$1</f>
        <v>V2</v>
      </c>
    </row>
    <row r="264" spans="1:43" x14ac:dyDescent="0.2">
      <c r="A264" s="451">
        <f>'Input-FX Rates'!$C$4</f>
        <v>242</v>
      </c>
      <c r="B264" s="451" t="str">
        <f>'Input-FX Rates'!$B$4</f>
        <v>ICH Icheon (242)</v>
      </c>
      <c r="C264" s="451">
        <f>'Input-FX Rates'!$C$6</f>
        <v>780</v>
      </c>
      <c r="D264" s="451" t="str">
        <f>'Input-FX Rates'!$B$6</f>
        <v>780 BU Controls</v>
      </c>
      <c r="E264" s="451" t="str">
        <f>'Input-FX Rates'!$C$5</f>
        <v>7851</v>
      </c>
      <c r="F264" s="451" t="str">
        <f>'Input-FX Rates'!$B$5</f>
        <v>7851 PL eMotor Controls</v>
      </c>
      <c r="G264" s="451" t="s">
        <v>490</v>
      </c>
      <c r="H264" s="451" t="s">
        <v>493</v>
      </c>
      <c r="I264" s="535"/>
      <c r="J264" s="536">
        <f>'8. Volumes'!A15</f>
        <v>0</v>
      </c>
      <c r="K264" s="535"/>
      <c r="L264" s="536">
        <f>'8. Volumes'!B15</f>
        <v>0</v>
      </c>
      <c r="M264" s="535"/>
      <c r="N264" s="535"/>
      <c r="O264" s="536">
        <f>'8. Volumes'!D15</f>
        <v>0</v>
      </c>
      <c r="P264" s="535"/>
      <c r="Q264" s="535"/>
      <c r="R264" s="535"/>
      <c r="S264" s="535"/>
      <c r="T264" s="535"/>
      <c r="U264" s="535"/>
      <c r="V264" s="535"/>
      <c r="W264" s="535"/>
      <c r="X264" s="535"/>
      <c r="Y264" s="535"/>
      <c r="Z264" s="535"/>
      <c r="AA264" s="535"/>
      <c r="AB264" s="535"/>
      <c r="AC264" s="535"/>
      <c r="AD264" s="535"/>
      <c r="AE264" s="535"/>
      <c r="AF264" s="535"/>
      <c r="AG264" s="535"/>
      <c r="AH264" s="535"/>
      <c r="AI264" s="535"/>
      <c r="AJ264" s="535"/>
      <c r="AK264" s="535"/>
      <c r="AL264" s="535"/>
      <c r="AM264" s="535"/>
      <c r="AN264" s="451">
        <f>'8. Volumes'!C15</f>
        <v>0</v>
      </c>
      <c r="AO264" s="535"/>
      <c r="AP264" s="451">
        <v>230</v>
      </c>
      <c r="AQ264" s="451" t="str">
        <f>Settings!$A$1</f>
        <v>V2</v>
      </c>
    </row>
    <row r="265" spans="1:43" x14ac:dyDescent="0.2">
      <c r="A265" s="451">
        <f>'Input-FX Rates'!$C$4</f>
        <v>242</v>
      </c>
      <c r="B265" s="451" t="str">
        <f>'Input-FX Rates'!$B$4</f>
        <v>ICH Icheon (242)</v>
      </c>
      <c r="C265" s="451">
        <f>'Input-FX Rates'!$C$6</f>
        <v>780</v>
      </c>
      <c r="D265" s="451" t="str">
        <f>'Input-FX Rates'!$B$6</f>
        <v>780 BU Controls</v>
      </c>
      <c r="E265" s="451" t="str">
        <f>'Input-FX Rates'!$C$5</f>
        <v>7851</v>
      </c>
      <c r="F265" s="451" t="str">
        <f>'Input-FX Rates'!$B$5</f>
        <v>7851 PL eMotor Controls</v>
      </c>
      <c r="G265" s="451" t="s">
        <v>490</v>
      </c>
      <c r="H265" s="451" t="s">
        <v>492</v>
      </c>
      <c r="I265" s="535"/>
      <c r="J265" s="536">
        <f>'8. Volumes'!A16</f>
        <v>0</v>
      </c>
      <c r="K265" s="535"/>
      <c r="L265" s="536">
        <f>'8. Volumes'!B16</f>
        <v>0</v>
      </c>
      <c r="M265" s="535"/>
      <c r="N265" s="535"/>
      <c r="O265" s="536">
        <f>'8. Volumes'!D16</f>
        <v>0</v>
      </c>
      <c r="P265" s="535"/>
      <c r="Q265" s="535"/>
      <c r="R265" s="535"/>
      <c r="S265" s="535"/>
      <c r="T265" s="535"/>
      <c r="U265" s="535"/>
      <c r="V265" s="535"/>
      <c r="W265" s="535"/>
      <c r="X265" s="535"/>
      <c r="Y265" s="535"/>
      <c r="Z265" s="535"/>
      <c r="AA265" s="535"/>
      <c r="AB265" s="535"/>
      <c r="AC265" s="535"/>
      <c r="AD265" s="535"/>
      <c r="AE265" s="535"/>
      <c r="AF265" s="535"/>
      <c r="AG265" s="535"/>
      <c r="AH265" s="535"/>
      <c r="AI265" s="535"/>
      <c r="AJ265" s="535"/>
      <c r="AK265" s="535"/>
      <c r="AL265" s="535"/>
      <c r="AM265" s="535"/>
      <c r="AN265" s="451">
        <f>'8. Volumes'!C16</f>
        <v>0</v>
      </c>
      <c r="AO265" s="535"/>
      <c r="AP265" s="451">
        <v>231</v>
      </c>
      <c r="AQ265" s="451" t="str">
        <f>Settings!$A$1</f>
        <v>V2</v>
      </c>
    </row>
    <row r="266" spans="1:43" x14ac:dyDescent="0.2">
      <c r="A266" s="451">
        <f>'Input-FX Rates'!$C$4</f>
        <v>242</v>
      </c>
      <c r="B266" s="451" t="str">
        <f>'Input-FX Rates'!$B$4</f>
        <v>ICH Icheon (242)</v>
      </c>
      <c r="C266" s="451">
        <f>'Input-FX Rates'!$C$6</f>
        <v>780</v>
      </c>
      <c r="D266" s="451" t="str">
        <f>'Input-FX Rates'!$B$6</f>
        <v>780 BU Controls</v>
      </c>
      <c r="E266" s="451" t="str">
        <f>'Input-FX Rates'!$C$5</f>
        <v>7851</v>
      </c>
      <c r="F266" s="451" t="str">
        <f>'Input-FX Rates'!$B$5</f>
        <v>7851 PL eMotor Controls</v>
      </c>
      <c r="G266" s="451" t="s">
        <v>490</v>
      </c>
      <c r="H266" s="451" t="s">
        <v>491</v>
      </c>
      <c r="I266" s="535"/>
      <c r="J266" s="536">
        <f>'8. Volumes'!A17</f>
        <v>0</v>
      </c>
      <c r="K266" s="535"/>
      <c r="L266" s="536">
        <f>'8. Volumes'!B17</f>
        <v>0</v>
      </c>
      <c r="M266" s="535"/>
      <c r="N266" s="535"/>
      <c r="O266" s="536">
        <f>'8. Volumes'!D17</f>
        <v>0</v>
      </c>
      <c r="P266" s="535"/>
      <c r="Q266" s="535"/>
      <c r="R266" s="535"/>
      <c r="S266" s="535"/>
      <c r="T266" s="535"/>
      <c r="U266" s="535"/>
      <c r="V266" s="535"/>
      <c r="W266" s="535"/>
      <c r="X266" s="535"/>
      <c r="Y266" s="535"/>
      <c r="Z266" s="535"/>
      <c r="AA266" s="535"/>
      <c r="AB266" s="535"/>
      <c r="AC266" s="535"/>
      <c r="AD266" s="535"/>
      <c r="AE266" s="535"/>
      <c r="AF266" s="535"/>
      <c r="AG266" s="535"/>
      <c r="AH266" s="535"/>
      <c r="AI266" s="535"/>
      <c r="AJ266" s="535"/>
      <c r="AK266" s="535"/>
      <c r="AL266" s="535"/>
      <c r="AM266" s="535"/>
      <c r="AN266" s="451">
        <f>'8. Volumes'!C17</f>
        <v>0</v>
      </c>
      <c r="AO266" s="535"/>
      <c r="AP266" s="451">
        <v>232</v>
      </c>
      <c r="AQ266" s="451" t="str">
        <f>Settings!$A$1</f>
        <v>V2</v>
      </c>
    </row>
    <row r="267" spans="1:43" s="537" customFormat="1" x14ac:dyDescent="0.2">
      <c r="A267" s="537">
        <f>'Input-FX Rates'!$C$4</f>
        <v>242</v>
      </c>
      <c r="B267" s="537" t="str">
        <f>'Input-FX Rates'!$B$4</f>
        <v>ICH Icheon (242)</v>
      </c>
      <c r="C267" s="537">
        <f>'Input-FX Rates'!$C$6</f>
        <v>780</v>
      </c>
      <c r="D267" s="537" t="str">
        <f>'Input-FX Rates'!$B$6</f>
        <v>780 BU Controls</v>
      </c>
      <c r="E267" s="537" t="str">
        <f>'Input-FX Rates'!$C$5</f>
        <v>7851</v>
      </c>
      <c r="F267" s="537" t="str">
        <f>'Input-FX Rates'!$B$5</f>
        <v>7851 PL eMotor Controls</v>
      </c>
      <c r="G267" s="537" t="s">
        <v>490</v>
      </c>
      <c r="H267" s="537" t="s">
        <v>436</v>
      </c>
      <c r="I267" s="538"/>
      <c r="J267" s="539">
        <f>'8. Volumes'!A18</f>
        <v>0</v>
      </c>
      <c r="K267" s="538"/>
      <c r="L267" s="539">
        <f>'8. Volumes'!B18</f>
        <v>1637.5990000000002</v>
      </c>
      <c r="M267" s="538"/>
      <c r="N267" s="538"/>
      <c r="O267" s="539">
        <f>'8. Volumes'!D18</f>
        <v>2087.623</v>
      </c>
      <c r="P267" s="538"/>
      <c r="Q267" s="538"/>
      <c r="R267" s="538"/>
      <c r="S267" s="538"/>
      <c r="T267" s="538"/>
      <c r="U267" s="538"/>
      <c r="V267" s="538"/>
      <c r="W267" s="538"/>
      <c r="X267" s="538"/>
      <c r="Y267" s="538"/>
      <c r="Z267" s="538"/>
      <c r="AA267" s="538"/>
      <c r="AB267" s="538"/>
      <c r="AC267" s="538"/>
      <c r="AD267" s="538"/>
      <c r="AE267" s="538"/>
      <c r="AF267" s="538"/>
      <c r="AG267" s="538"/>
      <c r="AH267" s="538"/>
      <c r="AI267" s="538"/>
      <c r="AJ267" s="538"/>
      <c r="AK267" s="538"/>
      <c r="AL267" s="538"/>
      <c r="AM267" s="538"/>
      <c r="AN267" s="538"/>
      <c r="AO267" s="538"/>
      <c r="AP267" s="537">
        <v>233</v>
      </c>
      <c r="AQ267" s="537" t="str">
        <f>Settings!$A$1</f>
        <v>V2</v>
      </c>
    </row>
    <row r="268" spans="1:43" x14ac:dyDescent="0.2">
      <c r="A268" s="451">
        <f>'Input-FX Rates'!$C$4</f>
        <v>242</v>
      </c>
      <c r="B268" s="451" t="str">
        <f>'Input-FX Rates'!$B$4</f>
        <v>ICH Icheon (242)</v>
      </c>
      <c r="C268" s="451">
        <f>'Input-FX Rates'!$C$6</f>
        <v>780</v>
      </c>
      <c r="D268" s="451" t="str">
        <f>'Input-FX Rates'!$B$6</f>
        <v>780 BU Controls</v>
      </c>
      <c r="E268" s="451" t="str">
        <f>'Input-FX Rates'!$C$5</f>
        <v>7851</v>
      </c>
      <c r="F268" s="451" t="str">
        <f>'Input-FX Rates'!$B$5</f>
        <v>7851 PL eMotor Controls</v>
      </c>
      <c r="G268" s="451" t="s">
        <v>483</v>
      </c>
      <c r="H268" s="451" t="s">
        <v>489</v>
      </c>
      <c r="I268" s="535"/>
      <c r="J268" s="536">
        <f>'10. Purchasing (GC)'!C8</f>
        <v>-106337.07368699991</v>
      </c>
      <c r="K268" s="535"/>
      <c r="L268" s="535"/>
      <c r="M268" s="535"/>
      <c r="N268" s="535"/>
      <c r="O268" s="536">
        <f>'10. Purchasing (GC)'!D8</f>
        <v>-105016.81568249986</v>
      </c>
      <c r="P268" s="535"/>
      <c r="Q268" s="535"/>
      <c r="R268" s="535"/>
      <c r="S268" s="535"/>
      <c r="T268" s="535"/>
      <c r="U268" s="535"/>
      <c r="V268" s="535"/>
      <c r="W268" s="535"/>
      <c r="X268" s="535"/>
      <c r="Y268" s="535"/>
      <c r="Z268" s="535"/>
      <c r="AA268" s="535"/>
      <c r="AB268" s="535"/>
      <c r="AC268" s="535"/>
      <c r="AD268" s="535"/>
      <c r="AE268" s="535"/>
      <c r="AF268" s="535"/>
      <c r="AG268" s="535"/>
      <c r="AH268" s="535"/>
      <c r="AI268" s="535"/>
      <c r="AJ268" s="535"/>
      <c r="AK268" s="535"/>
      <c r="AL268" s="535"/>
      <c r="AM268" s="535"/>
      <c r="AN268" s="535"/>
      <c r="AO268" s="451" t="str">
        <f>'10. Purchasing (GC)'!G8</f>
        <v/>
      </c>
      <c r="AP268" s="451">
        <v>278</v>
      </c>
      <c r="AQ268" s="451" t="str">
        <f>Settings!$A$1</f>
        <v>V2</v>
      </c>
    </row>
    <row r="269" spans="1:43" x14ac:dyDescent="0.2">
      <c r="A269" s="451">
        <f>'Input-FX Rates'!$C$4</f>
        <v>242</v>
      </c>
      <c r="B269" s="451" t="str">
        <f>'Input-FX Rates'!$B$4</f>
        <v>ICH Icheon (242)</v>
      </c>
      <c r="C269" s="451">
        <f>'Input-FX Rates'!$C$6</f>
        <v>780</v>
      </c>
      <c r="D269" s="451" t="str">
        <f>'Input-FX Rates'!$B$6</f>
        <v>780 BU Controls</v>
      </c>
      <c r="E269" s="451" t="str">
        <f>'Input-FX Rates'!$C$5</f>
        <v>7851</v>
      </c>
      <c r="F269" s="451" t="str">
        <f>'Input-FX Rates'!$B$5</f>
        <v>7851 PL eMotor Controls</v>
      </c>
      <c r="G269" s="451" t="s">
        <v>483</v>
      </c>
      <c r="H269" s="451" t="s">
        <v>488</v>
      </c>
      <c r="I269" s="535"/>
      <c r="J269" s="536">
        <f>'10. Purchasing (GC)'!C9</f>
        <v>0</v>
      </c>
      <c r="K269" s="535"/>
      <c r="L269" s="535"/>
      <c r="M269" s="535"/>
      <c r="N269" s="535"/>
      <c r="O269" s="536">
        <f>'10. Purchasing (GC)'!D9</f>
        <v>0</v>
      </c>
      <c r="P269" s="535"/>
      <c r="Q269" s="535"/>
      <c r="R269" s="535"/>
      <c r="S269" s="535"/>
      <c r="T269" s="535"/>
      <c r="U269" s="535"/>
      <c r="V269" s="535"/>
      <c r="W269" s="535"/>
      <c r="X269" s="535"/>
      <c r="Y269" s="535"/>
      <c r="Z269" s="535"/>
      <c r="AA269" s="535"/>
      <c r="AB269" s="535"/>
      <c r="AC269" s="535"/>
      <c r="AD269" s="535"/>
      <c r="AE269" s="535"/>
      <c r="AF269" s="535"/>
      <c r="AG269" s="535"/>
      <c r="AH269" s="535"/>
      <c r="AI269" s="535"/>
      <c r="AJ269" s="535"/>
      <c r="AK269" s="535"/>
      <c r="AL269" s="535"/>
      <c r="AM269" s="535"/>
      <c r="AN269" s="536" t="str">
        <f>'10. Purchasing (GC)'!A9</f>
        <v>Specifiy deviation to Modias 1</v>
      </c>
      <c r="AO269" s="451" t="str">
        <f>'10. Purchasing (GC)'!G9</f>
        <v/>
      </c>
      <c r="AP269" s="451">
        <v>279</v>
      </c>
      <c r="AQ269" s="451" t="str">
        <f>Settings!$A$1</f>
        <v>V2</v>
      </c>
    </row>
    <row r="270" spans="1:43" x14ac:dyDescent="0.2">
      <c r="A270" s="451">
        <f>'Input-FX Rates'!$C$4</f>
        <v>242</v>
      </c>
      <c r="B270" s="451" t="str">
        <f>'Input-FX Rates'!$B$4</f>
        <v>ICH Icheon (242)</v>
      </c>
      <c r="C270" s="451">
        <f>'Input-FX Rates'!$C$6</f>
        <v>780</v>
      </c>
      <c r="D270" s="451" t="str">
        <f>'Input-FX Rates'!$B$6</f>
        <v>780 BU Controls</v>
      </c>
      <c r="E270" s="451" t="str">
        <f>'Input-FX Rates'!$C$5</f>
        <v>7851</v>
      </c>
      <c r="F270" s="451" t="str">
        <f>'Input-FX Rates'!$B$5</f>
        <v>7851 PL eMotor Controls</v>
      </c>
      <c r="G270" s="451" t="s">
        <v>483</v>
      </c>
      <c r="H270" s="451" t="s">
        <v>487</v>
      </c>
      <c r="I270" s="535"/>
      <c r="J270" s="536">
        <f>'10. Purchasing (GC)'!C10</f>
        <v>0</v>
      </c>
      <c r="K270" s="535"/>
      <c r="L270" s="535"/>
      <c r="M270" s="535"/>
      <c r="N270" s="535"/>
      <c r="O270" s="536">
        <f>'10. Purchasing (GC)'!D10</f>
        <v>0</v>
      </c>
      <c r="P270" s="535"/>
      <c r="Q270" s="535"/>
      <c r="R270" s="535"/>
      <c r="S270" s="535"/>
      <c r="T270" s="535"/>
      <c r="U270" s="535"/>
      <c r="V270" s="535"/>
      <c r="W270" s="535"/>
      <c r="X270" s="535"/>
      <c r="Y270" s="535"/>
      <c r="Z270" s="535"/>
      <c r="AA270" s="535"/>
      <c r="AB270" s="535"/>
      <c r="AC270" s="535"/>
      <c r="AD270" s="535"/>
      <c r="AE270" s="535"/>
      <c r="AF270" s="535"/>
      <c r="AG270" s="535"/>
      <c r="AH270" s="535"/>
      <c r="AI270" s="535"/>
      <c r="AJ270" s="535"/>
      <c r="AK270" s="535"/>
      <c r="AL270" s="535"/>
      <c r="AM270" s="535"/>
      <c r="AN270" s="536" t="str">
        <f>'10. Purchasing (GC)'!A10</f>
        <v>Specifiy deviation to Modias 2</v>
      </c>
      <c r="AO270" s="451" t="str">
        <f>'10. Purchasing (GC)'!G10</f>
        <v/>
      </c>
      <c r="AP270" s="451">
        <v>280</v>
      </c>
      <c r="AQ270" s="451" t="str">
        <f>Settings!$A$1</f>
        <v>V2</v>
      </c>
    </row>
    <row r="271" spans="1:43" x14ac:dyDescent="0.2">
      <c r="A271" s="451">
        <f>'Input-FX Rates'!$C$4</f>
        <v>242</v>
      </c>
      <c r="B271" s="451" t="str">
        <f>'Input-FX Rates'!$B$4</f>
        <v>ICH Icheon (242)</v>
      </c>
      <c r="C271" s="451">
        <f>'Input-FX Rates'!$C$6</f>
        <v>780</v>
      </c>
      <c r="D271" s="451" t="str">
        <f>'Input-FX Rates'!$B$6</f>
        <v>780 BU Controls</v>
      </c>
      <c r="E271" s="451" t="str">
        <f>'Input-FX Rates'!$C$5</f>
        <v>7851</v>
      </c>
      <c r="F271" s="451" t="str">
        <f>'Input-FX Rates'!$B$5</f>
        <v>7851 PL eMotor Controls</v>
      </c>
      <c r="G271" s="451" t="s">
        <v>483</v>
      </c>
      <c r="H271" s="451" t="s">
        <v>486</v>
      </c>
      <c r="I271" s="535"/>
      <c r="J271" s="536">
        <f>'10. Purchasing (GC)'!C11</f>
        <v>0</v>
      </c>
      <c r="K271" s="535"/>
      <c r="L271" s="535"/>
      <c r="M271" s="535"/>
      <c r="N271" s="535"/>
      <c r="O271" s="536">
        <f>'10. Purchasing (GC)'!D11</f>
        <v>0</v>
      </c>
      <c r="P271" s="535"/>
      <c r="Q271" s="535"/>
      <c r="R271" s="535"/>
      <c r="S271" s="535"/>
      <c r="T271" s="535"/>
      <c r="U271" s="535"/>
      <c r="V271" s="535"/>
      <c r="W271" s="535"/>
      <c r="X271" s="535"/>
      <c r="Y271" s="535"/>
      <c r="Z271" s="535"/>
      <c r="AA271" s="535"/>
      <c r="AB271" s="535"/>
      <c r="AC271" s="535"/>
      <c r="AD271" s="535"/>
      <c r="AE271" s="535"/>
      <c r="AF271" s="535"/>
      <c r="AG271" s="535"/>
      <c r="AH271" s="535"/>
      <c r="AI271" s="535"/>
      <c r="AJ271" s="535"/>
      <c r="AK271" s="535"/>
      <c r="AL271" s="535"/>
      <c r="AM271" s="535"/>
      <c r="AN271" s="536" t="str">
        <f>'10. Purchasing (GC)'!A11</f>
        <v>Specifiy deviation to Modias 3</v>
      </c>
      <c r="AO271" s="451" t="str">
        <f>'10. Purchasing (GC)'!G11</f>
        <v/>
      </c>
      <c r="AP271" s="451">
        <v>281</v>
      </c>
      <c r="AQ271" s="451" t="str">
        <f>Settings!$A$1</f>
        <v>V2</v>
      </c>
    </row>
    <row r="272" spans="1:43" x14ac:dyDescent="0.2">
      <c r="A272" s="451">
        <f>'Input-FX Rates'!$C$4</f>
        <v>242</v>
      </c>
      <c r="B272" s="451" t="str">
        <f>'Input-FX Rates'!$B$4</f>
        <v>ICH Icheon (242)</v>
      </c>
      <c r="C272" s="451">
        <f>'Input-FX Rates'!$C$6</f>
        <v>780</v>
      </c>
      <c r="D272" s="451" t="str">
        <f>'Input-FX Rates'!$B$6</f>
        <v>780 BU Controls</v>
      </c>
      <c r="E272" s="451" t="str">
        <f>'Input-FX Rates'!$C$5</f>
        <v>7851</v>
      </c>
      <c r="F272" s="451" t="str">
        <f>'Input-FX Rates'!$B$5</f>
        <v>7851 PL eMotor Controls</v>
      </c>
      <c r="G272" s="451" t="s">
        <v>483</v>
      </c>
      <c r="H272" s="451" t="s">
        <v>485</v>
      </c>
      <c r="I272" s="535"/>
      <c r="J272" s="536">
        <f>'10. Purchasing (GC)'!C12</f>
        <v>0</v>
      </c>
      <c r="K272" s="535"/>
      <c r="L272" s="535"/>
      <c r="M272" s="535"/>
      <c r="N272" s="535"/>
      <c r="O272" s="536">
        <f>'10. Purchasing (GC)'!D12</f>
        <v>0</v>
      </c>
      <c r="P272" s="535"/>
      <c r="Q272" s="535"/>
      <c r="R272" s="535"/>
      <c r="S272" s="535"/>
      <c r="T272" s="535"/>
      <c r="U272" s="535"/>
      <c r="V272" s="535"/>
      <c r="W272" s="535"/>
      <c r="X272" s="535"/>
      <c r="Y272" s="535"/>
      <c r="Z272" s="535"/>
      <c r="AA272" s="535"/>
      <c r="AB272" s="535"/>
      <c r="AC272" s="535"/>
      <c r="AD272" s="535"/>
      <c r="AE272" s="535"/>
      <c r="AF272" s="535"/>
      <c r="AG272" s="535"/>
      <c r="AH272" s="535"/>
      <c r="AI272" s="535"/>
      <c r="AJ272" s="535"/>
      <c r="AK272" s="535"/>
      <c r="AL272" s="535"/>
      <c r="AM272" s="535"/>
      <c r="AN272" s="536" t="str">
        <f>'10. Purchasing (GC)'!A12</f>
        <v>Specifiy deviation to Modias 4</v>
      </c>
      <c r="AO272" s="451" t="str">
        <f>'10. Purchasing (GC)'!G12</f>
        <v/>
      </c>
      <c r="AP272" s="451">
        <v>282</v>
      </c>
      <c r="AQ272" s="451" t="str">
        <f>Settings!$A$1</f>
        <v>V2</v>
      </c>
    </row>
    <row r="273" spans="1:43" x14ac:dyDescent="0.2">
      <c r="A273" s="451">
        <f>'Input-FX Rates'!$C$4</f>
        <v>242</v>
      </c>
      <c r="B273" s="451" t="str">
        <f>'Input-FX Rates'!$B$4</f>
        <v>ICH Icheon (242)</v>
      </c>
      <c r="C273" s="451">
        <f>'Input-FX Rates'!$C$6</f>
        <v>780</v>
      </c>
      <c r="D273" s="451" t="str">
        <f>'Input-FX Rates'!$B$6</f>
        <v>780 BU Controls</v>
      </c>
      <c r="E273" s="451" t="str">
        <f>'Input-FX Rates'!$C$5</f>
        <v>7851</v>
      </c>
      <c r="F273" s="451" t="str">
        <f>'Input-FX Rates'!$B$5</f>
        <v>7851 PL eMotor Controls</v>
      </c>
      <c r="G273" s="451" t="s">
        <v>483</v>
      </c>
      <c r="H273" s="451" t="s">
        <v>484</v>
      </c>
      <c r="I273" s="535"/>
      <c r="J273" s="536">
        <f>'10. Purchasing (GC)'!C13</f>
        <v>0</v>
      </c>
      <c r="K273" s="535"/>
      <c r="L273" s="535"/>
      <c r="M273" s="535"/>
      <c r="N273" s="535"/>
      <c r="O273" s="536">
        <f>'10. Purchasing (GC)'!D13</f>
        <v>0</v>
      </c>
      <c r="P273" s="535"/>
      <c r="Q273" s="535"/>
      <c r="R273" s="535"/>
      <c r="S273" s="535"/>
      <c r="T273" s="535"/>
      <c r="U273" s="535"/>
      <c r="V273" s="535"/>
      <c r="W273" s="535"/>
      <c r="X273" s="535"/>
      <c r="Y273" s="535"/>
      <c r="Z273" s="535"/>
      <c r="AA273" s="535"/>
      <c r="AB273" s="535"/>
      <c r="AC273" s="535"/>
      <c r="AD273" s="535"/>
      <c r="AE273" s="535"/>
      <c r="AF273" s="535"/>
      <c r="AG273" s="535"/>
      <c r="AH273" s="535"/>
      <c r="AI273" s="535"/>
      <c r="AJ273" s="535"/>
      <c r="AK273" s="535"/>
      <c r="AL273" s="535"/>
      <c r="AM273" s="535"/>
      <c r="AN273" s="536" t="str">
        <f>'10. Purchasing (GC)'!A13</f>
        <v>Specifiy deviation to Modias 5</v>
      </c>
      <c r="AO273" s="451" t="str">
        <f>'10. Purchasing (GC)'!G13</f>
        <v/>
      </c>
      <c r="AP273" s="451">
        <v>283</v>
      </c>
      <c r="AQ273" s="451" t="str">
        <f>Settings!$A$1</f>
        <v>V2</v>
      </c>
    </row>
    <row r="274" spans="1:43" s="537" customFormat="1" x14ac:dyDescent="0.2">
      <c r="A274" s="537">
        <f>'Input-FX Rates'!$C$4</f>
        <v>242</v>
      </c>
      <c r="B274" s="537" t="str">
        <f>'Input-FX Rates'!$B$4</f>
        <v>ICH Icheon (242)</v>
      </c>
      <c r="C274" s="537">
        <f>'Input-FX Rates'!$C$6</f>
        <v>780</v>
      </c>
      <c r="D274" s="537" t="str">
        <f>'Input-FX Rates'!$B$6</f>
        <v>780 BU Controls</v>
      </c>
      <c r="E274" s="537" t="str">
        <f>'Input-FX Rates'!$C$5</f>
        <v>7851</v>
      </c>
      <c r="F274" s="537" t="str">
        <f>'Input-FX Rates'!$B$5</f>
        <v>7851 PL eMotor Controls</v>
      </c>
      <c r="G274" s="537" t="s">
        <v>483</v>
      </c>
      <c r="H274" s="537" t="s">
        <v>446</v>
      </c>
      <c r="I274" s="538"/>
      <c r="J274" s="539">
        <f>'10. Purchasing (GC)'!C14</f>
        <v>-106337.07368699991</v>
      </c>
      <c r="K274" s="538"/>
      <c r="L274" s="538"/>
      <c r="M274" s="538"/>
      <c r="N274" s="538"/>
      <c r="O274" s="539">
        <f>'10. Purchasing (GC)'!D14</f>
        <v>-105016.81568249986</v>
      </c>
      <c r="P274" s="538"/>
      <c r="Q274" s="538"/>
      <c r="R274" s="538"/>
      <c r="S274" s="538"/>
      <c r="T274" s="538"/>
      <c r="U274" s="538"/>
      <c r="V274" s="538"/>
      <c r="W274" s="538"/>
      <c r="X274" s="538"/>
      <c r="Y274" s="538"/>
      <c r="Z274" s="538"/>
      <c r="AA274" s="538"/>
      <c r="AB274" s="538"/>
      <c r="AC274" s="538"/>
      <c r="AD274" s="538"/>
      <c r="AE274" s="538"/>
      <c r="AF274" s="538"/>
      <c r="AG274" s="538"/>
      <c r="AH274" s="538"/>
      <c r="AI274" s="538"/>
      <c r="AJ274" s="538"/>
      <c r="AK274" s="538"/>
      <c r="AL274" s="538"/>
      <c r="AM274" s="538"/>
      <c r="AN274" s="538"/>
      <c r="AO274" s="537" t="str">
        <f>'10. Purchasing (GC)'!G14</f>
        <v/>
      </c>
      <c r="AP274" s="537">
        <v>284</v>
      </c>
      <c r="AQ274" s="537" t="str">
        <f>Settings!$A$1</f>
        <v>V2</v>
      </c>
    </row>
    <row r="275" spans="1:43" x14ac:dyDescent="0.2">
      <c r="A275" s="451">
        <f>'Input-FX Rates'!$C$4</f>
        <v>242</v>
      </c>
      <c r="B275" s="451" t="str">
        <f>'Input-FX Rates'!$B$4</f>
        <v>ICH Icheon (242)</v>
      </c>
      <c r="C275" s="451">
        <f>'Input-FX Rates'!$C$6</f>
        <v>780</v>
      </c>
      <c r="D275" s="451" t="str">
        <f>'Input-FX Rates'!$B$6</f>
        <v>780 BU Controls</v>
      </c>
      <c r="E275" s="451" t="str">
        <f>'Input-FX Rates'!$C$5</f>
        <v>7851</v>
      </c>
      <c r="F275" s="451" t="str">
        <f>'Input-FX Rates'!$B$5</f>
        <v>7851 PL eMotor Controls</v>
      </c>
      <c r="G275" s="451" t="s">
        <v>482</v>
      </c>
      <c r="H275" s="451" t="s">
        <v>479</v>
      </c>
      <c r="I275" s="535"/>
      <c r="J275" s="535"/>
      <c r="K275" s="535"/>
      <c r="L275" s="535"/>
      <c r="M275" s="535"/>
      <c r="N275" s="535"/>
      <c r="O275" s="535"/>
      <c r="P275" s="535"/>
      <c r="Q275" s="535"/>
      <c r="R275" s="535"/>
      <c r="S275" s="535"/>
      <c r="T275" s="535"/>
      <c r="U275" s="535"/>
      <c r="V275" s="535"/>
      <c r="W275" s="535"/>
      <c r="X275" s="535"/>
      <c r="Y275" s="535"/>
      <c r="Z275" s="535"/>
      <c r="AA275" s="535"/>
      <c r="AB275" s="535"/>
      <c r="AC275" s="535"/>
      <c r="AD275" s="535"/>
      <c r="AE275" s="535"/>
      <c r="AF275" s="535"/>
      <c r="AG275" s="535"/>
      <c r="AH275" s="535"/>
      <c r="AI275" s="536">
        <f>'11. R&amp;O (GC)'!B6</f>
        <v>0</v>
      </c>
      <c r="AJ275" s="536">
        <f>'11. R&amp;O (GC)'!C6</f>
        <v>0</v>
      </c>
      <c r="AK275" s="536">
        <f>'11. R&amp;O (GC)'!D6</f>
        <v>0</v>
      </c>
      <c r="AL275" s="536"/>
      <c r="AM275" s="536"/>
      <c r="AN275" s="451" t="str">
        <f>'11. R&amp;O (GC)'!A6</f>
        <v>Additional MOU Overstock Risk (value not yet defined)</v>
      </c>
      <c r="AO275" s="535"/>
      <c r="AP275" s="451">
        <v>285</v>
      </c>
      <c r="AQ275" s="451" t="str">
        <f>Settings!$A$1</f>
        <v>V2</v>
      </c>
    </row>
    <row r="276" spans="1:43" x14ac:dyDescent="0.2">
      <c r="A276" s="451">
        <f>'Input-FX Rates'!$C$4</f>
        <v>242</v>
      </c>
      <c r="B276" s="451" t="str">
        <f>'Input-FX Rates'!$B$4</f>
        <v>ICH Icheon (242)</v>
      </c>
      <c r="C276" s="451">
        <f>'Input-FX Rates'!$C$6</f>
        <v>780</v>
      </c>
      <c r="D276" s="451" t="str">
        <f>'Input-FX Rates'!$B$6</f>
        <v>780 BU Controls</v>
      </c>
      <c r="E276" s="451" t="str">
        <f>'Input-FX Rates'!$C$5</f>
        <v>7851</v>
      </c>
      <c r="F276" s="451" t="str">
        <f>'Input-FX Rates'!$B$5</f>
        <v>7851 PL eMotor Controls</v>
      </c>
      <c r="G276" s="451" t="s">
        <v>482</v>
      </c>
      <c r="H276" s="451" t="s">
        <v>478</v>
      </c>
      <c r="I276" s="535"/>
      <c r="J276" s="535"/>
      <c r="K276" s="535"/>
      <c r="L276" s="535"/>
      <c r="M276" s="535"/>
      <c r="N276" s="535"/>
      <c r="O276" s="535"/>
      <c r="P276" s="535"/>
      <c r="Q276" s="535"/>
      <c r="R276" s="535"/>
      <c r="S276" s="535"/>
      <c r="T276" s="535"/>
      <c r="U276" s="535"/>
      <c r="V276" s="535"/>
      <c r="W276" s="535"/>
      <c r="X276" s="535"/>
      <c r="Y276" s="535"/>
      <c r="Z276" s="535"/>
      <c r="AA276" s="535"/>
      <c r="AB276" s="535"/>
      <c r="AC276" s="535"/>
      <c r="AD276" s="535"/>
      <c r="AE276" s="535"/>
      <c r="AF276" s="535"/>
      <c r="AG276" s="535"/>
      <c r="AH276" s="535"/>
      <c r="AI276" s="536">
        <f>'11. R&amp;O (GC)'!B7</f>
        <v>0</v>
      </c>
      <c r="AJ276" s="536">
        <f>'11. R&amp;O (GC)'!C7</f>
        <v>0</v>
      </c>
      <c r="AK276" s="536">
        <f>'11. R&amp;O (GC)'!D7</f>
        <v>0</v>
      </c>
      <c r="AL276" s="536"/>
      <c r="AM276" s="536"/>
      <c r="AN276" s="451" t="str">
        <f>'11. R&amp;O (GC)'!A7</f>
        <v>Risk 2</v>
      </c>
      <c r="AO276" s="535"/>
      <c r="AP276" s="451">
        <v>286</v>
      </c>
      <c r="AQ276" s="451" t="str">
        <f>Settings!$A$1</f>
        <v>V2</v>
      </c>
    </row>
    <row r="277" spans="1:43" x14ac:dyDescent="0.2">
      <c r="A277" s="451">
        <f>'Input-FX Rates'!$C$4</f>
        <v>242</v>
      </c>
      <c r="B277" s="451" t="str">
        <f>'Input-FX Rates'!$B$4</f>
        <v>ICH Icheon (242)</v>
      </c>
      <c r="C277" s="451">
        <f>'Input-FX Rates'!$C$6</f>
        <v>780</v>
      </c>
      <c r="D277" s="451" t="str">
        <f>'Input-FX Rates'!$B$6</f>
        <v>780 BU Controls</v>
      </c>
      <c r="E277" s="451" t="str">
        <f>'Input-FX Rates'!$C$5</f>
        <v>7851</v>
      </c>
      <c r="F277" s="451" t="str">
        <f>'Input-FX Rates'!$B$5</f>
        <v>7851 PL eMotor Controls</v>
      </c>
      <c r="G277" s="451" t="s">
        <v>482</v>
      </c>
      <c r="H277" s="451" t="s">
        <v>477</v>
      </c>
      <c r="I277" s="535"/>
      <c r="J277" s="535"/>
      <c r="K277" s="535"/>
      <c r="L277" s="535"/>
      <c r="M277" s="535"/>
      <c r="N277" s="535"/>
      <c r="O277" s="535"/>
      <c r="P277" s="535"/>
      <c r="Q277" s="535"/>
      <c r="R277" s="535"/>
      <c r="S277" s="535"/>
      <c r="T277" s="535"/>
      <c r="U277" s="535"/>
      <c r="V277" s="535"/>
      <c r="W277" s="535"/>
      <c r="X277" s="535"/>
      <c r="Y277" s="535"/>
      <c r="Z277" s="535"/>
      <c r="AA277" s="535"/>
      <c r="AB277" s="535"/>
      <c r="AC277" s="535"/>
      <c r="AD277" s="535"/>
      <c r="AE277" s="535"/>
      <c r="AF277" s="535"/>
      <c r="AG277" s="535"/>
      <c r="AH277" s="535"/>
      <c r="AI277" s="536">
        <f>'11. R&amp;O (GC)'!B8</f>
        <v>0</v>
      </c>
      <c r="AJ277" s="536">
        <f>'11. R&amp;O (GC)'!C8</f>
        <v>0</v>
      </c>
      <c r="AK277" s="536">
        <f>'11. R&amp;O (GC)'!D8</f>
        <v>0</v>
      </c>
      <c r="AL277" s="536"/>
      <c r="AM277" s="536"/>
      <c r="AN277" s="451" t="str">
        <f>'11. R&amp;O (GC)'!A8</f>
        <v>Risk 3</v>
      </c>
      <c r="AO277" s="535"/>
      <c r="AP277" s="451">
        <v>287</v>
      </c>
      <c r="AQ277" s="451" t="str">
        <f>Settings!$A$1</f>
        <v>V2</v>
      </c>
    </row>
    <row r="278" spans="1:43" x14ac:dyDescent="0.2">
      <c r="A278" s="451">
        <f>'Input-FX Rates'!$C$4</f>
        <v>242</v>
      </c>
      <c r="B278" s="451" t="str">
        <f>'Input-FX Rates'!$B$4</f>
        <v>ICH Icheon (242)</v>
      </c>
      <c r="C278" s="451">
        <f>'Input-FX Rates'!$C$6</f>
        <v>780</v>
      </c>
      <c r="D278" s="451" t="str">
        <f>'Input-FX Rates'!$B$6</f>
        <v>780 BU Controls</v>
      </c>
      <c r="E278" s="451" t="str">
        <f>'Input-FX Rates'!$C$5</f>
        <v>7851</v>
      </c>
      <c r="F278" s="451" t="str">
        <f>'Input-FX Rates'!$B$5</f>
        <v>7851 PL eMotor Controls</v>
      </c>
      <c r="G278" s="451" t="s">
        <v>482</v>
      </c>
      <c r="H278" s="451" t="s">
        <v>476</v>
      </c>
      <c r="I278" s="535"/>
      <c r="J278" s="535"/>
      <c r="K278" s="535"/>
      <c r="L278" s="535"/>
      <c r="M278" s="535"/>
      <c r="N278" s="535"/>
      <c r="O278" s="535"/>
      <c r="P278" s="535"/>
      <c r="Q278" s="535"/>
      <c r="R278" s="535"/>
      <c r="S278" s="535"/>
      <c r="T278" s="535"/>
      <c r="U278" s="535"/>
      <c r="V278" s="535"/>
      <c r="W278" s="535"/>
      <c r="X278" s="535"/>
      <c r="Y278" s="535"/>
      <c r="Z278" s="535"/>
      <c r="AA278" s="535"/>
      <c r="AB278" s="535"/>
      <c r="AC278" s="535"/>
      <c r="AD278" s="535"/>
      <c r="AE278" s="535"/>
      <c r="AF278" s="535"/>
      <c r="AG278" s="535"/>
      <c r="AH278" s="535"/>
      <c r="AI278" s="536">
        <f>'11. R&amp;O (GC)'!B9</f>
        <v>0</v>
      </c>
      <c r="AJ278" s="536">
        <f>'11. R&amp;O (GC)'!C9</f>
        <v>0</v>
      </c>
      <c r="AK278" s="536">
        <f>'11. R&amp;O (GC)'!D9</f>
        <v>0</v>
      </c>
      <c r="AL278" s="536"/>
      <c r="AM278" s="536"/>
      <c r="AN278" s="451" t="str">
        <f>'11. R&amp;O (GC)'!A9</f>
        <v>Risk 4</v>
      </c>
      <c r="AO278" s="535"/>
      <c r="AP278" s="451">
        <v>288</v>
      </c>
      <c r="AQ278" s="451" t="str">
        <f>Settings!$A$1</f>
        <v>V2</v>
      </c>
    </row>
    <row r="279" spans="1:43" x14ac:dyDescent="0.2">
      <c r="A279" s="451">
        <f>'Input-FX Rates'!$C$4</f>
        <v>242</v>
      </c>
      <c r="B279" s="451" t="str">
        <f>'Input-FX Rates'!$B$4</f>
        <v>ICH Icheon (242)</v>
      </c>
      <c r="C279" s="451">
        <f>'Input-FX Rates'!$C$6</f>
        <v>780</v>
      </c>
      <c r="D279" s="451" t="str">
        <f>'Input-FX Rates'!$B$6</f>
        <v>780 BU Controls</v>
      </c>
      <c r="E279" s="451" t="str">
        <f>'Input-FX Rates'!$C$5</f>
        <v>7851</v>
      </c>
      <c r="F279" s="451" t="str">
        <f>'Input-FX Rates'!$B$5</f>
        <v>7851 PL eMotor Controls</v>
      </c>
      <c r="G279" s="451" t="s">
        <v>482</v>
      </c>
      <c r="H279" s="451" t="s">
        <v>475</v>
      </c>
      <c r="I279" s="535"/>
      <c r="J279" s="535"/>
      <c r="K279" s="535"/>
      <c r="L279" s="535"/>
      <c r="M279" s="535"/>
      <c r="N279" s="535"/>
      <c r="O279" s="535"/>
      <c r="P279" s="535"/>
      <c r="Q279" s="535"/>
      <c r="R279" s="535"/>
      <c r="S279" s="535"/>
      <c r="T279" s="535"/>
      <c r="U279" s="535"/>
      <c r="V279" s="535"/>
      <c r="W279" s="535"/>
      <c r="X279" s="535"/>
      <c r="Y279" s="535"/>
      <c r="Z279" s="535"/>
      <c r="AA279" s="535"/>
      <c r="AB279" s="535"/>
      <c r="AC279" s="535"/>
      <c r="AD279" s="535"/>
      <c r="AE279" s="535"/>
      <c r="AF279" s="535"/>
      <c r="AG279" s="535"/>
      <c r="AH279" s="535"/>
      <c r="AI279" s="536">
        <f>'11. R&amp;O (GC)'!B10</f>
        <v>0</v>
      </c>
      <c r="AJ279" s="536">
        <f>'11. R&amp;O (GC)'!C10</f>
        <v>0</v>
      </c>
      <c r="AK279" s="536">
        <f>'11. R&amp;O (GC)'!D10</f>
        <v>0</v>
      </c>
      <c r="AL279" s="536"/>
      <c r="AM279" s="536"/>
      <c r="AN279" s="451" t="str">
        <f>'11. R&amp;O (GC)'!A10</f>
        <v>Risk 5</v>
      </c>
      <c r="AO279" s="535"/>
      <c r="AP279" s="451">
        <v>289</v>
      </c>
      <c r="AQ279" s="451" t="str">
        <f>Settings!$A$1</f>
        <v>V2</v>
      </c>
    </row>
    <row r="280" spans="1:43" x14ac:dyDescent="0.2">
      <c r="A280" s="451">
        <f>'Input-FX Rates'!$C$4</f>
        <v>242</v>
      </c>
      <c r="B280" s="451" t="str">
        <f>'Input-FX Rates'!$B$4</f>
        <v>ICH Icheon (242)</v>
      </c>
      <c r="C280" s="451">
        <f>'Input-FX Rates'!$C$6</f>
        <v>780</v>
      </c>
      <c r="D280" s="451" t="str">
        <f>'Input-FX Rates'!$B$6</f>
        <v>780 BU Controls</v>
      </c>
      <c r="E280" s="451" t="str">
        <f>'Input-FX Rates'!$C$5</f>
        <v>7851</v>
      </c>
      <c r="F280" s="451" t="str">
        <f>'Input-FX Rates'!$B$5</f>
        <v>7851 PL eMotor Controls</v>
      </c>
      <c r="G280" s="451" t="s">
        <v>482</v>
      </c>
      <c r="H280" s="451" t="s">
        <v>474</v>
      </c>
      <c r="I280" s="535"/>
      <c r="J280" s="535"/>
      <c r="K280" s="535"/>
      <c r="L280" s="535"/>
      <c r="M280" s="535"/>
      <c r="N280" s="535"/>
      <c r="O280" s="535"/>
      <c r="P280" s="535"/>
      <c r="Q280" s="535"/>
      <c r="R280" s="535"/>
      <c r="S280" s="535"/>
      <c r="T280" s="535"/>
      <c r="U280" s="535"/>
      <c r="V280" s="535"/>
      <c r="W280" s="535"/>
      <c r="X280" s="535"/>
      <c r="Y280" s="535"/>
      <c r="Z280" s="535"/>
      <c r="AA280" s="535"/>
      <c r="AB280" s="535"/>
      <c r="AC280" s="535"/>
      <c r="AD280" s="535"/>
      <c r="AE280" s="535"/>
      <c r="AF280" s="535"/>
      <c r="AG280" s="535"/>
      <c r="AH280" s="535"/>
      <c r="AI280" s="536">
        <f>'11. R&amp;O (GC)'!B11</f>
        <v>0</v>
      </c>
      <c r="AJ280" s="536">
        <f>'11. R&amp;O (GC)'!C11</f>
        <v>0</v>
      </c>
      <c r="AK280" s="536">
        <f>'11. R&amp;O (GC)'!D11</f>
        <v>0</v>
      </c>
      <c r="AL280" s="536"/>
      <c r="AM280" s="536"/>
      <c r="AN280" s="451" t="str">
        <f>'11. R&amp;O (GC)'!A11</f>
        <v>Risk 6</v>
      </c>
      <c r="AO280" s="535"/>
      <c r="AP280" s="451">
        <v>290</v>
      </c>
      <c r="AQ280" s="451" t="str">
        <f>Settings!$A$1</f>
        <v>V2</v>
      </c>
    </row>
    <row r="281" spans="1:43" x14ac:dyDescent="0.2">
      <c r="A281" s="451">
        <f>'Input-FX Rates'!$C$4</f>
        <v>242</v>
      </c>
      <c r="B281" s="451" t="str">
        <f>'Input-FX Rates'!$B$4</f>
        <v>ICH Icheon (242)</v>
      </c>
      <c r="C281" s="451">
        <f>'Input-FX Rates'!$C$6</f>
        <v>780</v>
      </c>
      <c r="D281" s="451" t="str">
        <f>'Input-FX Rates'!$B$6</f>
        <v>780 BU Controls</v>
      </c>
      <c r="E281" s="451" t="str">
        <f>'Input-FX Rates'!$C$5</f>
        <v>7851</v>
      </c>
      <c r="F281" s="451" t="str">
        <f>'Input-FX Rates'!$B$5</f>
        <v>7851 PL eMotor Controls</v>
      </c>
      <c r="G281" s="451" t="s">
        <v>482</v>
      </c>
      <c r="H281" s="451" t="s">
        <v>473</v>
      </c>
      <c r="I281" s="535"/>
      <c r="J281" s="535"/>
      <c r="K281" s="535"/>
      <c r="L281" s="535"/>
      <c r="M281" s="535"/>
      <c r="N281" s="535"/>
      <c r="O281" s="535"/>
      <c r="P281" s="535"/>
      <c r="Q281" s="535"/>
      <c r="R281" s="535"/>
      <c r="S281" s="535"/>
      <c r="T281" s="535"/>
      <c r="U281" s="535"/>
      <c r="V281" s="535"/>
      <c r="W281" s="535"/>
      <c r="X281" s="535"/>
      <c r="Y281" s="535"/>
      <c r="Z281" s="535"/>
      <c r="AA281" s="535"/>
      <c r="AB281" s="535"/>
      <c r="AC281" s="535"/>
      <c r="AD281" s="535"/>
      <c r="AE281" s="535"/>
      <c r="AF281" s="535"/>
      <c r="AG281" s="535"/>
      <c r="AH281" s="535"/>
      <c r="AI281" s="536">
        <f>'11. R&amp;O (GC)'!B12</f>
        <v>0</v>
      </c>
      <c r="AJ281" s="536">
        <f>'11. R&amp;O (GC)'!C12</f>
        <v>0</v>
      </c>
      <c r="AK281" s="536">
        <f>'11. R&amp;O (GC)'!D12</f>
        <v>0</v>
      </c>
      <c r="AL281" s="536"/>
      <c r="AM281" s="536"/>
      <c r="AN281" s="451" t="str">
        <f>'11. R&amp;O (GC)'!A12</f>
        <v>Risk 7</v>
      </c>
      <c r="AO281" s="535"/>
      <c r="AP281" s="451">
        <v>291</v>
      </c>
      <c r="AQ281" s="451" t="str">
        <f>Settings!$A$1</f>
        <v>V2</v>
      </c>
    </row>
    <row r="282" spans="1:43" x14ac:dyDescent="0.2">
      <c r="A282" s="451">
        <f>'Input-FX Rates'!$C$4</f>
        <v>242</v>
      </c>
      <c r="B282" s="451" t="str">
        <f>'Input-FX Rates'!$B$4</f>
        <v>ICH Icheon (242)</v>
      </c>
      <c r="C282" s="451">
        <f>'Input-FX Rates'!$C$6</f>
        <v>780</v>
      </c>
      <c r="D282" s="451" t="str">
        <f>'Input-FX Rates'!$B$6</f>
        <v>780 BU Controls</v>
      </c>
      <c r="E282" s="451" t="str">
        <f>'Input-FX Rates'!$C$5</f>
        <v>7851</v>
      </c>
      <c r="F282" s="451" t="str">
        <f>'Input-FX Rates'!$B$5</f>
        <v>7851 PL eMotor Controls</v>
      </c>
      <c r="G282" s="451" t="s">
        <v>482</v>
      </c>
      <c r="H282" s="451" t="s">
        <v>472</v>
      </c>
      <c r="I282" s="535"/>
      <c r="J282" s="535"/>
      <c r="K282" s="535"/>
      <c r="L282" s="535"/>
      <c r="M282" s="535"/>
      <c r="N282" s="535"/>
      <c r="O282" s="535"/>
      <c r="P282" s="535"/>
      <c r="Q282" s="535"/>
      <c r="R282" s="535"/>
      <c r="S282" s="535"/>
      <c r="T282" s="535"/>
      <c r="U282" s="535"/>
      <c r="V282" s="535"/>
      <c r="W282" s="535"/>
      <c r="X282" s="535"/>
      <c r="Y282" s="535"/>
      <c r="Z282" s="535"/>
      <c r="AA282" s="535"/>
      <c r="AB282" s="535"/>
      <c r="AC282" s="535"/>
      <c r="AD282" s="535"/>
      <c r="AE282" s="535"/>
      <c r="AF282" s="535"/>
      <c r="AG282" s="535"/>
      <c r="AH282" s="535"/>
      <c r="AI282" s="536">
        <f>'11. R&amp;O (GC)'!B13</f>
        <v>0</v>
      </c>
      <c r="AJ282" s="536">
        <f>'11. R&amp;O (GC)'!C13</f>
        <v>0</v>
      </c>
      <c r="AK282" s="536">
        <f>'11. R&amp;O (GC)'!D13</f>
        <v>0</v>
      </c>
      <c r="AL282" s="536"/>
      <c r="AM282" s="536"/>
      <c r="AN282" s="451" t="str">
        <f>'11. R&amp;O (GC)'!A13</f>
        <v>Risk 8</v>
      </c>
      <c r="AO282" s="535"/>
      <c r="AP282" s="451">
        <v>292</v>
      </c>
      <c r="AQ282" s="451" t="str">
        <f>Settings!$A$1</f>
        <v>V2</v>
      </c>
    </row>
    <row r="283" spans="1:43" x14ac:dyDescent="0.2">
      <c r="A283" s="451">
        <f>'Input-FX Rates'!$C$4</f>
        <v>242</v>
      </c>
      <c r="B283" s="451" t="str">
        <f>'Input-FX Rates'!$B$4</f>
        <v>ICH Icheon (242)</v>
      </c>
      <c r="C283" s="451">
        <f>'Input-FX Rates'!$C$6</f>
        <v>780</v>
      </c>
      <c r="D283" s="451" t="str">
        <f>'Input-FX Rates'!$B$6</f>
        <v>780 BU Controls</v>
      </c>
      <c r="E283" s="451" t="str">
        <f>'Input-FX Rates'!$C$5</f>
        <v>7851</v>
      </c>
      <c r="F283" s="451" t="str">
        <f>'Input-FX Rates'!$B$5</f>
        <v>7851 PL eMotor Controls</v>
      </c>
      <c r="G283" s="451" t="s">
        <v>482</v>
      </c>
      <c r="H283" s="451" t="s">
        <v>471</v>
      </c>
      <c r="I283" s="535"/>
      <c r="J283" s="535"/>
      <c r="K283" s="535"/>
      <c r="L283" s="535"/>
      <c r="M283" s="535"/>
      <c r="N283" s="535"/>
      <c r="O283" s="535"/>
      <c r="P283" s="535"/>
      <c r="Q283" s="535"/>
      <c r="R283" s="535"/>
      <c r="S283" s="535"/>
      <c r="T283" s="535"/>
      <c r="U283" s="535"/>
      <c r="V283" s="535"/>
      <c r="W283" s="535"/>
      <c r="X283" s="535"/>
      <c r="Y283" s="535"/>
      <c r="Z283" s="535"/>
      <c r="AA283" s="535"/>
      <c r="AB283" s="535"/>
      <c r="AC283" s="535"/>
      <c r="AD283" s="535"/>
      <c r="AE283" s="535"/>
      <c r="AF283" s="535"/>
      <c r="AG283" s="535"/>
      <c r="AH283" s="535"/>
      <c r="AI283" s="536">
        <f>'11. R&amp;O (GC)'!B14</f>
        <v>0</v>
      </c>
      <c r="AJ283" s="536">
        <f>'11. R&amp;O (GC)'!C14</f>
        <v>0</v>
      </c>
      <c r="AK283" s="536">
        <f>'11. R&amp;O (GC)'!D14</f>
        <v>0</v>
      </c>
      <c r="AL283" s="536"/>
      <c r="AM283" s="536"/>
      <c r="AN283" s="451" t="str">
        <f>'11. R&amp;O (GC)'!A14</f>
        <v>Risk 9</v>
      </c>
      <c r="AO283" s="535"/>
      <c r="AP283" s="451">
        <v>293</v>
      </c>
      <c r="AQ283" s="451" t="str">
        <f>Settings!$A$1</f>
        <v>V2</v>
      </c>
    </row>
    <row r="284" spans="1:43" x14ac:dyDescent="0.2">
      <c r="A284" s="451">
        <f>'Input-FX Rates'!$C$4</f>
        <v>242</v>
      </c>
      <c r="B284" s="451" t="str">
        <f>'Input-FX Rates'!$B$4</f>
        <v>ICH Icheon (242)</v>
      </c>
      <c r="C284" s="451">
        <f>'Input-FX Rates'!$C$6</f>
        <v>780</v>
      </c>
      <c r="D284" s="451" t="str">
        <f>'Input-FX Rates'!$B$6</f>
        <v>780 BU Controls</v>
      </c>
      <c r="E284" s="451" t="str">
        <f>'Input-FX Rates'!$C$5</f>
        <v>7851</v>
      </c>
      <c r="F284" s="451" t="str">
        <f>'Input-FX Rates'!$B$5</f>
        <v>7851 PL eMotor Controls</v>
      </c>
      <c r="G284" s="451" t="s">
        <v>482</v>
      </c>
      <c r="H284" s="451" t="s">
        <v>470</v>
      </c>
      <c r="I284" s="535"/>
      <c r="J284" s="535"/>
      <c r="K284" s="535"/>
      <c r="L284" s="535"/>
      <c r="M284" s="535"/>
      <c r="N284" s="535"/>
      <c r="O284" s="535"/>
      <c r="P284" s="535"/>
      <c r="Q284" s="535"/>
      <c r="R284" s="535"/>
      <c r="S284" s="535"/>
      <c r="T284" s="535"/>
      <c r="U284" s="535"/>
      <c r="V284" s="535"/>
      <c r="W284" s="535"/>
      <c r="X284" s="535"/>
      <c r="Y284" s="535"/>
      <c r="Z284" s="535"/>
      <c r="AA284" s="535"/>
      <c r="AB284" s="535"/>
      <c r="AC284" s="535"/>
      <c r="AD284" s="535"/>
      <c r="AE284" s="535"/>
      <c r="AF284" s="535"/>
      <c r="AG284" s="535"/>
      <c r="AH284" s="535"/>
      <c r="AI284" s="536">
        <f>'11. R&amp;O (GC)'!B15</f>
        <v>0</v>
      </c>
      <c r="AJ284" s="536">
        <f>'11. R&amp;O (GC)'!C15</f>
        <v>0</v>
      </c>
      <c r="AK284" s="536">
        <f>'11. R&amp;O (GC)'!D15</f>
        <v>0</v>
      </c>
      <c r="AL284" s="536"/>
      <c r="AM284" s="536"/>
      <c r="AN284" s="451" t="str">
        <f>'11. R&amp;O (GC)'!A15</f>
        <v>Total Risks</v>
      </c>
      <c r="AO284" s="535"/>
      <c r="AP284" s="451">
        <v>294</v>
      </c>
      <c r="AQ284" s="451" t="str">
        <f>Settings!$A$1</f>
        <v>V2</v>
      </c>
    </row>
    <row r="285" spans="1:43" x14ac:dyDescent="0.2">
      <c r="A285" s="451">
        <f>'Input-FX Rates'!$C$4</f>
        <v>242</v>
      </c>
      <c r="B285" s="451" t="str">
        <f>'Input-FX Rates'!$B$4</f>
        <v>ICH Icheon (242)</v>
      </c>
      <c r="C285" s="451">
        <f>'Input-FX Rates'!$C$6</f>
        <v>780</v>
      </c>
      <c r="D285" s="451" t="str">
        <f>'Input-FX Rates'!$B$6</f>
        <v>780 BU Controls</v>
      </c>
      <c r="E285" s="451" t="str">
        <f>'Input-FX Rates'!$C$5</f>
        <v>7851</v>
      </c>
      <c r="F285" s="451" t="str">
        <f>'Input-FX Rates'!$B$5</f>
        <v>7851 PL eMotor Controls</v>
      </c>
      <c r="G285" s="451" t="s">
        <v>482</v>
      </c>
      <c r="H285" s="451" t="s">
        <v>469</v>
      </c>
      <c r="I285" s="535"/>
      <c r="J285" s="535"/>
      <c r="K285" s="535"/>
      <c r="L285" s="535"/>
      <c r="M285" s="535"/>
      <c r="N285" s="535"/>
      <c r="O285" s="535"/>
      <c r="P285" s="535"/>
      <c r="Q285" s="535"/>
      <c r="R285" s="535"/>
      <c r="S285" s="535"/>
      <c r="T285" s="535"/>
      <c r="U285" s="535"/>
      <c r="V285" s="535"/>
      <c r="W285" s="535"/>
      <c r="X285" s="535"/>
      <c r="Y285" s="535"/>
      <c r="Z285" s="535"/>
      <c r="AA285" s="535"/>
      <c r="AB285" s="535"/>
      <c r="AC285" s="535"/>
      <c r="AD285" s="535"/>
      <c r="AE285" s="535"/>
      <c r="AF285" s="535"/>
      <c r="AG285" s="535"/>
      <c r="AH285" s="535"/>
      <c r="AI285" s="536">
        <f>'11. R&amp;O (GC)'!B16</f>
        <v>0</v>
      </c>
      <c r="AJ285" s="536">
        <f>'11. R&amp;O (GC)'!C16</f>
        <v>0</v>
      </c>
      <c r="AK285" s="536">
        <f>'11. R&amp;O (GC)'!D16</f>
        <v>0</v>
      </c>
      <c r="AL285" s="536"/>
      <c r="AM285" s="536"/>
      <c r="AN285" s="451" t="str">
        <f>'11. R&amp;O (GC)'!A16</f>
        <v>Opportunity 1</v>
      </c>
      <c r="AO285" s="535"/>
      <c r="AP285" s="451">
        <v>295</v>
      </c>
      <c r="AQ285" s="451" t="str">
        <f>Settings!$A$1</f>
        <v>V2</v>
      </c>
    </row>
    <row r="286" spans="1:43" x14ac:dyDescent="0.2">
      <c r="A286" s="451">
        <f>'Input-FX Rates'!$C$4</f>
        <v>242</v>
      </c>
      <c r="B286" s="451" t="str">
        <f>'Input-FX Rates'!$B$4</f>
        <v>ICH Icheon (242)</v>
      </c>
      <c r="C286" s="451">
        <f>'Input-FX Rates'!$C$6</f>
        <v>780</v>
      </c>
      <c r="D286" s="451" t="str">
        <f>'Input-FX Rates'!$B$6</f>
        <v>780 BU Controls</v>
      </c>
      <c r="E286" s="451" t="str">
        <f>'Input-FX Rates'!$C$5</f>
        <v>7851</v>
      </c>
      <c r="F286" s="451" t="str">
        <f>'Input-FX Rates'!$B$5</f>
        <v>7851 PL eMotor Controls</v>
      </c>
      <c r="G286" s="451" t="s">
        <v>482</v>
      </c>
      <c r="H286" s="451" t="s">
        <v>468</v>
      </c>
      <c r="I286" s="535"/>
      <c r="J286" s="535"/>
      <c r="K286" s="535"/>
      <c r="L286" s="535"/>
      <c r="M286" s="535"/>
      <c r="N286" s="535"/>
      <c r="O286" s="535"/>
      <c r="P286" s="535"/>
      <c r="Q286" s="535"/>
      <c r="R286" s="535"/>
      <c r="S286" s="535"/>
      <c r="T286" s="535"/>
      <c r="U286" s="535"/>
      <c r="V286" s="535"/>
      <c r="W286" s="535"/>
      <c r="X286" s="535"/>
      <c r="Y286" s="535"/>
      <c r="Z286" s="535"/>
      <c r="AA286" s="535"/>
      <c r="AB286" s="535"/>
      <c r="AC286" s="535"/>
      <c r="AD286" s="535"/>
      <c r="AE286" s="535"/>
      <c r="AF286" s="535"/>
      <c r="AG286" s="535"/>
      <c r="AH286" s="535"/>
      <c r="AI286" s="536">
        <f>'11. R&amp;O (GC)'!B17</f>
        <v>0</v>
      </c>
      <c r="AJ286" s="536">
        <f>'11. R&amp;O (GC)'!C17</f>
        <v>0</v>
      </c>
      <c r="AK286" s="536">
        <f>'11. R&amp;O (GC)'!D17</f>
        <v>0</v>
      </c>
      <c r="AL286" s="536"/>
      <c r="AM286" s="536"/>
      <c r="AN286" s="451" t="str">
        <f>'11. R&amp;O (GC)'!A17</f>
        <v>Opportunity 2</v>
      </c>
      <c r="AO286" s="535"/>
      <c r="AP286" s="451">
        <v>296</v>
      </c>
      <c r="AQ286" s="451" t="str">
        <f>Settings!$A$1</f>
        <v>V2</v>
      </c>
    </row>
    <row r="287" spans="1:43" x14ac:dyDescent="0.2">
      <c r="A287" s="451">
        <f>'Input-FX Rates'!$C$4</f>
        <v>242</v>
      </c>
      <c r="B287" s="451" t="str">
        <f>'Input-FX Rates'!$B$4</f>
        <v>ICH Icheon (242)</v>
      </c>
      <c r="C287" s="451">
        <f>'Input-FX Rates'!$C$6</f>
        <v>780</v>
      </c>
      <c r="D287" s="451" t="str">
        <f>'Input-FX Rates'!$B$6</f>
        <v>780 BU Controls</v>
      </c>
      <c r="E287" s="451" t="str">
        <f>'Input-FX Rates'!$C$5</f>
        <v>7851</v>
      </c>
      <c r="F287" s="451" t="str">
        <f>'Input-FX Rates'!$B$5</f>
        <v>7851 PL eMotor Controls</v>
      </c>
      <c r="G287" s="451" t="s">
        <v>482</v>
      </c>
      <c r="H287" s="451" t="s">
        <v>467</v>
      </c>
      <c r="I287" s="535"/>
      <c r="J287" s="535"/>
      <c r="K287" s="535"/>
      <c r="L287" s="535"/>
      <c r="M287" s="535"/>
      <c r="N287" s="535"/>
      <c r="O287" s="535"/>
      <c r="P287" s="535"/>
      <c r="Q287" s="535"/>
      <c r="R287" s="535"/>
      <c r="S287" s="535"/>
      <c r="T287" s="535"/>
      <c r="U287" s="535"/>
      <c r="V287" s="535"/>
      <c r="W287" s="535"/>
      <c r="X287" s="535"/>
      <c r="Y287" s="535"/>
      <c r="Z287" s="535"/>
      <c r="AA287" s="535"/>
      <c r="AB287" s="535"/>
      <c r="AC287" s="535"/>
      <c r="AD287" s="535"/>
      <c r="AE287" s="535"/>
      <c r="AF287" s="535"/>
      <c r="AG287" s="535"/>
      <c r="AH287" s="535"/>
      <c r="AI287" s="536">
        <f>'11. R&amp;O (GC)'!B18</f>
        <v>0</v>
      </c>
      <c r="AJ287" s="536">
        <f>'11. R&amp;O (GC)'!C18</f>
        <v>0</v>
      </c>
      <c r="AK287" s="536">
        <f>'11. R&amp;O (GC)'!D18</f>
        <v>0</v>
      </c>
      <c r="AL287" s="536"/>
      <c r="AM287" s="536"/>
      <c r="AN287" s="451" t="str">
        <f>'11. R&amp;O (GC)'!A18</f>
        <v>Opportunity 3</v>
      </c>
      <c r="AO287" s="535"/>
      <c r="AP287" s="451">
        <v>297</v>
      </c>
      <c r="AQ287" s="451" t="str">
        <f>Settings!$A$1</f>
        <v>V2</v>
      </c>
    </row>
    <row r="288" spans="1:43" x14ac:dyDescent="0.2">
      <c r="A288" s="451">
        <f>'Input-FX Rates'!$C$4</f>
        <v>242</v>
      </c>
      <c r="B288" s="451" t="str">
        <f>'Input-FX Rates'!$B$4</f>
        <v>ICH Icheon (242)</v>
      </c>
      <c r="C288" s="451">
        <f>'Input-FX Rates'!$C$6</f>
        <v>780</v>
      </c>
      <c r="D288" s="451" t="str">
        <f>'Input-FX Rates'!$B$6</f>
        <v>780 BU Controls</v>
      </c>
      <c r="E288" s="451" t="str">
        <f>'Input-FX Rates'!$C$5</f>
        <v>7851</v>
      </c>
      <c r="F288" s="451" t="str">
        <f>'Input-FX Rates'!$B$5</f>
        <v>7851 PL eMotor Controls</v>
      </c>
      <c r="G288" s="451" t="s">
        <v>482</v>
      </c>
      <c r="H288" s="451" t="s">
        <v>466</v>
      </c>
      <c r="I288" s="535"/>
      <c r="J288" s="535"/>
      <c r="K288" s="535"/>
      <c r="L288" s="535"/>
      <c r="M288" s="535"/>
      <c r="N288" s="535"/>
      <c r="O288" s="535"/>
      <c r="P288" s="535"/>
      <c r="Q288" s="535"/>
      <c r="R288" s="535"/>
      <c r="S288" s="535"/>
      <c r="T288" s="535"/>
      <c r="U288" s="535"/>
      <c r="V288" s="535"/>
      <c r="W288" s="535"/>
      <c r="X288" s="535"/>
      <c r="Y288" s="535"/>
      <c r="Z288" s="535"/>
      <c r="AA288" s="535"/>
      <c r="AB288" s="535"/>
      <c r="AC288" s="535"/>
      <c r="AD288" s="535"/>
      <c r="AE288" s="535"/>
      <c r="AF288" s="535"/>
      <c r="AG288" s="535"/>
      <c r="AH288" s="535"/>
      <c r="AI288" s="536">
        <f>'11. R&amp;O (GC)'!B19</f>
        <v>0</v>
      </c>
      <c r="AJ288" s="536">
        <f>'11. R&amp;O (GC)'!C19</f>
        <v>0</v>
      </c>
      <c r="AK288" s="536">
        <f>'11. R&amp;O (GC)'!D19</f>
        <v>0</v>
      </c>
      <c r="AL288" s="536"/>
      <c r="AM288" s="536"/>
      <c r="AN288" s="451" t="str">
        <f>'11. R&amp;O (GC)'!A19</f>
        <v>Opportunity 4</v>
      </c>
      <c r="AO288" s="535"/>
      <c r="AP288" s="451">
        <v>298</v>
      </c>
      <c r="AQ288" s="451" t="str">
        <f>Settings!$A$1</f>
        <v>V2</v>
      </c>
    </row>
    <row r="289" spans="1:43" x14ac:dyDescent="0.2">
      <c r="A289" s="451">
        <f>'Input-FX Rates'!$C$4</f>
        <v>242</v>
      </c>
      <c r="B289" s="451" t="str">
        <f>'Input-FX Rates'!$B$4</f>
        <v>ICH Icheon (242)</v>
      </c>
      <c r="C289" s="451">
        <f>'Input-FX Rates'!$C$6</f>
        <v>780</v>
      </c>
      <c r="D289" s="451" t="str">
        <f>'Input-FX Rates'!$B$6</f>
        <v>780 BU Controls</v>
      </c>
      <c r="E289" s="451" t="str">
        <f>'Input-FX Rates'!$C$5</f>
        <v>7851</v>
      </c>
      <c r="F289" s="451" t="str">
        <f>'Input-FX Rates'!$B$5</f>
        <v>7851 PL eMotor Controls</v>
      </c>
      <c r="G289" s="451" t="s">
        <v>482</v>
      </c>
      <c r="H289" s="451" t="s">
        <v>465</v>
      </c>
      <c r="I289" s="535"/>
      <c r="J289" s="535"/>
      <c r="K289" s="535"/>
      <c r="L289" s="535"/>
      <c r="M289" s="535"/>
      <c r="N289" s="535"/>
      <c r="O289" s="535"/>
      <c r="P289" s="535"/>
      <c r="Q289" s="535"/>
      <c r="R289" s="535"/>
      <c r="S289" s="535"/>
      <c r="T289" s="535"/>
      <c r="U289" s="535"/>
      <c r="V289" s="535"/>
      <c r="W289" s="535"/>
      <c r="X289" s="535"/>
      <c r="Y289" s="535"/>
      <c r="Z289" s="535"/>
      <c r="AA289" s="535"/>
      <c r="AB289" s="535"/>
      <c r="AC289" s="535"/>
      <c r="AD289" s="535"/>
      <c r="AE289" s="535"/>
      <c r="AF289" s="535"/>
      <c r="AG289" s="535"/>
      <c r="AH289" s="535"/>
      <c r="AI289" s="536">
        <f>'11. R&amp;O (GC)'!B20</f>
        <v>0</v>
      </c>
      <c r="AJ289" s="536">
        <f>'11. R&amp;O (GC)'!C20</f>
        <v>0</v>
      </c>
      <c r="AK289" s="536">
        <f>'11. R&amp;O (GC)'!D20</f>
        <v>0</v>
      </c>
      <c r="AL289" s="536"/>
      <c r="AM289" s="536"/>
      <c r="AN289" s="451" t="str">
        <f>'11. R&amp;O (GC)'!A20</f>
        <v>Opportunity 5</v>
      </c>
      <c r="AO289" s="535"/>
      <c r="AP289" s="451">
        <v>299</v>
      </c>
      <c r="AQ289" s="451" t="str">
        <f>Settings!$A$1</f>
        <v>V2</v>
      </c>
    </row>
    <row r="290" spans="1:43" x14ac:dyDescent="0.2">
      <c r="A290" s="451">
        <f>'Input-FX Rates'!$C$4</f>
        <v>242</v>
      </c>
      <c r="B290" s="451" t="str">
        <f>'Input-FX Rates'!$B$4</f>
        <v>ICH Icheon (242)</v>
      </c>
      <c r="C290" s="451">
        <f>'Input-FX Rates'!$C$6</f>
        <v>780</v>
      </c>
      <c r="D290" s="451" t="str">
        <f>'Input-FX Rates'!$B$6</f>
        <v>780 BU Controls</v>
      </c>
      <c r="E290" s="451" t="str">
        <f>'Input-FX Rates'!$C$5</f>
        <v>7851</v>
      </c>
      <c r="F290" s="451" t="str">
        <f>'Input-FX Rates'!$B$5</f>
        <v>7851 PL eMotor Controls</v>
      </c>
      <c r="G290" s="451" t="s">
        <v>482</v>
      </c>
      <c r="H290" s="451" t="s">
        <v>464</v>
      </c>
      <c r="I290" s="535"/>
      <c r="J290" s="535"/>
      <c r="K290" s="535"/>
      <c r="L290" s="535"/>
      <c r="M290" s="535"/>
      <c r="N290" s="535"/>
      <c r="O290" s="535"/>
      <c r="P290" s="535"/>
      <c r="Q290" s="535"/>
      <c r="R290" s="535"/>
      <c r="S290" s="535"/>
      <c r="T290" s="535"/>
      <c r="U290" s="535"/>
      <c r="V290" s="535"/>
      <c r="W290" s="535"/>
      <c r="X290" s="535"/>
      <c r="Y290" s="535"/>
      <c r="Z290" s="535"/>
      <c r="AA290" s="535"/>
      <c r="AB290" s="535"/>
      <c r="AC290" s="535"/>
      <c r="AD290" s="535"/>
      <c r="AE290" s="535"/>
      <c r="AF290" s="535"/>
      <c r="AG290" s="535"/>
      <c r="AH290" s="535"/>
      <c r="AI290" s="536">
        <f>'11. R&amp;O (GC)'!B21</f>
        <v>0</v>
      </c>
      <c r="AJ290" s="536">
        <f>'11. R&amp;O (GC)'!C21</f>
        <v>0</v>
      </c>
      <c r="AK290" s="536">
        <f>'11. R&amp;O (GC)'!D21</f>
        <v>0</v>
      </c>
      <c r="AL290" s="536"/>
      <c r="AM290" s="536"/>
      <c r="AN290" s="451" t="str">
        <f>'11. R&amp;O (GC)'!A21</f>
        <v>Opportunity 6</v>
      </c>
      <c r="AO290" s="535"/>
      <c r="AP290" s="451">
        <v>300</v>
      </c>
      <c r="AQ290" s="451" t="str">
        <f>Settings!$A$1</f>
        <v>V2</v>
      </c>
    </row>
    <row r="291" spans="1:43" x14ac:dyDescent="0.2">
      <c r="A291" s="451">
        <f>'Input-FX Rates'!$C$4</f>
        <v>242</v>
      </c>
      <c r="B291" s="451" t="str">
        <f>'Input-FX Rates'!$B$4</f>
        <v>ICH Icheon (242)</v>
      </c>
      <c r="C291" s="451">
        <f>'Input-FX Rates'!$C$6</f>
        <v>780</v>
      </c>
      <c r="D291" s="451" t="str">
        <f>'Input-FX Rates'!$B$6</f>
        <v>780 BU Controls</v>
      </c>
      <c r="E291" s="451" t="str">
        <f>'Input-FX Rates'!$C$5</f>
        <v>7851</v>
      </c>
      <c r="F291" s="451" t="str">
        <f>'Input-FX Rates'!$B$5</f>
        <v>7851 PL eMotor Controls</v>
      </c>
      <c r="G291" s="451" t="s">
        <v>482</v>
      </c>
      <c r="H291" s="451" t="s">
        <v>463</v>
      </c>
      <c r="I291" s="535"/>
      <c r="J291" s="535"/>
      <c r="K291" s="535"/>
      <c r="L291" s="535"/>
      <c r="M291" s="535"/>
      <c r="N291" s="535"/>
      <c r="O291" s="535"/>
      <c r="P291" s="535"/>
      <c r="Q291" s="535"/>
      <c r="R291" s="535"/>
      <c r="S291" s="535"/>
      <c r="T291" s="535"/>
      <c r="U291" s="535"/>
      <c r="V291" s="535"/>
      <c r="W291" s="535"/>
      <c r="X291" s="535"/>
      <c r="Y291" s="535"/>
      <c r="Z291" s="535"/>
      <c r="AA291" s="535"/>
      <c r="AB291" s="535"/>
      <c r="AC291" s="535"/>
      <c r="AD291" s="535"/>
      <c r="AE291" s="535"/>
      <c r="AF291" s="535"/>
      <c r="AG291" s="535"/>
      <c r="AH291" s="535"/>
      <c r="AI291" s="536">
        <f>'11. R&amp;O (GC)'!B22</f>
        <v>0</v>
      </c>
      <c r="AJ291" s="536">
        <f>'11. R&amp;O (GC)'!C22</f>
        <v>0</v>
      </c>
      <c r="AK291" s="536">
        <f>'11. R&amp;O (GC)'!D22</f>
        <v>0</v>
      </c>
      <c r="AL291" s="536"/>
      <c r="AM291" s="536"/>
      <c r="AN291" s="451" t="str">
        <f>'11. R&amp;O (GC)'!A22</f>
        <v>Opportunity 7</v>
      </c>
      <c r="AO291" s="535"/>
      <c r="AP291" s="451">
        <v>301</v>
      </c>
      <c r="AQ291" s="451" t="str">
        <f>Settings!$A$1</f>
        <v>V2</v>
      </c>
    </row>
    <row r="292" spans="1:43" x14ac:dyDescent="0.2">
      <c r="A292" s="451">
        <f>'Input-FX Rates'!$C$4</f>
        <v>242</v>
      </c>
      <c r="B292" s="451" t="str">
        <f>'Input-FX Rates'!$B$4</f>
        <v>ICH Icheon (242)</v>
      </c>
      <c r="C292" s="451">
        <f>'Input-FX Rates'!$C$6</f>
        <v>780</v>
      </c>
      <c r="D292" s="451" t="str">
        <f>'Input-FX Rates'!$B$6</f>
        <v>780 BU Controls</v>
      </c>
      <c r="E292" s="451" t="str">
        <f>'Input-FX Rates'!$C$5</f>
        <v>7851</v>
      </c>
      <c r="F292" s="451" t="str">
        <f>'Input-FX Rates'!$B$5</f>
        <v>7851 PL eMotor Controls</v>
      </c>
      <c r="G292" s="451" t="s">
        <v>482</v>
      </c>
      <c r="H292" s="451" t="s">
        <v>462</v>
      </c>
      <c r="I292" s="535"/>
      <c r="J292" s="535"/>
      <c r="K292" s="535"/>
      <c r="L292" s="535"/>
      <c r="M292" s="535"/>
      <c r="N292" s="535"/>
      <c r="O292" s="535"/>
      <c r="P292" s="535"/>
      <c r="Q292" s="535"/>
      <c r="R292" s="535"/>
      <c r="S292" s="535"/>
      <c r="T292" s="535"/>
      <c r="U292" s="535"/>
      <c r="V292" s="535"/>
      <c r="W292" s="535"/>
      <c r="X292" s="535"/>
      <c r="Y292" s="535"/>
      <c r="Z292" s="535"/>
      <c r="AA292" s="535"/>
      <c r="AB292" s="535"/>
      <c r="AC292" s="535"/>
      <c r="AD292" s="535"/>
      <c r="AE292" s="535"/>
      <c r="AF292" s="535"/>
      <c r="AG292" s="535"/>
      <c r="AH292" s="535"/>
      <c r="AI292" s="536">
        <f>'11. R&amp;O (GC)'!B23</f>
        <v>0</v>
      </c>
      <c r="AJ292" s="536">
        <f>'11. R&amp;O (GC)'!C23</f>
        <v>0</v>
      </c>
      <c r="AK292" s="536">
        <f>'11. R&amp;O (GC)'!D23</f>
        <v>0</v>
      </c>
      <c r="AL292" s="536"/>
      <c r="AM292" s="536"/>
      <c r="AN292" s="451" t="str">
        <f>'11. R&amp;O (GC)'!A23</f>
        <v>Opportunity 8</v>
      </c>
      <c r="AO292" s="535"/>
      <c r="AP292" s="451">
        <v>302</v>
      </c>
      <c r="AQ292" s="451" t="str">
        <f>Settings!$A$1</f>
        <v>V2</v>
      </c>
    </row>
    <row r="293" spans="1:43" x14ac:dyDescent="0.2">
      <c r="A293" s="451">
        <f>'Input-FX Rates'!$C$4</f>
        <v>242</v>
      </c>
      <c r="B293" s="451" t="str">
        <f>'Input-FX Rates'!$B$4</f>
        <v>ICH Icheon (242)</v>
      </c>
      <c r="C293" s="451">
        <f>'Input-FX Rates'!$C$6</f>
        <v>780</v>
      </c>
      <c r="D293" s="451" t="str">
        <f>'Input-FX Rates'!$B$6</f>
        <v>780 BU Controls</v>
      </c>
      <c r="E293" s="451" t="str">
        <f>'Input-FX Rates'!$C$5</f>
        <v>7851</v>
      </c>
      <c r="F293" s="451" t="str">
        <f>'Input-FX Rates'!$B$5</f>
        <v>7851 PL eMotor Controls</v>
      </c>
      <c r="G293" s="451" t="s">
        <v>482</v>
      </c>
      <c r="H293" s="451" t="s">
        <v>461</v>
      </c>
      <c r="I293" s="535"/>
      <c r="J293" s="535"/>
      <c r="K293" s="535"/>
      <c r="L293" s="535"/>
      <c r="M293" s="535"/>
      <c r="N293" s="535"/>
      <c r="O293" s="535"/>
      <c r="P293" s="535"/>
      <c r="Q293" s="535"/>
      <c r="R293" s="535"/>
      <c r="S293" s="535"/>
      <c r="T293" s="535"/>
      <c r="U293" s="535"/>
      <c r="V293" s="535"/>
      <c r="W293" s="535"/>
      <c r="X293" s="535"/>
      <c r="Y293" s="535"/>
      <c r="Z293" s="535"/>
      <c r="AA293" s="535"/>
      <c r="AB293" s="535"/>
      <c r="AC293" s="535"/>
      <c r="AD293" s="535"/>
      <c r="AE293" s="535"/>
      <c r="AF293" s="535"/>
      <c r="AG293" s="535"/>
      <c r="AH293" s="535"/>
      <c r="AI293" s="536">
        <f>'11. R&amp;O (GC)'!B24</f>
        <v>0</v>
      </c>
      <c r="AJ293" s="536">
        <f>'11. R&amp;O (GC)'!C24</f>
        <v>0</v>
      </c>
      <c r="AK293" s="536">
        <f>'11. R&amp;O (GC)'!D24</f>
        <v>0</v>
      </c>
      <c r="AL293" s="536"/>
      <c r="AM293" s="536"/>
      <c r="AN293" s="451" t="str">
        <f>'11. R&amp;O (GC)'!A24</f>
        <v>Opportunity 9</v>
      </c>
      <c r="AO293" s="535"/>
      <c r="AP293" s="451">
        <v>303</v>
      </c>
      <c r="AQ293" s="451" t="str">
        <f>Settings!$A$1</f>
        <v>V2</v>
      </c>
    </row>
    <row r="294" spans="1:43" x14ac:dyDescent="0.2">
      <c r="A294" s="451">
        <f>'Input-FX Rates'!$C$4</f>
        <v>242</v>
      </c>
      <c r="B294" s="451" t="str">
        <f>'Input-FX Rates'!$B$4</f>
        <v>ICH Icheon (242)</v>
      </c>
      <c r="C294" s="451">
        <f>'Input-FX Rates'!$C$6</f>
        <v>780</v>
      </c>
      <c r="D294" s="451" t="str">
        <f>'Input-FX Rates'!$B$6</f>
        <v>780 BU Controls</v>
      </c>
      <c r="E294" s="451" t="str">
        <f>'Input-FX Rates'!$C$5</f>
        <v>7851</v>
      </c>
      <c r="F294" s="451" t="str">
        <f>'Input-FX Rates'!$B$5</f>
        <v>7851 PL eMotor Controls</v>
      </c>
      <c r="G294" s="451" t="s">
        <v>482</v>
      </c>
      <c r="H294" s="451" t="s">
        <v>460</v>
      </c>
      <c r="I294" s="535"/>
      <c r="J294" s="535"/>
      <c r="K294" s="535"/>
      <c r="L294" s="535"/>
      <c r="M294" s="535"/>
      <c r="N294" s="535"/>
      <c r="O294" s="535"/>
      <c r="P294" s="535"/>
      <c r="Q294" s="535"/>
      <c r="R294" s="535"/>
      <c r="S294" s="535"/>
      <c r="T294" s="535"/>
      <c r="U294" s="535"/>
      <c r="V294" s="535"/>
      <c r="W294" s="535"/>
      <c r="X294" s="535"/>
      <c r="Y294" s="535"/>
      <c r="Z294" s="535"/>
      <c r="AA294" s="535"/>
      <c r="AB294" s="535"/>
      <c r="AC294" s="535"/>
      <c r="AD294" s="535"/>
      <c r="AE294" s="535"/>
      <c r="AF294" s="535"/>
      <c r="AG294" s="535"/>
      <c r="AH294" s="535"/>
      <c r="AI294" s="536">
        <f>'11. R&amp;O (GC)'!B25</f>
        <v>0</v>
      </c>
      <c r="AJ294" s="536">
        <f>'11. R&amp;O (GC)'!C25</f>
        <v>0</v>
      </c>
      <c r="AK294" s="536">
        <f>'11. R&amp;O (GC)'!D25</f>
        <v>0</v>
      </c>
      <c r="AL294" s="536"/>
      <c r="AM294" s="536"/>
      <c r="AN294" s="451" t="str">
        <f>'11. R&amp;O (GC)'!A25</f>
        <v>Total Opportunities</v>
      </c>
      <c r="AO294" s="535"/>
      <c r="AP294" s="451">
        <v>304</v>
      </c>
      <c r="AQ294" s="451" t="str">
        <f>Settings!$A$1</f>
        <v>V2</v>
      </c>
    </row>
    <row r="295" spans="1:43" x14ac:dyDescent="0.2">
      <c r="A295" s="451">
        <f>'Input-FX Rates'!$C$4</f>
        <v>242</v>
      </c>
      <c r="B295" s="451" t="str">
        <f>'Input-FX Rates'!$B$4</f>
        <v>ICH Icheon (242)</v>
      </c>
      <c r="C295" s="451">
        <f>'Input-FX Rates'!$C$6</f>
        <v>780</v>
      </c>
      <c r="D295" s="451" t="str">
        <f>'Input-FX Rates'!$B$6</f>
        <v>780 BU Controls</v>
      </c>
      <c r="E295" s="451" t="str">
        <f>'Input-FX Rates'!$C$5</f>
        <v>7851</v>
      </c>
      <c r="F295" s="451" t="str">
        <f>'Input-FX Rates'!$B$5</f>
        <v>7851 PL eMotor Controls</v>
      </c>
      <c r="G295" s="451" t="s">
        <v>482</v>
      </c>
      <c r="H295" s="451" t="s">
        <v>459</v>
      </c>
      <c r="I295" s="535"/>
      <c r="J295" s="535"/>
      <c r="K295" s="535"/>
      <c r="L295" s="535"/>
      <c r="M295" s="535"/>
      <c r="N295" s="535"/>
      <c r="O295" s="535"/>
      <c r="P295" s="535"/>
      <c r="Q295" s="535"/>
      <c r="R295" s="535"/>
      <c r="S295" s="535"/>
      <c r="T295" s="535"/>
      <c r="U295" s="535"/>
      <c r="V295" s="535"/>
      <c r="W295" s="535"/>
      <c r="X295" s="535"/>
      <c r="Y295" s="535"/>
      <c r="Z295" s="535"/>
      <c r="AA295" s="535"/>
      <c r="AB295" s="535"/>
      <c r="AC295" s="535"/>
      <c r="AD295" s="535"/>
      <c r="AE295" s="535"/>
      <c r="AF295" s="535"/>
      <c r="AG295" s="535"/>
      <c r="AH295" s="535"/>
      <c r="AI295" s="536">
        <f>'11. R&amp;O (GC)'!B26</f>
        <v>0</v>
      </c>
      <c r="AJ295" s="536">
        <f>'11. R&amp;O (GC)'!C26</f>
        <v>0</v>
      </c>
      <c r="AK295" s="536">
        <f>'11. R&amp;O (GC)'!D26</f>
        <v>0</v>
      </c>
      <c r="AL295" s="536"/>
      <c r="AM295" s="536"/>
      <c r="AN295" s="451" t="str">
        <f>'11. R&amp;O (GC)'!A26</f>
        <v>Total Risks &amp; Opportunities</v>
      </c>
      <c r="AO295" s="535"/>
      <c r="AP295" s="451">
        <v>305</v>
      </c>
      <c r="AQ295" s="451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tabSelected="1" zoomScale="85" zoomScaleNormal="85" workbookViewId="0">
      <selection activeCell="E28" sqref="E28"/>
    </sheetView>
  </sheetViews>
  <sheetFormatPr defaultColWidth="9.28515625" defaultRowHeight="12.75" customHeight="1" x14ac:dyDescent="0.2"/>
  <cols>
    <col min="1" max="1" width="22.7109375" style="5" customWidth="1"/>
    <col min="2" max="2" width="49.140625" style="5" customWidth="1"/>
    <col min="3" max="8" width="17.28515625" style="5" customWidth="1"/>
    <col min="9" max="9" width="3.42578125" style="5" customWidth="1"/>
    <col min="10" max="10" width="53.42578125" style="5" bestFit="1" customWidth="1"/>
    <col min="11" max="17" width="9.28515625" style="5" customWidth="1"/>
    <col min="18" max="16384" width="9.28515625" style="5"/>
  </cols>
  <sheetData>
    <row r="1" spans="1:10" s="51" customFormat="1" ht="19.899999999999999" customHeight="1" x14ac:dyDescent="0.25">
      <c r="A1" s="60" t="s">
        <v>1040</v>
      </c>
      <c r="D1" s="59"/>
      <c r="E1" s="59"/>
      <c r="F1" s="59"/>
      <c r="G1" s="58"/>
      <c r="H1" s="57" t="str">
        <f>"Plant "&amp;$B$4</f>
        <v>Plant ICH Icheon (242)</v>
      </c>
      <c r="I1" s="53"/>
      <c r="J1" s="56" t="s">
        <v>144</v>
      </c>
    </row>
    <row r="2" spans="1:10" s="51" customFormat="1" ht="19.899999999999999" customHeight="1" thickBot="1" x14ac:dyDescent="0.3">
      <c r="A2" s="55" t="s">
        <v>143</v>
      </c>
      <c r="B2" s="55"/>
      <c r="C2" s="55"/>
      <c r="D2" s="55"/>
      <c r="E2" s="55"/>
      <c r="F2" s="55"/>
      <c r="G2" s="54"/>
      <c r="H2" s="54" t="str">
        <f>IF($B$5="All",$B$6,$B$5)</f>
        <v>7851 PL eMotor Controls</v>
      </c>
      <c r="I2" s="53"/>
      <c r="J2" s="52" t="s">
        <v>142</v>
      </c>
    </row>
    <row r="3" spans="1:10" ht="69" customHeight="1" x14ac:dyDescent="0.25">
      <c r="A3" s="20"/>
      <c r="B3" s="50"/>
      <c r="C3" s="50" t="s">
        <v>985</v>
      </c>
      <c r="D3" s="20"/>
      <c r="E3" s="20"/>
      <c r="F3" s="20"/>
      <c r="G3" s="20"/>
      <c r="H3" s="20"/>
      <c r="I3" s="21"/>
      <c r="J3" s="49" t="s">
        <v>141</v>
      </c>
    </row>
    <row r="4" spans="1:10" ht="15.75" x14ac:dyDescent="0.25">
      <c r="A4" s="46" t="s">
        <v>140</v>
      </c>
      <c r="B4" s="45" t="str">
        <f>_xlfn.IFNA(VLOOKUP(C4,Settings!$A4:$C51,2,FALSE),"-")</f>
        <v>ICH Icheon (242)</v>
      </c>
      <c r="C4" s="48">
        <v>242</v>
      </c>
      <c r="D4" s="21"/>
      <c r="E4" s="21"/>
      <c r="F4" s="21"/>
      <c r="G4" s="21"/>
      <c r="H4" s="21"/>
      <c r="I4" s="21"/>
      <c r="J4" s="20" t="s">
        <v>1120</v>
      </c>
    </row>
    <row r="5" spans="1:10" ht="15.75" x14ac:dyDescent="0.25">
      <c r="A5" s="46" t="s">
        <v>139</v>
      </c>
      <c r="B5" s="45" t="str">
        <f>_xlfn.IFNA(VLOOKUP(C5,Settings!$G4:$I50,2,FALSE),"-")</f>
        <v>7851 PL eMotor Controls</v>
      </c>
      <c r="C5" s="48" t="s">
        <v>27</v>
      </c>
      <c r="D5" s="47"/>
      <c r="E5" s="21"/>
      <c r="F5" s="21"/>
      <c r="G5" s="21"/>
      <c r="H5" s="21"/>
      <c r="I5" s="21"/>
      <c r="J5" s="20" t="s">
        <v>1119</v>
      </c>
    </row>
    <row r="6" spans="1:10" ht="15.75" x14ac:dyDescent="0.25">
      <c r="A6" s="46" t="s">
        <v>138</v>
      </c>
      <c r="B6" s="45" t="str">
        <f>VLOOKUP(C5, Settings!G:M,7,FALSE)</f>
        <v>780 BU Controls</v>
      </c>
      <c r="C6" s="45">
        <f>VLOOKUP(C5, Settings!G:L,6,FALSE)</f>
        <v>780</v>
      </c>
      <c r="D6" s="21"/>
      <c r="E6" s="21"/>
      <c r="F6" s="21"/>
      <c r="G6" s="21"/>
      <c r="H6" s="21"/>
      <c r="I6" s="21"/>
      <c r="J6" s="20" t="s">
        <v>1069</v>
      </c>
    </row>
    <row r="7" spans="1:10" ht="15.75" x14ac:dyDescent="0.25">
      <c r="A7" s="46" t="s">
        <v>137</v>
      </c>
      <c r="B7" s="45" t="str">
        <f>VLOOKUP(C5, Settings!G:L,5,FALSE)</f>
        <v>722 Electrification Solutions</v>
      </c>
      <c r="C7" s="45">
        <f>VLOOKUP(C5, Settings!G:L,4,FALSE)</f>
        <v>722</v>
      </c>
      <c r="D7" s="21"/>
      <c r="E7" s="1028"/>
      <c r="F7" s="1028"/>
      <c r="G7" s="1028"/>
      <c r="H7" s="21"/>
      <c r="I7" s="21"/>
      <c r="J7" s="20" t="s">
        <v>1070</v>
      </c>
    </row>
    <row r="8" spans="1:10" ht="15.75" x14ac:dyDescent="0.25">
      <c r="A8" s="46" t="s">
        <v>136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1071</v>
      </c>
    </row>
    <row r="9" spans="1:10" ht="17.649999999999999" customHeight="1" x14ac:dyDescent="0.2">
      <c r="J9" s="20" t="s">
        <v>135</v>
      </c>
    </row>
    <row r="10" spans="1:10" ht="20.65" customHeight="1" x14ac:dyDescent="0.25">
      <c r="A10" s="40" t="s">
        <v>134</v>
      </c>
      <c r="B10" s="1026">
        <v>2022</v>
      </c>
      <c r="C10" s="1027"/>
      <c r="D10" s="1026">
        <v>2023</v>
      </c>
      <c r="E10" s="1029"/>
      <c r="F10" s="1029"/>
      <c r="G10" s="1027"/>
      <c r="H10" s="39">
        <v>2024</v>
      </c>
      <c r="I10" s="21"/>
      <c r="J10" s="20"/>
    </row>
    <row r="11" spans="1:10" ht="20.65" customHeight="1" x14ac:dyDescent="0.25">
      <c r="A11" s="40" t="str">
        <f>$B$8</f>
        <v>KRW</v>
      </c>
      <c r="B11" s="42" t="s">
        <v>114</v>
      </c>
      <c r="C11" s="40" t="s">
        <v>118</v>
      </c>
      <c r="D11" s="42" t="s">
        <v>117</v>
      </c>
      <c r="E11" s="41" t="s">
        <v>133</v>
      </c>
      <c r="F11" s="41" t="s">
        <v>116</v>
      </c>
      <c r="G11" s="40" t="s">
        <v>115</v>
      </c>
      <c r="H11" s="39" t="s">
        <v>114</v>
      </c>
      <c r="I11" s="21"/>
      <c r="J11" s="20" t="s">
        <v>132</v>
      </c>
    </row>
    <row r="12" spans="1:10" ht="15" x14ac:dyDescent="0.2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1461</v>
      </c>
    </row>
    <row r="13" spans="1:10" ht="15" x14ac:dyDescent="0.25">
      <c r="A13" s="32" t="s">
        <v>131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72" t="s">
        <v>1472</v>
      </c>
    </row>
    <row r="14" spans="1:10" ht="15" x14ac:dyDescent="0.25">
      <c r="A14" s="32" t="s">
        <v>130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 x14ac:dyDescent="0.25">
      <c r="A15" s="32"/>
      <c r="B15" s="31"/>
      <c r="C15" s="29"/>
      <c r="D15" s="31"/>
      <c r="E15" s="30"/>
      <c r="F15" s="30"/>
      <c r="G15" s="29"/>
      <c r="H15" s="28"/>
      <c r="I15" s="21"/>
      <c r="J15" s="973" t="s">
        <v>1462</v>
      </c>
    </row>
    <row r="16" spans="1:10" ht="15" x14ac:dyDescent="0.25">
      <c r="A16" s="32" t="s">
        <v>129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 x14ac:dyDescent="0.25">
      <c r="A17" s="27" t="s">
        <v>128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zoomScaleNormal="100" workbookViewId="0">
      <selection activeCell="G43" sqref="G43"/>
    </sheetView>
  </sheetViews>
  <sheetFormatPr defaultColWidth="9.28515625" defaultRowHeight="12.75" customHeight="1" x14ac:dyDescent="0.2"/>
  <cols>
    <col min="1" max="1" width="15" style="5" customWidth="1"/>
    <col min="2" max="8" width="19.5703125" style="5" customWidth="1"/>
    <col min="9" max="65" width="9.28515625" style="5"/>
    <col min="66" max="16384" width="9.28515625" style="3"/>
  </cols>
  <sheetData>
    <row r="1" spans="1:65" s="70" customFormat="1" ht="19.899999999999999" customHeight="1" x14ac:dyDescent="0.25">
      <c r="A1" s="60" t="s">
        <v>1040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 x14ac:dyDescent="0.3">
      <c r="A2" s="55" t="s">
        <v>147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 x14ac:dyDescent="0.25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 x14ac:dyDescent="0.25">
      <c r="A4" s="63" t="s">
        <v>146</v>
      </c>
      <c r="B4" s="69" t="s">
        <v>142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 x14ac:dyDescent="0.25">
      <c r="A5" s="67"/>
      <c r="B5" s="63" t="s">
        <v>145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 x14ac:dyDescent="0.25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 x14ac:dyDescent="0.25">
      <c r="A7" s="63" t="s">
        <v>936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 x14ac:dyDescent="0.2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 x14ac:dyDescent="0.25">
      <c r="A9" s="65"/>
      <c r="B9" s="648" t="s">
        <v>895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 x14ac:dyDescent="0.25">
      <c r="A12" s="63" t="s">
        <v>896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 x14ac:dyDescent="0.2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 x14ac:dyDescent="0.25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 x14ac:dyDescent="0.2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 x14ac:dyDescent="0.2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 x14ac:dyDescent="0.2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 x14ac:dyDescent="0.2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 x14ac:dyDescent="0.2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 x14ac:dyDescent="0.2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 x14ac:dyDescent="0.25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 x14ac:dyDescent="0.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 x14ac:dyDescent="0.2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 x14ac:dyDescent="0.2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 x14ac:dyDescent="0.2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 x14ac:dyDescent="0.2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 x14ac:dyDescent="0.2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 x14ac:dyDescent="0.2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 x14ac:dyDescent="0.2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 x14ac:dyDescent="0.2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 x14ac:dyDescent="0.25">
      <c r="A68" s="63" t="s">
        <v>897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 x14ac:dyDescent="0.3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 x14ac:dyDescent="0.2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 x14ac:dyDescent="0.25">
      <c r="A71" s="63" t="s">
        <v>984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 x14ac:dyDescent="0.3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 x14ac:dyDescent="0.25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 x14ac:dyDescent="0.25">
      <c r="A74" s="63" t="s">
        <v>1388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 x14ac:dyDescent="0.2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zoomScaleNormal="100" workbookViewId="0">
      <pane ySplit="6" topLeftCell="A7" activePane="bottomLeft" state="frozen"/>
      <selection activeCell="F20" sqref="F20"/>
      <selection pane="bottomLeft" activeCell="F7" sqref="F7"/>
    </sheetView>
  </sheetViews>
  <sheetFormatPr defaultColWidth="9.28515625" defaultRowHeight="12.75" customHeight="1" x14ac:dyDescent="0.2"/>
  <cols>
    <col min="1" max="4" width="16.7109375" style="5" customWidth="1"/>
    <col min="5" max="5" width="61.28515625" style="5" customWidth="1"/>
    <col min="6" max="7" width="18.7109375" style="5" customWidth="1"/>
    <col min="8" max="8" width="5.5703125" style="5" customWidth="1"/>
    <col min="9" max="9" width="76.42578125" style="73" bestFit="1" customWidth="1"/>
    <col min="10" max="10" width="9.28515625" style="5" customWidth="1"/>
    <col min="11" max="16384" width="9.28515625" style="5"/>
  </cols>
  <sheetData>
    <row r="1" spans="1:9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219"/>
      <c r="F1" s="72"/>
      <c r="G1" s="58" t="str">
        <f>'Input-FX Rates'!$H$1</f>
        <v>Plant ICH Icheon (242)</v>
      </c>
      <c r="I1" s="56" t="s">
        <v>144</v>
      </c>
    </row>
    <row r="2" spans="1:9" s="71" customFormat="1" ht="19.899999999999999" customHeight="1" thickBot="1" x14ac:dyDescent="0.3">
      <c r="A2" s="55" t="s">
        <v>172</v>
      </c>
      <c r="B2" s="55"/>
      <c r="C2" s="55"/>
      <c r="D2" s="55"/>
      <c r="E2" s="55"/>
      <c r="F2" s="55"/>
      <c r="G2" s="54" t="str">
        <f>'Input-FX Rates'!$H$2</f>
        <v>7851 PL eMotor Controls</v>
      </c>
      <c r="I2" s="95" t="s">
        <v>142</v>
      </c>
    </row>
    <row r="5" spans="1:9" ht="27.6" customHeight="1" x14ac:dyDescent="0.2">
      <c r="A5" s="40">
        <v>2022</v>
      </c>
      <c r="B5" s="1029">
        <v>2023</v>
      </c>
      <c r="C5" s="1029"/>
      <c r="D5" s="1027"/>
      <c r="E5" s="1030" t="str">
        <f>"in '000 "&amp;'Input-FX Rates'!$B$8</f>
        <v>in '000 KRW</v>
      </c>
      <c r="F5" s="41">
        <v>2024</v>
      </c>
      <c r="G5" s="41" t="s">
        <v>171</v>
      </c>
    </row>
    <row r="6" spans="1:9" ht="27.6" customHeight="1" x14ac:dyDescent="0.2">
      <c r="A6" s="40" t="s">
        <v>170</v>
      </c>
      <c r="B6" s="41" t="s">
        <v>114</v>
      </c>
      <c r="C6" s="41" t="s">
        <v>169</v>
      </c>
      <c r="D6" s="40" t="s">
        <v>115</v>
      </c>
      <c r="E6" s="1030"/>
      <c r="F6" s="41" t="s">
        <v>114</v>
      </c>
      <c r="G6" s="41" t="s">
        <v>1121</v>
      </c>
      <c r="I6" s="267" t="s">
        <v>168</v>
      </c>
    </row>
    <row r="7" spans="1:9" ht="21.6" customHeight="1" x14ac:dyDescent="0.2">
      <c r="A7" s="80">
        <f>'P&amp;L'!D8</f>
        <v>69055108.461999997</v>
      </c>
      <c r="B7" s="78">
        <f>'P&amp;L'!E8</f>
        <v>122630144.677</v>
      </c>
      <c r="C7" s="78">
        <f>'P&amp;L'!F8</f>
        <v>50414410.311999999</v>
      </c>
      <c r="D7" s="80">
        <f>'P&amp;L'!H8</f>
        <v>133169528.691</v>
      </c>
      <c r="E7" s="79" t="s">
        <v>167</v>
      </c>
      <c r="F7" s="78">
        <f>'P&amp;L'!I8</f>
        <v>188273351.18900001</v>
      </c>
      <c r="G7" s="78">
        <f t="shared" ref="G7:G21" si="0">F7-D7</f>
        <v>55103822.498000011</v>
      </c>
      <c r="H7" s="989">
        <f>F7/D7-1</f>
        <v>0.41378702049670979</v>
      </c>
      <c r="I7" s="267" t="s">
        <v>166</v>
      </c>
    </row>
    <row r="8" spans="1:9" ht="21.6" customHeight="1" x14ac:dyDescent="0.2">
      <c r="A8" s="94">
        <f>'P&amp;L'!D53</f>
        <v>20452158.526000001</v>
      </c>
      <c r="B8" s="92">
        <f>'P&amp;L'!E53</f>
        <v>12780839.868000001</v>
      </c>
      <c r="C8" s="92">
        <f>'P&amp;L'!F53</f>
        <v>4775552.0190000003</v>
      </c>
      <c r="D8" s="94">
        <f>'P&amp;L'!H53</f>
        <v>20364668.249000002</v>
      </c>
      <c r="E8" s="93" t="s">
        <v>165</v>
      </c>
      <c r="F8" s="92">
        <f>'P&amp;L'!I53</f>
        <v>29577826.390999999</v>
      </c>
      <c r="G8" s="92">
        <f t="shared" si="0"/>
        <v>9213158.1419999972</v>
      </c>
      <c r="I8" s="5"/>
    </row>
    <row r="9" spans="1:9" ht="21.6" customHeight="1" x14ac:dyDescent="0.2">
      <c r="A9" s="91">
        <f>IFERROR(A8/A$7,0)</f>
        <v>0.29617155025184733</v>
      </c>
      <c r="B9" s="86">
        <f>IFERROR(B8/B$7,0)</f>
        <v>0.10422265994763294</v>
      </c>
      <c r="C9" s="86">
        <f>IFERROR(C8/C$7,0)</f>
        <v>9.4725932316683054E-2</v>
      </c>
      <c r="D9" s="91">
        <f>IFERROR(D8/D$7,0)</f>
        <v>0.15292288295360099</v>
      </c>
      <c r="E9" s="90" t="s">
        <v>155</v>
      </c>
      <c r="F9" s="86">
        <f>IFERROR(F8/F$7,0)</f>
        <v>0.15710044041924984</v>
      </c>
      <c r="G9" s="86">
        <f t="shared" si="0"/>
        <v>4.1775574656488512E-3</v>
      </c>
      <c r="H9" s="73"/>
    </row>
    <row r="10" spans="1:9" ht="21.6" customHeight="1" x14ac:dyDescent="0.2">
      <c r="A10" s="83">
        <f>'P&amp;L'!D55+'P&amp;L'!D56+'P&amp;L'!D57+'P&amp;L'!D59</f>
        <v>-7434751.5610000007</v>
      </c>
      <c r="B10" s="81">
        <f>'P&amp;L'!E55+'P&amp;L'!E56+'P&amp;L'!E57+'P&amp;L'!E59</f>
        <v>-16436717.348000001</v>
      </c>
      <c r="C10" s="81">
        <f>'P&amp;L'!F55+'P&amp;L'!F56+'P&amp;L'!F57+'P&amp;L'!F59</f>
        <v>-8101769.71</v>
      </c>
      <c r="D10" s="83">
        <f>'P&amp;L'!H55+'P&amp;L'!H56+'P&amp;L'!H57+'P&amp;L'!H59</f>
        <v>-16559731.471000001</v>
      </c>
      <c r="E10" s="82" t="s">
        <v>164</v>
      </c>
      <c r="F10" s="85">
        <f>'P&amp;L'!I55+'P&amp;L'!I56+'P&amp;L'!I57+'P&amp;L'!I59</f>
        <v>-13442276.675000001</v>
      </c>
      <c r="G10" s="81">
        <f t="shared" si="0"/>
        <v>3117454.7960000001</v>
      </c>
      <c r="I10" s="990"/>
    </row>
    <row r="11" spans="1:9" ht="21.6" customHeight="1" x14ac:dyDescent="0.2">
      <c r="A11" s="89">
        <f>IFERROR(A10/A$7,0)</f>
        <v>-0.10766403422697156</v>
      </c>
      <c r="B11" s="87">
        <f>IFERROR(B10/B$7,0)</f>
        <v>-0.13403488507082226</v>
      </c>
      <c r="C11" s="87">
        <f>IFERROR(C10/C$7,0)</f>
        <v>-0.16070345085582721</v>
      </c>
      <c r="D11" s="89">
        <f>IFERROR(D10/D$7,0)</f>
        <v>-0.12435075526492539</v>
      </c>
      <c r="E11" s="88" t="s">
        <v>155</v>
      </c>
      <c r="F11" s="87">
        <f>IFERROR(F10/F$7,0)</f>
        <v>-7.1397659786200135E-2</v>
      </c>
      <c r="G11" s="86">
        <f t="shared" si="0"/>
        <v>5.2953095478725259E-2</v>
      </c>
      <c r="H11" s="73"/>
    </row>
    <row r="12" spans="1:9" ht="21.6" customHeight="1" x14ac:dyDescent="0.2">
      <c r="A12" s="83">
        <f>+'P&amp;L'!D58</f>
        <v>-51167.534</v>
      </c>
      <c r="B12" s="81">
        <f>+'P&amp;L'!E58</f>
        <v>0</v>
      </c>
      <c r="C12" s="81">
        <f>+'P&amp;L'!F58</f>
        <v>-1217.4749999999999</v>
      </c>
      <c r="D12" s="81">
        <f>+'P&amp;L'!H58</f>
        <v>-1217.4749999999999</v>
      </c>
      <c r="E12" s="82" t="s">
        <v>163</v>
      </c>
      <c r="F12" s="85">
        <f>+'P&amp;L'!I58</f>
        <v>-6665186</v>
      </c>
      <c r="G12" s="81">
        <f t="shared" si="0"/>
        <v>-6663968.5250000004</v>
      </c>
    </row>
    <row r="13" spans="1:9" ht="21.6" customHeight="1" x14ac:dyDescent="0.2">
      <c r="A13" s="83">
        <f>'P&amp;L'!D60</f>
        <v>92711.835999999996</v>
      </c>
      <c r="B13" s="81">
        <f>'P&amp;L'!E60</f>
        <v>0</v>
      </c>
      <c r="C13" s="81">
        <f>'P&amp;L'!F60</f>
        <v>-221688.00399999999</v>
      </c>
      <c r="D13" s="83">
        <f>'P&amp;L'!H60</f>
        <v>-221688.00399999999</v>
      </c>
      <c r="E13" s="82" t="s">
        <v>162</v>
      </c>
      <c r="F13" s="81">
        <f>'P&amp;L'!I60</f>
        <v>0</v>
      </c>
      <c r="G13" s="81">
        <f t="shared" si="0"/>
        <v>221688.00399999999</v>
      </c>
    </row>
    <row r="14" spans="1:9" ht="21.6" customHeight="1" x14ac:dyDescent="0.2">
      <c r="A14" s="80">
        <f>'P&amp;L'!D64</f>
        <v>13058951.267000001</v>
      </c>
      <c r="B14" s="78">
        <f>'P&amp;L'!E64</f>
        <v>-3655877.48</v>
      </c>
      <c r="C14" s="78">
        <f>'P&amp;L'!F64</f>
        <v>-3549123.17</v>
      </c>
      <c r="D14" s="80">
        <f>'P&amp;L'!H64</f>
        <v>3582031.2990000001</v>
      </c>
      <c r="E14" s="79" t="s">
        <v>161</v>
      </c>
      <c r="F14" s="78">
        <f>'P&amp;L'!I64</f>
        <v>9470363.716</v>
      </c>
      <c r="G14" s="78">
        <f t="shared" si="0"/>
        <v>5888332.4169999994</v>
      </c>
    </row>
    <row r="15" spans="1:9" ht="21.6" customHeight="1" x14ac:dyDescent="0.2">
      <c r="A15" s="77">
        <f>IFERROR(A14/A$7,0)</f>
        <v>0.18910912686765452</v>
      </c>
      <c r="B15" s="75">
        <f>IFERROR(B14/B$7,0)</f>
        <v>-2.9812225123189314E-2</v>
      </c>
      <c r="C15" s="75">
        <f>IFERROR(C14/C$7,0)</f>
        <v>-7.0398982117127182E-2</v>
      </c>
      <c r="D15" s="77">
        <f>IFERROR(D14/D$7,0)</f>
        <v>2.689828021627657E-2</v>
      </c>
      <c r="E15" s="84" t="s">
        <v>155</v>
      </c>
      <c r="F15" s="75">
        <f>IFERROR(F14/F$7,0)</f>
        <v>5.0301137448247171E-2</v>
      </c>
      <c r="G15" s="75">
        <f t="shared" si="0"/>
        <v>2.3402857231970602E-2</v>
      </c>
      <c r="H15" s="73"/>
    </row>
    <row r="16" spans="1:9" ht="21.6" customHeight="1" x14ac:dyDescent="0.2">
      <c r="A16" s="83">
        <f>'P&amp;L'!D65+'P&amp;L'!D80+'P&amp;L'!D85</f>
        <v>-17078940.199999999</v>
      </c>
      <c r="B16" s="81">
        <f>'P&amp;L'!E65+'P&amp;L'!E80+'P&amp;L'!E85</f>
        <v>-15812867.236000001</v>
      </c>
      <c r="C16" s="81">
        <f>'P&amp;L'!F65+'P&amp;L'!F80+'P&amp;L'!F85</f>
        <v>-1773264.5020000001</v>
      </c>
      <c r="D16" s="83">
        <f>'P&amp;L'!H65+'P&amp;L'!H80+'P&amp;L'!H85</f>
        <v>-9428658.4299999997</v>
      </c>
      <c r="E16" s="82" t="s">
        <v>160</v>
      </c>
      <c r="F16" s="81">
        <f>'P&amp;L'!I65+'P&amp;L'!I80+'P&amp;L'!I85</f>
        <v>-22783032.741</v>
      </c>
      <c r="G16" s="81">
        <f t="shared" si="0"/>
        <v>-13354374.311000001</v>
      </c>
    </row>
    <row r="17" spans="1:9" ht="21.6" customHeight="1" x14ac:dyDescent="0.2">
      <c r="A17" s="83">
        <f>'P&amp;L'!D88+'P&amp;L'!D132</f>
        <v>-44915</v>
      </c>
      <c r="B17" s="81">
        <f>'P&amp;L'!E88+'P&amp;L'!E132</f>
        <v>0</v>
      </c>
      <c r="C17" s="81">
        <f>'P&amp;L'!F88+'P&amp;L'!F132</f>
        <v>316724.16899999999</v>
      </c>
      <c r="D17" s="83">
        <f>'P&amp;L'!H88+'P&amp;L'!H132</f>
        <v>864049.12899999996</v>
      </c>
      <c r="E17" s="82" t="s">
        <v>159</v>
      </c>
      <c r="F17" s="81">
        <f>'P&amp;L'!I88+'P&amp;L'!I132</f>
        <v>0</v>
      </c>
      <c r="G17" s="81">
        <f t="shared" si="0"/>
        <v>-864049.12899999996</v>
      </c>
    </row>
    <row r="18" spans="1:9" ht="21.6" customHeight="1" x14ac:dyDescent="0.2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158</v>
      </c>
      <c r="F18" s="81">
        <f>'P&amp;L'!I137</f>
        <v>0</v>
      </c>
      <c r="G18" s="81">
        <f t="shared" si="0"/>
        <v>0</v>
      </c>
    </row>
    <row r="19" spans="1:9" ht="21.6" customHeight="1" x14ac:dyDescent="0.2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157</v>
      </c>
      <c r="F19" s="81">
        <f>'P&amp;L'!I135-'P&amp;L'!I137</f>
        <v>0</v>
      </c>
      <c r="G19" s="81">
        <f t="shared" si="0"/>
        <v>0</v>
      </c>
    </row>
    <row r="20" spans="1:9" ht="21.6" customHeight="1" x14ac:dyDescent="0.2">
      <c r="A20" s="80">
        <f>'P&amp;L'!D147</f>
        <v>-4064903.9330000002</v>
      </c>
      <c r="B20" s="78">
        <f>'P&amp;L'!E147</f>
        <v>-19468744.715999998</v>
      </c>
      <c r="C20" s="78">
        <f>'P&amp;L'!F147</f>
        <v>-5005663.5029999996</v>
      </c>
      <c r="D20" s="80">
        <f>'P&amp;L'!H147</f>
        <v>-4982578.0020000003</v>
      </c>
      <c r="E20" s="79" t="s">
        <v>156</v>
      </c>
      <c r="F20" s="78">
        <f>'P&amp;L'!I147</f>
        <v>-13312669.025</v>
      </c>
      <c r="G20" s="78">
        <f t="shared" si="0"/>
        <v>-8330091.023</v>
      </c>
    </row>
    <row r="21" spans="1:9" ht="21.6" customHeight="1" x14ac:dyDescent="0.2">
      <c r="A21" s="77">
        <f>IFERROR(A20/A$7,0)</f>
        <v>-5.8864637584876964E-2</v>
      </c>
      <c r="B21" s="75">
        <f>IFERROR(B20/B$7,0)</f>
        <v>-0.1587598609402234</v>
      </c>
      <c r="C21" s="75">
        <f>IFERROR(C20/C$7,0)</f>
        <v>-9.9290331316411642E-2</v>
      </c>
      <c r="D21" s="77">
        <f>IFERROR(D20/D$7,0)</f>
        <v>-3.7415301015004176E-2</v>
      </c>
      <c r="E21" s="76" t="s">
        <v>155</v>
      </c>
      <c r="F21" s="75">
        <f>IFERROR(F20/F$7,0)</f>
        <v>-7.070925832533756E-2</v>
      </c>
      <c r="G21" s="75">
        <f t="shared" si="0"/>
        <v>-3.3293957310333383E-2</v>
      </c>
    </row>
    <row r="23" spans="1:9" ht="18" x14ac:dyDescent="0.2">
      <c r="A23" s="1031" t="s">
        <v>154</v>
      </c>
      <c r="B23" s="1031"/>
      <c r="C23" s="1031"/>
      <c r="D23" s="1031"/>
      <c r="E23" s="1031"/>
      <c r="F23" s="1031"/>
      <c r="G23" s="1031"/>
    </row>
    <row r="25" spans="1:9" ht="15.75" x14ac:dyDescent="0.2">
      <c r="A25" s="69" t="s">
        <v>1554</v>
      </c>
      <c r="B25" s="69"/>
      <c r="C25" s="69"/>
      <c r="D25" s="69"/>
      <c r="E25" s="69"/>
      <c r="F25" s="69"/>
      <c r="G25" s="69"/>
      <c r="I25" s="696" t="s">
        <v>153</v>
      </c>
    </row>
    <row r="26" spans="1:9" ht="15.75" x14ac:dyDescent="0.2">
      <c r="A26" s="69" t="s">
        <v>1571</v>
      </c>
      <c r="B26" s="69"/>
      <c r="C26" s="69"/>
      <c r="D26" s="69"/>
      <c r="E26" s="69"/>
      <c r="F26" s="69"/>
      <c r="G26" s="69"/>
      <c r="I26" s="5"/>
    </row>
    <row r="27" spans="1:9" ht="15.75" x14ac:dyDescent="0.2">
      <c r="A27" s="69" t="s">
        <v>1555</v>
      </c>
      <c r="B27" s="69"/>
      <c r="C27" s="69"/>
      <c r="D27" s="69"/>
      <c r="E27" s="69"/>
      <c r="F27" s="69"/>
      <c r="G27" s="69"/>
      <c r="I27" s="696" t="s">
        <v>152</v>
      </c>
    </row>
    <row r="28" spans="1:9" ht="15.75" x14ac:dyDescent="0.2">
      <c r="A28" s="69" t="s">
        <v>1556</v>
      </c>
      <c r="B28" s="69"/>
      <c r="C28" s="69"/>
      <c r="D28" s="69"/>
      <c r="E28" s="69"/>
      <c r="F28" s="69"/>
      <c r="G28" s="69"/>
      <c r="I28" s="697" t="s">
        <v>151</v>
      </c>
    </row>
    <row r="29" spans="1:9" ht="15.75" x14ac:dyDescent="0.2">
      <c r="A29" s="69" t="s">
        <v>1558</v>
      </c>
      <c r="B29" s="69"/>
      <c r="C29" s="69"/>
      <c r="D29" s="69"/>
      <c r="E29" s="69"/>
      <c r="F29" s="69"/>
      <c r="G29" s="69"/>
      <c r="I29" s="698" t="s">
        <v>150</v>
      </c>
    </row>
    <row r="30" spans="1:9" ht="15.75" x14ac:dyDescent="0.2">
      <c r="A30" s="69" t="s">
        <v>1559</v>
      </c>
      <c r="B30" s="69"/>
      <c r="C30" s="69"/>
      <c r="D30" s="69"/>
      <c r="E30" s="69"/>
      <c r="F30" s="69"/>
      <c r="G30" s="69"/>
      <c r="I30" s="698" t="s">
        <v>149</v>
      </c>
    </row>
    <row r="31" spans="1:9" ht="15.75" x14ac:dyDescent="0.2">
      <c r="A31" s="69" t="s">
        <v>1557</v>
      </c>
      <c r="B31" s="69"/>
      <c r="C31" s="69"/>
      <c r="D31" s="69"/>
      <c r="E31" s="69"/>
      <c r="F31" s="69"/>
      <c r="G31" s="69"/>
    </row>
    <row r="32" spans="1:9" ht="15.75" x14ac:dyDescent="0.2">
      <c r="A32" s="69" t="s">
        <v>1568</v>
      </c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zoomScaleNormal="100" workbookViewId="0">
      <pane ySplit="6" topLeftCell="A7" activePane="bottomLeft" state="frozen"/>
      <selection activeCell="F20" sqref="F20"/>
      <selection pane="bottomLeft" activeCell="F7" sqref="F7"/>
    </sheetView>
  </sheetViews>
  <sheetFormatPr defaultColWidth="9.28515625" defaultRowHeight="12.75" customHeight="1" x14ac:dyDescent="0.2"/>
  <cols>
    <col min="1" max="4" width="16.7109375" style="5" customWidth="1"/>
    <col min="5" max="5" width="61.28515625" style="5" customWidth="1"/>
    <col min="6" max="7" width="18.7109375" style="5" customWidth="1"/>
    <col min="8" max="8" width="5.5703125" style="5" customWidth="1"/>
    <col min="9" max="9" width="76.42578125" style="5" bestFit="1" customWidth="1"/>
    <col min="10" max="17" width="9.28515625" style="3" customWidth="1"/>
    <col min="18" max="16384" width="9.28515625" style="3"/>
  </cols>
  <sheetData>
    <row r="1" spans="1:15" s="5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ICH Icheon (242)</v>
      </c>
      <c r="H1" s="71"/>
      <c r="I1" s="56" t="s">
        <v>144</v>
      </c>
    </row>
    <row r="2" spans="1:15" s="5" customFormat="1" ht="19.899999999999999" customHeight="1" thickBot="1" x14ac:dyDescent="0.3">
      <c r="A2" s="55" t="s">
        <v>172</v>
      </c>
      <c r="B2" s="55"/>
      <c r="C2" s="55"/>
      <c r="D2" s="55"/>
      <c r="E2" s="55"/>
      <c r="F2" s="55"/>
      <c r="G2" s="54" t="str">
        <f>'Input-FX Rates'!$H$2</f>
        <v>7851 PL eMotor Controls</v>
      </c>
      <c r="H2" s="71"/>
      <c r="I2" s="95" t="s">
        <v>142</v>
      </c>
    </row>
    <row r="3" spans="1:15" s="5" customFormat="1" ht="12.75" customHeight="1" x14ac:dyDescent="0.2">
      <c r="I3" s="73"/>
    </row>
    <row r="4" spans="1:15" x14ac:dyDescent="0.2">
      <c r="I4" s="73"/>
      <c r="J4" s="5"/>
      <c r="K4" s="5"/>
      <c r="L4" s="5"/>
      <c r="M4" s="5"/>
      <c r="N4" s="5"/>
      <c r="O4" s="5"/>
    </row>
    <row r="5" spans="1:15" ht="27.6" customHeight="1" x14ac:dyDescent="0.2">
      <c r="A5" s="40">
        <v>2022</v>
      </c>
      <c r="B5" s="1029">
        <v>2023</v>
      </c>
      <c r="C5" s="1029"/>
      <c r="D5" s="1027"/>
      <c r="E5" s="1030" t="str">
        <f>"in '000 "&amp;"EUR"</f>
        <v>in '000 EUR</v>
      </c>
      <c r="F5" s="41">
        <v>2024</v>
      </c>
      <c r="G5" s="41" t="s">
        <v>171</v>
      </c>
      <c r="I5" s="73"/>
      <c r="J5" s="5"/>
      <c r="K5" s="5"/>
      <c r="L5" s="5"/>
      <c r="M5" s="5"/>
      <c r="N5" s="5"/>
      <c r="O5" s="5"/>
    </row>
    <row r="6" spans="1:15" ht="27.6" customHeight="1" x14ac:dyDescent="0.2">
      <c r="A6" s="40" t="s">
        <v>170</v>
      </c>
      <c r="B6" s="41" t="s">
        <v>114</v>
      </c>
      <c r="C6" s="41" t="s">
        <v>169</v>
      </c>
      <c r="D6" s="40" t="s">
        <v>115</v>
      </c>
      <c r="E6" s="1030"/>
      <c r="F6" s="41" t="s">
        <v>114</v>
      </c>
      <c r="G6" s="41" t="s">
        <v>1121</v>
      </c>
      <c r="I6" s="267" t="s">
        <v>168</v>
      </c>
      <c r="J6" s="5"/>
      <c r="K6" s="5"/>
      <c r="L6" s="5"/>
      <c r="M6" s="5"/>
      <c r="N6" s="5"/>
      <c r="O6" s="5"/>
    </row>
    <row r="7" spans="1:15" ht="21.6" customHeight="1" x14ac:dyDescent="0.2">
      <c r="A7" s="80">
        <f>IFERROR('1. Main Issues (LC)'!A7/'Input-FX Rates'!$C$16,0)</f>
        <v>50854.220662078274</v>
      </c>
      <c r="B7" s="78">
        <f>IFERROR('1. Main Issues (LC)'!B7/'Input-FX Rates'!$D$16,0)</f>
        <v>92272.494113619265</v>
      </c>
      <c r="C7" s="78">
        <f>IFERROR('1. Main Issues (LC)'!C7/'Input-FX Rates'!$E$16,0)</f>
        <v>35988.371534659054</v>
      </c>
      <c r="D7" s="80">
        <f>IFERROR('1. Main Issues (LC)'!D7/'Input-FX Rates'!$G$16,0)</f>
        <v>94871.705380828425</v>
      </c>
      <c r="E7" s="79" t="s">
        <v>167</v>
      </c>
      <c r="F7" s="78">
        <f>IFERROR('1. Main Issues (LC)'!F7/'Input-FX Rates'!$H$16,0)</f>
        <v>129843.69047517242</v>
      </c>
      <c r="G7" s="78">
        <f t="shared" ref="G7:G21" si="0">F7-D7</f>
        <v>34971.985094343996</v>
      </c>
      <c r="H7" s="989">
        <f>F7/D7-1</f>
        <v>0.36862397438689976</v>
      </c>
      <c r="I7" s="267" t="s">
        <v>166</v>
      </c>
      <c r="J7" s="5"/>
      <c r="K7" s="5"/>
      <c r="L7" s="5"/>
      <c r="M7" s="5"/>
      <c r="N7" s="5"/>
      <c r="O7" s="5"/>
    </row>
    <row r="8" spans="1:15" ht="21.6" customHeight="1" x14ac:dyDescent="0.2">
      <c r="A8" s="94">
        <f>IFERROR('1. Main Issues (LC)'!A8/'Input-FX Rates'!$C$16,0)</f>
        <v>15061.573370337248</v>
      </c>
      <c r="B8" s="92">
        <f>IFERROR('1. Main Issues (LC)'!B8/'Input-FX Rates'!$D$16,0)</f>
        <v>9616.8847765237024</v>
      </c>
      <c r="C8" s="92">
        <f>IFERROR('1. Main Issues (LC)'!C8/'Input-FX Rates'!$E$16,0)</f>
        <v>3409.0320461797569</v>
      </c>
      <c r="D8" s="94">
        <f>IFERROR('1. Main Issues (LC)'!D8/'Input-FX Rates'!$G$16,0)</f>
        <v>14508.054697560943</v>
      </c>
      <c r="E8" s="93" t="s">
        <v>165</v>
      </c>
      <c r="F8" s="92">
        <f>IFERROR('1. Main Issues (LC)'!F8/'Input-FX Rates'!$H$16,0)</f>
        <v>20398.500959310342</v>
      </c>
      <c r="G8" s="92">
        <f t="shared" si="0"/>
        <v>5890.4462617493991</v>
      </c>
      <c r="J8" s="5"/>
      <c r="K8" s="5"/>
      <c r="L8" s="5"/>
      <c r="M8" s="5"/>
      <c r="N8" s="5"/>
      <c r="O8" s="5"/>
    </row>
    <row r="9" spans="1:15" ht="21.6" customHeight="1" x14ac:dyDescent="0.2">
      <c r="A9" s="91">
        <f>IFERROR(A8/A$7,0)</f>
        <v>0.29617155025184733</v>
      </c>
      <c r="B9" s="86">
        <f>IFERROR(B8/B$7,0)</f>
        <v>0.10422265994763294</v>
      </c>
      <c r="C9" s="86">
        <f>IFERROR(C8/C$7,0)</f>
        <v>9.4725932316683067E-2</v>
      </c>
      <c r="D9" s="91">
        <f>IFERROR(D8/D$7,0)</f>
        <v>0.15292288295360099</v>
      </c>
      <c r="E9" s="90" t="s">
        <v>155</v>
      </c>
      <c r="F9" s="86">
        <f>IFERROR(F8/F$7,0)</f>
        <v>0.15710044041924984</v>
      </c>
      <c r="G9" s="86">
        <f t="shared" si="0"/>
        <v>4.1775574656488512E-3</v>
      </c>
      <c r="H9" s="73"/>
      <c r="I9" s="73"/>
      <c r="J9" s="5"/>
      <c r="K9" s="5"/>
      <c r="L9" s="5"/>
      <c r="M9" s="5"/>
      <c r="N9" s="5"/>
      <c r="O9" s="5"/>
    </row>
    <row r="10" spans="1:15" ht="21.6" customHeight="1" x14ac:dyDescent="0.2">
      <c r="A10" s="83">
        <f>IFERROR('1. Main Issues (LC)'!A10/'Input-FX Rates'!$C$16,0)</f>
        <v>-5475.170553947959</v>
      </c>
      <c r="B10" s="81">
        <f>IFERROR('1. Main Issues (LC)'!B10/'Input-FX Rates'!$D$16,0)</f>
        <v>-12367.733143717081</v>
      </c>
      <c r="C10" s="81">
        <f>IFERROR('1. Main Issues (LC)'!C10/'Input-FX Rates'!$E$16,0)</f>
        <v>-5783.4554963013316</v>
      </c>
      <c r="D10" s="83">
        <f>IFERROR('1. Main Issues (LC)'!D10/'Input-FX Rates'!$G$16,0)</f>
        <v>-11797.368217377501</v>
      </c>
      <c r="E10" s="82" t="s">
        <v>164</v>
      </c>
      <c r="F10" s="85">
        <f>IFERROR('1. Main Issues (LC)'!F10/'Input-FX Rates'!$H$16,0)</f>
        <v>-9270.5356379310342</v>
      </c>
      <c r="G10" s="81">
        <f t="shared" si="0"/>
        <v>2526.8325794464672</v>
      </c>
      <c r="I10" s="73"/>
      <c r="J10" s="5"/>
      <c r="K10" s="5"/>
      <c r="L10" s="5"/>
      <c r="M10" s="5"/>
      <c r="N10" s="5"/>
      <c r="O10" s="5"/>
    </row>
    <row r="11" spans="1:15" ht="21.6" customHeight="1" x14ac:dyDescent="0.2">
      <c r="A11" s="89">
        <f>IFERROR(A10/A$7,0)</f>
        <v>-0.10766403422697154</v>
      </c>
      <c r="B11" s="87">
        <f>IFERROR(B10/B$7,0)</f>
        <v>-0.13403488507082226</v>
      </c>
      <c r="C11" s="87">
        <f>IFERROR(C10/C$7,0)</f>
        <v>-0.16070345085582718</v>
      </c>
      <c r="D11" s="89">
        <f>IFERROR(D10/D$7,0)</f>
        <v>-0.12435075526492539</v>
      </c>
      <c r="E11" s="88" t="s">
        <v>155</v>
      </c>
      <c r="F11" s="87">
        <f>IFERROR(F10/F$7,0)</f>
        <v>-7.1397659786200121E-2</v>
      </c>
      <c r="G11" s="86">
        <f t="shared" si="0"/>
        <v>5.2953095478725273E-2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 x14ac:dyDescent="0.2">
      <c r="A12" s="83">
        <f>IFERROR('1. Main Issues (LC)'!A12/'Input-FX Rates'!$C$16,0)</f>
        <v>-37.681282713534237</v>
      </c>
      <c r="B12" s="81">
        <f>IFERROR('1. Main Issues (LC)'!B12/'Input-FX Rates'!$D$16,0)</f>
        <v>0</v>
      </c>
      <c r="C12" s="81">
        <f>IFERROR('1. Main Issues (LC)'!C12/'Input-FX Rates'!$E$16,0)</f>
        <v>-0.86909560903323468</v>
      </c>
      <c r="D12" s="81">
        <f>IFERROR('1. Main Issues (LC)'!D12/'Input-FX Rates'!$G$16,0)</f>
        <v>-0.86734503488807635</v>
      </c>
      <c r="E12" s="82" t="s">
        <v>163</v>
      </c>
      <c r="F12" s="85">
        <f>IFERROR('1. Main Issues (LC)'!F12/'Input-FX Rates'!$H$16,0)</f>
        <v>-4596.68</v>
      </c>
      <c r="G12" s="81">
        <f t="shared" si="0"/>
        <v>-4595.8126549651124</v>
      </c>
      <c r="I12" s="73"/>
      <c r="J12" s="5"/>
      <c r="K12" s="5"/>
      <c r="L12" s="5"/>
      <c r="M12" s="5"/>
      <c r="N12" s="5"/>
      <c r="O12" s="5"/>
    </row>
    <row r="13" spans="1:15" ht="21.6" customHeight="1" x14ac:dyDescent="0.2">
      <c r="A13" s="83">
        <f>IFERROR('1. Main Issues (LC)'!A13/'Input-FX Rates'!$C$16,0)</f>
        <v>68.275733264902328</v>
      </c>
      <c r="B13" s="81">
        <f>IFERROR('1. Main Issues (LC)'!B13/'Input-FX Rates'!$D$16,0)</f>
        <v>0</v>
      </c>
      <c r="C13" s="81">
        <f>IFERROR('1. Main Issues (LC)'!C13/'Input-FX Rates'!$E$16,0)</f>
        <v>-158.25217836238295</v>
      </c>
      <c r="D13" s="83">
        <f>IFERROR('1. Main Issues (LC)'!D13/'Input-FX Rates'!$G$16,0)</f>
        <v>-157.9334192189967</v>
      </c>
      <c r="E13" s="82" t="s">
        <v>162</v>
      </c>
      <c r="F13" s="81">
        <f>IFERROR('1. Main Issues (LC)'!F13/'Input-FX Rates'!$H$16,0)</f>
        <v>0</v>
      </c>
      <c r="G13" s="81">
        <f t="shared" si="0"/>
        <v>157.9334192189967</v>
      </c>
      <c r="I13" s="73"/>
      <c r="J13" s="5"/>
      <c r="K13" s="5"/>
      <c r="L13" s="5"/>
      <c r="M13" s="5"/>
      <c r="N13" s="5"/>
      <c r="O13" s="5"/>
    </row>
    <row r="14" spans="1:15" ht="21.6" customHeight="1" x14ac:dyDescent="0.2">
      <c r="A14" s="80">
        <f>IFERROR('1. Main Issues (LC)'!A14/'Input-FX Rates'!$C$16,0)</f>
        <v>9616.9972669406579</v>
      </c>
      <c r="B14" s="78">
        <f>IFERROR('1. Main Issues (LC)'!B14/'Input-FX Rates'!$D$16,0)</f>
        <v>-2750.8483671933786</v>
      </c>
      <c r="C14" s="78">
        <f>IFERROR('1. Main Issues (LC)'!C14/'Input-FX Rates'!$E$16,0)</f>
        <v>-2533.5447240929916</v>
      </c>
      <c r="D14" s="80">
        <f>IFERROR('1. Main Issues (LC)'!D14/'Input-FX Rates'!$G$16,0)</f>
        <v>2551.8857159295567</v>
      </c>
      <c r="E14" s="79" t="s">
        <v>161</v>
      </c>
      <c r="F14" s="78">
        <f>IFERROR('1. Main Issues (LC)'!F14/'Input-FX Rates'!$H$16,0)</f>
        <v>6531.2853213793105</v>
      </c>
      <c r="G14" s="78">
        <f t="shared" si="0"/>
        <v>3979.3996054497538</v>
      </c>
      <c r="I14" s="73"/>
      <c r="J14" s="5"/>
      <c r="K14" s="5"/>
      <c r="L14" s="5"/>
      <c r="M14" s="5"/>
      <c r="N14" s="5"/>
      <c r="O14" s="5"/>
    </row>
    <row r="15" spans="1:15" ht="21.6" customHeight="1" x14ac:dyDescent="0.2">
      <c r="A15" s="77">
        <f>IFERROR(A14/A$7,0)</f>
        <v>0.18910912686765452</v>
      </c>
      <c r="B15" s="75">
        <f>IFERROR(B14/B$7,0)</f>
        <v>-2.9812225123189318E-2</v>
      </c>
      <c r="C15" s="75">
        <f>IFERROR(C14/C$7,0)</f>
        <v>-7.0398982117127182E-2</v>
      </c>
      <c r="D15" s="77">
        <f>IFERROR(D14/D$7,0)</f>
        <v>2.689828021627657E-2</v>
      </c>
      <c r="E15" s="84" t="s">
        <v>155</v>
      </c>
      <c r="F15" s="75">
        <f>IFERROR(F14/F$7,0)</f>
        <v>5.0301137448247178E-2</v>
      </c>
      <c r="G15" s="75">
        <f t="shared" si="0"/>
        <v>2.3402857231970609E-2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 x14ac:dyDescent="0.2">
      <c r="A16" s="83">
        <f>IFERROR('1. Main Issues (LC)'!A16/'Input-FX Rates'!$C$16,0)</f>
        <v>-12577.435803799826</v>
      </c>
      <c r="B16" s="81">
        <f>IFERROR('1. Main Issues (LC)'!B16/'Input-FX Rates'!$D$16,0)</f>
        <v>-11898.319966892401</v>
      </c>
      <c r="C16" s="81">
        <f>IFERROR('1. Main Issues (LC)'!C16/'Input-FX Rates'!$E$16,0)</f>
        <v>-1265.8464381960252</v>
      </c>
      <c r="D16" s="83">
        <f>IFERROR('1. Main Issues (LC)'!D16/'Input-FX Rates'!$G$16,0)</f>
        <v>-6717.098975269394</v>
      </c>
      <c r="E16" s="82" t="s">
        <v>160</v>
      </c>
      <c r="F16" s="81">
        <f>IFERROR('1. Main Issues (LC)'!F16/'Input-FX Rates'!$H$16,0)</f>
        <v>-15712.436373103448</v>
      </c>
      <c r="G16" s="81">
        <f t="shared" si="0"/>
        <v>-8995.3373978340533</v>
      </c>
      <c r="I16" s="73"/>
      <c r="J16" s="5"/>
      <c r="K16" s="5"/>
      <c r="L16" s="5"/>
      <c r="M16" s="5"/>
      <c r="N16" s="5"/>
      <c r="O16" s="5"/>
    </row>
    <row r="17" spans="1:15" ht="21.6" customHeight="1" x14ac:dyDescent="0.2">
      <c r="A17" s="83">
        <f>IFERROR('1. Main Issues (LC)'!A17/'Input-FX Rates'!$C$16,0)</f>
        <v>-33.076732075428737</v>
      </c>
      <c r="B17" s="81">
        <f>IFERROR('1. Main Issues (LC)'!B17/'Input-FX Rates'!$D$16,0)</f>
        <v>0</v>
      </c>
      <c r="C17" s="81">
        <f>IFERROR('1. Main Issues (LC)'!C17/'Input-FX Rates'!$E$16,0)</f>
        <v>226.09382907460127</v>
      </c>
      <c r="D17" s="83">
        <f>IFERROR('1. Main Issues (LC)'!D17/'Input-FX Rates'!$G$16,0)</f>
        <v>615.55984470935095</v>
      </c>
      <c r="E17" s="82" t="s">
        <v>159</v>
      </c>
      <c r="F17" s="81">
        <f>IFERROR('1. Main Issues (LC)'!F17/'Input-FX Rates'!$H$16,0)</f>
        <v>0</v>
      </c>
      <c r="G17" s="81">
        <f t="shared" si="0"/>
        <v>-615.55984470935095</v>
      </c>
      <c r="I17" s="73"/>
      <c r="J17" s="5"/>
      <c r="K17" s="5"/>
      <c r="L17" s="5"/>
      <c r="M17" s="5"/>
      <c r="N17" s="5"/>
      <c r="O17" s="5"/>
    </row>
    <row r="18" spans="1:15" ht="21.6" customHeight="1" x14ac:dyDescent="0.2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158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 x14ac:dyDescent="0.2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157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 x14ac:dyDescent="0.2">
      <c r="A20" s="80">
        <f>IFERROR('1. Main Issues (LC)'!A20/'Input-FX Rates'!$C$16,0)</f>
        <v>-2993.5152689345991</v>
      </c>
      <c r="B20" s="78">
        <f>IFERROR('1. Main Issues (LC)'!B20/'Input-FX Rates'!$D$16,0)</f>
        <v>-14649.168334085778</v>
      </c>
      <c r="C20" s="78">
        <f>IFERROR('1. Main Issues (LC)'!C20/'Input-FX Rates'!$E$16,0)</f>
        <v>-3573.2973332144152</v>
      </c>
      <c r="D20" s="80">
        <f>IFERROR('1. Main Issues (LC)'!D20/'Input-FX Rates'!$G$16,0)</f>
        <v>-3549.6534146304875</v>
      </c>
      <c r="E20" s="79" t="s">
        <v>156</v>
      </c>
      <c r="F20" s="78">
        <f>IFERROR('1. Main Issues (LC)'!F20/'Input-FX Rates'!$H$16,0)</f>
        <v>-9181.1510517241386</v>
      </c>
      <c r="G20" s="78">
        <f t="shared" si="0"/>
        <v>-5631.4976370936511</v>
      </c>
      <c r="I20" s="73"/>
      <c r="J20" s="5"/>
      <c r="K20" s="5"/>
      <c r="L20" s="5"/>
      <c r="M20" s="5"/>
      <c r="N20" s="5"/>
      <c r="O20" s="5"/>
    </row>
    <row r="21" spans="1:15" ht="21.6" customHeight="1" x14ac:dyDescent="0.2">
      <c r="A21" s="77">
        <f>IFERROR(A20/A$7,0)</f>
        <v>-5.8864637584876957E-2</v>
      </c>
      <c r="B21" s="75">
        <f>IFERROR(B20/B$7,0)</f>
        <v>-0.1587598609402234</v>
      </c>
      <c r="C21" s="75">
        <f>IFERROR(C20/C$7,0)</f>
        <v>-9.9290331316411642E-2</v>
      </c>
      <c r="D21" s="77">
        <f>IFERROR(D20/D$7,0)</f>
        <v>-3.7415301015004183E-2</v>
      </c>
      <c r="E21" s="76" t="s">
        <v>155</v>
      </c>
      <c r="F21" s="75">
        <f>IFERROR(F20/F$7,0)</f>
        <v>-7.070925832533756E-2</v>
      </c>
      <c r="G21" s="75">
        <f t="shared" si="0"/>
        <v>-3.3293957310333376E-2</v>
      </c>
      <c r="I21" s="73"/>
      <c r="J21" s="5"/>
      <c r="K21" s="5"/>
      <c r="L21" s="5"/>
      <c r="M21" s="5"/>
      <c r="N21" s="5"/>
      <c r="O21" s="5"/>
    </row>
    <row r="22" spans="1:15" x14ac:dyDescent="0.2">
      <c r="I22" s="73"/>
      <c r="J22" s="5"/>
      <c r="K22" s="5"/>
      <c r="L22" s="5"/>
      <c r="M22" s="5"/>
      <c r="N22" s="5"/>
      <c r="O22" s="5"/>
    </row>
    <row r="23" spans="1:15" ht="18" x14ac:dyDescent="0.2">
      <c r="A23" s="1031" t="s">
        <v>154</v>
      </c>
      <c r="B23" s="1031"/>
      <c r="C23" s="1031"/>
      <c r="D23" s="1031"/>
      <c r="E23" s="1031"/>
      <c r="F23" s="1031"/>
      <c r="G23" s="1031"/>
      <c r="I23" s="73"/>
      <c r="J23" s="5"/>
      <c r="K23" s="5"/>
      <c r="L23" s="5"/>
      <c r="M23" s="5"/>
      <c r="N23" s="5"/>
      <c r="O23" s="5"/>
    </row>
    <row r="24" spans="1:15" x14ac:dyDescent="0.2">
      <c r="I24" s="73"/>
      <c r="J24" s="5"/>
      <c r="K24" s="5"/>
      <c r="L24" s="5"/>
      <c r="M24" s="5"/>
      <c r="N24" s="5"/>
      <c r="O24" s="5"/>
    </row>
    <row r="25" spans="1:15" ht="13.9" customHeight="1" x14ac:dyDescent="0.2">
      <c r="A25" s="1032" t="str">
        <f>IF(ISBLANK('1. Main Issues (LC)'!A25),"",'1. Main Issues (LC)'!A25)</f>
        <v>General background : Inflation rate 2.3%</v>
      </c>
      <c r="B25" s="1032"/>
      <c r="C25" s="1032"/>
      <c r="D25" s="1032"/>
      <c r="E25" s="1032"/>
      <c r="F25" s="1032"/>
      <c r="G25" s="1032"/>
      <c r="I25" s="696" t="s">
        <v>153</v>
      </c>
      <c r="J25" s="5"/>
      <c r="K25" s="5"/>
      <c r="L25" s="5"/>
      <c r="M25" s="5"/>
      <c r="N25" s="5"/>
      <c r="O25" s="5"/>
    </row>
    <row r="26" spans="1:15" ht="13.9" customHeight="1" x14ac:dyDescent="0.2">
      <c r="A26" s="1032" t="str">
        <f>IF(ISBLANK('1. Main Issues (LC)'!A26),"",'1. Main Issues (LC)'!A26)</f>
        <v>Sales amount increase 32% (volume increase 27.5%) after taking opportunity of 1.4M EUR, sales goes up to 127M EUR or -10.6% of EBIT ratio</v>
      </c>
      <c r="B26" s="1032"/>
      <c r="C26" s="1032"/>
      <c r="D26" s="1032"/>
      <c r="E26" s="1032"/>
      <c r="F26" s="1032"/>
      <c r="G26" s="1032"/>
      <c r="J26" s="5"/>
      <c r="K26" s="5"/>
      <c r="L26" s="5"/>
      <c r="M26" s="5"/>
      <c r="N26" s="5"/>
      <c r="O26" s="5"/>
    </row>
    <row r="27" spans="1:15" ht="13.9" customHeight="1" x14ac:dyDescent="0.2">
      <c r="A27" s="1032" t="str">
        <f>IF(ISBLANK('1. Main Issues (LC)'!A27),"",'1. Main Issues (LC)'!A27)</f>
        <v>All of MTC project sales has been increase with market demand increase in eco-friendly vehicles such as hybrid and electric cars.</v>
      </c>
      <c r="B27" s="1032"/>
      <c r="C27" s="1032"/>
      <c r="D27" s="1032"/>
      <c r="E27" s="1032"/>
      <c r="F27" s="1032"/>
      <c r="G27" s="1032"/>
      <c r="I27" s="696" t="s">
        <v>152</v>
      </c>
      <c r="J27" s="5"/>
      <c r="K27" s="5"/>
      <c r="L27" s="5"/>
      <c r="M27" s="5"/>
      <c r="N27" s="5"/>
      <c r="O27" s="5"/>
    </row>
    <row r="28" spans="1:15" ht="13.9" customHeight="1" x14ac:dyDescent="0.2">
      <c r="A28" s="1032" t="str">
        <f>IF(ISBLANK('1. Main Issues (LC)'!A28),"",'1. Main Issues (LC)'!A28)</f>
        <v>Material cost rate has increased about 15.8%p (-30M EUR), mainly due to volume increase and EPF4 material cost impact (-7.4M EUR).</v>
      </c>
      <c r="B28" s="1032"/>
      <c r="C28" s="1032"/>
      <c r="D28" s="1032"/>
      <c r="E28" s="1032"/>
      <c r="F28" s="1032"/>
      <c r="G28" s="1032"/>
      <c r="I28" s="697" t="s">
        <v>151</v>
      </c>
      <c r="J28" s="5"/>
      <c r="K28" s="5"/>
      <c r="L28" s="5"/>
      <c r="M28" s="5"/>
      <c r="N28" s="5"/>
      <c r="O28" s="5"/>
    </row>
    <row r="29" spans="1:15" ht="13.9" customHeight="1" x14ac:dyDescent="0.2">
      <c r="A29" s="1032" t="str">
        <f>IF(ISBLANK('1. Main Issues (LC)'!A29),"",'1. Main Issues (LC)'!A29)</f>
        <v>Structural change for Technician cost by VT O guideline. Technician cost is now under MDC side meaning that MDC (vice versa LDC is less) is larger than previous structure.</v>
      </c>
      <c r="B29" s="1032"/>
      <c r="C29" s="1032"/>
      <c r="D29" s="1032"/>
      <c r="E29" s="1032"/>
      <c r="F29" s="1032"/>
      <c r="G29" s="1032"/>
      <c r="I29" s="698" t="s">
        <v>150</v>
      </c>
      <c r="J29" s="5"/>
      <c r="K29" s="5"/>
      <c r="L29" s="5"/>
      <c r="M29" s="5"/>
      <c r="N29" s="5"/>
      <c r="O29" s="5"/>
    </row>
    <row r="30" spans="1:15" ht="13.9" customHeight="1" x14ac:dyDescent="0.2">
      <c r="A30" s="1032" t="str">
        <f>IF(ISBLANK('1. Main Issues (LC)'!A30),"",'1. Main Issues (LC)'!A30)</f>
        <v>CF cost assessment increase due to CM portion (espeicially CM PSS sales decrease) decrease and FM cost increase, global IT cost increase</v>
      </c>
      <c r="B30" s="1032"/>
      <c r="C30" s="1032"/>
      <c r="D30" s="1032"/>
      <c r="E30" s="1032"/>
      <c r="F30" s="1032"/>
      <c r="G30" s="1032"/>
      <c r="I30" s="698" t="s">
        <v>149</v>
      </c>
      <c r="J30" s="5"/>
      <c r="K30" s="5"/>
      <c r="L30" s="5"/>
      <c r="M30" s="5"/>
      <c r="N30" s="5"/>
      <c r="O30" s="5"/>
    </row>
    <row r="31" spans="1:15" ht="13.9" customHeight="1" x14ac:dyDescent="0.2">
      <c r="A31" s="1032" t="str">
        <f>IF(ISBLANK('1. Main Issues (LC)'!A31),"",'1. Main Issues (LC)'!A31)</f>
        <v>R&amp;D allocation in increase of 2.7M EUR (45%) vs FC7+5.</v>
      </c>
      <c r="B31" s="1032"/>
      <c r="C31" s="1032"/>
      <c r="D31" s="1032"/>
      <c r="E31" s="1032"/>
      <c r="F31" s="1032"/>
      <c r="G31" s="1032"/>
      <c r="I31" s="73"/>
      <c r="J31" s="5"/>
      <c r="K31" s="5"/>
      <c r="L31" s="5"/>
      <c r="M31" s="5"/>
      <c r="N31" s="5"/>
      <c r="O31" s="5"/>
    </row>
    <row r="32" spans="1:15" ht="13.9" customHeight="1" x14ac:dyDescent="0.2">
      <c r="A32" s="1032" t="str">
        <f>IF(ISBLANK('1. Main Issues (LC)'!A32),"",'1. Main Issues (LC)'!A32)</f>
        <v>EBIT is -9.8% (6% less than FC 7+5)</v>
      </c>
      <c r="B32" s="1032"/>
      <c r="C32" s="1032"/>
      <c r="D32" s="1032"/>
      <c r="E32" s="1032"/>
      <c r="F32" s="1032"/>
      <c r="G32" s="1032"/>
      <c r="I32" s="74"/>
      <c r="J32" s="5"/>
      <c r="K32" s="5"/>
      <c r="L32" s="5"/>
      <c r="M32" s="5"/>
      <c r="N32" s="5"/>
      <c r="O32" s="5"/>
    </row>
  </sheetData>
  <mergeCells count="11">
    <mergeCell ref="B5:D5"/>
    <mergeCell ref="E5:E6"/>
    <mergeCell ref="A23:G23"/>
    <mergeCell ref="A25:G25"/>
    <mergeCell ref="A31:G31"/>
    <mergeCell ref="A32:G32"/>
    <mergeCell ref="A26:G26"/>
    <mergeCell ref="A27:G27"/>
    <mergeCell ref="A28:G28"/>
    <mergeCell ref="A29:G29"/>
    <mergeCell ref="A30:G3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Normal="100" workbookViewId="0">
      <pane xSplit="1" ySplit="5" topLeftCell="B6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defaultColWidth="9.28515625" defaultRowHeight="12.75" customHeight="1" x14ac:dyDescent="0.2"/>
  <cols>
    <col min="1" max="1" width="45.5703125" style="221" bestFit="1" customWidth="1"/>
    <col min="2" max="3" width="36.7109375" style="221" customWidth="1"/>
    <col min="4" max="4" width="69.42578125" style="221" bestFit="1" customWidth="1"/>
    <col min="5" max="5" width="9.28515625" style="221"/>
    <col min="6" max="6" width="88.7109375" style="221" bestFit="1" customWidth="1"/>
    <col min="7" max="16384" width="9.28515625" style="451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144</v>
      </c>
    </row>
    <row r="2" spans="1:6" ht="19.899999999999999" customHeight="1" thickBot="1" x14ac:dyDescent="0.3">
      <c r="A2" s="55" t="s">
        <v>937</v>
      </c>
      <c r="B2" s="55"/>
      <c r="C2" s="54"/>
      <c r="D2" s="54" t="str">
        <f>'Input-FX Rates'!$H$2</f>
        <v>7851 PL eMotor Controls</v>
      </c>
      <c r="F2" s="95" t="s">
        <v>142</v>
      </c>
    </row>
    <row r="4" spans="1:6" ht="24" customHeight="1" x14ac:dyDescent="0.2">
      <c r="A4" s="655" t="str">
        <f>"in '000 "&amp;'Input-FX Rates'!$B$8</f>
        <v>in '000 KRW</v>
      </c>
      <c r="B4" s="1033" t="s">
        <v>1040</v>
      </c>
      <c r="C4" s="1034"/>
      <c r="D4" s="187"/>
      <c r="F4" s="267"/>
    </row>
    <row r="5" spans="1:6" ht="24" customHeight="1" x14ac:dyDescent="0.2">
      <c r="A5" s="655"/>
      <c r="B5" s="187" t="s">
        <v>946</v>
      </c>
      <c r="C5" s="655" t="s">
        <v>915</v>
      </c>
      <c r="D5" s="187" t="s">
        <v>154</v>
      </c>
      <c r="F5" s="267" t="s">
        <v>952</v>
      </c>
    </row>
    <row r="6" spans="1:6" ht="22.9" customHeight="1" x14ac:dyDescent="0.2">
      <c r="A6" s="452" t="s">
        <v>409</v>
      </c>
      <c r="B6" s="78">
        <f>SUM(B7:B16)</f>
        <v>0</v>
      </c>
      <c r="C6" s="265">
        <f>SUM(C7:C16)</f>
        <v>0</v>
      </c>
      <c r="D6" s="962"/>
      <c r="F6" s="267"/>
    </row>
    <row r="7" spans="1:6" ht="19.149999999999999" customHeight="1" x14ac:dyDescent="0.2">
      <c r="A7" s="699" t="s">
        <v>1145</v>
      </c>
      <c r="B7" s="700"/>
      <c r="C7" s="701"/>
      <c r="D7" s="964" t="s">
        <v>1549</v>
      </c>
      <c r="F7" s="267" t="s">
        <v>956</v>
      </c>
    </row>
    <row r="8" spans="1:6" ht="19.149999999999999" customHeight="1" x14ac:dyDescent="0.2">
      <c r="A8" s="699" t="s">
        <v>1144</v>
      </c>
      <c r="B8" s="700"/>
      <c r="C8" s="701"/>
      <c r="D8" s="964"/>
      <c r="F8" s="267" t="s">
        <v>957</v>
      </c>
    </row>
    <row r="9" spans="1:6" ht="19.149999999999999" customHeight="1" x14ac:dyDescent="0.2">
      <c r="A9" s="699" t="s">
        <v>918</v>
      </c>
      <c r="B9" s="700"/>
      <c r="C9" s="701"/>
      <c r="D9" s="964"/>
      <c r="F9" s="267"/>
    </row>
    <row r="10" spans="1:6" ht="19.149999999999999" customHeight="1" x14ac:dyDescent="0.2">
      <c r="A10" s="699" t="s">
        <v>919</v>
      </c>
      <c r="B10" s="700"/>
      <c r="C10" s="701"/>
      <c r="D10" s="964"/>
      <c r="F10" s="267" t="s">
        <v>955</v>
      </c>
    </row>
    <row r="11" spans="1:6" ht="19.149999999999999" customHeight="1" x14ac:dyDescent="0.2">
      <c r="A11" s="699" t="s">
        <v>920</v>
      </c>
      <c r="B11" s="700"/>
      <c r="C11" s="701"/>
      <c r="D11" s="964"/>
      <c r="F11" s="267" t="s">
        <v>954</v>
      </c>
    </row>
    <row r="12" spans="1:6" ht="19.149999999999999" customHeight="1" x14ac:dyDescent="0.2">
      <c r="A12" s="699" t="s">
        <v>947</v>
      </c>
      <c r="B12" s="700"/>
      <c r="C12" s="701"/>
      <c r="D12" s="964"/>
      <c r="F12" s="267"/>
    </row>
    <row r="13" spans="1:6" ht="19.149999999999999" customHeight="1" x14ac:dyDescent="0.2">
      <c r="A13" s="699" t="s">
        <v>948</v>
      </c>
      <c r="B13" s="700"/>
      <c r="C13" s="701"/>
      <c r="D13" s="964"/>
      <c r="F13" s="267"/>
    </row>
    <row r="14" spans="1:6" ht="19.149999999999999" customHeight="1" x14ac:dyDescent="0.2">
      <c r="A14" s="699" t="s">
        <v>949</v>
      </c>
      <c r="B14" s="700"/>
      <c r="C14" s="701"/>
      <c r="D14" s="964"/>
      <c r="F14" s="267" t="s">
        <v>953</v>
      </c>
    </row>
    <row r="15" spans="1:6" ht="19.149999999999999" customHeight="1" x14ac:dyDescent="0.2">
      <c r="A15" s="699" t="s">
        <v>950</v>
      </c>
      <c r="B15" s="700"/>
      <c r="C15" s="701"/>
      <c r="D15" s="964"/>
      <c r="F15" s="267"/>
    </row>
    <row r="16" spans="1:6" ht="19.149999999999999" customHeight="1" x14ac:dyDescent="0.2">
      <c r="A16" s="699" t="s">
        <v>951</v>
      </c>
      <c r="B16" s="700"/>
      <c r="C16" s="701"/>
      <c r="D16" s="964"/>
      <c r="F16" s="267"/>
    </row>
    <row r="17" spans="1:6" ht="22.9" customHeight="1" x14ac:dyDescent="0.2">
      <c r="A17" s="452" t="s">
        <v>399</v>
      </c>
      <c r="B17" s="78">
        <f>SUM(B18:B27)</f>
        <v>0</v>
      </c>
      <c r="C17" s="265">
        <f>SUM(C18:C27)</f>
        <v>0</v>
      </c>
      <c r="D17" s="962"/>
      <c r="F17" s="267"/>
    </row>
    <row r="18" spans="1:6" ht="19.149999999999999" customHeight="1" x14ac:dyDescent="0.2">
      <c r="A18" s="699" t="s">
        <v>1145</v>
      </c>
      <c r="B18" s="700"/>
      <c r="C18" s="701"/>
      <c r="D18" s="964"/>
    </row>
    <row r="19" spans="1:6" ht="19.149999999999999" customHeight="1" x14ac:dyDescent="0.2">
      <c r="A19" s="699" t="s">
        <v>917</v>
      </c>
      <c r="B19" s="700"/>
      <c r="C19" s="701"/>
      <c r="D19" s="964"/>
      <c r="F19" s="695"/>
    </row>
    <row r="20" spans="1:6" ht="19.149999999999999" customHeight="1" x14ac:dyDescent="0.2">
      <c r="A20" s="699" t="s">
        <v>918</v>
      </c>
      <c r="B20" s="700"/>
      <c r="C20" s="701"/>
      <c r="D20" s="964"/>
      <c r="F20" s="695"/>
    </row>
    <row r="21" spans="1:6" ht="19.149999999999999" customHeight="1" x14ac:dyDescent="0.2">
      <c r="A21" s="699" t="s">
        <v>919</v>
      </c>
      <c r="B21" s="700"/>
      <c r="C21" s="701"/>
      <c r="D21" s="964"/>
      <c r="F21" s="695"/>
    </row>
    <row r="22" spans="1:6" ht="19.149999999999999" customHeight="1" x14ac:dyDescent="0.2">
      <c r="A22" s="699" t="s">
        <v>920</v>
      </c>
      <c r="B22" s="700"/>
      <c r="C22" s="701"/>
      <c r="D22" s="964"/>
    </row>
    <row r="23" spans="1:6" ht="19.149999999999999" customHeight="1" x14ac:dyDescent="0.2">
      <c r="A23" s="699" t="s">
        <v>947</v>
      </c>
      <c r="B23" s="700"/>
      <c r="C23" s="701"/>
      <c r="D23" s="964"/>
    </row>
    <row r="24" spans="1:6" ht="19.149999999999999" customHeight="1" x14ac:dyDescent="0.2">
      <c r="A24" s="699" t="s">
        <v>948</v>
      </c>
      <c r="B24" s="700"/>
      <c r="C24" s="701"/>
      <c r="D24" s="964"/>
    </row>
    <row r="25" spans="1:6" ht="19.149999999999999" customHeight="1" x14ac:dyDescent="0.2">
      <c r="A25" s="699" t="s">
        <v>949</v>
      </c>
      <c r="B25" s="700"/>
      <c r="C25" s="701"/>
      <c r="D25" s="964"/>
    </row>
    <row r="26" spans="1:6" ht="19.149999999999999" customHeight="1" x14ac:dyDescent="0.2">
      <c r="A26" s="699" t="s">
        <v>950</v>
      </c>
      <c r="B26" s="700"/>
      <c r="C26" s="701"/>
      <c r="D26" s="964"/>
    </row>
    <row r="27" spans="1:6" ht="19.149999999999999" customHeight="1" x14ac:dyDescent="0.2">
      <c r="A27" s="699" t="s">
        <v>951</v>
      </c>
      <c r="B27" s="700"/>
      <c r="C27" s="701"/>
      <c r="D27" s="964"/>
    </row>
    <row r="28" spans="1:6" ht="22.5" customHeight="1" x14ac:dyDescent="0.2">
      <c r="A28" s="452" t="s">
        <v>916</v>
      </c>
      <c r="B28" s="78">
        <f>SUM(B17,B6)</f>
        <v>0</v>
      </c>
      <c r="C28" s="265">
        <f>SUM(C17,C6)</f>
        <v>0</v>
      </c>
      <c r="D28" s="962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Normal="100" workbookViewId="0">
      <pane xSplit="1" ySplit="5" topLeftCell="B6" activePane="bottomRight" state="frozen"/>
      <selection activeCell="F20" sqref="F20"/>
      <selection pane="topRight" activeCell="F20" sqref="F20"/>
      <selection pane="bottomLeft" activeCell="F20" sqref="F20"/>
      <selection pane="bottomRight" activeCell="F20" sqref="F20"/>
    </sheetView>
  </sheetViews>
  <sheetFormatPr defaultColWidth="9.28515625" defaultRowHeight="12.75" customHeight="1" x14ac:dyDescent="0.2"/>
  <cols>
    <col min="1" max="1" width="45.5703125" style="221" bestFit="1" customWidth="1"/>
    <col min="2" max="3" width="36.7109375" style="221" customWidth="1"/>
    <col min="4" max="4" width="69.42578125" style="221" bestFit="1" customWidth="1"/>
    <col min="5" max="5" width="9.28515625" style="221"/>
    <col min="6" max="6" width="88.7109375" style="221" bestFit="1" customWidth="1"/>
    <col min="7" max="16384" width="9.28515625" style="451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144</v>
      </c>
    </row>
    <row r="2" spans="1:6" ht="19.899999999999999" customHeight="1" thickBot="1" x14ac:dyDescent="0.3">
      <c r="A2" s="55" t="s">
        <v>937</v>
      </c>
      <c r="B2" s="55"/>
      <c r="C2" s="54"/>
      <c r="D2" s="54" t="str">
        <f>'Input-FX Rates'!$H$2</f>
        <v>7851 PL eMotor Controls</v>
      </c>
      <c r="F2" s="95" t="s">
        <v>142</v>
      </c>
    </row>
    <row r="4" spans="1:6" ht="24" customHeight="1" x14ac:dyDescent="0.2">
      <c r="A4" s="655" t="str">
        <f>"in '000 "&amp;"EUR"</f>
        <v>in '000 EUR</v>
      </c>
      <c r="B4" s="1033" t="s">
        <v>1040</v>
      </c>
      <c r="C4" s="1034"/>
      <c r="D4" s="187"/>
      <c r="F4" s="267"/>
    </row>
    <row r="5" spans="1:6" ht="24" customHeight="1" x14ac:dyDescent="0.2">
      <c r="A5" s="655"/>
      <c r="B5" s="187" t="s">
        <v>946</v>
      </c>
      <c r="C5" s="655" t="s">
        <v>915</v>
      </c>
      <c r="D5" s="187" t="s">
        <v>154</v>
      </c>
      <c r="F5" s="267" t="s">
        <v>952</v>
      </c>
    </row>
    <row r="6" spans="1:6" ht="22.9" customHeight="1" x14ac:dyDescent="0.2">
      <c r="A6" s="452" t="s">
        <v>409</v>
      </c>
      <c r="B6" s="78">
        <f>IFERROR('1.1 Structural changes (LC)'!B6,0)</f>
        <v>0</v>
      </c>
      <c r="C6" s="265">
        <f>IFERROR('1.1 Structural changes (LC)'!C6/'Input-FX Rates'!$H$16,0)</f>
        <v>0</v>
      </c>
      <c r="D6" s="962" t="str">
        <f>IF(ISBLANK('1.1 Structural changes (LC)'!D6),"",'1.1 Structural changes (LC)'!D6)</f>
        <v/>
      </c>
      <c r="F6" s="267"/>
    </row>
    <row r="7" spans="1:6" ht="19.149999999999999" customHeight="1" x14ac:dyDescent="0.2">
      <c r="A7" s="702" t="str">
        <f>IF(ISBLANK('1.1 Structural changes (LC)'!A7),"",'1.1 Structural changes (LC)'!A7)</f>
        <v>Maintenance harmonization</v>
      </c>
      <c r="B7" s="703">
        <f>IFERROR('1.1 Structural changes (LC)'!B7,0)</f>
        <v>0</v>
      </c>
      <c r="C7" s="704">
        <f>IFERROR('1.1 Structural changes (LC)'!C7/'Input-FX Rates'!$H$16,0)</f>
        <v>0</v>
      </c>
      <c r="D7" s="963" t="str">
        <f>IF(ISBLANK('1.1 Structural changes (LC)'!D7),"",'1.1 Structural changes (LC)'!D7)</f>
        <v>Maintenance cost moved from LDC to MDC (917K EUR)</v>
      </c>
      <c r="F7" s="267" t="s">
        <v>956</v>
      </c>
    </row>
    <row r="8" spans="1:6" ht="19.149999999999999" customHeight="1" x14ac:dyDescent="0.2">
      <c r="A8" s="702" t="str">
        <f>IF(ISBLANK('1.1 Structural changes (LC)'!A8),"",'1.1 Structural changes (LC)'!A8)</f>
        <v>SMD Pool centralization</v>
      </c>
      <c r="B8" s="703">
        <f>IFERROR('1.1 Structural changes (LC)'!B8,0)</f>
        <v>0</v>
      </c>
      <c r="C8" s="704">
        <f>IFERROR('1.1 Structural changes (LC)'!C8/'Input-FX Rates'!$H$16,0)</f>
        <v>0</v>
      </c>
      <c r="D8" s="963" t="str">
        <f>IF(ISBLANK('1.1 Structural changes (LC)'!D8),"",'1.1 Structural changes (LC)'!D8)</f>
        <v/>
      </c>
      <c r="F8" s="267" t="s">
        <v>957</v>
      </c>
    </row>
    <row r="9" spans="1:6" ht="19.149999999999999" customHeight="1" x14ac:dyDescent="0.2">
      <c r="A9" s="702" t="str">
        <f>IF(ISBLANK('1.1 Structural changes (LC)'!A9),"",'1.1 Structural changes (LC)'!A9)</f>
        <v>Structural change 3</v>
      </c>
      <c r="B9" s="703">
        <f>IFERROR('1.1 Structural changes (LC)'!B9,0)</f>
        <v>0</v>
      </c>
      <c r="C9" s="704">
        <f>IFERROR('1.1 Structural changes (LC)'!C9/'Input-FX Rates'!$H$16,0)</f>
        <v>0</v>
      </c>
      <c r="D9" s="963" t="str">
        <f>IF(ISBLANK('1.1 Structural changes (LC)'!D9),"",'1.1 Structural changes (LC)'!D9)</f>
        <v/>
      </c>
      <c r="F9" s="267"/>
    </row>
    <row r="10" spans="1:6" ht="19.149999999999999" customHeight="1" x14ac:dyDescent="0.2">
      <c r="A10" s="702" t="str">
        <f>IF(ISBLANK('1.1 Structural changes (LC)'!A10),"",'1.1 Structural changes (LC)'!A10)</f>
        <v>Structural change 4</v>
      </c>
      <c r="B10" s="703">
        <f>IFERROR('1.1 Structural changes (LC)'!B10,0)</f>
        <v>0</v>
      </c>
      <c r="C10" s="704">
        <f>IFERROR('1.1 Structural changes (LC)'!C10/'Input-FX Rates'!$H$16,0)</f>
        <v>0</v>
      </c>
      <c r="D10" s="963" t="str">
        <f>IF(ISBLANK('1.1 Structural changes (LC)'!D10),"",'1.1 Structural changes (LC)'!D10)</f>
        <v/>
      </c>
      <c r="F10" s="267" t="s">
        <v>955</v>
      </c>
    </row>
    <row r="11" spans="1:6" ht="19.149999999999999" customHeight="1" x14ac:dyDescent="0.2">
      <c r="A11" s="702" t="str">
        <f>IF(ISBLANK('1.1 Structural changes (LC)'!A11),"",'1.1 Structural changes (LC)'!A11)</f>
        <v>Structural change 5</v>
      </c>
      <c r="B11" s="703">
        <f>IFERROR('1.1 Structural changes (LC)'!B11,0)</f>
        <v>0</v>
      </c>
      <c r="C11" s="704">
        <f>IFERROR('1.1 Structural changes (LC)'!C11/'Input-FX Rates'!$H$16,0)</f>
        <v>0</v>
      </c>
      <c r="D11" s="963" t="str">
        <f>IF(ISBLANK('1.1 Structural changes (LC)'!D11),"",'1.1 Structural changes (LC)'!D11)</f>
        <v/>
      </c>
      <c r="F11" s="267" t="s">
        <v>954</v>
      </c>
    </row>
    <row r="12" spans="1:6" ht="19.149999999999999" customHeight="1" x14ac:dyDescent="0.2">
      <c r="A12" s="702" t="str">
        <f>IF(ISBLANK('1.1 Structural changes (LC)'!A12),"",'1.1 Structural changes (LC)'!A12)</f>
        <v>Structural change 6</v>
      </c>
      <c r="B12" s="703">
        <f>IFERROR('1.1 Structural changes (LC)'!B12,0)</f>
        <v>0</v>
      </c>
      <c r="C12" s="704">
        <f>IFERROR('1.1 Structural changes (LC)'!C12/'Input-FX Rates'!$H$16,0)</f>
        <v>0</v>
      </c>
      <c r="D12" s="963" t="str">
        <f>IF(ISBLANK('1.1 Structural changes (LC)'!D12),"",'1.1 Structural changes (LC)'!D12)</f>
        <v/>
      </c>
      <c r="F12" s="267"/>
    </row>
    <row r="13" spans="1:6" ht="19.149999999999999" customHeight="1" x14ac:dyDescent="0.2">
      <c r="A13" s="702" t="str">
        <f>IF(ISBLANK('1.1 Structural changes (LC)'!A13),"",'1.1 Structural changes (LC)'!A13)</f>
        <v>Structural change 7</v>
      </c>
      <c r="B13" s="703">
        <f>IFERROR('1.1 Structural changes (LC)'!B13,0)</f>
        <v>0</v>
      </c>
      <c r="C13" s="704">
        <f>IFERROR('1.1 Structural changes (LC)'!C13/'Input-FX Rates'!$H$16,0)</f>
        <v>0</v>
      </c>
      <c r="D13" s="963" t="str">
        <f>IF(ISBLANK('1.1 Structural changes (LC)'!D13),"",'1.1 Structural changes (LC)'!D13)</f>
        <v/>
      </c>
      <c r="F13" s="267"/>
    </row>
    <row r="14" spans="1:6" ht="19.149999999999999" customHeight="1" x14ac:dyDescent="0.2">
      <c r="A14" s="702" t="str">
        <f>IF(ISBLANK('1.1 Structural changes (LC)'!A14),"",'1.1 Structural changes (LC)'!A14)</f>
        <v>Structural change 8</v>
      </c>
      <c r="B14" s="703">
        <f>IFERROR('1.1 Structural changes (LC)'!B14,0)</f>
        <v>0</v>
      </c>
      <c r="C14" s="704">
        <f>IFERROR('1.1 Structural changes (LC)'!C14/'Input-FX Rates'!$H$16,0)</f>
        <v>0</v>
      </c>
      <c r="D14" s="963" t="str">
        <f>IF(ISBLANK('1.1 Structural changes (LC)'!D14),"",'1.1 Structural changes (LC)'!D14)</f>
        <v/>
      </c>
      <c r="F14" s="267" t="s">
        <v>953</v>
      </c>
    </row>
    <row r="15" spans="1:6" ht="19.149999999999999" customHeight="1" x14ac:dyDescent="0.2">
      <c r="A15" s="702" t="str">
        <f>IF(ISBLANK('1.1 Structural changes (LC)'!A15),"",'1.1 Structural changes (LC)'!A15)</f>
        <v>Structural change 9</v>
      </c>
      <c r="B15" s="703">
        <f>IFERROR('1.1 Structural changes (LC)'!B15,0)</f>
        <v>0</v>
      </c>
      <c r="C15" s="704">
        <f>IFERROR('1.1 Structural changes (LC)'!C15/'Input-FX Rates'!$H$16,0)</f>
        <v>0</v>
      </c>
      <c r="D15" s="963" t="str">
        <f>IF(ISBLANK('1.1 Structural changes (LC)'!D15),"",'1.1 Structural changes (LC)'!D15)</f>
        <v/>
      </c>
      <c r="F15" s="267"/>
    </row>
    <row r="16" spans="1:6" ht="19.149999999999999" customHeight="1" x14ac:dyDescent="0.2">
      <c r="A16" s="702" t="str">
        <f>IF(ISBLANK('1.1 Structural changes (LC)'!A16),"",'1.1 Structural changes (LC)'!A16)</f>
        <v>Structural change 10</v>
      </c>
      <c r="B16" s="703">
        <f>IFERROR('1.1 Structural changes (LC)'!B16,0)</f>
        <v>0</v>
      </c>
      <c r="C16" s="704">
        <f>IFERROR('1.1 Structural changes (LC)'!C16/'Input-FX Rates'!$H$16,0)</f>
        <v>0</v>
      </c>
      <c r="D16" s="963" t="str">
        <f>IF(ISBLANK('1.1 Structural changes (LC)'!D16),"",'1.1 Structural changes (LC)'!D16)</f>
        <v/>
      </c>
      <c r="F16" s="267"/>
    </row>
    <row r="17" spans="1:6" ht="22.9" customHeight="1" x14ac:dyDescent="0.2">
      <c r="A17" s="452" t="s">
        <v>399</v>
      </c>
      <c r="B17" s="78">
        <f>IFERROR('1.1 Structural changes (LC)'!B17,0)</f>
        <v>0</v>
      </c>
      <c r="C17" s="265">
        <f>IFERROR('1.1 Structural changes (LC)'!C17/'Input-FX Rates'!$H$16,0)</f>
        <v>0</v>
      </c>
      <c r="D17" s="962" t="str">
        <f>IF(ISBLANK('1.1 Structural changes (LC)'!D17),"",'1.1 Structural changes (LC)'!D17)</f>
        <v/>
      </c>
      <c r="F17" s="267"/>
    </row>
    <row r="18" spans="1:6" ht="19.149999999999999" customHeight="1" x14ac:dyDescent="0.2">
      <c r="A18" s="702" t="str">
        <f>IF(ISBLANK('1.1 Structural changes (LC)'!A18),"",'1.1 Structural changes (LC)'!A18)</f>
        <v>Maintenance harmonization</v>
      </c>
      <c r="B18" s="703">
        <f>IFERROR('1.1 Structural changes (LC)'!B18,0)</f>
        <v>0</v>
      </c>
      <c r="C18" s="704">
        <f>IFERROR('1.1 Structural changes (LC)'!C18/'Input-FX Rates'!$H$16,0)</f>
        <v>0</v>
      </c>
      <c r="D18" s="963" t="str">
        <f>IF(ISBLANK('1.1 Structural changes (LC)'!D18),"",'1.1 Structural changes (LC)'!D18)</f>
        <v/>
      </c>
    </row>
    <row r="19" spans="1:6" ht="19.149999999999999" customHeight="1" x14ac:dyDescent="0.2">
      <c r="A19" s="702" t="str">
        <f>IF(ISBLANK('1.1 Structural changes (LC)'!A19),"",'1.1 Structural changes (LC)'!A19)</f>
        <v>Structural change 2</v>
      </c>
      <c r="B19" s="703">
        <f>IFERROR('1.1 Structural changes (LC)'!B19,0)</f>
        <v>0</v>
      </c>
      <c r="C19" s="704">
        <f>IFERROR('1.1 Structural changes (LC)'!C19/'Input-FX Rates'!$H$16,0)</f>
        <v>0</v>
      </c>
      <c r="D19" s="963" t="str">
        <f>IF(ISBLANK('1.1 Structural changes (LC)'!D19),"",'1.1 Structural changes (LC)'!D19)</f>
        <v/>
      </c>
      <c r="F19" s="695"/>
    </row>
    <row r="20" spans="1:6" ht="19.149999999999999" customHeight="1" x14ac:dyDescent="0.2">
      <c r="A20" s="702" t="str">
        <f>IF(ISBLANK('1.1 Structural changes (LC)'!A20),"",'1.1 Structural changes (LC)'!A20)</f>
        <v>Structural change 3</v>
      </c>
      <c r="B20" s="703">
        <f>IFERROR('1.1 Structural changes (LC)'!B20,0)</f>
        <v>0</v>
      </c>
      <c r="C20" s="704">
        <f>IFERROR('1.1 Structural changes (LC)'!C20/'Input-FX Rates'!$H$16,0)</f>
        <v>0</v>
      </c>
      <c r="D20" s="963" t="str">
        <f>IF(ISBLANK('1.1 Structural changes (LC)'!D20),"",'1.1 Structural changes (LC)'!D20)</f>
        <v/>
      </c>
      <c r="F20" s="695"/>
    </row>
    <row r="21" spans="1:6" ht="19.149999999999999" customHeight="1" x14ac:dyDescent="0.2">
      <c r="A21" s="702" t="str">
        <f>IF(ISBLANK('1.1 Structural changes (LC)'!A21),"",'1.1 Structural changes (LC)'!A21)</f>
        <v>Structural change 4</v>
      </c>
      <c r="B21" s="703">
        <f>IFERROR('1.1 Structural changes (LC)'!B21,0)</f>
        <v>0</v>
      </c>
      <c r="C21" s="704">
        <f>IFERROR('1.1 Structural changes (LC)'!C21/'Input-FX Rates'!$H$16,0)</f>
        <v>0</v>
      </c>
      <c r="D21" s="963" t="str">
        <f>IF(ISBLANK('1.1 Structural changes (LC)'!D21),"",'1.1 Structural changes (LC)'!D21)</f>
        <v/>
      </c>
      <c r="F21" s="695"/>
    </row>
    <row r="22" spans="1:6" ht="19.149999999999999" customHeight="1" x14ac:dyDescent="0.2">
      <c r="A22" s="702" t="str">
        <f>IF(ISBLANK('1.1 Structural changes (LC)'!A22),"",'1.1 Structural changes (LC)'!A22)</f>
        <v>Structural change 5</v>
      </c>
      <c r="B22" s="703">
        <f>IFERROR('1.1 Structural changes (LC)'!B22,0)</f>
        <v>0</v>
      </c>
      <c r="C22" s="704">
        <f>IFERROR('1.1 Structural changes (LC)'!C22/'Input-FX Rates'!$H$16,0)</f>
        <v>0</v>
      </c>
      <c r="D22" s="963" t="str">
        <f>IF(ISBLANK('1.1 Structural changes (LC)'!D22),"",'1.1 Structural changes (LC)'!D22)</f>
        <v/>
      </c>
    </row>
    <row r="23" spans="1:6" ht="19.149999999999999" customHeight="1" x14ac:dyDescent="0.2">
      <c r="A23" s="702" t="str">
        <f>IF(ISBLANK('1.1 Structural changes (LC)'!A23),"",'1.1 Structural changes (LC)'!A23)</f>
        <v>Structural change 6</v>
      </c>
      <c r="B23" s="703">
        <f>IFERROR('1.1 Structural changes (LC)'!B23,0)</f>
        <v>0</v>
      </c>
      <c r="C23" s="704">
        <f>IFERROR('1.1 Structural changes (LC)'!C23/'Input-FX Rates'!$H$16,0)</f>
        <v>0</v>
      </c>
      <c r="D23" s="963" t="str">
        <f>IF(ISBLANK('1.1 Structural changes (LC)'!D23),"",'1.1 Structural changes (LC)'!D23)</f>
        <v/>
      </c>
    </row>
    <row r="24" spans="1:6" ht="19.149999999999999" customHeight="1" x14ac:dyDescent="0.2">
      <c r="A24" s="702" t="str">
        <f>IF(ISBLANK('1.1 Structural changes (LC)'!A24),"",'1.1 Structural changes (LC)'!A24)</f>
        <v>Structural change 7</v>
      </c>
      <c r="B24" s="703">
        <f>IFERROR('1.1 Structural changes (LC)'!B24,0)</f>
        <v>0</v>
      </c>
      <c r="C24" s="704">
        <f>IFERROR('1.1 Structural changes (LC)'!C24/'Input-FX Rates'!$H$16,0)</f>
        <v>0</v>
      </c>
      <c r="D24" s="963" t="str">
        <f>IF(ISBLANK('1.1 Structural changes (LC)'!D24),"",'1.1 Structural changes (LC)'!D24)</f>
        <v/>
      </c>
    </row>
    <row r="25" spans="1:6" ht="19.149999999999999" customHeight="1" x14ac:dyDescent="0.2">
      <c r="A25" s="702" t="str">
        <f>IF(ISBLANK('1.1 Structural changes (LC)'!A25),"",'1.1 Structural changes (LC)'!A25)</f>
        <v>Structural change 8</v>
      </c>
      <c r="B25" s="703">
        <f>IFERROR('1.1 Structural changes (LC)'!B25,0)</f>
        <v>0</v>
      </c>
      <c r="C25" s="704">
        <f>IFERROR('1.1 Structural changes (LC)'!C25/'Input-FX Rates'!$H$16,0)</f>
        <v>0</v>
      </c>
      <c r="D25" s="963" t="str">
        <f>IF(ISBLANK('1.1 Structural changes (LC)'!D25),"",'1.1 Structural changes (LC)'!D25)</f>
        <v/>
      </c>
    </row>
    <row r="26" spans="1:6" ht="19.149999999999999" customHeight="1" x14ac:dyDescent="0.2">
      <c r="A26" s="702" t="str">
        <f>IF(ISBLANK('1.1 Structural changes (LC)'!A26),"",'1.1 Structural changes (LC)'!A26)</f>
        <v>Structural change 9</v>
      </c>
      <c r="B26" s="703">
        <f>IFERROR('1.1 Structural changes (LC)'!B26,0)</f>
        <v>0</v>
      </c>
      <c r="C26" s="704">
        <f>IFERROR('1.1 Structural changes (LC)'!C26/'Input-FX Rates'!$H$16,0)</f>
        <v>0</v>
      </c>
      <c r="D26" s="963" t="str">
        <f>IF(ISBLANK('1.1 Structural changes (LC)'!D26),"",'1.1 Structural changes (LC)'!D26)</f>
        <v/>
      </c>
    </row>
    <row r="27" spans="1:6" ht="19.149999999999999" customHeight="1" x14ac:dyDescent="0.2">
      <c r="A27" s="702" t="str">
        <f>IF(ISBLANK('1.1 Structural changes (LC)'!A27),"",'1.1 Structural changes (LC)'!A27)</f>
        <v>Structural change 10</v>
      </c>
      <c r="B27" s="703">
        <f>IFERROR('1.1 Structural changes (LC)'!B27,0)</f>
        <v>0</v>
      </c>
      <c r="C27" s="704">
        <f>IFERROR('1.1 Structural changes (LC)'!C27/'Input-FX Rates'!$H$16,0)</f>
        <v>0</v>
      </c>
      <c r="D27" s="963" t="str">
        <f>IF(ISBLANK('1.1 Structural changes (LC)'!D27),"",'1.1 Structural changes (LC)'!D27)</f>
        <v/>
      </c>
    </row>
    <row r="28" spans="1:6" ht="22.5" customHeight="1" x14ac:dyDescent="0.2">
      <c r="A28" s="452" t="s">
        <v>916</v>
      </c>
      <c r="B28" s="78">
        <f>IFERROR('1.1 Structural changes (LC)'!B28,0)</f>
        <v>0</v>
      </c>
      <c r="C28" s="265">
        <f>IFERROR('1.1 Structural changes (LC)'!C28/'Input-FX Rates'!$H$16,0)</f>
        <v>0</v>
      </c>
      <c r="D28" s="962" t="str">
        <f>IF(ISBLANK('1.1 Structural changes (LC)'!D28),"",'1.1 Structural changes (LC)'!D28)</f>
        <v/>
      </c>
    </row>
  </sheetData>
  <mergeCells count="1">
    <mergeCell ref="B4:C4"/>
  </mergeCells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F870E99ECA94F864B327C5B7E3838" ma:contentTypeVersion="48" ma:contentTypeDescription="Create a new document." ma:contentTypeScope="" ma:versionID="82b9f7007cc6be862c240747973d81ce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e8258b38c56eae07d2fa1a90e4b3e342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Application xmlns="http://www.sap.com/cof/excel/application">
  <Version>2</Version>
  <Revision>2.8.1300.98253</Revision>
</Application>
</file>

<file path=customXml/itemProps1.xml><?xml version="1.0" encoding="utf-8"?>
<ds:datastoreItem xmlns:ds="http://schemas.openxmlformats.org/officeDocument/2006/customXml" ds:itemID="{C3828A02-83B4-4E02-B3AD-2C9A42C7B05E}"/>
</file>

<file path=customXml/itemProps2.xml><?xml version="1.0" encoding="utf-8"?>
<ds:datastoreItem xmlns:ds="http://schemas.openxmlformats.org/officeDocument/2006/customXml" ds:itemID="{576946B0-D050-4DE0-9B51-0E296A5703B4}">
  <ds:schemaRefs>
    <ds:schemaRef ds:uri="http://schemas.microsoft.com/office/infopath/2007/PartnerControls"/>
    <ds:schemaRef ds:uri="236118e9-2a95-4329-9704-c1b59db7da16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4CC5501-9A21-4D82-B6A8-2915BE593D8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E011E51-9670-4602-832D-D4867DAC764C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28</vt:i4>
      </vt:variant>
    </vt:vector>
  </HeadingPairs>
  <TitlesOfParts>
    <vt:vector size="62" baseType="lpstr">
      <vt:lpstr>Version History</vt:lpstr>
      <vt:lpstr>Settings</vt:lpstr>
      <vt:lpstr>Input-FX Rates</vt:lpstr>
      <vt:lpstr>0. Instructions</vt:lpstr>
      <vt:lpstr>1. Main Issues (LC)</vt:lpstr>
      <vt:lpstr>1. Main Issues (GC)</vt:lpstr>
      <vt:lpstr>1.1 Structural changes (LC)</vt:lpstr>
      <vt:lpstr>1.1 Structural changes (GC)</vt:lpstr>
      <vt:lpstr>2. Variable (LC)</vt:lpstr>
      <vt:lpstr>2. Variable (GC)</vt:lpstr>
      <vt:lpstr>3. Scrap (LC)</vt:lpstr>
      <vt:lpstr>3. Scrap (GC)</vt:lpstr>
      <vt:lpstr>4. Fix Cost (LC) </vt:lpstr>
      <vt:lpstr>4. Fix Cost (GC)</vt:lpstr>
      <vt:lpstr>5. Logistic Cost (LC)</vt:lpstr>
      <vt:lpstr>5.  Logistic Cost (GC)</vt:lpstr>
      <vt:lpstr>5.1 Inventory (LC)</vt:lpstr>
      <vt:lpstr>5.1 Inventory (GC)</vt:lpstr>
      <vt:lpstr>6. HC (LC)</vt:lpstr>
      <vt:lpstr>6. HC (GC)</vt:lpstr>
      <vt:lpstr>7. BS-Key Figures (LC)</vt:lpstr>
      <vt:lpstr>7. BS-Key Figures (GC)</vt:lpstr>
      <vt:lpstr>8. Volumes</vt:lpstr>
      <vt:lpstr>10. Purchasing (LC)</vt:lpstr>
      <vt:lpstr>10. Purchasing (GC)</vt:lpstr>
      <vt:lpstr>11. R&amp;O (LC) </vt:lpstr>
      <vt:lpstr>11. R&amp;O (GC)</vt:lpstr>
      <vt:lpstr>P&amp;L</vt:lpstr>
      <vt:lpstr>KeyData</vt:lpstr>
      <vt:lpstr>P&amp;L_seasonal</vt:lpstr>
      <vt:lpstr>KeyData_seasonal</vt:lpstr>
      <vt:lpstr>Race_2024</vt:lpstr>
      <vt:lpstr>Race_2024_Seasonal</vt:lpstr>
      <vt:lpstr>Consolidation_BU_Budget</vt:lpstr>
      <vt:lpstr>BA_code</vt:lpstr>
      <vt:lpstr>BA_Name</vt:lpstr>
      <vt:lpstr>BU_Codes</vt:lpstr>
      <vt:lpstr>FX_BS</vt:lpstr>
      <vt:lpstr>FX_PL</vt:lpstr>
      <vt:lpstr>Outlet_Codes</vt:lpstr>
      <vt:lpstr>Plant_Code_FIRE</vt:lpstr>
      <vt:lpstr>'1. Main Issues (GC)'!Print_Area</vt:lpstr>
      <vt:lpstr>'1. Main Issues (LC)'!Print_Area</vt:lpstr>
      <vt:lpstr>'1.1 Structural changes (GC)'!Print_Area</vt:lpstr>
      <vt:lpstr>'1.1 Structural changes (LC)'!Print_Area</vt:lpstr>
      <vt:lpstr>'11. R&amp;O (GC)'!Print_Area</vt:lpstr>
      <vt:lpstr>'11. R&amp;O (LC) '!Print_Area</vt:lpstr>
      <vt:lpstr>'2. Variable (GC)'!Print_Area</vt:lpstr>
      <vt:lpstr>'2. Variable (LC)'!Print_Area</vt:lpstr>
      <vt:lpstr>'3. Scrap (GC)'!Print_Area</vt:lpstr>
      <vt:lpstr>'3. Scrap (LC)'!Print_Area</vt:lpstr>
      <vt:lpstr>'4. Fix Cost (GC)'!Print_Area</vt:lpstr>
      <vt:lpstr>'4. Fix Cost (LC) '!Print_Area</vt:lpstr>
      <vt:lpstr>'5.  Logistic Cost (GC)'!Print_Area</vt:lpstr>
      <vt:lpstr>'5. Logistic Cost (LC)'!Print_Area</vt:lpstr>
      <vt:lpstr>'6. HC (GC)'!Print_Area</vt:lpstr>
      <vt:lpstr>'6. HC (LC)'!Print_Area</vt:lpstr>
      <vt:lpstr>'7. BS-Key Figures (GC)'!Print_Area</vt:lpstr>
      <vt:lpstr>'7. BS-Key Figures (LC)'!Print_Area</vt:lpstr>
      <vt:lpstr>'8. Volumes'!Print_Area</vt:lpstr>
      <vt:lpstr>SAPCrosstab1</vt:lpstr>
      <vt:lpstr>SAPCrosstab3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Gruel, Kim (uic34337)</dc:creator>
  <cp:lastModifiedBy>Rhee, SeokWoo (uidj3659)</cp:lastModifiedBy>
  <dcterms:created xsi:type="dcterms:W3CDTF">2022-07-01T11:20:38Z</dcterms:created>
  <dcterms:modified xsi:type="dcterms:W3CDTF">2023-10-17T01:05:04Z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0x0101007EAF870E99ECA94F864B327C5B7E3838</vt:lpwstr>
  </property>
  <property fmtid="{D5CDD505-2E9C-101B-9397-08002B2CF9AE}" pid="11" name="MediaServiceImageTags">
    <vt:lpwstr/>
  </property>
  <property fmtid="{D5CDD505-2E9C-101B-9397-08002B2CF9AE}" pid="12" name="CofWorkbookId">
    <vt:lpwstr>98b5a121-668a-4285-93f6-26f5ea65cd38</vt:lpwstr>
  </property>
  <property fmtid="{D5CDD505-2E9C-101B-9397-08002B2CF9AE}" pid="13" name="Order">
    <vt:r8>30551000</vt:r8>
  </property>
  <property fmtid="{D5CDD505-2E9C-101B-9397-08002B2CF9AE}" pid="14" name="KeyPoints">
    <vt:lpwstr/>
  </property>
  <property fmtid="{D5CDD505-2E9C-101B-9397-08002B2CF9AE}" pid="15" name="xd_Signature">
    <vt:bool>false</vt:bool>
  </property>
  <property fmtid="{D5CDD505-2E9C-101B-9397-08002B2CF9AE}" pid="16" name="xd_ProgID">
    <vt:lpwstr/>
  </property>
  <property fmtid="{D5CDD505-2E9C-101B-9397-08002B2CF9AE}" pid="17" name="Shared With Details">
    <vt:lpwstr/>
  </property>
  <property fmtid="{D5CDD505-2E9C-101B-9397-08002B2CF9AE}" pid="18" name="Shared With">
    <vt:lpwstr/>
  </property>
  <property fmtid="{D5CDD505-2E9C-101B-9397-08002B2CF9AE}" pid="19" name="ComplianceAssetId">
    <vt:lpwstr/>
  </property>
  <property fmtid="{D5CDD505-2E9C-101B-9397-08002B2CF9AE}" pid="20" name="TemplateUrl">
    <vt:lpwstr/>
  </property>
  <property fmtid="{D5CDD505-2E9C-101B-9397-08002B2CF9AE}" pid="21" name="_ExtendedDescription">
    <vt:lpwstr/>
  </property>
  <property fmtid="{D5CDD505-2E9C-101B-9397-08002B2CF9AE}" pid="22" name="TriggerFlowInfo">
    <vt:lpwstr/>
  </property>
</Properties>
</file>