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fs.ad.pref.shimane.jp\農林水産部\東部農林水産振興センター　出雲事務所\農業普及部\R7\081畜産\01畜産振興\060飼料作物\青刈トウモロコシ\米らいふ\国庫飼料自給率向上緊急対策事業\"/>
    </mc:Choice>
  </mc:AlternateContent>
  <xr:revisionPtr revIDLastSave="0" documentId="13_ncr:1_{1AF6D83A-3E5F-4194-B1D0-FE51CB5EFBA4}" xr6:coauthVersionLast="47" xr6:coauthVersionMax="47" xr10:uidLastSave="{00000000-0000-0000-0000-000000000000}"/>
  <bookViews>
    <workbookView xWindow="-120" yWindow="-120" windowWidth="29040" windowHeight="15720" xr2:uid="{00000000-000D-0000-FFFF-FFFF00000000}"/>
  </bookViews>
  <sheets>
    <sheet name="01　別紙２様式第３－１号" sheetId="2" r:id="rId1"/>
    <sheet name="別紙２様式第３－１号の７" sheetId="4" r:id="rId2"/>
    <sheet name="入力する経費" sheetId="5" r:id="rId3"/>
    <sheet name="参考＿経営収支計画" sheetId="6" r:id="rId4"/>
    <sheet name="参考＿経営収支計画根拠" sheetId="8" r:id="rId5"/>
    <sheet name="別紙２様式第３－１号の７ (品目別)" sheetId="7" r:id="rId6"/>
  </sheets>
  <definedNames>
    <definedName name="_xlnm.Print_Area" localSheetId="0">'01　別紙２様式第３－１号'!$A$1:$G$83</definedName>
    <definedName name="_xlnm.Print_Area" localSheetId="3">参考＿経営収支計画!$B$1:$AG$59</definedName>
    <definedName name="_xlnm.Print_Area" localSheetId="1">'別紙２様式第３－１号の７'!$A$1:$AP$36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4" l="1"/>
  <c r="G28" i="4"/>
  <c r="Y40" i="6"/>
  <c r="AD10" i="4"/>
  <c r="AD9" i="4"/>
  <c r="AD8" i="4"/>
  <c r="AD7" i="4"/>
  <c r="AD11" i="4"/>
  <c r="G25" i="7"/>
  <c r="G32" i="4"/>
  <c r="AA52" i="6"/>
  <c r="Z45" i="6"/>
  <c r="Z39" i="6"/>
  <c r="Z51" i="6"/>
  <c r="Z50" i="6"/>
  <c r="Z49" i="6"/>
  <c r="Z48" i="6"/>
  <c r="Z47" i="6"/>
  <c r="Z46" i="6"/>
  <c r="Z44" i="6"/>
  <c r="Z43" i="6"/>
  <c r="Z42" i="6"/>
  <c r="Z41" i="6"/>
  <c r="Z40" i="6"/>
  <c r="C9" i="5"/>
  <c r="Z35" i="6"/>
  <c r="Z34" i="6"/>
  <c r="Z33" i="6"/>
  <c r="Z36" i="6" s="1"/>
  <c r="C35" i="2"/>
  <c r="G63" i="2"/>
  <c r="C63" i="2"/>
  <c r="Y51" i="6"/>
  <c r="Y50" i="6"/>
  <c r="Y49" i="6"/>
  <c r="Y48" i="6"/>
  <c r="Y47" i="6"/>
  <c r="Y46" i="6"/>
  <c r="Y44" i="6"/>
  <c r="Y43" i="6"/>
  <c r="Y42" i="6"/>
  <c r="Y41" i="6"/>
  <c r="Y45" i="6"/>
  <c r="Y39" i="6"/>
  <c r="Y52" i="6" s="1"/>
  <c r="AE84" i="8"/>
  <c r="S55" i="8"/>
  <c r="S56" i="8"/>
  <c r="Q55" i="8"/>
  <c r="S54" i="8"/>
  <c r="Y35" i="6"/>
  <c r="Y34" i="6"/>
  <c r="Y33" i="6"/>
  <c r="R55" i="8"/>
  <c r="V55" i="8"/>
  <c r="U55" i="8"/>
  <c r="T55" i="8"/>
  <c r="R54" i="8"/>
  <c r="V54" i="8"/>
  <c r="U54" i="8"/>
  <c r="T54" i="8"/>
  <c r="Y57" i="6"/>
  <c r="Z57" i="6"/>
  <c r="O18" i="5"/>
  <c r="O17" i="5"/>
  <c r="G19" i="7" s="1"/>
  <c r="O10" i="5"/>
  <c r="AD83" i="8"/>
  <c r="AE82" i="8"/>
  <c r="AE81" i="8"/>
  <c r="AE80" i="8"/>
  <c r="AE79" i="8"/>
  <c r="AE78" i="8"/>
  <c r="Z78" i="8"/>
  <c r="Z79" i="8" s="1"/>
  <c r="Q54" i="8" s="1"/>
  <c r="Y78" i="8"/>
  <c r="AE77" i="8"/>
  <c r="Z77" i="8"/>
  <c r="Z76" i="8"/>
  <c r="AE74" i="8"/>
  <c r="AE72" i="8"/>
  <c r="AE70" i="8"/>
  <c r="AE69" i="8"/>
  <c r="Z69" i="8"/>
  <c r="AE68" i="8"/>
  <c r="AE66" i="8"/>
  <c r="AE65" i="8"/>
  <c r="Q48" i="8"/>
  <c r="J41" i="8"/>
  <c r="P39" i="8"/>
  <c r="J39" i="8"/>
  <c r="P38" i="8"/>
  <c r="J38" i="8"/>
  <c r="S37" i="8"/>
  <c r="R37" i="8"/>
  <c r="Q37" i="8"/>
  <c r="P37" i="8"/>
  <c r="J37" i="8"/>
  <c r="P36" i="8"/>
  <c r="J36" i="8"/>
  <c r="J35" i="8"/>
  <c r="J34" i="8"/>
  <c r="J33" i="8"/>
  <c r="U28" i="8"/>
  <c r="T28" i="8"/>
  <c r="S28" i="8"/>
  <c r="R28" i="8"/>
  <c r="Q28" i="8"/>
  <c r="R27" i="8"/>
  <c r="Q27" i="8"/>
  <c r="K27" i="8"/>
  <c r="U26" i="8"/>
  <c r="T26" i="8"/>
  <c r="S26" i="8"/>
  <c r="R26" i="8"/>
  <c r="Q26" i="8"/>
  <c r="K26" i="8"/>
  <c r="J25" i="8"/>
  <c r="L25" i="8" s="1"/>
  <c r="I25" i="8"/>
  <c r="I27" i="8" s="1"/>
  <c r="J24" i="8"/>
  <c r="J27" i="8" s="1"/>
  <c r="R23" i="8"/>
  <c r="Q23" i="8"/>
  <c r="I23" i="8"/>
  <c r="I22" i="8"/>
  <c r="I21" i="8"/>
  <c r="S20" i="8"/>
  <c r="T20" i="8" s="1"/>
  <c r="U20" i="8" s="1"/>
  <c r="J23" i="8" s="1"/>
  <c r="L23" i="8" s="1"/>
  <c r="I20" i="8"/>
  <c r="I26" i="8" s="1"/>
  <c r="S19" i="8"/>
  <c r="T19" i="8" s="1"/>
  <c r="U19" i="8" s="1"/>
  <c r="J22" i="8" s="1"/>
  <c r="L22" i="8" s="1"/>
  <c r="T18" i="8"/>
  <c r="U18" i="8" s="1"/>
  <c r="J21" i="8" s="1"/>
  <c r="L21" i="8" s="1"/>
  <c r="S18" i="8"/>
  <c r="S17" i="8"/>
  <c r="S23" i="8" s="1"/>
  <c r="E16" i="8"/>
  <c r="D16" i="8"/>
  <c r="C16" i="8"/>
  <c r="E7" i="8"/>
  <c r="E17" i="8" s="1"/>
  <c r="D7" i="8"/>
  <c r="D17" i="8" s="1"/>
  <c r="E4" i="8"/>
  <c r="D4" i="8"/>
  <c r="C4" i="8"/>
  <c r="C7" i="8" s="1"/>
  <c r="O22" i="5"/>
  <c r="O31" i="5"/>
  <c r="O39" i="5"/>
  <c r="O38" i="5"/>
  <c r="O37" i="5"/>
  <c r="O36" i="5"/>
  <c r="O34" i="5"/>
  <c r="O29" i="5"/>
  <c r="O28" i="5"/>
  <c r="O30" i="4" s="1"/>
  <c r="O27" i="5"/>
  <c r="O26" i="5"/>
  <c r="O25" i="5"/>
  <c r="O23" i="5"/>
  <c r="D10" i="5"/>
  <c r="E10" i="5"/>
  <c r="F10" i="5"/>
  <c r="C10" i="5"/>
  <c r="D9" i="5"/>
  <c r="E9" i="5"/>
  <c r="F9" i="5"/>
  <c r="O29" i="4"/>
  <c r="G29" i="4"/>
  <c r="AG28" i="5"/>
  <c r="AA28" i="5"/>
  <c r="U28" i="5"/>
  <c r="AG24" i="5"/>
  <c r="AA24" i="5"/>
  <c r="U24" i="5"/>
  <c r="O24" i="5"/>
  <c r="C73" i="2"/>
  <c r="Z9" i="6" s="1"/>
  <c r="C62" i="2"/>
  <c r="G22" i="7"/>
  <c r="F22" i="7"/>
  <c r="D22" i="7"/>
  <c r="C22" i="7"/>
  <c r="E22" i="7"/>
  <c r="AG20" i="5"/>
  <c r="AA20" i="5"/>
  <c r="U20" i="5"/>
  <c r="O20" i="5"/>
  <c r="Y27" i="6"/>
  <c r="Y26" i="6"/>
  <c r="Z24" i="6"/>
  <c r="Y24" i="6"/>
  <c r="Y22" i="6"/>
  <c r="Y23" i="6"/>
  <c r="Y21" i="6"/>
  <c r="Y20" i="6"/>
  <c r="Y19" i="6"/>
  <c r="Y18" i="6"/>
  <c r="Y17" i="6"/>
  <c r="Y16" i="6"/>
  <c r="Y15" i="6"/>
  <c r="Y14" i="6"/>
  <c r="Y13" i="6"/>
  <c r="Z17" i="6"/>
  <c r="Z18" i="6"/>
  <c r="Z19" i="6"/>
  <c r="Z20" i="6"/>
  <c r="Z21" i="6"/>
  <c r="X14" i="6"/>
  <c r="X15" i="6"/>
  <c r="X16" i="6"/>
  <c r="X17" i="6"/>
  <c r="X18" i="6"/>
  <c r="X19" i="6"/>
  <c r="X20" i="6"/>
  <c r="X21" i="6"/>
  <c r="X22" i="6"/>
  <c r="X23" i="6"/>
  <c r="X24" i="6"/>
  <c r="X13" i="6"/>
  <c r="Y11" i="6"/>
  <c r="Y10" i="6"/>
  <c r="Y9" i="6"/>
  <c r="Z8" i="6"/>
  <c r="Z7" i="6"/>
  <c r="Z6" i="6"/>
  <c r="Y7" i="6"/>
  <c r="Y8" i="6"/>
  <c r="Y6" i="6"/>
  <c r="C37" i="2"/>
  <c r="G24" i="7"/>
  <c r="V34" i="7"/>
  <c r="V32" i="7"/>
  <c r="V31" i="7"/>
  <c r="V27" i="7"/>
  <c r="Q34" i="7"/>
  <c r="Q32" i="7"/>
  <c r="Q31" i="7"/>
  <c r="Q27" i="7"/>
  <c r="L34" i="7"/>
  <c r="L32" i="7"/>
  <c r="L31" i="7"/>
  <c r="L27" i="7"/>
  <c r="R39" i="7"/>
  <c r="M39" i="7"/>
  <c r="R45" i="7"/>
  <c r="R43" i="7"/>
  <c r="R42" i="7"/>
  <c r="R41" i="7"/>
  <c r="R40" i="7"/>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1" i="5"/>
  <c r="AE31" i="5"/>
  <c r="AD31" i="5"/>
  <c r="AC31" i="5"/>
  <c r="AF29" i="5"/>
  <c r="AE29" i="5"/>
  <c r="AD29" i="5"/>
  <c r="AC29" i="5"/>
  <c r="AF27" i="5"/>
  <c r="AE27" i="5"/>
  <c r="AD27" i="5"/>
  <c r="AC27" i="5"/>
  <c r="AF26" i="5"/>
  <c r="AE26" i="5"/>
  <c r="AD26" i="5"/>
  <c r="AC26" i="5"/>
  <c r="AF25" i="5"/>
  <c r="AE25" i="5"/>
  <c r="AD25" i="5"/>
  <c r="AC25" i="5"/>
  <c r="AF23" i="5"/>
  <c r="AE23" i="5"/>
  <c r="AD23" i="5"/>
  <c r="AC23" i="5"/>
  <c r="AF22" i="5"/>
  <c r="AE22" i="5"/>
  <c r="AD22" i="5"/>
  <c r="AC22" i="5"/>
  <c r="AF18" i="5"/>
  <c r="AE18" i="5"/>
  <c r="AD18" i="5"/>
  <c r="AC18" i="5"/>
  <c r="AF17" i="5"/>
  <c r="AE17" i="5"/>
  <c r="AD17" i="5"/>
  <c r="AC17" i="5"/>
  <c r="AF16" i="5"/>
  <c r="AE16" i="5"/>
  <c r="AD16" i="5"/>
  <c r="AC16" i="5"/>
  <c r="AF14" i="5"/>
  <c r="AE14" i="5"/>
  <c r="AD14" i="5"/>
  <c r="AC14" i="5"/>
  <c r="AF13" i="5"/>
  <c r="AE13" i="5"/>
  <c r="AD13" i="5"/>
  <c r="AC13" i="5"/>
  <c r="AF12" i="5"/>
  <c r="AE12" i="5"/>
  <c r="AD12" i="5"/>
  <c r="AC12" i="5"/>
  <c r="AF10" i="5"/>
  <c r="AE10" i="5"/>
  <c r="AD10" i="5"/>
  <c r="AC10" i="5"/>
  <c r="AF9" i="5"/>
  <c r="AE9" i="5"/>
  <c r="AD9" i="5"/>
  <c r="AC9" i="5"/>
  <c r="AF7" i="5"/>
  <c r="AE7" i="5"/>
  <c r="AD7" i="5"/>
  <c r="AC7" i="5"/>
  <c r="Z40" i="5"/>
  <c r="Y40" i="5"/>
  <c r="X40" i="5"/>
  <c r="W40" i="5"/>
  <c r="Z39" i="5"/>
  <c r="Y39" i="5"/>
  <c r="X39" i="5"/>
  <c r="W39" i="5"/>
  <c r="Z38" i="5"/>
  <c r="Y38" i="5"/>
  <c r="X38" i="5"/>
  <c r="W38" i="5"/>
  <c r="Z37" i="5"/>
  <c r="Y37" i="5"/>
  <c r="X37" i="5"/>
  <c r="W37" i="5"/>
  <c r="Z36" i="5"/>
  <c r="Y36" i="5"/>
  <c r="X36" i="5"/>
  <c r="W36" i="5"/>
  <c r="Z35" i="5"/>
  <c r="Y35" i="5"/>
  <c r="X35" i="5"/>
  <c r="W35" i="5"/>
  <c r="Z34" i="5"/>
  <c r="Y34" i="5"/>
  <c r="X34" i="5"/>
  <c r="W34" i="5"/>
  <c r="Z31" i="5"/>
  <c r="Y31" i="5"/>
  <c r="X31" i="5"/>
  <c r="W31" i="5"/>
  <c r="Z29" i="5"/>
  <c r="Y29" i="5"/>
  <c r="X29" i="5"/>
  <c r="W29" i="5"/>
  <c r="Z27" i="5"/>
  <c r="Y27" i="5"/>
  <c r="X27" i="5"/>
  <c r="W27" i="5"/>
  <c r="Z26" i="5"/>
  <c r="Y26" i="5"/>
  <c r="X26" i="5"/>
  <c r="W26" i="5"/>
  <c r="Z25" i="5"/>
  <c r="Y25" i="5"/>
  <c r="X25" i="5"/>
  <c r="W25" i="5"/>
  <c r="Z23" i="5"/>
  <c r="Y23" i="5"/>
  <c r="X23" i="5"/>
  <c r="W23" i="5"/>
  <c r="Z22" i="5"/>
  <c r="Y22" i="5"/>
  <c r="X22" i="5"/>
  <c r="W22" i="5"/>
  <c r="Z18" i="5"/>
  <c r="Y18" i="5"/>
  <c r="X18" i="5"/>
  <c r="W18" i="5"/>
  <c r="Z17" i="5"/>
  <c r="Y17" i="5"/>
  <c r="X17" i="5"/>
  <c r="W17" i="5"/>
  <c r="Z16" i="5"/>
  <c r="Y16" i="5"/>
  <c r="X16" i="5"/>
  <c r="W16" i="5"/>
  <c r="Z14" i="5"/>
  <c r="Y14" i="5"/>
  <c r="X14" i="5"/>
  <c r="W14" i="5"/>
  <c r="Z13" i="5"/>
  <c r="Y13" i="5"/>
  <c r="X13" i="5"/>
  <c r="W13" i="5"/>
  <c r="Z12" i="5"/>
  <c r="Y12" i="5"/>
  <c r="X12" i="5"/>
  <c r="W12" i="5"/>
  <c r="Z10" i="5"/>
  <c r="Y10" i="5"/>
  <c r="X10" i="5"/>
  <c r="W10" i="5"/>
  <c r="Z9" i="5"/>
  <c r="Y9" i="5"/>
  <c r="X9" i="5"/>
  <c r="W9" i="5"/>
  <c r="Z7" i="5"/>
  <c r="Y7" i="5"/>
  <c r="X7" i="5"/>
  <c r="W7" i="5"/>
  <c r="S22" i="5"/>
  <c r="T40" i="5"/>
  <c r="S40" i="5"/>
  <c r="R40" i="5"/>
  <c r="Q40" i="5"/>
  <c r="T39" i="5"/>
  <c r="S39" i="5"/>
  <c r="R39" i="5"/>
  <c r="Q39" i="5"/>
  <c r="T38" i="5"/>
  <c r="S38" i="5"/>
  <c r="R38" i="5"/>
  <c r="Q38" i="5"/>
  <c r="T37" i="5"/>
  <c r="S37" i="5"/>
  <c r="R37" i="5"/>
  <c r="Q37" i="5"/>
  <c r="T36" i="5"/>
  <c r="S36" i="5"/>
  <c r="R36" i="5"/>
  <c r="Q36" i="5"/>
  <c r="T35" i="5"/>
  <c r="S35" i="5"/>
  <c r="R35" i="5"/>
  <c r="Q35" i="5"/>
  <c r="T34" i="5"/>
  <c r="S34" i="5"/>
  <c r="R34" i="5"/>
  <c r="Q34" i="5"/>
  <c r="T31" i="5"/>
  <c r="S31" i="5"/>
  <c r="R31" i="5"/>
  <c r="Q31" i="5"/>
  <c r="T29" i="5"/>
  <c r="S29" i="5"/>
  <c r="R29" i="5"/>
  <c r="Q29" i="5"/>
  <c r="T27" i="5"/>
  <c r="S27" i="5"/>
  <c r="R27" i="5"/>
  <c r="Q27" i="5"/>
  <c r="T26" i="5"/>
  <c r="S26" i="5"/>
  <c r="R26" i="5"/>
  <c r="Q26" i="5"/>
  <c r="T25" i="5"/>
  <c r="S25" i="5"/>
  <c r="R25" i="5"/>
  <c r="Q25" i="5"/>
  <c r="T23" i="5"/>
  <c r="S23" i="5"/>
  <c r="R23" i="5"/>
  <c r="Q23" i="5"/>
  <c r="T22" i="5"/>
  <c r="R22" i="5"/>
  <c r="Q22" i="5"/>
  <c r="T18" i="5"/>
  <c r="S18" i="5"/>
  <c r="R18" i="5"/>
  <c r="Q18" i="5"/>
  <c r="T17" i="5"/>
  <c r="S17" i="5"/>
  <c r="R17" i="5"/>
  <c r="Q17" i="5"/>
  <c r="T16" i="5"/>
  <c r="S16" i="5"/>
  <c r="R16" i="5"/>
  <c r="Q16" i="5"/>
  <c r="T14" i="5"/>
  <c r="S14" i="5"/>
  <c r="R14" i="5"/>
  <c r="Q14" i="5"/>
  <c r="T13" i="5"/>
  <c r="S13" i="5"/>
  <c r="R13" i="5"/>
  <c r="Q13" i="5"/>
  <c r="T12" i="5"/>
  <c r="S12" i="5"/>
  <c r="R12" i="5"/>
  <c r="Q12" i="5"/>
  <c r="T10" i="5"/>
  <c r="S10" i="5"/>
  <c r="R10" i="5"/>
  <c r="Q10" i="5"/>
  <c r="T9" i="5"/>
  <c r="S9" i="5"/>
  <c r="R9" i="5"/>
  <c r="Q9" i="5"/>
  <c r="T7" i="5"/>
  <c r="S7" i="5"/>
  <c r="R7" i="5"/>
  <c r="Q7" i="5"/>
  <c r="K40" i="5"/>
  <c r="K35" i="5"/>
  <c r="K16" i="5"/>
  <c r="K9" i="5"/>
  <c r="K12" i="5"/>
  <c r="K13" i="5"/>
  <c r="K14" i="5"/>
  <c r="M40" i="5"/>
  <c r="M35" i="5"/>
  <c r="M16" i="5"/>
  <c r="M9" i="5"/>
  <c r="M12" i="5"/>
  <c r="M13" i="5"/>
  <c r="M14" i="5"/>
  <c r="M7" i="5"/>
  <c r="N40" i="5"/>
  <c r="L40" i="5"/>
  <c r="L9" i="5"/>
  <c r="N9" i="5"/>
  <c r="L12" i="5"/>
  <c r="N12" i="5"/>
  <c r="L13" i="5"/>
  <c r="N13" i="5"/>
  <c r="L14" i="5"/>
  <c r="N14" i="5"/>
  <c r="L16" i="5"/>
  <c r="N16" i="5"/>
  <c r="L35" i="5"/>
  <c r="N35" i="5"/>
  <c r="N7" i="5"/>
  <c r="L7" i="5"/>
  <c r="K7" i="5"/>
  <c r="E53" i="2"/>
  <c r="E44" i="2"/>
  <c r="M42" i="7"/>
  <c r="H42" i="7"/>
  <c r="C72" i="2" l="1"/>
  <c r="C28" i="2" s="1"/>
  <c r="Z52" i="6"/>
  <c r="Z55" i="6" s="1"/>
  <c r="Z25" i="6" s="1"/>
  <c r="G26" i="4"/>
  <c r="Y36" i="6"/>
  <c r="Y55" i="6" s="1"/>
  <c r="Y25" i="6" s="1"/>
  <c r="L24" i="8"/>
  <c r="L27" i="8" s="1"/>
  <c r="Q34" i="8"/>
  <c r="Q29" i="8"/>
  <c r="R34" i="8"/>
  <c r="R29" i="8"/>
  <c r="S34" i="8"/>
  <c r="S29" i="8"/>
  <c r="AE83" i="8"/>
  <c r="R56" i="8"/>
  <c r="Q56" i="8"/>
  <c r="T29" i="8"/>
  <c r="S27" i="8"/>
  <c r="U29" i="8"/>
  <c r="C17" i="8"/>
  <c r="T17" i="8"/>
  <c r="L35" i="7"/>
  <c r="R46" i="7"/>
  <c r="R47" i="7" s="1"/>
  <c r="R48" i="7" s="1"/>
  <c r="Q35" i="7"/>
  <c r="V35" i="7"/>
  <c r="E47" i="2"/>
  <c r="E50" i="2"/>
  <c r="E31" i="7"/>
  <c r="E27" i="7"/>
  <c r="E14" i="7"/>
  <c r="E12" i="7"/>
  <c r="E13" i="7"/>
  <c r="E11" i="7"/>
  <c r="E10" i="7"/>
  <c r="T23" i="8" l="1"/>
  <c r="U17" i="8"/>
  <c r="T37" i="8"/>
  <c r="T56" i="8"/>
  <c r="T45" i="8"/>
  <c r="S33" i="8"/>
  <c r="T50" i="8"/>
  <c r="T46" i="8"/>
  <c r="S38" i="8"/>
  <c r="V45" i="8"/>
  <c r="S45" i="8"/>
  <c r="R33" i="8"/>
  <c r="S46" i="8"/>
  <c r="S50" i="8"/>
  <c r="R38" i="8"/>
  <c r="R45" i="8"/>
  <c r="Q33" i="8"/>
  <c r="U45" i="8"/>
  <c r="Q38" i="8"/>
  <c r="R46" i="8"/>
  <c r="R50" i="8"/>
  <c r="E32" i="7"/>
  <c r="E33" i="7" s="1"/>
  <c r="R51" i="8" l="1"/>
  <c r="R49" i="8"/>
  <c r="Q39" i="8"/>
  <c r="R44" i="8"/>
  <c r="R52" i="8"/>
  <c r="R48" i="8"/>
  <c r="T51" i="8"/>
  <c r="T49" i="8"/>
  <c r="S39" i="8"/>
  <c r="T47" i="8" s="1"/>
  <c r="T52" i="8"/>
  <c r="T44" i="8"/>
  <c r="T48" i="8"/>
  <c r="S51" i="8"/>
  <c r="S49" i="8"/>
  <c r="R39" i="8"/>
  <c r="S47" i="8" s="1"/>
  <c r="S44" i="8"/>
  <c r="S52" i="8"/>
  <c r="S48" i="8"/>
  <c r="U37" i="8"/>
  <c r="J20" i="8"/>
  <c r="U23" i="8"/>
  <c r="R47" i="8"/>
  <c r="T34" i="8"/>
  <c r="T27" i="8"/>
  <c r="T33" i="8" s="1"/>
  <c r="U56" i="8"/>
  <c r="E34" i="7"/>
  <c r="E35" i="7" s="1"/>
  <c r="AD6" i="4"/>
  <c r="Z11" i="6" l="1"/>
  <c r="L6" i="4"/>
  <c r="U34" i="8"/>
  <c r="U27" i="8"/>
  <c r="U33" i="8" s="1"/>
  <c r="J26" i="8"/>
  <c r="L20" i="8"/>
  <c r="L26" i="8" s="1"/>
  <c r="U51" i="8"/>
  <c r="U49" i="8"/>
  <c r="T39" i="8"/>
  <c r="U52" i="8"/>
  <c r="U44" i="8"/>
  <c r="U48" i="8"/>
  <c r="U50" i="8"/>
  <c r="U46" i="8"/>
  <c r="T38" i="8"/>
  <c r="D31" i="7"/>
  <c r="C31" i="7"/>
  <c r="D28" i="7"/>
  <c r="C28" i="7"/>
  <c r="F27" i="7"/>
  <c r="D27" i="7"/>
  <c r="C27" i="7"/>
  <c r="F31" i="7"/>
  <c r="M45" i="7"/>
  <c r="M43" i="7"/>
  <c r="M41" i="7"/>
  <c r="M40" i="7"/>
  <c r="H45" i="7"/>
  <c r="H43" i="7"/>
  <c r="H41" i="7"/>
  <c r="H40" i="7"/>
  <c r="H39" i="7"/>
  <c r="G18" i="7"/>
  <c r="O3" i="5"/>
  <c r="U47" i="8" l="1"/>
  <c r="V56" i="8"/>
  <c r="U39" i="8"/>
  <c r="V52" i="8"/>
  <c r="V44" i="8"/>
  <c r="V51" i="8"/>
  <c r="V49" i="8"/>
  <c r="V48" i="8"/>
  <c r="V50" i="8"/>
  <c r="V46" i="8"/>
  <c r="U38" i="8"/>
  <c r="V47" i="8" s="1"/>
  <c r="G27" i="7"/>
  <c r="G31" i="7"/>
  <c r="D29" i="7"/>
  <c r="M46" i="7"/>
  <c r="M47" i="7" s="1"/>
  <c r="M48" i="7" s="1"/>
  <c r="C29" i="7"/>
  <c r="H46" i="7"/>
  <c r="H47" i="7" s="1"/>
  <c r="H48" i="7" s="1"/>
  <c r="C39" i="7"/>
  <c r="B53" i="7" s="1"/>
  <c r="D10" i="7"/>
  <c r="F10" i="7"/>
  <c r="D11" i="7"/>
  <c r="F11" i="7"/>
  <c r="D12" i="7"/>
  <c r="F12" i="7"/>
  <c r="D13" i="7"/>
  <c r="F13" i="7"/>
  <c r="C13" i="7"/>
  <c r="C12" i="7"/>
  <c r="C11" i="7"/>
  <c r="C10" i="7"/>
  <c r="AG40" i="5"/>
  <c r="AG39" i="5"/>
  <c r="AG38" i="5"/>
  <c r="AG37" i="5"/>
  <c r="AG36" i="5"/>
  <c r="AG35" i="5"/>
  <c r="AG34" i="5"/>
  <c r="AG33" i="5"/>
  <c r="AG32" i="5"/>
  <c r="AG31" i="5"/>
  <c r="AG30" i="5"/>
  <c r="AG29" i="5"/>
  <c r="AG27" i="5"/>
  <c r="AG26" i="5"/>
  <c r="AG25" i="5"/>
  <c r="AG23" i="5"/>
  <c r="AG22" i="5"/>
  <c r="AG21" i="5"/>
  <c r="AG19" i="5"/>
  <c r="AG18" i="5"/>
  <c r="AG17" i="5"/>
  <c r="AG16" i="5"/>
  <c r="AA40" i="5"/>
  <c r="AA39" i="5"/>
  <c r="AA38" i="5"/>
  <c r="AA37" i="5"/>
  <c r="AA36" i="5"/>
  <c r="AA35" i="5"/>
  <c r="AA34" i="5"/>
  <c r="AA33" i="5"/>
  <c r="AA32" i="5"/>
  <c r="AA31" i="5"/>
  <c r="AA30" i="5"/>
  <c r="AA29" i="5"/>
  <c r="AA27" i="5"/>
  <c r="AA26" i="5"/>
  <c r="AA25" i="5"/>
  <c r="AA23" i="5"/>
  <c r="AA22" i="5"/>
  <c r="AA21" i="5"/>
  <c r="AA19" i="5"/>
  <c r="AA18" i="5"/>
  <c r="AA17" i="5"/>
  <c r="AA16" i="5"/>
  <c r="U40" i="5"/>
  <c r="U39" i="5"/>
  <c r="U38" i="5"/>
  <c r="U37" i="5"/>
  <c r="U36" i="5"/>
  <c r="U35" i="5"/>
  <c r="U34" i="5"/>
  <c r="U33" i="5"/>
  <c r="U32" i="5"/>
  <c r="U31" i="5"/>
  <c r="U30" i="5"/>
  <c r="U29" i="5"/>
  <c r="U27" i="5"/>
  <c r="U26" i="5"/>
  <c r="U25" i="5"/>
  <c r="U23" i="5"/>
  <c r="U22" i="5"/>
  <c r="U21" i="5"/>
  <c r="U19" i="5"/>
  <c r="U18" i="5"/>
  <c r="U17" i="5"/>
  <c r="U16" i="5"/>
  <c r="AG14" i="5"/>
  <c r="AG13" i="5"/>
  <c r="AG12" i="5"/>
  <c r="AG11" i="5"/>
  <c r="AG10" i="5"/>
  <c r="AG9" i="5"/>
  <c r="AG8" i="5"/>
  <c r="AG7" i="5"/>
  <c r="AG6" i="5"/>
  <c r="AG5" i="5"/>
  <c r="AG4" i="5"/>
  <c r="AG3" i="5"/>
  <c r="AA14" i="5"/>
  <c r="AA13" i="5"/>
  <c r="AA12" i="5"/>
  <c r="AA11" i="5"/>
  <c r="AA10" i="5"/>
  <c r="AA9" i="5"/>
  <c r="AA8" i="5"/>
  <c r="AA7" i="5"/>
  <c r="AA6" i="5"/>
  <c r="AA5" i="5"/>
  <c r="AA4" i="5"/>
  <c r="AA3" i="5"/>
  <c r="U14" i="5"/>
  <c r="U13" i="5"/>
  <c r="U12" i="5"/>
  <c r="U11" i="5"/>
  <c r="U10" i="5"/>
  <c r="U9" i="5"/>
  <c r="U8" i="5"/>
  <c r="U7" i="5"/>
  <c r="U6" i="5"/>
  <c r="U5" i="5"/>
  <c r="U4" i="5"/>
  <c r="U3" i="5"/>
  <c r="O40" i="5"/>
  <c r="O33" i="5"/>
  <c r="O32" i="5"/>
  <c r="O30" i="5"/>
  <c r="O19" i="5"/>
  <c r="O11" i="5"/>
  <c r="O8" i="5"/>
  <c r="O6" i="5"/>
  <c r="G20" i="4" s="1"/>
  <c r="O5" i="5"/>
  <c r="G19" i="4" s="1"/>
  <c r="O4" i="5"/>
  <c r="G18" i="4" s="1"/>
  <c r="O35" i="5"/>
  <c r="G30" i="4"/>
  <c r="C14" i="7"/>
  <c r="D14" i="7"/>
  <c r="Z8" i="4"/>
  <c r="Z7" i="4"/>
  <c r="AE26" i="4"/>
  <c r="S26" i="4"/>
  <c r="G25" i="4"/>
  <c r="O25" i="4" s="1"/>
  <c r="AE25" i="4"/>
  <c r="S25" i="4"/>
  <c r="S31" i="4"/>
  <c r="AE31" i="4"/>
  <c r="S32" i="4"/>
  <c r="AE32" i="4"/>
  <c r="S24" i="4"/>
  <c r="AE24" i="4"/>
  <c r="AE23" i="4"/>
  <c r="S23" i="4"/>
  <c r="AE22" i="4"/>
  <c r="S22" i="4"/>
  <c r="AE21" i="4"/>
  <c r="S21" i="4"/>
  <c r="AE20" i="4"/>
  <c r="S20" i="4"/>
  <c r="S18" i="4"/>
  <c r="AE18" i="4"/>
  <c r="S19" i="4"/>
  <c r="AE19" i="4"/>
  <c r="K20" i="4" l="1"/>
  <c r="Z16" i="6"/>
  <c r="K19" i="4"/>
  <c r="Z15" i="6"/>
  <c r="K18" i="4"/>
  <c r="Z14" i="6"/>
  <c r="Z23" i="6"/>
  <c r="E87" i="7"/>
  <c r="F87" i="7" s="1"/>
  <c r="E88" i="7"/>
  <c r="F88" i="7" s="1"/>
  <c r="E86" i="7"/>
  <c r="F86" i="7" s="1"/>
  <c r="E85" i="7"/>
  <c r="F85" i="7" s="1"/>
  <c r="E84" i="7"/>
  <c r="F84" i="7" s="1"/>
  <c r="D32" i="7"/>
  <c r="C32" i="7"/>
  <c r="O9" i="5"/>
  <c r="O13" i="5"/>
  <c r="O26" i="4" s="1"/>
  <c r="O7" i="5"/>
  <c r="O21" i="5"/>
  <c r="O14" i="5"/>
  <c r="G15" i="7" s="1"/>
  <c r="G31" i="4"/>
  <c r="O31" i="4" s="1"/>
  <c r="O16" i="5"/>
  <c r="G17" i="7" s="1"/>
  <c r="O12" i="5"/>
  <c r="G23" i="7"/>
  <c r="F14" i="7"/>
  <c r="C43" i="7" s="1"/>
  <c r="G17" i="4"/>
  <c r="G62" i="2"/>
  <c r="G35" i="2" s="1"/>
  <c r="K17" i="4" l="1"/>
  <c r="Z13" i="6"/>
  <c r="B83" i="7"/>
  <c r="E83" i="7" s="1"/>
  <c r="F83" i="7" s="1"/>
  <c r="C44" i="7"/>
  <c r="C52" i="7" s="1"/>
  <c r="G21" i="4"/>
  <c r="K21" i="4" s="1"/>
  <c r="G23" i="4"/>
  <c r="K23" i="4" s="1"/>
  <c r="G16" i="7"/>
  <c r="G26" i="7" s="1"/>
  <c r="C33" i="7"/>
  <c r="C34" i="7"/>
  <c r="D33" i="7"/>
  <c r="D34" i="7"/>
  <c r="D35" i="7" s="1"/>
  <c r="F32" i="7"/>
  <c r="G32" i="7" s="1"/>
  <c r="C46" i="7"/>
  <c r="C47" i="7" s="1"/>
  <c r="G24" i="4"/>
  <c r="K24" i="4" s="1"/>
  <c r="G22" i="4"/>
  <c r="K22" i="4" s="1"/>
  <c r="C30" i="2"/>
  <c r="G33" i="4"/>
  <c r="O32" i="4" l="1"/>
  <c r="C58" i="7"/>
  <c r="C55" i="7"/>
  <c r="C59" i="7"/>
  <c r="C60" i="7"/>
  <c r="C61" i="7"/>
  <c r="C56" i="7"/>
  <c r="C57" i="7"/>
  <c r="C54" i="7"/>
  <c r="C53" i="7"/>
  <c r="C35" i="7"/>
  <c r="C42" i="7"/>
  <c r="C40" i="7"/>
  <c r="C45" i="7"/>
  <c r="D52" i="7" s="1"/>
  <c r="E52" i="7" s="1"/>
  <c r="F52" i="7" s="1"/>
  <c r="F33" i="7"/>
  <c r="F34" i="7"/>
  <c r="F35" i="7" s="1"/>
  <c r="C41" i="7"/>
  <c r="K28" i="4"/>
  <c r="AE34" i="4"/>
  <c r="AE33" i="4"/>
  <c r="AE30" i="4"/>
  <c r="AE29" i="4"/>
  <c r="AE27" i="4"/>
  <c r="AE17" i="4"/>
  <c r="S34" i="4"/>
  <c r="S33" i="4"/>
  <c r="S30" i="4"/>
  <c r="S29" i="4"/>
  <c r="S27" i="4"/>
  <c r="S17" i="4"/>
  <c r="AM28" i="4"/>
  <c r="AI28" i="4"/>
  <c r="AA28" i="4"/>
  <c r="W28" i="4"/>
  <c r="AM16" i="4"/>
  <c r="AI16" i="4"/>
  <c r="AA16" i="4"/>
  <c r="W16" i="4"/>
  <c r="O16" i="4"/>
  <c r="K16" i="4"/>
  <c r="AL6" i="4"/>
  <c r="T6" i="4" s="1"/>
  <c r="AH6" i="4"/>
  <c r="P6" i="4" s="1"/>
  <c r="D60" i="7" l="1"/>
  <c r="E60" i="7" s="1"/>
  <c r="F60" i="7" s="1"/>
  <c r="D57" i="7"/>
  <c r="E57" i="7" s="1"/>
  <c r="F57" i="7" s="1"/>
  <c r="D58" i="7"/>
  <c r="E58" i="7" s="1"/>
  <c r="F58" i="7" s="1"/>
  <c r="D55" i="7"/>
  <c r="E55" i="7" s="1"/>
  <c r="F55" i="7" s="1"/>
  <c r="D59" i="7"/>
  <c r="E59" i="7" s="1"/>
  <c r="F59" i="7" s="1"/>
  <c r="D56" i="7"/>
  <c r="E56" i="7" s="1"/>
  <c r="F56" i="7" s="1"/>
  <c r="D61" i="7"/>
  <c r="E61" i="7" s="1"/>
  <c r="F61" i="7" s="1"/>
  <c r="D54" i="7"/>
  <c r="E54" i="7" s="1"/>
  <c r="F54" i="7" s="1"/>
  <c r="D53" i="7"/>
  <c r="E53" i="7" s="1"/>
  <c r="F53" i="7" s="1"/>
  <c r="G34" i="7"/>
  <c r="G35" i="7" s="1"/>
  <c r="C48" i="7"/>
  <c r="C84" i="7"/>
  <c r="C86" i="7"/>
  <c r="C87" i="7"/>
  <c r="C88" i="7"/>
  <c r="C83" i="7"/>
  <c r="C85" i="7"/>
  <c r="W35" i="4"/>
  <c r="P7" i="4" s="1"/>
  <c r="P9" i="4" s="1"/>
  <c r="P10" i="4" s="1"/>
  <c r="AI35" i="4"/>
  <c r="T7" i="4" s="1"/>
  <c r="T9" i="4" s="1"/>
  <c r="T10" i="4" s="1"/>
  <c r="AM35" i="4"/>
  <c r="T8" i="4" s="1"/>
  <c r="K35" i="4"/>
  <c r="L7" i="4" s="1"/>
  <c r="L9" i="4" s="1"/>
  <c r="L10" i="4" s="1"/>
  <c r="AA35" i="4"/>
  <c r="P8" i="4" s="1"/>
  <c r="AE28" i="4"/>
  <c r="S16" i="4"/>
  <c r="S35" i="4" s="1"/>
  <c r="AE16" i="4"/>
  <c r="G84" i="7" l="1"/>
  <c r="D84" i="7"/>
  <c r="G85" i="7"/>
  <c r="D85" i="7"/>
  <c r="G83" i="7"/>
  <c r="D83" i="7"/>
  <c r="G88" i="7"/>
  <c r="D88" i="7"/>
  <c r="G87" i="7"/>
  <c r="D87" i="7"/>
  <c r="G86" i="7"/>
  <c r="D86" i="7"/>
  <c r="T11" i="4"/>
  <c r="P11" i="4"/>
  <c r="AE35" i="4"/>
  <c r="Z22" i="6" l="1"/>
  <c r="Z26" i="6" s="1"/>
  <c r="Z27" i="6" s="1"/>
  <c r="G34" i="4"/>
  <c r="G35" i="4"/>
  <c r="O28" i="4"/>
  <c r="O35" i="4"/>
  <c r="L8" i="4"/>
  <c r="L11" i="4"/>
  <c r="C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小田原 聖子(ODAWARA Seiko)</author>
  </authors>
  <commentList>
    <comment ref="C17" authorId="0" shapeId="0" xr:uid="{1B6C4D2C-2F4C-4FFC-A425-4CE795483057}">
      <text>
        <r>
          <rPr>
            <b/>
            <sz val="9"/>
            <color indexed="81"/>
            <rFont val="MS P ゴシック"/>
            <family val="3"/>
            <charset val="128"/>
          </rPr>
          <t>経費費目</t>
        </r>
      </text>
    </comment>
  </commentList>
</comments>
</file>

<file path=xl/sharedStrings.xml><?xml version="1.0" encoding="utf-8"?>
<sst xmlns="http://schemas.openxmlformats.org/spreadsheetml/2006/main" count="755" uniqueCount="447">
  <si>
    <t>飼料生産組織の規模拡大支援）事業達成状況報告書</t>
  </si>
  <si>
    <t>事業実施主体名</t>
  </si>
  <si>
    <t>代表者氏名</t>
  </si>
  <si>
    <t>２　組織の運営強化の取組状況及び効果</t>
  </si>
  <si>
    <t>成果目標</t>
  </si>
  <si>
    <t>取組前</t>
  </si>
  <si>
    <t>目標値</t>
  </si>
  <si>
    <t>備　考</t>
  </si>
  <si>
    <t xml:space="preserve">４　導入した機器・機械の稼働状況 </t>
  </si>
  <si>
    <t>導入年度</t>
  </si>
  <si>
    <t>対象作業名</t>
  </si>
  <si>
    <t>作業面積</t>
  </si>
  <si>
    <t>(ha)</t>
  </si>
  <si>
    <t>稼働時間</t>
  </si>
  <si>
    <t>(h)</t>
  </si>
  <si>
    <t>備考</t>
  </si>
  <si>
    <t>５　飼料の生産・販売、作業受託の状況</t>
  </si>
  <si>
    <t>作物名</t>
  </si>
  <si>
    <t>１年目</t>
  </si>
  <si>
    <t>２年目</t>
  </si>
  <si>
    <t>３年目</t>
  </si>
  <si>
    <t>※備考欄には、作業受託の場合、その旨記載すること。</t>
  </si>
  <si>
    <t>※必要に応じ、行を追加して記載すること。</t>
  </si>
  <si>
    <t>（２）収穫作業を行い販売した飼料及び飼料生産収穫に係る作業受託した売上高（稲わらを含む。）（円）</t>
  </si>
  <si>
    <t>※備考欄には、自組織の構成員以外向けの売上高を記載すること。</t>
  </si>
  <si>
    <t>６　本事業の取組による他組織及び地域への波及効果</t>
  </si>
  <si>
    <t>売上高・・・①</t>
  </si>
  <si>
    <t>変動費・・・②</t>
  </si>
  <si>
    <t>固定費・・・③</t>
  </si>
  <si>
    <t>生産費</t>
  </si>
  <si>
    <t>１　事業実施主体の名称</t>
    <phoneticPr fontId="21"/>
  </si>
  <si>
    <t>　※２年目以降は、前年度分に追記していくこと。</t>
    <phoneticPr fontId="21"/>
  </si>
  <si>
    <t>７ 飼料の生産・販売、作業受託に係る損益分岐点売上高算出根拠(稲わらを含む。)</t>
  </si>
  <si>
    <t>　下記の例を参考に作成すること。なお、同様のものを別に作成している場合はそれを添付すること。</t>
    <phoneticPr fontId="24"/>
  </si>
  <si>
    <t>(円)</t>
    <phoneticPr fontId="24"/>
  </si>
  <si>
    <t xml:space="preserve"> (円)</t>
    <phoneticPr fontId="24"/>
  </si>
  <si>
    <t/>
  </si>
  <si>
    <r>
      <t>３年目</t>
    </r>
    <r>
      <rPr>
        <sz val="11"/>
        <color theme="1"/>
        <rFont val="游ゴシック"/>
        <family val="2"/>
        <charset val="128"/>
        <scheme val="minor"/>
      </rPr>
      <t/>
    </r>
  </si>
  <si>
    <t>(円)</t>
  </si>
  <si>
    <t>変動費・・ ②</t>
  </si>
  <si>
    <t>固定費・・ ③</t>
  </si>
  <si>
    <t>一般管理費</t>
  </si>
  <si>
    <t>計</t>
  </si>
  <si>
    <t>※必要に応じて、行を追加すること。</t>
    <phoneticPr fontId="24"/>
  </si>
  <si>
    <t>限界利益・・④=①－②</t>
    <phoneticPr fontId="24"/>
  </si>
  <si>
    <t>限界利益率・・⑤=④/ ①</t>
    <phoneticPr fontId="24"/>
  </si>
  <si>
    <t>損益分岐点売上高・・⑥=③／⑤</t>
    <phoneticPr fontId="24"/>
  </si>
  <si>
    <t>１年目</t>
    <phoneticPr fontId="21"/>
  </si>
  <si>
    <t>２年目</t>
    <phoneticPr fontId="21"/>
  </si>
  <si>
    <t>３年目</t>
    <phoneticPr fontId="21"/>
  </si>
  <si>
    <t>令和６年度</t>
    <phoneticPr fontId="21"/>
  </si>
  <si>
    <t>令和７年度</t>
    <phoneticPr fontId="21"/>
  </si>
  <si>
    <t>令和６年度</t>
    <rPh sb="0" eb="2">
      <t>レイワ</t>
    </rPh>
    <rPh sb="3" eb="5">
      <t>ネンド</t>
    </rPh>
    <phoneticPr fontId="21"/>
  </si>
  <si>
    <t>令和７年度</t>
    <rPh sb="0" eb="2">
      <t>レイワ</t>
    </rPh>
    <rPh sb="3" eb="5">
      <t>ネンド</t>
    </rPh>
    <phoneticPr fontId="21"/>
  </si>
  <si>
    <t>備 考</t>
  </si>
  <si>
    <t>稼働年度</t>
    <rPh sb="0" eb="2">
      <t>カドウ</t>
    </rPh>
    <rPh sb="2" eb="4">
      <t>ネンド</t>
    </rPh>
    <phoneticPr fontId="21"/>
  </si>
  <si>
    <t>名称・型番</t>
    <rPh sb="3" eb="5">
      <t>カタバン</t>
    </rPh>
    <phoneticPr fontId="21"/>
  </si>
  <si>
    <t>（１）収穫作業を行い販売した飼料及び飼料生産収穫に係る作業受託した作業面積（稲わらを含む。)(ha)　　</t>
    <phoneticPr fontId="21"/>
  </si>
  <si>
    <t>　　　　　　　　　　　　　　　　　　　　　　　　　　　　　　　　　　　　　　　　　　　　　　　　　　　　　　　　　　　　　　　　　　　　　　　　　　　　　　　　　　　　　　　　　　　　　　　　　　　　　　　　　　　　　　　　　　　　　　　　　　　　　　　　　　　　　　　　</t>
    <phoneticPr fontId="21"/>
  </si>
  <si>
    <t>１年目：令和６年度</t>
    <phoneticPr fontId="21"/>
  </si>
  <si>
    <t>２年目：令和７年度</t>
    <phoneticPr fontId="21"/>
  </si>
  <si>
    <t>３年目：令和８年度</t>
    <phoneticPr fontId="21"/>
  </si>
  <si>
    <t>令和８年度</t>
  </si>
  <si>
    <t>令和８年度</t>
    <rPh sb="0" eb="2">
      <t>レイワ</t>
    </rPh>
    <rPh sb="3" eb="5">
      <t>ネンド</t>
    </rPh>
    <phoneticPr fontId="21"/>
  </si>
  <si>
    <t>飼料自給率向上緊急対策事業（飼料生産組織の規模拡大等支援のうち</t>
    <phoneticPr fontId="21"/>
  </si>
  <si>
    <t>３　成果目標の達成状況　　　　　　    　　　　　　　　　　　　　　　　　　　　　　　</t>
    <phoneticPr fontId="21"/>
  </si>
  <si>
    <t>収穫作業を行い販売した飼料、 飼料生産収穫に係る作業受託の売上高（稲わらを含む）【円】</t>
    <phoneticPr fontId="21"/>
  </si>
  <si>
    <t>上記の損益分岐点売上高【円】</t>
    <phoneticPr fontId="21"/>
  </si>
  <si>
    <t>上記の飼料及び稲わらに係る作業面積【ha】</t>
    <rPh sb="3" eb="5">
      <t>シリョウ</t>
    </rPh>
    <rPh sb="5" eb="6">
      <t>オヨ</t>
    </rPh>
    <rPh sb="7" eb="8">
      <t>イナ</t>
    </rPh>
    <rPh sb="11" eb="12">
      <t>カカ</t>
    </rPh>
    <rPh sb="13" eb="15">
      <t>サギョウ</t>
    </rPh>
    <rPh sb="15" eb="17">
      <t>メンセキ</t>
    </rPh>
    <phoneticPr fontId="21"/>
  </si>
  <si>
    <t>（うち、所有又は借り受けたほ場の作業面積【ha】）</t>
    <rPh sb="4" eb="6">
      <t>ショユウ</t>
    </rPh>
    <rPh sb="6" eb="7">
      <t>マタ</t>
    </rPh>
    <rPh sb="8" eb="9">
      <t>カ</t>
    </rPh>
    <rPh sb="10" eb="11">
      <t>ウ</t>
    </rPh>
    <rPh sb="14" eb="15">
      <t>ジョウ</t>
    </rPh>
    <rPh sb="16" eb="18">
      <t>サギョウ</t>
    </rPh>
    <rPh sb="18" eb="20">
      <t>メンセキ</t>
    </rPh>
    <phoneticPr fontId="21"/>
  </si>
  <si>
    <t>※２年目以降は、前年度分に追記していくこと。</t>
    <rPh sb="2" eb="4">
      <t>ネンメ</t>
    </rPh>
    <rPh sb="4" eb="6">
      <t>イコウ</t>
    </rPh>
    <rPh sb="8" eb="11">
      <t>ゼンネンド</t>
    </rPh>
    <rPh sb="11" eb="12">
      <t>ブン</t>
    </rPh>
    <rPh sb="13" eb="15">
      <t>ツイキ</t>
    </rPh>
    <phoneticPr fontId="21"/>
  </si>
  <si>
    <t>令和５年度</t>
    <rPh sb="0" eb="2">
      <t>レイワ</t>
    </rPh>
    <phoneticPr fontId="21"/>
  </si>
  <si>
    <t>令和６年度</t>
    <rPh sb="0" eb="2">
      <t>レイワ</t>
    </rPh>
    <phoneticPr fontId="21"/>
  </si>
  <si>
    <t>令和７年度</t>
    <rPh sb="0" eb="2">
      <t>レイワ</t>
    </rPh>
    <phoneticPr fontId="21"/>
  </si>
  <si>
    <t>令和８年度</t>
    <rPh sb="0" eb="2">
      <t>レイワ</t>
    </rPh>
    <phoneticPr fontId="21"/>
  </si>
  <si>
    <t>令和９年度</t>
    <rPh sb="0" eb="2">
      <t>レイワ</t>
    </rPh>
    <phoneticPr fontId="21"/>
  </si>
  <si>
    <t>別紙２様式第３－１号（第７の１関係）</t>
    <phoneticPr fontId="21"/>
  </si>
  <si>
    <t>株式会社　米らいふ</t>
    <phoneticPr fontId="21"/>
  </si>
  <si>
    <t>代表取締役　古川　敬</t>
    <phoneticPr fontId="21"/>
  </si>
  <si>
    <r>
      <t xml:space="preserve">汎用型微細断飼料収穫機
</t>
    </r>
    <r>
      <rPr>
        <sz val="9"/>
        <rFont val="ＭＳ 明朝"/>
        <family val="1"/>
        <charset val="128"/>
      </rPr>
      <t>（タカキタ　ＳＭＲ―１０３０）</t>
    </r>
    <phoneticPr fontId="21"/>
  </si>
  <si>
    <r>
      <t xml:space="preserve">自走ラップマシン
</t>
    </r>
    <r>
      <rPr>
        <sz val="9"/>
        <rFont val="ＭＳ 明朝"/>
        <family val="1"/>
        <charset val="128"/>
      </rPr>
      <t>（タカキタ　ＳＷ１１２１ＤＭ）</t>
    </r>
    <rPh sb="0" eb="2">
      <t>ジソウ</t>
    </rPh>
    <phoneticPr fontId="21"/>
  </si>
  <si>
    <r>
      <t xml:space="preserve">ベールグラブ
</t>
    </r>
    <r>
      <rPr>
        <sz val="9"/>
        <rFont val="ＭＳ 明朝"/>
        <family val="1"/>
        <charset val="128"/>
      </rPr>
      <t>（丸久　ＢＧＭ２）</t>
    </r>
    <phoneticPr fontId="21"/>
  </si>
  <si>
    <t>総売上高比</t>
    <rPh sb="0" eb="1">
      <t>ソウ</t>
    </rPh>
    <rPh sb="1" eb="4">
      <t>ウリアゲダカ</t>
    </rPh>
    <rPh sb="4" eb="5">
      <t>ヒ</t>
    </rPh>
    <phoneticPr fontId="21"/>
  </si>
  <si>
    <t>総売上高</t>
    <rPh sb="0" eb="4">
      <t>ソウウリアゲダカ</t>
    </rPh>
    <phoneticPr fontId="21"/>
  </si>
  <si>
    <r>
      <t xml:space="preserve">マルチヘッダアタッチ
</t>
    </r>
    <r>
      <rPr>
        <sz val="9"/>
        <rFont val="ＭＳ 明朝"/>
        <family val="1"/>
        <charset val="128"/>
      </rPr>
      <t>（タカキタ　ＳＭＲ―ＭＨ5）</t>
    </r>
    <phoneticPr fontId="21"/>
  </si>
  <si>
    <t>微細断
ロール作業</t>
    <rPh sb="0" eb="3">
      <t>ビサイダン</t>
    </rPh>
    <rPh sb="7" eb="9">
      <t>サギョウ</t>
    </rPh>
    <phoneticPr fontId="21"/>
  </si>
  <si>
    <t>刈取り</t>
    <rPh sb="0" eb="2">
      <t>カリト</t>
    </rPh>
    <phoneticPr fontId="21"/>
  </si>
  <si>
    <t>ラップ作業</t>
    <rPh sb="3" eb="5">
      <t>サギョウ</t>
    </rPh>
    <phoneticPr fontId="21"/>
  </si>
  <si>
    <t>運搬作業用</t>
    <rPh sb="0" eb="5">
      <t>ウンパンサギョウヨウ</t>
    </rPh>
    <phoneticPr fontId="21"/>
  </si>
  <si>
    <t>WCS用稲</t>
    <rPh sb="3" eb="4">
      <t>ヨウ</t>
    </rPh>
    <rPh sb="4" eb="5">
      <t>イネ</t>
    </rPh>
    <phoneticPr fontId="21"/>
  </si>
  <si>
    <t>デントコーン</t>
    <phoneticPr fontId="21"/>
  </si>
  <si>
    <t>下が一致するように</t>
    <rPh sb="0" eb="1">
      <t>シタ</t>
    </rPh>
    <rPh sb="2" eb="4">
      <t>イッチ</t>
    </rPh>
    <phoneticPr fontId="21"/>
  </si>
  <si>
    <t>１年目が下の作業面積と一致するように</t>
    <rPh sb="1" eb="3">
      <t>ネンメ</t>
    </rPh>
    <rPh sb="4" eb="5">
      <t>シタ</t>
    </rPh>
    <rPh sb="6" eb="10">
      <t>サギョウメンセキ</t>
    </rPh>
    <rPh sb="11" eb="13">
      <t>イッチ</t>
    </rPh>
    <phoneticPr fontId="21"/>
  </si>
  <si>
    <t>肥料費</t>
    <rPh sb="0" eb="3">
      <t>ヒリョウヒ</t>
    </rPh>
    <phoneticPr fontId="21"/>
  </si>
  <si>
    <t>諸材料費</t>
    <rPh sb="0" eb="4">
      <t>ショザイリョウヒ</t>
    </rPh>
    <phoneticPr fontId="21"/>
  </si>
  <si>
    <t>種苗費</t>
    <rPh sb="0" eb="3">
      <t>シュビョウヒ</t>
    </rPh>
    <phoneticPr fontId="21"/>
  </si>
  <si>
    <t>稲WCS</t>
    <rPh sb="0" eb="1">
      <t>イネ</t>
    </rPh>
    <phoneticPr fontId="21"/>
  </si>
  <si>
    <t>令和６年</t>
    <rPh sb="0" eb="2">
      <t>レイワ</t>
    </rPh>
    <rPh sb="3" eb="4">
      <t>ネン</t>
    </rPh>
    <phoneticPr fontId="21"/>
  </si>
  <si>
    <t>令和７年</t>
    <rPh sb="0" eb="2">
      <t>レイワ</t>
    </rPh>
    <rPh sb="3" eb="4">
      <t>ネン</t>
    </rPh>
    <phoneticPr fontId="21"/>
  </si>
  <si>
    <t>単位：円</t>
    <rPh sb="0" eb="2">
      <t>タンイ</t>
    </rPh>
    <rPh sb="3" eb="4">
      <t>エン</t>
    </rPh>
    <phoneticPr fontId="21"/>
  </si>
  <si>
    <t>計</t>
    <rPh sb="0" eb="1">
      <t>ケイ</t>
    </rPh>
    <phoneticPr fontId="21"/>
  </si>
  <si>
    <t>面積（a）</t>
    <rPh sb="0" eb="2">
      <t>メンセキ</t>
    </rPh>
    <phoneticPr fontId="21"/>
  </si>
  <si>
    <t>R6</t>
    <phoneticPr fontId="21"/>
  </si>
  <si>
    <t>R7</t>
    <phoneticPr fontId="21"/>
  </si>
  <si>
    <t>R8</t>
  </si>
  <si>
    <t>R9</t>
  </si>
  <si>
    <t>全作目面積（麦等含む）</t>
    <rPh sb="0" eb="1">
      <t>ゼン</t>
    </rPh>
    <rPh sb="1" eb="2">
      <t>サク</t>
    </rPh>
    <rPh sb="2" eb="3">
      <t>モク</t>
    </rPh>
    <rPh sb="3" eb="5">
      <t>メンセキ</t>
    </rPh>
    <rPh sb="6" eb="7">
      <t>ムギ</t>
    </rPh>
    <rPh sb="7" eb="8">
      <t>トウ</t>
    </rPh>
    <rPh sb="8" eb="9">
      <t>フク</t>
    </rPh>
    <phoneticPr fontId="21"/>
  </si>
  <si>
    <t>年</t>
    <rPh sb="0" eb="1">
      <t>ネン</t>
    </rPh>
    <phoneticPr fontId="21"/>
  </si>
  <si>
    <t>損益計算書から</t>
    <rPh sb="0" eb="5">
      <t>ソンエキケイサンショ</t>
    </rPh>
    <phoneticPr fontId="21"/>
  </si>
  <si>
    <t>種苗費</t>
  </si>
  <si>
    <t>肥料費</t>
  </si>
  <si>
    <t>農薬費</t>
    <phoneticPr fontId="21"/>
  </si>
  <si>
    <t>雑給</t>
    <rPh sb="0" eb="2">
      <t>ザッキュウ</t>
    </rPh>
    <phoneticPr fontId="21"/>
  </si>
  <si>
    <t>作業委託費</t>
    <rPh sb="0" eb="5">
      <t>サギョウイタクヒ</t>
    </rPh>
    <phoneticPr fontId="21"/>
  </si>
  <si>
    <t>動力光熱費</t>
    <rPh sb="0" eb="5">
      <t>ドウリョクコウネツヒ</t>
    </rPh>
    <phoneticPr fontId="21"/>
  </si>
  <si>
    <t>農具費</t>
    <rPh sb="0" eb="3">
      <t>ノウグヒ</t>
    </rPh>
    <phoneticPr fontId="21"/>
  </si>
  <si>
    <t>荷造運賃手数料</t>
    <rPh sb="0" eb="2">
      <t>ニヅク</t>
    </rPh>
    <rPh sb="2" eb="4">
      <t>ウンチン</t>
    </rPh>
    <rPh sb="4" eb="7">
      <t>テスウリョウ</t>
    </rPh>
    <phoneticPr fontId="21"/>
  </si>
  <si>
    <t>修繕費</t>
    <rPh sb="0" eb="3">
      <t>シュウゼンヒ</t>
    </rPh>
    <phoneticPr fontId="21"/>
  </si>
  <si>
    <t>賃借料</t>
    <rPh sb="0" eb="3">
      <t>チンシャクリョウ</t>
    </rPh>
    <phoneticPr fontId="21"/>
  </si>
  <si>
    <t>共済掛金</t>
    <rPh sb="0" eb="4">
      <t>キョウサイカケキン</t>
    </rPh>
    <phoneticPr fontId="21"/>
  </si>
  <si>
    <t>減価償却費</t>
    <rPh sb="0" eb="5">
      <t>ゲンカショウキャクヒ</t>
    </rPh>
    <phoneticPr fontId="21"/>
  </si>
  <si>
    <t>支払地代</t>
    <rPh sb="0" eb="2">
      <t>シハラ</t>
    </rPh>
    <rPh sb="2" eb="4">
      <t>チダイ</t>
    </rPh>
    <phoneticPr fontId="21"/>
  </si>
  <si>
    <t>作業用衣料費</t>
    <rPh sb="0" eb="3">
      <t>サギョウヨウ</t>
    </rPh>
    <rPh sb="3" eb="6">
      <t>イリョウヒ</t>
    </rPh>
    <phoneticPr fontId="21"/>
  </si>
  <si>
    <t>賃借料②</t>
    <rPh sb="0" eb="3">
      <t>チンシャクリョウ</t>
    </rPh>
    <phoneticPr fontId="21"/>
  </si>
  <si>
    <t>販売費及び一般管理費</t>
    <rPh sb="0" eb="3">
      <t>ハンバイヒ</t>
    </rPh>
    <rPh sb="3" eb="4">
      <t>オヨ</t>
    </rPh>
    <rPh sb="5" eb="10">
      <t>イッパンカンリヒ</t>
    </rPh>
    <phoneticPr fontId="21"/>
  </si>
  <si>
    <t>材料費</t>
    <rPh sb="0" eb="3">
      <t>ザイリョウヒ</t>
    </rPh>
    <phoneticPr fontId="21"/>
  </si>
  <si>
    <t>労務費</t>
    <rPh sb="0" eb="3">
      <t>ロウムヒ</t>
    </rPh>
    <phoneticPr fontId="21"/>
  </si>
  <si>
    <t>製造経費</t>
    <rPh sb="0" eb="4">
      <t>セイゾウケイヒ</t>
    </rPh>
    <phoneticPr fontId="21"/>
  </si>
  <si>
    <t>役員報酬</t>
    <rPh sb="0" eb="4">
      <t>ヤクインホウシュウ</t>
    </rPh>
    <phoneticPr fontId="21"/>
  </si>
  <si>
    <t>給料手当</t>
    <rPh sb="0" eb="2">
      <t>キュウリョウ</t>
    </rPh>
    <rPh sb="2" eb="4">
      <t>テアテ</t>
    </rPh>
    <phoneticPr fontId="21"/>
  </si>
  <si>
    <t>賞与手当</t>
    <rPh sb="0" eb="4">
      <t>ショウヨテアテ</t>
    </rPh>
    <phoneticPr fontId="21"/>
  </si>
  <si>
    <t>法定福利費</t>
    <rPh sb="0" eb="2">
      <t>ホウテイ</t>
    </rPh>
    <rPh sb="2" eb="5">
      <t>フクリヒ</t>
    </rPh>
    <phoneticPr fontId="21"/>
  </si>
  <si>
    <t>福利厚生費</t>
    <rPh sb="0" eb="2">
      <t>フクリ</t>
    </rPh>
    <rPh sb="2" eb="5">
      <t>コウセイヒ</t>
    </rPh>
    <phoneticPr fontId="21"/>
  </si>
  <si>
    <t>荷造運賃費</t>
    <rPh sb="0" eb="2">
      <t>ニヅク</t>
    </rPh>
    <rPh sb="2" eb="4">
      <t>ウンチン</t>
    </rPh>
    <rPh sb="4" eb="5">
      <t>ヒ</t>
    </rPh>
    <phoneticPr fontId="21"/>
  </si>
  <si>
    <t>旅費交通費</t>
    <rPh sb="0" eb="2">
      <t>リョヒ</t>
    </rPh>
    <rPh sb="2" eb="5">
      <t>コウツウヒ</t>
    </rPh>
    <phoneticPr fontId="21"/>
  </si>
  <si>
    <t>接待交際費</t>
    <rPh sb="0" eb="5">
      <t>セッタイコウサイヒ</t>
    </rPh>
    <phoneticPr fontId="21"/>
  </si>
  <si>
    <t>通信費</t>
    <rPh sb="0" eb="3">
      <t>ツウシンヒ</t>
    </rPh>
    <phoneticPr fontId="21"/>
  </si>
  <si>
    <t>租税公課</t>
    <rPh sb="0" eb="4">
      <t>ソゼイコウカ</t>
    </rPh>
    <phoneticPr fontId="21"/>
  </si>
  <si>
    <t>事務用消耗品費</t>
    <rPh sb="0" eb="3">
      <t>ジムヨウ</t>
    </rPh>
    <rPh sb="3" eb="7">
      <t>ショウモウヒンヒ</t>
    </rPh>
    <phoneticPr fontId="21"/>
  </si>
  <si>
    <t>リース料</t>
    <rPh sb="3" eb="4">
      <t>リョウ</t>
    </rPh>
    <phoneticPr fontId="21"/>
  </si>
  <si>
    <t>支払保険料</t>
    <rPh sb="0" eb="2">
      <t>シハラ</t>
    </rPh>
    <rPh sb="2" eb="5">
      <t>ホケンリョウ</t>
    </rPh>
    <phoneticPr fontId="21"/>
  </si>
  <si>
    <t>支払手数料</t>
    <rPh sb="0" eb="2">
      <t>シハラ</t>
    </rPh>
    <rPh sb="2" eb="5">
      <t>テスウリョウ</t>
    </rPh>
    <phoneticPr fontId="21"/>
  </si>
  <si>
    <t>支払報酬</t>
    <rPh sb="0" eb="2">
      <t>シハラ</t>
    </rPh>
    <rPh sb="2" eb="4">
      <t>ホウシュウ</t>
    </rPh>
    <phoneticPr fontId="21"/>
  </si>
  <si>
    <t>研修費</t>
    <rPh sb="0" eb="3">
      <t>ケンシュウヒ</t>
    </rPh>
    <phoneticPr fontId="21"/>
  </si>
  <si>
    <t>委託販売手数料</t>
    <rPh sb="0" eb="7">
      <t>イタクハンバイテスウリョウ</t>
    </rPh>
    <phoneticPr fontId="21"/>
  </si>
  <si>
    <t>負担金</t>
    <rPh sb="0" eb="3">
      <t>フタンキン</t>
    </rPh>
    <phoneticPr fontId="21"/>
  </si>
  <si>
    <t>諸会費①</t>
    <rPh sb="0" eb="3">
      <t>ショカイヒ</t>
    </rPh>
    <phoneticPr fontId="21"/>
  </si>
  <si>
    <t>諸会費②</t>
    <rPh sb="0" eb="3">
      <t>ショカイヒ</t>
    </rPh>
    <phoneticPr fontId="21"/>
  </si>
  <si>
    <t>雑費</t>
    <rPh sb="0" eb="2">
      <t>ザッピ</t>
    </rPh>
    <phoneticPr fontId="21"/>
  </si>
  <si>
    <t>農薬衛生費</t>
    <rPh sb="0" eb="5">
      <t>ノウヤクエイセイヒ</t>
    </rPh>
    <phoneticPr fontId="21"/>
  </si>
  <si>
    <t>資材費</t>
    <rPh sb="0" eb="3">
      <t>シザイヒ</t>
    </rPh>
    <phoneticPr fontId="21"/>
  </si>
  <si>
    <t>燃料費</t>
    <rPh sb="0" eb="3">
      <t>ネンリョウヒ</t>
    </rPh>
    <phoneticPr fontId="21"/>
  </si>
  <si>
    <t>雇用労賃</t>
    <rPh sb="0" eb="4">
      <t>コヨウロウチン</t>
    </rPh>
    <phoneticPr fontId="21"/>
  </si>
  <si>
    <t>地代</t>
    <rPh sb="0" eb="2">
      <t>チダイ</t>
    </rPh>
    <phoneticPr fontId="21"/>
  </si>
  <si>
    <t>営業外費用</t>
    <rPh sb="0" eb="3">
      <t>エイギョウガイ</t>
    </rPh>
    <rPh sb="3" eb="5">
      <t>ヒヨウ</t>
    </rPh>
    <phoneticPr fontId="21"/>
  </si>
  <si>
    <t>申請した別紙２様式７号から⇒</t>
    <rPh sb="0" eb="2">
      <t>シンセイ</t>
    </rPh>
    <rPh sb="4" eb="6">
      <t>ベッシ</t>
    </rPh>
    <rPh sb="7" eb="9">
      <t>ヨウシキ</t>
    </rPh>
    <rPh sb="10" eb="11">
      <t>ゴウ</t>
    </rPh>
    <phoneticPr fontId="21"/>
  </si>
  <si>
    <t>令和８年</t>
    <rPh sb="0" eb="2">
      <t>レイワ</t>
    </rPh>
    <rPh sb="3" eb="4">
      <t>ネン</t>
    </rPh>
    <phoneticPr fontId="21"/>
  </si>
  <si>
    <t>令和９年</t>
    <rPh sb="0" eb="2">
      <t>レイワ</t>
    </rPh>
    <rPh sb="3" eb="4">
      <t>ネン</t>
    </rPh>
    <phoneticPr fontId="21"/>
  </si>
  <si>
    <t>面積案分</t>
    <rPh sb="0" eb="4">
      <t>メンセキアンブン</t>
    </rPh>
    <phoneticPr fontId="21"/>
  </si>
  <si>
    <t>申請した別紙２様式６号から⇒</t>
    <rPh sb="0" eb="2">
      <t>シンセイ</t>
    </rPh>
    <rPh sb="4" eb="6">
      <t>ベッシ</t>
    </rPh>
    <rPh sb="7" eb="9">
      <t>ヨウシキ</t>
    </rPh>
    <rPh sb="10" eb="11">
      <t>ゴウ</t>
    </rPh>
    <phoneticPr fontId="21"/>
  </si>
  <si>
    <t>その他生産費</t>
    <rPh sb="2" eb="3">
      <t>ホカ</t>
    </rPh>
    <rPh sb="3" eb="6">
      <t>セイサンヒ</t>
    </rPh>
    <phoneticPr fontId="21"/>
  </si>
  <si>
    <t>その他一般管理費</t>
    <rPh sb="2" eb="3">
      <t>ホカ</t>
    </rPh>
    <rPh sb="3" eb="5">
      <t>イッパン</t>
    </rPh>
    <rPh sb="5" eb="8">
      <t>カンリヒ</t>
    </rPh>
    <phoneticPr fontId="21"/>
  </si>
  <si>
    <t>営業外収益</t>
    <rPh sb="0" eb="5">
      <t>エイギョウガイシュウエキ</t>
    </rPh>
    <phoneticPr fontId="21"/>
  </si>
  <si>
    <t>区　　　分</t>
  </si>
  <si>
    <t>1
（JA共販）</t>
  </si>
  <si>
    <t>飼料売上高(千円)</t>
  </si>
  <si>
    <t>作業受託売上高(千円)</t>
  </si>
  <si>
    <t>営業外収益(千円)</t>
  </si>
  <si>
    <t>収　入　合　計(千円)</t>
  </si>
  <si>
    <t>種苗費(千円)</t>
  </si>
  <si>
    <t>肥料費(千円)</t>
  </si>
  <si>
    <t>農薬衛生費(千円)</t>
  </si>
  <si>
    <t>資材費(千円)</t>
  </si>
  <si>
    <t>燃料費(千円)</t>
  </si>
  <si>
    <t>建物・施設取得費(千円)</t>
  </si>
  <si>
    <t>機械・機器取得費(千円)</t>
  </si>
  <si>
    <t>役員報酬(千円)</t>
  </si>
  <si>
    <t>雇用労賃(千円)</t>
  </si>
  <si>
    <t>共済掛金(千円)</t>
  </si>
  <si>
    <t>減価償却費(千円)</t>
  </si>
  <si>
    <t>修繕費(千円)</t>
  </si>
  <si>
    <t>リース料(千円)</t>
  </si>
  <si>
    <t>地代(千円)</t>
  </si>
  <si>
    <t>租税公課(千円)</t>
  </si>
  <si>
    <t>令和5年（取組前）</t>
    <rPh sb="0" eb="2">
      <t>レイワ</t>
    </rPh>
    <rPh sb="3" eb="4">
      <t>ネン</t>
    </rPh>
    <rPh sb="5" eb="7">
      <t>トリクミ</t>
    </rPh>
    <rPh sb="7" eb="8">
      <t>マエ</t>
    </rPh>
    <phoneticPr fontId="24"/>
  </si>
  <si>
    <t>令和6年（１年目）</t>
    <rPh sb="3" eb="4">
      <t>ネン</t>
    </rPh>
    <rPh sb="6" eb="8">
      <t>ネンメ</t>
    </rPh>
    <phoneticPr fontId="24"/>
  </si>
  <si>
    <t>令和7年（２年目）</t>
    <rPh sb="3" eb="4">
      <t>ネン</t>
    </rPh>
    <rPh sb="6" eb="8">
      <t>ネンメ</t>
    </rPh>
    <phoneticPr fontId="24"/>
  </si>
  <si>
    <t>令和8年（３年目）</t>
    <rPh sb="3" eb="4">
      <t>ネン</t>
    </rPh>
    <rPh sb="6" eb="8">
      <t>ネンメ</t>
    </rPh>
    <phoneticPr fontId="24"/>
  </si>
  <si>
    <t>令和9年（目標）</t>
    <rPh sb="3" eb="4">
      <t>ネン</t>
    </rPh>
    <rPh sb="5" eb="7">
      <t>モクヒョウ</t>
    </rPh>
    <phoneticPr fontId="24"/>
  </si>
  <si>
    <t>作業面積(ha)</t>
    <rPh sb="0" eb="2">
      <t>サギョウ</t>
    </rPh>
    <rPh sb="2" eb="4">
      <t>メンセキ</t>
    </rPh>
    <phoneticPr fontId="24"/>
  </si>
  <si>
    <t>生産・販売向け飼料(デントコーン)</t>
    <rPh sb="0" eb="2">
      <t>セイサン</t>
    </rPh>
    <rPh sb="3" eb="5">
      <t>ハンバイ</t>
    </rPh>
    <rPh sb="5" eb="6">
      <t>ム</t>
    </rPh>
    <rPh sb="7" eb="9">
      <t>シリョウ</t>
    </rPh>
    <phoneticPr fontId="33"/>
  </si>
  <si>
    <t>生産・販売向け飼料(稲WCS)</t>
    <phoneticPr fontId="33"/>
  </si>
  <si>
    <t>作業受託（稲WCS）</t>
    <rPh sb="5" eb="6">
      <t>イネ</t>
    </rPh>
    <phoneticPr fontId="33"/>
  </si>
  <si>
    <t>飼料販売</t>
    <rPh sb="0" eb="2">
      <t>シリョウ</t>
    </rPh>
    <rPh sb="2" eb="4">
      <t>ハンバイ</t>
    </rPh>
    <phoneticPr fontId="33"/>
  </si>
  <si>
    <t>飼料販売量（デントコーン）個</t>
    <rPh sb="0" eb="2">
      <t>シリョウ</t>
    </rPh>
    <rPh sb="2" eb="5">
      <t>ハンバイリョウ</t>
    </rPh>
    <rPh sb="13" eb="14">
      <t>コ</t>
    </rPh>
    <phoneticPr fontId="33"/>
  </si>
  <si>
    <t>飼料販売量（稲WCS）個</t>
    <rPh sb="0" eb="2">
      <t>シリョウ</t>
    </rPh>
    <rPh sb="2" eb="4">
      <t>ハンバイ</t>
    </rPh>
    <rPh sb="4" eb="5">
      <t>リョウ</t>
    </rPh>
    <rPh sb="11" eb="12">
      <t>コ</t>
    </rPh>
    <phoneticPr fontId="33"/>
  </si>
  <si>
    <t>販売件数（構成員）稲WCS</t>
    <rPh sb="0" eb="2">
      <t>ハンバイ</t>
    </rPh>
    <rPh sb="2" eb="4">
      <t>ケンスウ</t>
    </rPh>
    <rPh sb="5" eb="8">
      <t>コウセイイン</t>
    </rPh>
    <rPh sb="9" eb="10">
      <t>イネ</t>
    </rPh>
    <phoneticPr fontId="33"/>
  </si>
  <si>
    <t>販売件数（構成員外）デントコーン</t>
    <rPh sb="0" eb="2">
      <t>ハンバイ</t>
    </rPh>
    <rPh sb="2" eb="4">
      <t>ケンスウ</t>
    </rPh>
    <rPh sb="8" eb="9">
      <t>ガイ</t>
    </rPh>
    <phoneticPr fontId="33"/>
  </si>
  <si>
    <t>収</t>
    <rPh sb="0" eb="1">
      <t>オサム</t>
    </rPh>
    <phoneticPr fontId="33"/>
  </si>
  <si>
    <t>入</t>
    <rPh sb="0" eb="1">
      <t>ニュウ</t>
    </rPh>
    <phoneticPr fontId="33"/>
  </si>
  <si>
    <t>支</t>
    <rPh sb="0" eb="1">
      <t>シ</t>
    </rPh>
    <phoneticPr fontId="33"/>
  </si>
  <si>
    <t>出</t>
    <rPh sb="0" eb="1">
      <t>シュツ</t>
    </rPh>
    <phoneticPr fontId="33"/>
  </si>
  <si>
    <t>営業外費用(千円)</t>
    <phoneticPr fontId="33"/>
  </si>
  <si>
    <t>作業委託費（千円）</t>
    <phoneticPr fontId="33"/>
  </si>
  <si>
    <t>その他経費</t>
    <rPh sb="2" eb="3">
      <t>ホカ</t>
    </rPh>
    <rPh sb="3" eb="5">
      <t>ケイヒ</t>
    </rPh>
    <phoneticPr fontId="33"/>
  </si>
  <si>
    <t>支　出　合　計(千円)</t>
    <phoneticPr fontId="24"/>
  </si>
  <si>
    <t>所　　　　　得</t>
    <phoneticPr fontId="24"/>
  </si>
  <si>
    <t>(A)</t>
    <phoneticPr fontId="33"/>
  </si>
  <si>
    <t>(B)</t>
    <phoneticPr fontId="33"/>
  </si>
  <si>
    <r>
      <rPr>
        <sz val="9"/>
        <rFont val="Times New Roman"/>
        <family val="1"/>
      </rPr>
      <t>※</t>
    </r>
    <r>
      <rPr>
        <sz val="9"/>
        <rFont val="ＭＳ 明朝"/>
        <family val="1"/>
        <charset val="128"/>
      </rPr>
      <t>収入及び支出の区分の欄については、国産飼料の生産・販売、作業受託等に係るものとし、取組組織の状況に応じ、適宜項目の加除を行うこと。ただし、収入には補助金を含まないものとする。</t>
    </r>
    <rPh sb="78" eb="79">
      <t>フク</t>
    </rPh>
    <phoneticPr fontId="33"/>
  </si>
  <si>
    <t>　２　年総効果額算出基礎表</t>
    <phoneticPr fontId="24"/>
  </si>
  <si>
    <t xml:space="preserve">　【経営収支計画】                                                                                                                                 </t>
    <phoneticPr fontId="33"/>
  </si>
  <si>
    <t>別紙２様式第7号</t>
    <rPh sb="0" eb="2">
      <t>ベッシ</t>
    </rPh>
    <rPh sb="3" eb="5">
      <t>ヨウシキ</t>
    </rPh>
    <rPh sb="5" eb="6">
      <t>ダイ</t>
    </rPh>
    <rPh sb="7" eb="8">
      <t>ゴウ</t>
    </rPh>
    <phoneticPr fontId="21"/>
  </si>
  <si>
    <t>売上高</t>
    <rPh sb="0" eb="3">
      <t>ウリアゲダカ</t>
    </rPh>
    <phoneticPr fontId="21"/>
  </si>
  <si>
    <t>生産費</t>
    <rPh sb="0" eb="3">
      <t>セイサンヒ</t>
    </rPh>
    <phoneticPr fontId="21"/>
  </si>
  <si>
    <t>一般管理費</t>
    <rPh sb="0" eb="5">
      <t>イッパンカンリヒ</t>
    </rPh>
    <phoneticPr fontId="21"/>
  </si>
  <si>
    <t>変動費</t>
    <rPh sb="0" eb="3">
      <t>ヘンドウヒ</t>
    </rPh>
    <phoneticPr fontId="21"/>
  </si>
  <si>
    <t>固定費</t>
    <rPh sb="0" eb="3">
      <t>コテイヒ</t>
    </rPh>
    <phoneticPr fontId="21"/>
  </si>
  <si>
    <t>限界利益・・④=①－②</t>
    <phoneticPr fontId="21"/>
  </si>
  <si>
    <t>総売上高・・・①</t>
    <rPh sb="0" eb="1">
      <t>ソウ</t>
    </rPh>
    <phoneticPr fontId="21"/>
  </si>
  <si>
    <t>変動費・・・②</t>
    <phoneticPr fontId="21"/>
  </si>
  <si>
    <t>固定費・・・③</t>
    <phoneticPr fontId="21"/>
  </si>
  <si>
    <t>限界利益率・・⑤=④/ ①</t>
    <rPh sb="0" eb="2">
      <t>ゲンカイ</t>
    </rPh>
    <rPh sb="2" eb="4">
      <t>リエキ</t>
    </rPh>
    <rPh sb="4" eb="5">
      <t>リツ</t>
    </rPh>
    <phoneticPr fontId="21"/>
  </si>
  <si>
    <t>損益分岐点売上高・・⑥=③／⑤</t>
    <phoneticPr fontId="21"/>
  </si>
  <si>
    <t>生産費計</t>
    <rPh sb="0" eb="4">
      <t>セイサンヒケイ</t>
    </rPh>
    <phoneticPr fontId="21"/>
  </si>
  <si>
    <t>一般管理費計</t>
    <rPh sb="0" eb="2">
      <t>イッパン</t>
    </rPh>
    <rPh sb="2" eb="5">
      <t>カンリヒ</t>
    </rPh>
    <rPh sb="5" eb="6">
      <t>ケイ</t>
    </rPh>
    <phoneticPr fontId="21"/>
  </si>
  <si>
    <t>※営業外収益には水田活用交付金等が含まれる</t>
    <phoneticPr fontId="21"/>
  </si>
  <si>
    <t>給与手当に含まれる</t>
    <rPh sb="0" eb="4">
      <t>キュウヨテアテ</t>
    </rPh>
    <rPh sb="5" eb="6">
      <t>フク</t>
    </rPh>
    <phoneticPr fontId="21"/>
  </si>
  <si>
    <t>変動費率</t>
    <rPh sb="0" eb="2">
      <t>ヘンドウ</t>
    </rPh>
    <rPh sb="2" eb="3">
      <t>ヒ</t>
    </rPh>
    <rPh sb="3" eb="4">
      <t>リツ</t>
    </rPh>
    <phoneticPr fontId="21"/>
  </si>
  <si>
    <t>面積(a)</t>
    <rPh sb="0" eb="2">
      <t>メンセキ</t>
    </rPh>
    <phoneticPr fontId="21"/>
  </si>
  <si>
    <t>単収(kg/10a)</t>
    <rPh sb="0" eb="2">
      <t>タンシュウ</t>
    </rPh>
    <phoneticPr fontId="21"/>
  </si>
  <si>
    <t>※デントコーン１ロール４５０kg、稲ＷＣＳ１ロール３００ｋｇ</t>
    <rPh sb="17" eb="18">
      <t>イネ</t>
    </rPh>
    <phoneticPr fontId="21"/>
  </si>
  <si>
    <t>飼料作物生産全体</t>
    <rPh sb="0" eb="4">
      <t>シリョウサクモツ</t>
    </rPh>
    <rPh sb="4" eb="6">
      <t>セイサン</t>
    </rPh>
    <rPh sb="6" eb="8">
      <t>ゼンタイ</t>
    </rPh>
    <phoneticPr fontId="21"/>
  </si>
  <si>
    <t>-</t>
    <phoneticPr fontId="21"/>
  </si>
  <si>
    <t>単価(円/kg 作業受託円/a)</t>
    <rPh sb="0" eb="2">
      <t>タンカ</t>
    </rPh>
    <rPh sb="3" eb="4">
      <t>エン</t>
    </rPh>
    <rPh sb="8" eb="12">
      <t>サギョウジュタク</t>
    </rPh>
    <rPh sb="12" eb="13">
      <t>エン</t>
    </rPh>
    <phoneticPr fontId="21"/>
  </si>
  <si>
    <t>収量(kg,作業受託 個数)</t>
    <rPh sb="0" eb="2">
      <t>シュウリョウ</t>
    </rPh>
    <rPh sb="6" eb="10">
      <t>サギョウジュタク</t>
    </rPh>
    <rPh sb="11" eb="13">
      <t>コスウ</t>
    </rPh>
    <phoneticPr fontId="21"/>
  </si>
  <si>
    <t>総売上高・・・①</t>
    <rPh sb="0" eb="4">
      <t>ソウウリアゲダカ</t>
    </rPh>
    <phoneticPr fontId="21"/>
  </si>
  <si>
    <t>変動費・・・②</t>
    <rPh sb="0" eb="2">
      <t>ヘンドウ</t>
    </rPh>
    <rPh sb="2" eb="3">
      <t>ヒ</t>
    </rPh>
    <phoneticPr fontId="21"/>
  </si>
  <si>
    <t>限界利益・・④=①－②</t>
    <rPh sb="0" eb="2">
      <t>ゲンカイ</t>
    </rPh>
    <rPh sb="2" eb="4">
      <t>リエキ</t>
    </rPh>
    <phoneticPr fontId="21"/>
  </si>
  <si>
    <t xml:space="preserve">【令和6年度】
斐川町稲WCS生産協議会
○県、市、ＪＡ、生産者が一体となった推進体制によって、生産・販売体制が強化された。
○上記のことから、生産体制は１５経営体、125.26haと拡大し、販売先も県の協力を得、県内畜産農家主体に切り替え１８経営体に供給した。
○収穫作業機械所有するコンタクターが３経営体となったことから、天候不順時等における応援体制が組めた。
○作業受託が可能な品種構成、作型の調整機能が発揮出来るようになった。
○ＪＡの販売代金振り込みの手法が委託販売方式から買取り方式に変更され、年内振り込みが可能となった。買取り方式を受けＪＡしまね斐川地区本部ＷＣＳ稲共助金運営委員会を解散した。
○栽培方式において省力化を目指した乾田直播栽培への意向が強くなり拡大をした。しかし、栽培技術の未熟から低単収となった経営体もあり課題を残した。
〇コントラクター３経営体に稲ＷＣＳの収穫作業を委託して、各作物の作業に労力を分担した。
〇地域に定着する水稲作と畑作のブロックローテーションによって畑地雑草を抑制した。
事業主体
〇デントコーンの自作と収穫受託し、市内畜産農家と島根県畜産技術センターに供給した。
〇デントコーンを介した耕畜連携によってブロックローテーションのための地力維持ができた。
</t>
    <phoneticPr fontId="21"/>
  </si>
  <si>
    <t>稲WCS作業受託</t>
    <rPh sb="0" eb="1">
      <t>イネ</t>
    </rPh>
    <rPh sb="4" eb="8">
      <t>サギョウジュタク</t>
    </rPh>
    <phoneticPr fontId="21"/>
  </si>
  <si>
    <t>デントコーン作業受託</t>
    <rPh sb="6" eb="10">
      <t>サギョウジュタク</t>
    </rPh>
    <phoneticPr fontId="21"/>
  </si>
  <si>
    <t>稲WCS作業受託</t>
    <rPh sb="0" eb="1">
      <t>イネ</t>
    </rPh>
    <rPh sb="4" eb="6">
      <t>サギョウ</t>
    </rPh>
    <rPh sb="6" eb="8">
      <t>ジュタク</t>
    </rPh>
    <phoneticPr fontId="21"/>
  </si>
  <si>
    <t>デントコーン作業受託</t>
    <rPh sb="6" eb="8">
      <t>サギョウ</t>
    </rPh>
    <rPh sb="8" eb="10">
      <t>ジュタク</t>
    </rPh>
    <phoneticPr fontId="21"/>
  </si>
  <si>
    <t>デントコーン</t>
  </si>
  <si>
    <t>限界利益</t>
    <rPh sb="0" eb="4">
      <t>ゲンカイリエキ</t>
    </rPh>
    <phoneticPr fontId="21"/>
  </si>
  <si>
    <t>損益分岐点</t>
    <rPh sb="0" eb="4">
      <t>ソンエキブンキ</t>
    </rPh>
    <rPh sb="4" eb="5">
      <t>テン</t>
    </rPh>
    <phoneticPr fontId="21"/>
  </si>
  <si>
    <t>限界利益率</t>
    <rPh sb="0" eb="4">
      <t>ゲンカイリエキ</t>
    </rPh>
    <rPh sb="4" eb="5">
      <t>リツ</t>
    </rPh>
    <phoneticPr fontId="21"/>
  </si>
  <si>
    <t>※営業外収益には水田活用交付金と配達料が含まれる</t>
    <rPh sb="1" eb="6">
      <t>エイギョウガイシュウエキ</t>
    </rPh>
    <rPh sb="8" eb="10">
      <t>スイデン</t>
    </rPh>
    <rPh sb="10" eb="12">
      <t>カツヨウ</t>
    </rPh>
    <rPh sb="12" eb="15">
      <t>コウフキン</t>
    </rPh>
    <rPh sb="16" eb="18">
      <t>ハイタツ</t>
    </rPh>
    <rPh sb="18" eb="19">
      <t>リョウ</t>
    </rPh>
    <rPh sb="20" eb="21">
      <t>フク</t>
    </rPh>
    <phoneticPr fontId="21"/>
  </si>
  <si>
    <t>経費計</t>
    <rPh sb="0" eb="2">
      <t>ケイヒ</t>
    </rPh>
    <rPh sb="2" eb="3">
      <t>ケイ</t>
    </rPh>
    <phoneticPr fontId="21"/>
  </si>
  <si>
    <t>４年目</t>
    <phoneticPr fontId="21"/>
  </si>
  <si>
    <t>令和９年度</t>
    <rPh sb="0" eb="2">
      <t>レイワ</t>
    </rPh>
    <rPh sb="3" eb="5">
      <t>ネンド</t>
    </rPh>
    <phoneticPr fontId="21"/>
  </si>
  <si>
    <t>変動比率・・⑦=②/①</t>
    <rPh sb="0" eb="4">
      <t>ヘンドウヒリツ</t>
    </rPh>
    <phoneticPr fontId="21"/>
  </si>
  <si>
    <t>利益</t>
    <rPh sb="0" eb="2">
      <t>リエキ</t>
    </rPh>
    <phoneticPr fontId="21"/>
  </si>
  <si>
    <t>経費</t>
    <rPh sb="0" eb="2">
      <t>ケイヒ</t>
    </rPh>
    <phoneticPr fontId="21"/>
  </si>
  <si>
    <t>固変分解の仕方で変わる損益分岐点の程度</t>
    <rPh sb="0" eb="1">
      <t>コ</t>
    </rPh>
    <rPh sb="1" eb="2">
      <t>ヘン</t>
    </rPh>
    <rPh sb="2" eb="4">
      <t>ブンカイ</t>
    </rPh>
    <rPh sb="5" eb="7">
      <t>シカタ</t>
    </rPh>
    <rPh sb="8" eb="9">
      <t>カ</t>
    </rPh>
    <rPh sb="11" eb="13">
      <t>ソンエキ</t>
    </rPh>
    <rPh sb="13" eb="16">
      <t>ブンキテン</t>
    </rPh>
    <rPh sb="17" eb="19">
      <t>テイド</t>
    </rPh>
    <phoneticPr fontId="21"/>
  </si>
  <si>
    <t>損益分岐点の表</t>
    <rPh sb="0" eb="5">
      <t>ソンエキブンキテン</t>
    </rPh>
    <rPh sb="6" eb="7">
      <t>ヒョウ</t>
    </rPh>
    <phoneticPr fontId="21"/>
  </si>
  <si>
    <t>計画</t>
    <rPh sb="0" eb="2">
      <t>ケイカク</t>
    </rPh>
    <phoneticPr fontId="21"/>
  </si>
  <si>
    <t>デント面積（ha）</t>
    <rPh sb="3" eb="5">
      <t>メンセキ</t>
    </rPh>
    <phoneticPr fontId="21"/>
  </si>
  <si>
    <t>稲WCS面積（ha）</t>
    <rPh sb="0" eb="1">
      <t>イネ</t>
    </rPh>
    <rPh sb="4" eb="6">
      <t>メンセキ</t>
    </rPh>
    <phoneticPr fontId="21"/>
  </si>
  <si>
    <t>作業受託（ha）</t>
    <rPh sb="0" eb="4">
      <t>サギョウジュタク</t>
    </rPh>
    <phoneticPr fontId="21"/>
  </si>
  <si>
    <t>実績</t>
    <rPh sb="0" eb="2">
      <t>ジッセキ</t>
    </rPh>
    <phoneticPr fontId="21"/>
  </si>
  <si>
    <t>デント販売個数</t>
    <rPh sb="3" eb="5">
      <t>ハンバイ</t>
    </rPh>
    <rPh sb="5" eb="7">
      <t>コスウ</t>
    </rPh>
    <phoneticPr fontId="21"/>
  </si>
  <si>
    <t>稲WCS販売個数</t>
    <rPh sb="0" eb="1">
      <t>イネ</t>
    </rPh>
    <rPh sb="4" eb="8">
      <t>ハンバイコスウ</t>
    </rPh>
    <phoneticPr fontId="21"/>
  </si>
  <si>
    <t>概算</t>
    <rPh sb="0" eb="2">
      <t>ガイサン</t>
    </rPh>
    <phoneticPr fontId="21"/>
  </si>
  <si>
    <t>収入</t>
    <rPh sb="0" eb="2">
      <t>シュウニュウ</t>
    </rPh>
    <phoneticPr fontId="21"/>
  </si>
  <si>
    <t>その他経費</t>
  </si>
  <si>
    <t>その他経費</t>
    <rPh sb="3" eb="5">
      <t>ケイヒ</t>
    </rPh>
    <phoneticPr fontId="21"/>
  </si>
  <si>
    <t>支出</t>
    <rPh sb="0" eb="2">
      <t>シシュツ</t>
    </rPh>
    <phoneticPr fontId="21"/>
  </si>
  <si>
    <t>所得</t>
    <rPh sb="0" eb="2">
      <t>ショトク</t>
    </rPh>
    <phoneticPr fontId="21"/>
  </si>
  <si>
    <t>雇用労賃(別単価)</t>
    <rPh sb="0" eb="4">
      <t>コヨウロウチン</t>
    </rPh>
    <rPh sb="5" eb="6">
      <t>ベツ</t>
    </rPh>
    <rPh sb="6" eb="8">
      <t>タンカ</t>
    </rPh>
    <phoneticPr fontId="21"/>
  </si>
  <si>
    <t>WCS用稲</t>
    <phoneticPr fontId="21"/>
  </si>
  <si>
    <t>全作目中自作飼料率</t>
    <rPh sb="0" eb="3">
      <t>ゼンサクモク</t>
    </rPh>
    <rPh sb="3" eb="4">
      <t>チュウ</t>
    </rPh>
    <rPh sb="4" eb="8">
      <t>ジサクシリョウ</t>
    </rPh>
    <rPh sb="8" eb="9">
      <t>リツ</t>
    </rPh>
    <phoneticPr fontId="21"/>
  </si>
  <si>
    <t>別計算　全作目中自作飼料率を乗じる</t>
    <rPh sb="0" eb="3">
      <t>ベツケイサン</t>
    </rPh>
    <rPh sb="4" eb="5">
      <t>ゼン</t>
    </rPh>
    <rPh sb="5" eb="6">
      <t>サク</t>
    </rPh>
    <rPh sb="6" eb="7">
      <t>モク</t>
    </rPh>
    <rPh sb="7" eb="8">
      <t>チュウ</t>
    </rPh>
    <rPh sb="8" eb="10">
      <t>ジサク</t>
    </rPh>
    <rPh sb="10" eb="12">
      <t>シリョウ</t>
    </rPh>
    <rPh sb="12" eb="13">
      <t>リツ</t>
    </rPh>
    <rPh sb="14" eb="15">
      <t>ジョウ</t>
    </rPh>
    <phoneticPr fontId="21"/>
  </si>
  <si>
    <t>別計算　飼料自作率を乗じる</t>
    <rPh sb="0" eb="3">
      <t>ベツケイサン</t>
    </rPh>
    <rPh sb="4" eb="6">
      <t>シリョウ</t>
    </rPh>
    <rPh sb="6" eb="9">
      <t>ジサクリツ</t>
    </rPh>
    <rPh sb="10" eb="11">
      <t>ジョウ</t>
    </rPh>
    <phoneticPr fontId="21"/>
  </si>
  <si>
    <t>租税公課（×飼料自作率）</t>
    <rPh sb="0" eb="4">
      <t>ソゼイコウカ</t>
    </rPh>
    <rPh sb="6" eb="8">
      <t>シリョウ</t>
    </rPh>
    <rPh sb="8" eb="11">
      <t>ジサクリツ</t>
    </rPh>
    <phoneticPr fontId="21"/>
  </si>
  <si>
    <t>別計算　全作目中自作飼料率を乗じる（税抜き）</t>
    <rPh sb="0" eb="3">
      <t>ベツケイサン</t>
    </rPh>
    <rPh sb="4" eb="5">
      <t>ゼン</t>
    </rPh>
    <rPh sb="5" eb="6">
      <t>サク</t>
    </rPh>
    <rPh sb="6" eb="7">
      <t>モク</t>
    </rPh>
    <rPh sb="7" eb="8">
      <t>チュウ</t>
    </rPh>
    <rPh sb="8" eb="10">
      <t>ジサク</t>
    </rPh>
    <rPh sb="10" eb="12">
      <t>シリョウ</t>
    </rPh>
    <rPh sb="12" eb="13">
      <t>リツ</t>
    </rPh>
    <rPh sb="14" eb="15">
      <t>ジョウ</t>
    </rPh>
    <rPh sb="18" eb="20">
      <t>ゼイヌ</t>
    </rPh>
    <phoneticPr fontId="21"/>
  </si>
  <si>
    <t>表１　１０アールあたり経営収支</t>
    <rPh sb="0" eb="1">
      <t>ヒョウ</t>
    </rPh>
    <rPh sb="11" eb="15">
      <t>ケイエイシュウシ</t>
    </rPh>
    <phoneticPr fontId="33"/>
  </si>
  <si>
    <t>デントコーン</t>
    <phoneticPr fontId="33"/>
  </si>
  <si>
    <t>稲WCS</t>
    <rPh sb="0" eb="1">
      <t>イネ</t>
    </rPh>
    <phoneticPr fontId="33"/>
  </si>
  <si>
    <t>作業受託</t>
    <rPh sb="0" eb="4">
      <t>サギョウジュタク</t>
    </rPh>
    <phoneticPr fontId="33"/>
  </si>
  <si>
    <t>備考</t>
    <rPh sb="0" eb="2">
      <t>ビコウ</t>
    </rPh>
    <phoneticPr fontId="33"/>
  </si>
  <si>
    <t>主産物</t>
    <rPh sb="0" eb="3">
      <t>シュサンブツ</t>
    </rPh>
    <phoneticPr fontId="33"/>
  </si>
  <si>
    <t>刈取15,000円,ラッピング15,000円</t>
    <rPh sb="0" eb="2">
      <t>カリト</t>
    </rPh>
    <rPh sb="8" eb="9">
      <t>エン</t>
    </rPh>
    <rPh sb="21" eb="22">
      <t>エン</t>
    </rPh>
    <phoneticPr fontId="33"/>
  </si>
  <si>
    <t>交付金</t>
    <rPh sb="0" eb="3">
      <t>コウフキン</t>
    </rPh>
    <phoneticPr fontId="33"/>
  </si>
  <si>
    <t>耕畜連携</t>
    <rPh sb="0" eb="4">
      <t>コウチクレンケイ</t>
    </rPh>
    <phoneticPr fontId="33"/>
  </si>
  <si>
    <t>計</t>
    <rPh sb="0" eb="1">
      <t>ケイ</t>
    </rPh>
    <phoneticPr fontId="33"/>
  </si>
  <si>
    <t>種苗費</t>
    <rPh sb="0" eb="3">
      <t>シュビョウヒ</t>
    </rPh>
    <phoneticPr fontId="33"/>
  </si>
  <si>
    <t>化学肥料</t>
    <rPh sb="0" eb="4">
      <t>カガクヒリョウ</t>
    </rPh>
    <phoneticPr fontId="33"/>
  </si>
  <si>
    <t>堆肥</t>
    <rPh sb="0" eb="2">
      <t>タイヒ</t>
    </rPh>
    <phoneticPr fontId="33"/>
  </si>
  <si>
    <t>農業薬剤費</t>
    <rPh sb="0" eb="2">
      <t>ノウギョウ</t>
    </rPh>
    <rPh sb="2" eb="5">
      <t>ヤクザイヒ</t>
    </rPh>
    <phoneticPr fontId="33"/>
  </si>
  <si>
    <t>動力光熱費</t>
    <rPh sb="0" eb="5">
      <t>ドウリョクコウネツヒ</t>
    </rPh>
    <phoneticPr fontId="33"/>
  </si>
  <si>
    <t>諸材料費（資材費）</t>
    <rPh sb="0" eb="1">
      <t>モロ</t>
    </rPh>
    <rPh sb="1" eb="4">
      <t>ザイリョウヒ</t>
    </rPh>
    <rPh sb="5" eb="8">
      <t>シザイヒ</t>
    </rPh>
    <phoneticPr fontId="33"/>
  </si>
  <si>
    <t>ラップ代含む</t>
    <rPh sb="3" eb="4">
      <t>ダイ</t>
    </rPh>
    <rPh sb="4" eb="5">
      <t>フク</t>
    </rPh>
    <phoneticPr fontId="33"/>
  </si>
  <si>
    <t>（減価償却費）</t>
    <rPh sb="1" eb="6">
      <t>ゲンカショウキャクヒ</t>
    </rPh>
    <phoneticPr fontId="33"/>
  </si>
  <si>
    <t>飼料用を面積案分</t>
    <rPh sb="0" eb="2">
      <t>シリョウ</t>
    </rPh>
    <rPh sb="2" eb="3">
      <t>ヨウ</t>
    </rPh>
    <rPh sb="4" eb="6">
      <t>メンセキ</t>
    </rPh>
    <rPh sb="6" eb="8">
      <t>アンブン</t>
    </rPh>
    <phoneticPr fontId="33"/>
  </si>
  <si>
    <t>（修繕費）</t>
    <rPh sb="1" eb="4">
      <t>シュウゼンヒ</t>
    </rPh>
    <phoneticPr fontId="33"/>
  </si>
  <si>
    <t>第４期の面積案分</t>
    <rPh sb="0" eb="1">
      <t>ダイ</t>
    </rPh>
    <rPh sb="2" eb="3">
      <t>キ</t>
    </rPh>
    <rPh sb="4" eb="8">
      <t>メンセキアンブン</t>
    </rPh>
    <phoneticPr fontId="33"/>
  </si>
  <si>
    <t>表５　作業面積</t>
    <rPh sb="0" eb="1">
      <t>ヒョウ</t>
    </rPh>
    <rPh sb="3" eb="7">
      <t>サギョウメンセキ</t>
    </rPh>
    <phoneticPr fontId="33"/>
  </si>
  <si>
    <t>ha</t>
    <phoneticPr fontId="33"/>
  </si>
  <si>
    <t>作目</t>
    <rPh sb="0" eb="2">
      <t>サクモク</t>
    </rPh>
    <phoneticPr fontId="33"/>
  </si>
  <si>
    <t>R5</t>
    <phoneticPr fontId="33"/>
  </si>
  <si>
    <t>R6</t>
    <phoneticPr fontId="33"/>
  </si>
  <si>
    <t>R7</t>
    <phoneticPr fontId="33"/>
  </si>
  <si>
    <t>R8</t>
    <phoneticPr fontId="33"/>
  </si>
  <si>
    <t>R9</t>
    <phoneticPr fontId="33"/>
  </si>
  <si>
    <t>所得</t>
    <rPh sb="0" eb="2">
      <t>ショトク</t>
    </rPh>
    <phoneticPr fontId="33"/>
  </si>
  <si>
    <t>表２　目標年度</t>
    <rPh sb="0" eb="1">
      <t>ヒョウ</t>
    </rPh>
    <rPh sb="3" eb="5">
      <t>モクヒョウ</t>
    </rPh>
    <rPh sb="5" eb="7">
      <t>ネンド</t>
    </rPh>
    <phoneticPr fontId="33"/>
  </si>
  <si>
    <t>水稲</t>
    <rPh sb="0" eb="2">
      <t>スイトウ</t>
    </rPh>
    <phoneticPr fontId="33"/>
  </si>
  <si>
    <t>令和５年試験栽培収支計画から経費の一部費目を引用</t>
    <rPh sb="0" eb="2">
      <t>レイワ</t>
    </rPh>
    <rPh sb="3" eb="4">
      <t>ネン</t>
    </rPh>
    <rPh sb="4" eb="6">
      <t>シケン</t>
    </rPh>
    <rPh sb="6" eb="8">
      <t>サイバイ</t>
    </rPh>
    <rPh sb="8" eb="10">
      <t>シュウシ</t>
    </rPh>
    <rPh sb="10" eb="12">
      <t>ケイカク</t>
    </rPh>
    <rPh sb="19" eb="21">
      <t>ヒモク</t>
    </rPh>
    <rPh sb="22" eb="24">
      <t>インヨウ</t>
    </rPh>
    <phoneticPr fontId="33"/>
  </si>
  <si>
    <t>円</t>
    <rPh sb="0" eb="1">
      <t>エン</t>
    </rPh>
    <phoneticPr fontId="33"/>
  </si>
  <si>
    <t>作業面積</t>
    <rPh sb="0" eb="4">
      <t>サギョウメンセキ</t>
    </rPh>
    <phoneticPr fontId="33"/>
  </si>
  <si>
    <t>単位：ha</t>
    <rPh sb="0" eb="2">
      <t>タンイ</t>
    </rPh>
    <phoneticPr fontId="33"/>
  </si>
  <si>
    <t>大麦</t>
    <rPh sb="0" eb="2">
      <t>オオムギ</t>
    </rPh>
    <phoneticPr fontId="33"/>
  </si>
  <si>
    <t>稲WCS　ロール単価 サイズ小(S)３１００円  S;微細断</t>
    <rPh sb="0" eb="1">
      <t>イネ</t>
    </rPh>
    <rPh sb="8" eb="10">
      <t>タンカ</t>
    </rPh>
    <rPh sb="14" eb="15">
      <t>ショウ</t>
    </rPh>
    <rPh sb="22" eb="23">
      <t>エン</t>
    </rPh>
    <rPh sb="27" eb="30">
      <t>ビサイダン</t>
    </rPh>
    <phoneticPr fontId="33"/>
  </si>
  <si>
    <t>現状</t>
    <rPh sb="0" eb="2">
      <t>ゲンジョウ</t>
    </rPh>
    <phoneticPr fontId="33"/>
  </si>
  <si>
    <t>自作計画</t>
    <rPh sb="0" eb="2">
      <t>ジサク</t>
    </rPh>
    <rPh sb="2" eb="4">
      <t>ケイカク</t>
    </rPh>
    <phoneticPr fontId="33"/>
  </si>
  <si>
    <t>作業受託</t>
    <rPh sb="0" eb="2">
      <t>サギョウ</t>
    </rPh>
    <rPh sb="2" eb="4">
      <t>ジュタク</t>
    </rPh>
    <phoneticPr fontId="33"/>
  </si>
  <si>
    <t>大豆</t>
    <rPh sb="0" eb="2">
      <t>ダイズ</t>
    </rPh>
    <phoneticPr fontId="33"/>
  </si>
  <si>
    <t>サツマイモ</t>
    <phoneticPr fontId="33"/>
  </si>
  <si>
    <t>自作計①</t>
    <rPh sb="0" eb="2">
      <t>ジサク</t>
    </rPh>
    <rPh sb="2" eb="3">
      <t>ケイ</t>
    </rPh>
    <phoneticPr fontId="33"/>
  </si>
  <si>
    <t>稲WCS</t>
    <phoneticPr fontId="33"/>
  </si>
  <si>
    <t>デントコーン受託</t>
    <rPh sb="6" eb="8">
      <t>ジュタク</t>
    </rPh>
    <phoneticPr fontId="33"/>
  </si>
  <si>
    <t>稲WCS受託</t>
    <rPh sb="0" eb="1">
      <t>イネ</t>
    </rPh>
    <rPh sb="4" eb="6">
      <t>ジュタク</t>
    </rPh>
    <phoneticPr fontId="33"/>
  </si>
  <si>
    <t>受託飼料面積</t>
    <rPh sb="0" eb="2">
      <t>ジュタク</t>
    </rPh>
    <rPh sb="2" eb="4">
      <t>シリョウ</t>
    </rPh>
    <rPh sb="4" eb="6">
      <t>メンセキ</t>
    </rPh>
    <phoneticPr fontId="33"/>
  </si>
  <si>
    <t>飼料面積</t>
    <rPh sb="0" eb="2">
      <t>シリョウ</t>
    </rPh>
    <rPh sb="2" eb="4">
      <t>メンセキ</t>
    </rPh>
    <phoneticPr fontId="33"/>
  </si>
  <si>
    <t>自作受託計②</t>
    <rPh sb="0" eb="2">
      <t>ジサク</t>
    </rPh>
    <rPh sb="2" eb="4">
      <t>ジュタク</t>
    </rPh>
    <rPh sb="4" eb="5">
      <t>ケイ</t>
    </rPh>
    <phoneticPr fontId="33"/>
  </si>
  <si>
    <t>自作飼料面積③</t>
    <rPh sb="0" eb="4">
      <t>ジサクシリョウ</t>
    </rPh>
    <rPh sb="4" eb="6">
      <t>メンセキ</t>
    </rPh>
    <phoneticPr fontId="33"/>
  </si>
  <si>
    <t>飼料面積(自＋受)④</t>
    <rPh sb="0" eb="2">
      <t>シリョウ</t>
    </rPh>
    <rPh sb="2" eb="4">
      <t>メンセキ</t>
    </rPh>
    <rPh sb="5" eb="6">
      <t>ジ</t>
    </rPh>
    <rPh sb="7" eb="8">
      <t>ジュ</t>
    </rPh>
    <phoneticPr fontId="33"/>
  </si>
  <si>
    <t>表３　減価償却費の計算</t>
    <rPh sb="0" eb="1">
      <t>ヒョウ</t>
    </rPh>
    <rPh sb="3" eb="8">
      <t>ゲンカショウキャクヒ</t>
    </rPh>
    <rPh sb="9" eb="11">
      <t>ケイサン</t>
    </rPh>
    <phoneticPr fontId="33"/>
  </si>
  <si>
    <t>単位：千円</t>
    <rPh sb="0" eb="2">
      <t>タンイ</t>
    </rPh>
    <rPh sb="3" eb="5">
      <t>センエン</t>
    </rPh>
    <phoneticPr fontId="33"/>
  </si>
  <si>
    <t>表６　飼料作物への負担額を面積案分で求める</t>
    <rPh sb="0" eb="1">
      <t>ヒョウ</t>
    </rPh>
    <rPh sb="3" eb="5">
      <t>シリョウ</t>
    </rPh>
    <rPh sb="5" eb="7">
      <t>サクモツ</t>
    </rPh>
    <rPh sb="9" eb="12">
      <t>フタンガク</t>
    </rPh>
    <rPh sb="13" eb="17">
      <t>メンセキアンブン</t>
    </rPh>
    <rPh sb="18" eb="19">
      <t>モト</t>
    </rPh>
    <phoneticPr fontId="33"/>
  </si>
  <si>
    <t>機械</t>
    <rPh sb="0" eb="2">
      <t>キカイ</t>
    </rPh>
    <phoneticPr fontId="33"/>
  </si>
  <si>
    <t>取得価額</t>
    <rPh sb="0" eb="4">
      <t>シュトクカガク</t>
    </rPh>
    <phoneticPr fontId="33"/>
  </si>
  <si>
    <t>減価償却費</t>
    <rPh sb="0" eb="5">
      <t>ゲンカショウキャクヒ</t>
    </rPh>
    <phoneticPr fontId="33"/>
  </si>
  <si>
    <t>案分方法</t>
    <rPh sb="0" eb="4">
      <t>アンブンホウホウ</t>
    </rPh>
    <phoneticPr fontId="33"/>
  </si>
  <si>
    <t>年度</t>
    <rPh sb="0" eb="2">
      <t>ネンド</t>
    </rPh>
    <phoneticPr fontId="33"/>
  </si>
  <si>
    <t>収穫機械一式</t>
    <rPh sb="0" eb="6">
      <t>シュウカクキカイイッシキ</t>
    </rPh>
    <phoneticPr fontId="33"/>
  </si>
  <si>
    <t>飼料のみ</t>
    <rPh sb="0" eb="2">
      <t>シリョウ</t>
    </rPh>
    <phoneticPr fontId="33"/>
  </si>
  <si>
    <t>飼料部門への負担率 ④/②</t>
    <rPh sb="0" eb="2">
      <t>シリョウ</t>
    </rPh>
    <rPh sb="2" eb="4">
      <t>ブモン</t>
    </rPh>
    <rPh sb="6" eb="8">
      <t>フタン</t>
    </rPh>
    <rPh sb="8" eb="9">
      <t>リツ</t>
    </rPh>
    <phoneticPr fontId="33"/>
  </si>
  <si>
    <t>播種機</t>
    <rPh sb="0" eb="3">
      <t>ハシュキ</t>
    </rPh>
    <phoneticPr fontId="33"/>
  </si>
  <si>
    <t>償却済み</t>
    <rPh sb="0" eb="3">
      <t>ショウキャクズ</t>
    </rPh>
    <phoneticPr fontId="33"/>
  </si>
  <si>
    <t>自作面積中の飼料面積への負担率 ③/①</t>
    <rPh sb="0" eb="2">
      <t>ジサク</t>
    </rPh>
    <rPh sb="2" eb="4">
      <t>メンセキ</t>
    </rPh>
    <rPh sb="4" eb="5">
      <t>チュウ</t>
    </rPh>
    <rPh sb="6" eb="8">
      <t>シリョウ</t>
    </rPh>
    <rPh sb="8" eb="10">
      <t>メンセキ</t>
    </rPh>
    <rPh sb="12" eb="14">
      <t>フタン</t>
    </rPh>
    <rPh sb="14" eb="15">
      <t>リツ</t>
    </rPh>
    <phoneticPr fontId="33"/>
  </si>
  <si>
    <t>地代と共済掛金に掛かる</t>
    <rPh sb="0" eb="2">
      <t>チダイ</t>
    </rPh>
    <rPh sb="3" eb="7">
      <t>キョウサイカケキン</t>
    </rPh>
    <rPh sb="8" eb="9">
      <t>カ</t>
    </rPh>
    <phoneticPr fontId="33"/>
  </si>
  <si>
    <t>播種機用トラクター</t>
    <rPh sb="0" eb="3">
      <t>ハシュキ</t>
    </rPh>
    <rPh sb="3" eb="4">
      <t>ヨウ</t>
    </rPh>
    <phoneticPr fontId="33"/>
  </si>
  <si>
    <t>減価償却費飼料負担率</t>
    <rPh sb="0" eb="5">
      <t>ゲンカショウキャクヒ</t>
    </rPh>
    <rPh sb="5" eb="7">
      <t>シリョウ</t>
    </rPh>
    <rPh sb="7" eb="10">
      <t>フタンリツ</t>
    </rPh>
    <phoneticPr fontId="33"/>
  </si>
  <si>
    <t>耕耘代掻きトラクター</t>
    <rPh sb="0" eb="2">
      <t>コウウン</t>
    </rPh>
    <rPh sb="2" eb="4">
      <t>シロカ</t>
    </rPh>
    <phoneticPr fontId="33"/>
  </si>
  <si>
    <t>クボタ田植機(R3取得)</t>
    <rPh sb="3" eb="5">
      <t>タウ</t>
    </rPh>
    <rPh sb="5" eb="6">
      <t>キ</t>
    </rPh>
    <rPh sb="9" eb="11">
      <t>シュトク</t>
    </rPh>
    <phoneticPr fontId="33"/>
  </si>
  <si>
    <t>自稲</t>
    <rPh sb="0" eb="1">
      <t>ジ</t>
    </rPh>
    <rPh sb="1" eb="2">
      <t>イネ</t>
    </rPh>
    <phoneticPr fontId="33"/>
  </si>
  <si>
    <t>ハイクリ自動操舵システム(R3取得)</t>
    <rPh sb="4" eb="6">
      <t>ジドウ</t>
    </rPh>
    <rPh sb="6" eb="8">
      <t>ソウダ</t>
    </rPh>
    <phoneticPr fontId="33"/>
  </si>
  <si>
    <t>自汎用</t>
    <rPh sb="0" eb="1">
      <t>ジ</t>
    </rPh>
    <rPh sb="1" eb="3">
      <t>ハンヨウ</t>
    </rPh>
    <phoneticPr fontId="33"/>
  </si>
  <si>
    <t>ドローンT30(R6取得)</t>
    <rPh sb="10" eb="12">
      <t>シュトク</t>
    </rPh>
    <phoneticPr fontId="33"/>
  </si>
  <si>
    <t>ミニショベル中古 耐用２年(R8以降償却済)</t>
    <rPh sb="6" eb="8">
      <t>チュウコ</t>
    </rPh>
    <rPh sb="9" eb="11">
      <t>タイヨウ</t>
    </rPh>
    <rPh sb="12" eb="13">
      <t>ネン</t>
    </rPh>
    <rPh sb="16" eb="18">
      <t>イコウ</t>
    </rPh>
    <rPh sb="18" eb="21">
      <t>ショウキャクズ</t>
    </rPh>
    <phoneticPr fontId="33"/>
  </si>
  <si>
    <t>飼料のみ（計画期間内償却）</t>
    <rPh sb="0" eb="2">
      <t>シリョウ</t>
    </rPh>
    <rPh sb="5" eb="7">
      <t>ケイカク</t>
    </rPh>
    <rPh sb="7" eb="9">
      <t>キカン</t>
    </rPh>
    <rPh sb="9" eb="10">
      <t>ナイ</t>
    </rPh>
    <rPh sb="10" eb="12">
      <t>ショウキャク</t>
    </rPh>
    <phoneticPr fontId="33"/>
  </si>
  <si>
    <t>建物減価償却費</t>
    <rPh sb="0" eb="2">
      <t>タテモノ</t>
    </rPh>
    <rPh sb="2" eb="7">
      <t>ゲンカショウキャクヒ</t>
    </rPh>
    <phoneticPr fontId="33"/>
  </si>
  <si>
    <t>自受汎用</t>
    <rPh sb="0" eb="1">
      <t>ジ</t>
    </rPh>
    <rPh sb="1" eb="2">
      <t>ジュ</t>
    </rPh>
    <rPh sb="2" eb="4">
      <t>ハンヨウ</t>
    </rPh>
    <phoneticPr fontId="33"/>
  </si>
  <si>
    <t>表７　飼料部門への面積案分（固定費、共通経費等）</t>
    <rPh sb="0" eb="1">
      <t>ヒョウ</t>
    </rPh>
    <rPh sb="3" eb="5">
      <t>シリョウ</t>
    </rPh>
    <rPh sb="5" eb="7">
      <t>ブモン</t>
    </rPh>
    <rPh sb="9" eb="13">
      <t>メンセキアンブン</t>
    </rPh>
    <rPh sb="14" eb="17">
      <t>コテイヒ</t>
    </rPh>
    <rPh sb="18" eb="20">
      <t>キョウツウ</t>
    </rPh>
    <rPh sb="20" eb="22">
      <t>ケイヒ</t>
    </rPh>
    <rPh sb="22" eb="23">
      <t>トウ</t>
    </rPh>
    <phoneticPr fontId="33"/>
  </si>
  <si>
    <t>費目</t>
    <rPh sb="0" eb="2">
      <t>ヒモク</t>
    </rPh>
    <phoneticPr fontId="33"/>
  </si>
  <si>
    <t>令和５年（第４期）総額（税抜き）</t>
    <rPh sb="0" eb="2">
      <t>レイワ</t>
    </rPh>
    <rPh sb="3" eb="4">
      <t>ネン</t>
    </rPh>
    <rPh sb="5" eb="6">
      <t>ダイ</t>
    </rPh>
    <rPh sb="7" eb="8">
      <t>キ</t>
    </rPh>
    <rPh sb="9" eb="11">
      <t>ソウガク</t>
    </rPh>
    <phoneticPr fontId="33"/>
  </si>
  <si>
    <t>負担率</t>
    <rPh sb="0" eb="2">
      <t>フタン</t>
    </rPh>
    <rPh sb="2" eb="3">
      <t>リツ</t>
    </rPh>
    <phoneticPr fontId="33"/>
  </si>
  <si>
    <t>計上しない</t>
    <rPh sb="0" eb="2">
      <t>ケイジョウ</t>
    </rPh>
    <phoneticPr fontId="33"/>
  </si>
  <si>
    <t>表４　飼料部門への減価償却費の案分方法</t>
    <rPh sb="0" eb="1">
      <t>ヒョウ</t>
    </rPh>
    <rPh sb="3" eb="5">
      <t>シリョウ</t>
    </rPh>
    <rPh sb="5" eb="7">
      <t>ブモン</t>
    </rPh>
    <rPh sb="15" eb="17">
      <t>アンブン</t>
    </rPh>
    <rPh sb="17" eb="19">
      <t>ホウホウ</t>
    </rPh>
    <phoneticPr fontId="33"/>
  </si>
  <si>
    <t>1ha収穫4,000円、稲栽培32,862円、コーン栽培9,474円</t>
    <rPh sb="3" eb="5">
      <t>シュウカク</t>
    </rPh>
    <rPh sb="10" eb="11">
      <t>エン</t>
    </rPh>
    <rPh sb="12" eb="13">
      <t>イネ</t>
    </rPh>
    <rPh sb="13" eb="15">
      <t>サイバイ</t>
    </rPh>
    <rPh sb="26" eb="28">
      <t>サイバイ</t>
    </rPh>
    <phoneticPr fontId="33"/>
  </si>
  <si>
    <t>項目</t>
    <rPh sb="0" eb="2">
      <t>コウモク</t>
    </rPh>
    <phoneticPr fontId="33"/>
  </si>
  <si>
    <t>減価償却費飼料負担率</t>
    <rPh sb="0" eb="2">
      <t>ゲンカ</t>
    </rPh>
    <rPh sb="2" eb="4">
      <t>ショウキャク</t>
    </rPh>
    <rPh sb="4" eb="5">
      <t>ヒ</t>
    </rPh>
    <rPh sb="5" eb="7">
      <t>シリョウ</t>
    </rPh>
    <rPh sb="7" eb="9">
      <t>フタン</t>
    </rPh>
    <rPh sb="9" eb="10">
      <t>リツ</t>
    </rPh>
    <phoneticPr fontId="33"/>
  </si>
  <si>
    <t>自作面積で変動</t>
    <rPh sb="0" eb="2">
      <t>ジサク</t>
    </rPh>
    <rPh sb="2" eb="4">
      <t>メンセキ</t>
    </rPh>
    <rPh sb="5" eb="7">
      <t>ヘンドウ</t>
    </rPh>
    <phoneticPr fontId="33"/>
  </si>
  <si>
    <t>5022（飼料分計算⇒）</t>
    <rPh sb="5" eb="7">
      <t>シリョウ</t>
    </rPh>
    <rPh sb="7" eb="8">
      <t>ブン</t>
    </rPh>
    <rPh sb="8" eb="10">
      <t>ケイサン</t>
    </rPh>
    <phoneticPr fontId="33"/>
  </si>
  <si>
    <t>自作稲WCS/(自作稲WCS+自作水稲）</t>
    <rPh sb="0" eb="2">
      <t>ジサク</t>
    </rPh>
    <rPh sb="2" eb="3">
      <t>イネ</t>
    </rPh>
    <rPh sb="8" eb="10">
      <t>ジサク</t>
    </rPh>
    <rPh sb="10" eb="11">
      <t>イネ</t>
    </rPh>
    <rPh sb="15" eb="17">
      <t>ジサク</t>
    </rPh>
    <rPh sb="17" eb="19">
      <t>スイトウ</t>
    </rPh>
    <phoneticPr fontId="33"/>
  </si>
  <si>
    <t>自作飼料作物/自作面積</t>
    <phoneticPr fontId="33"/>
  </si>
  <si>
    <t>自受汎用</t>
    <rPh sb="2" eb="4">
      <t>ハンヨウ</t>
    </rPh>
    <phoneticPr fontId="33"/>
  </si>
  <si>
    <t>自作飼料及び受託飼料/全作業面積</t>
    <rPh sb="0" eb="2">
      <t>ジサク</t>
    </rPh>
    <rPh sb="4" eb="5">
      <t>オヨ</t>
    </rPh>
    <rPh sb="6" eb="8">
      <t>ジュタク</t>
    </rPh>
    <rPh sb="8" eb="10">
      <t>シリョウ</t>
    </rPh>
    <rPh sb="11" eb="16">
      <t>ゼンサギョウメンセキ</t>
    </rPh>
    <phoneticPr fontId="33"/>
  </si>
  <si>
    <t>作業受託面積含まず</t>
    <rPh sb="0" eb="2">
      <t>サギョウ</t>
    </rPh>
    <rPh sb="2" eb="4">
      <t>ジュタク</t>
    </rPh>
    <rPh sb="4" eb="6">
      <t>メンセキ</t>
    </rPh>
    <rPh sb="6" eb="7">
      <t>フク</t>
    </rPh>
    <phoneticPr fontId="33"/>
  </si>
  <si>
    <t>実績数値</t>
    <rPh sb="0" eb="2">
      <t>ジッセキ</t>
    </rPh>
    <rPh sb="2" eb="4">
      <t>スウチ</t>
    </rPh>
    <phoneticPr fontId="33"/>
  </si>
  <si>
    <t>その他製造原価</t>
    <rPh sb="2" eb="3">
      <t>ホカ</t>
    </rPh>
    <rPh sb="3" eb="7">
      <t>セイゾウゲンカ</t>
    </rPh>
    <phoneticPr fontId="33"/>
  </si>
  <si>
    <t>その他販管費</t>
    <rPh sb="2" eb="3">
      <t>ホカ</t>
    </rPh>
    <rPh sb="3" eb="6">
      <t>ハンカンヒ</t>
    </rPh>
    <phoneticPr fontId="33"/>
  </si>
  <si>
    <t>表８　「表７ その他経費」　の内訳</t>
    <rPh sb="0" eb="1">
      <t>ヒョウ</t>
    </rPh>
    <rPh sb="4" eb="5">
      <t>ヒョウ</t>
    </rPh>
    <rPh sb="9" eb="10">
      <t>ホカ</t>
    </rPh>
    <rPh sb="10" eb="12">
      <t>ケイヒ</t>
    </rPh>
    <rPh sb="15" eb="17">
      <t>ウチワケ</t>
    </rPh>
    <phoneticPr fontId="33"/>
  </si>
  <si>
    <t>第４期（千円）は飼料以外の作物分を含む</t>
    <rPh sb="8" eb="10">
      <t>シリョウ</t>
    </rPh>
    <rPh sb="10" eb="12">
      <t>イガイ</t>
    </rPh>
    <rPh sb="13" eb="15">
      <t>サクモツ</t>
    </rPh>
    <rPh sb="15" eb="16">
      <t>ブン</t>
    </rPh>
    <rPh sb="17" eb="18">
      <t>フク</t>
    </rPh>
    <phoneticPr fontId="33"/>
  </si>
  <si>
    <t>製造原価</t>
    <rPh sb="0" eb="4">
      <t>セイゾウゲンカ</t>
    </rPh>
    <phoneticPr fontId="33"/>
  </si>
  <si>
    <t>第４期（千円）</t>
    <rPh sb="0" eb="1">
      <t>ダイ</t>
    </rPh>
    <rPh sb="2" eb="3">
      <t>キ</t>
    </rPh>
    <rPh sb="4" eb="6">
      <t>センエン</t>
    </rPh>
    <phoneticPr fontId="33"/>
  </si>
  <si>
    <t>飼料部門分への案分前</t>
    <rPh sb="0" eb="2">
      <t>シリョウ</t>
    </rPh>
    <rPh sb="2" eb="4">
      <t>ブモン</t>
    </rPh>
    <rPh sb="4" eb="5">
      <t>ブン</t>
    </rPh>
    <rPh sb="7" eb="10">
      <t>アンブンマエ</t>
    </rPh>
    <phoneticPr fontId="33"/>
  </si>
  <si>
    <t>販管費</t>
    <rPh sb="0" eb="3">
      <t>ハンカンヒ</t>
    </rPh>
    <phoneticPr fontId="33"/>
  </si>
  <si>
    <t>飼料部門分への案分前</t>
    <phoneticPr fontId="33"/>
  </si>
  <si>
    <t>別計算</t>
  </si>
  <si>
    <t>役員報酬</t>
    <rPh sb="0" eb="4">
      <t>ヤクインホウシュウ</t>
    </rPh>
    <phoneticPr fontId="33"/>
  </si>
  <si>
    <t>肥料費</t>
    <rPh sb="0" eb="3">
      <t>ヒリョウヒ</t>
    </rPh>
    <phoneticPr fontId="33"/>
  </si>
  <si>
    <t>給料手当</t>
    <rPh sb="0" eb="4">
      <t>キュウリョウテアテ</t>
    </rPh>
    <phoneticPr fontId="33"/>
  </si>
  <si>
    <t>農薬費</t>
    <rPh sb="0" eb="2">
      <t>ノウヤク</t>
    </rPh>
    <rPh sb="2" eb="3">
      <t>ヒ</t>
    </rPh>
    <phoneticPr fontId="33"/>
  </si>
  <si>
    <t>賞与手当</t>
    <rPh sb="0" eb="4">
      <t>ショウヨテアテ</t>
    </rPh>
    <phoneticPr fontId="33"/>
  </si>
  <si>
    <t>諸材料費</t>
    <rPh sb="0" eb="4">
      <t>ショザイリョウヒ</t>
    </rPh>
    <phoneticPr fontId="33"/>
  </si>
  <si>
    <t>法定福利費</t>
    <rPh sb="0" eb="5">
      <t>ホウテイフクリヒ</t>
    </rPh>
    <phoneticPr fontId="33"/>
  </si>
  <si>
    <t>社会保険料</t>
    <rPh sb="0" eb="4">
      <t>シャカイホケン</t>
    </rPh>
    <rPh sb="4" eb="5">
      <t>リョウ</t>
    </rPh>
    <phoneticPr fontId="33"/>
  </si>
  <si>
    <t>雑給</t>
    <rPh sb="0" eb="2">
      <t>ザッキュウ</t>
    </rPh>
    <phoneticPr fontId="33"/>
  </si>
  <si>
    <t>福利厚生費</t>
    <rPh sb="0" eb="5">
      <t>フクリコウセイヒ</t>
    </rPh>
    <phoneticPr fontId="33"/>
  </si>
  <si>
    <t>作業委託費</t>
    <rPh sb="0" eb="2">
      <t>サギョウ</t>
    </rPh>
    <rPh sb="2" eb="5">
      <t>イタクヒ</t>
    </rPh>
    <phoneticPr fontId="33"/>
  </si>
  <si>
    <t>荷造運賃</t>
    <rPh sb="0" eb="2">
      <t>ニヅク</t>
    </rPh>
    <rPh sb="2" eb="4">
      <t>ウンチン</t>
    </rPh>
    <phoneticPr fontId="33"/>
  </si>
  <si>
    <t>飼料部門該当なし</t>
    <rPh sb="0" eb="2">
      <t>シリョウ</t>
    </rPh>
    <rPh sb="2" eb="4">
      <t>ブモン</t>
    </rPh>
    <rPh sb="4" eb="6">
      <t>ガイトウ</t>
    </rPh>
    <phoneticPr fontId="33"/>
  </si>
  <si>
    <t>旅費交通費</t>
    <rPh sb="0" eb="5">
      <t>リョヒコウツウヒ</t>
    </rPh>
    <phoneticPr fontId="33"/>
  </si>
  <si>
    <t>農具費</t>
    <rPh sb="0" eb="2">
      <t>ノウグ</t>
    </rPh>
    <rPh sb="2" eb="3">
      <t>ヒ</t>
    </rPh>
    <phoneticPr fontId="33"/>
  </si>
  <si>
    <t>接待交際費</t>
    <rPh sb="0" eb="5">
      <t>セッタイコウサイヒ</t>
    </rPh>
    <phoneticPr fontId="33"/>
  </si>
  <si>
    <t>荷造運賃手数料</t>
    <rPh sb="0" eb="2">
      <t>ニヅク</t>
    </rPh>
    <rPh sb="2" eb="4">
      <t>ウンチン</t>
    </rPh>
    <rPh sb="4" eb="7">
      <t>テスウリョウ</t>
    </rPh>
    <phoneticPr fontId="33"/>
  </si>
  <si>
    <t>通信費</t>
    <rPh sb="0" eb="3">
      <t>ツウシンヒ</t>
    </rPh>
    <phoneticPr fontId="33"/>
  </si>
  <si>
    <t>修繕費</t>
    <rPh sb="0" eb="3">
      <t>シュウゼンヒ</t>
    </rPh>
    <phoneticPr fontId="33"/>
  </si>
  <si>
    <t>租税公課</t>
    <rPh sb="0" eb="4">
      <t>ソゼイコウカ</t>
    </rPh>
    <phoneticPr fontId="33"/>
  </si>
  <si>
    <t>賃借料</t>
    <rPh sb="0" eb="3">
      <t>チンシャクリョウ</t>
    </rPh>
    <phoneticPr fontId="33"/>
  </si>
  <si>
    <t>法人化前機械の賃借 飼料部門該当なし</t>
    <rPh sb="0" eb="3">
      <t>ホウジンカ</t>
    </rPh>
    <rPh sb="3" eb="4">
      <t>マエ</t>
    </rPh>
    <rPh sb="4" eb="6">
      <t>キカイ</t>
    </rPh>
    <rPh sb="7" eb="9">
      <t>チンシャク</t>
    </rPh>
    <rPh sb="10" eb="12">
      <t>シリョウ</t>
    </rPh>
    <rPh sb="12" eb="14">
      <t>ブモン</t>
    </rPh>
    <rPh sb="14" eb="16">
      <t>ガイトウ</t>
    </rPh>
    <phoneticPr fontId="33"/>
  </si>
  <si>
    <t>事務用消耗品費</t>
    <rPh sb="0" eb="3">
      <t>ジムヨウ</t>
    </rPh>
    <rPh sb="3" eb="7">
      <t>ショウモウヒンヒ</t>
    </rPh>
    <phoneticPr fontId="33"/>
  </si>
  <si>
    <t>共済掛金</t>
    <rPh sb="0" eb="4">
      <t>キョウサイカケキン</t>
    </rPh>
    <phoneticPr fontId="33"/>
  </si>
  <si>
    <t>リース料</t>
    <rPh sb="3" eb="4">
      <t>リョウ</t>
    </rPh>
    <phoneticPr fontId="33"/>
  </si>
  <si>
    <t>支払保険料</t>
    <rPh sb="0" eb="2">
      <t>シハラ</t>
    </rPh>
    <rPh sb="2" eb="5">
      <t>ホケンリョウ</t>
    </rPh>
    <phoneticPr fontId="33"/>
  </si>
  <si>
    <t>支払地代</t>
    <rPh sb="0" eb="2">
      <t>シハラ</t>
    </rPh>
    <rPh sb="2" eb="4">
      <t>チダイ</t>
    </rPh>
    <phoneticPr fontId="33"/>
  </si>
  <si>
    <t>支払手数料</t>
    <rPh sb="0" eb="2">
      <t>シハラ</t>
    </rPh>
    <rPh sb="2" eb="5">
      <t>テスウリョウ</t>
    </rPh>
    <phoneticPr fontId="33"/>
  </si>
  <si>
    <t>作業用衣料費</t>
    <rPh sb="0" eb="3">
      <t>サギョウヨウ</t>
    </rPh>
    <rPh sb="3" eb="5">
      <t>イリョウ</t>
    </rPh>
    <rPh sb="5" eb="6">
      <t>ヒ</t>
    </rPh>
    <phoneticPr fontId="33"/>
  </si>
  <si>
    <t>支払報酬</t>
    <rPh sb="0" eb="2">
      <t>シハラ</t>
    </rPh>
    <rPh sb="2" eb="4">
      <t>ホウシュウ</t>
    </rPh>
    <phoneticPr fontId="33"/>
  </si>
  <si>
    <t>賃借料②</t>
    <rPh sb="0" eb="3">
      <t>チンシャクリョウ</t>
    </rPh>
    <phoneticPr fontId="33"/>
  </si>
  <si>
    <t>研修費</t>
    <rPh sb="0" eb="3">
      <t>ケンシュウヒ</t>
    </rPh>
    <phoneticPr fontId="33"/>
  </si>
  <si>
    <t>委託販売手数料</t>
    <rPh sb="0" eb="4">
      <t>イタクハンバイ</t>
    </rPh>
    <rPh sb="4" eb="7">
      <t>テスウリョウ</t>
    </rPh>
    <phoneticPr fontId="33"/>
  </si>
  <si>
    <t>別計算(稲440円/個)販売単価と共助金</t>
    <rPh sb="0" eb="3">
      <t>ベツケイサン</t>
    </rPh>
    <rPh sb="4" eb="5">
      <t>イネ</t>
    </rPh>
    <rPh sb="8" eb="9">
      <t>エン</t>
    </rPh>
    <rPh sb="10" eb="11">
      <t>コ</t>
    </rPh>
    <rPh sb="12" eb="16">
      <t>ハンバイタンカ</t>
    </rPh>
    <rPh sb="17" eb="19">
      <t>キョウジョ</t>
    </rPh>
    <rPh sb="19" eb="20">
      <t>キン</t>
    </rPh>
    <phoneticPr fontId="33"/>
  </si>
  <si>
    <t>税抜き</t>
    <rPh sb="0" eb="2">
      <t>ゼイヌ</t>
    </rPh>
    <phoneticPr fontId="33"/>
  </si>
  <si>
    <t>負担金</t>
    <rPh sb="0" eb="3">
      <t>フタンキン</t>
    </rPh>
    <phoneticPr fontId="33"/>
  </si>
  <si>
    <t>諸会費①</t>
    <rPh sb="0" eb="3">
      <t>ショカイヒ</t>
    </rPh>
    <phoneticPr fontId="33"/>
  </si>
  <si>
    <t>諸会費②</t>
    <rPh sb="0" eb="3">
      <t>ショカイヒ</t>
    </rPh>
    <phoneticPr fontId="33"/>
  </si>
  <si>
    <t>雑費</t>
    <rPh sb="0" eb="2">
      <t>ザッピ</t>
    </rPh>
    <phoneticPr fontId="33"/>
  </si>
  <si>
    <t>営業外費用(千円)</t>
  </si>
  <si>
    <t>作業委託費（千円）</t>
  </si>
  <si>
    <t>飼料自作率（租税公課用）</t>
    <rPh sb="0" eb="2">
      <t>シリョウ</t>
    </rPh>
    <rPh sb="2" eb="5">
      <t>ジサクリツ</t>
    </rPh>
    <rPh sb="6" eb="10">
      <t>ソゼイコウカ</t>
    </rPh>
    <rPh sb="10" eb="11">
      <t>ヨウ</t>
    </rPh>
    <phoneticPr fontId="21"/>
  </si>
  <si>
    <t>その他経費＝その他生産費＋その他一般管理費</t>
    <rPh sb="2" eb="3">
      <t>ホカ</t>
    </rPh>
    <rPh sb="3" eb="5">
      <t>ケイヒ</t>
    </rPh>
    <rPh sb="8" eb="9">
      <t>ホカ</t>
    </rPh>
    <rPh sb="9" eb="12">
      <t>セイサンヒ</t>
    </rPh>
    <rPh sb="15" eb="16">
      <t>ホカ</t>
    </rPh>
    <rPh sb="16" eb="21">
      <t>イッパンカンリヒ</t>
    </rPh>
    <phoneticPr fontId="21"/>
  </si>
  <si>
    <t>作業衣料費</t>
    <rPh sb="0" eb="2">
      <t>サギョウ</t>
    </rPh>
    <rPh sb="2" eb="4">
      <t>イリョウ</t>
    </rPh>
    <rPh sb="4" eb="5">
      <t>ヒ</t>
    </rPh>
    <phoneticPr fontId="21"/>
  </si>
  <si>
    <t>その他生産費（その他製造原価税抜き×自給飼料率）</t>
    <rPh sb="2" eb="3">
      <t>ホカ</t>
    </rPh>
    <rPh sb="3" eb="6">
      <t>セイサンヒ</t>
    </rPh>
    <rPh sb="9" eb="10">
      <t>ホカ</t>
    </rPh>
    <rPh sb="10" eb="14">
      <t>セイゾウゲンカ</t>
    </rPh>
    <rPh sb="14" eb="16">
      <t>ゼイヌ</t>
    </rPh>
    <rPh sb="18" eb="22">
      <t>ジキュウシリョウ</t>
    </rPh>
    <rPh sb="22" eb="23">
      <t>リツ</t>
    </rPh>
    <phoneticPr fontId="21"/>
  </si>
  <si>
    <t>その他一般管理費</t>
    <rPh sb="2" eb="3">
      <t>ホカ</t>
    </rPh>
    <rPh sb="3" eb="8">
      <t>イッパンカンリヒ</t>
    </rPh>
    <phoneticPr fontId="21"/>
  </si>
  <si>
    <t>旅費交通費</t>
    <rPh sb="0" eb="5">
      <t>リョヒコウツウヒ</t>
    </rPh>
    <phoneticPr fontId="21"/>
  </si>
  <si>
    <t>接待交際費</t>
  </si>
  <si>
    <t>通信費</t>
  </si>
  <si>
    <t>租税公課</t>
  </si>
  <si>
    <t>事務用消耗品費</t>
  </si>
  <si>
    <t>研修費</t>
  </si>
  <si>
    <t>委託販売手数料</t>
  </si>
  <si>
    <t>負担金</t>
  </si>
  <si>
    <t>諸会費①</t>
  </si>
  <si>
    <t>諸会費②</t>
  </si>
  <si>
    <t>雑費</t>
  </si>
  <si>
    <t>千円</t>
    <rPh sb="0" eb="2">
      <t>センエン</t>
    </rPh>
    <phoneticPr fontId="21"/>
  </si>
  <si>
    <t>以下　計算方法あわせ</t>
    <rPh sb="0" eb="2">
      <t>イカ</t>
    </rPh>
    <rPh sb="3" eb="5">
      <t>ケイサン</t>
    </rPh>
    <rPh sb="5" eb="7">
      <t>ホウホウ</t>
    </rPh>
    <phoneticPr fontId="21"/>
  </si>
  <si>
    <t>WCSの運搬業務含む</t>
    <rPh sb="4" eb="6">
      <t>ウンパン</t>
    </rPh>
    <rPh sb="6" eb="8">
      <t>ギョウム</t>
    </rPh>
    <rPh sb="8" eb="9">
      <t>フク</t>
    </rPh>
    <phoneticPr fontId="21"/>
  </si>
  <si>
    <t>←一つの数式にする</t>
    <rPh sb="1" eb="2">
      <t>ヒト</t>
    </rPh>
    <rPh sb="4" eb="6">
      <t>スウシキ</t>
    </rPh>
    <phoneticPr fontId="21"/>
  </si>
  <si>
    <t>法定福利費（税込）</t>
    <rPh sb="0" eb="5">
      <t>ホウテイフクリヒ</t>
    </rPh>
    <rPh sb="6" eb="8">
      <t>ゼイコ</t>
    </rPh>
    <phoneticPr fontId="21"/>
  </si>
  <si>
    <t>支払保険料（税込）</t>
    <rPh sb="6" eb="8">
      <t>ゼイコ</t>
    </rPh>
    <phoneticPr fontId="21"/>
  </si>
  <si>
    <t>【令和６年度】
１．協議会
　①斐川町ＷＣＳ稲生産協議会
　　　開催日　５月１３日
　　　議題　　令和５年度ＷＣＳ稲の販売状況について
　　　　　　　令和６年度生産計画について
　　　　　　　良品質生産（コントラクターの確保）について
　　　※会議内容が重複することから、以降は斐川町ＷＣＳ生産協議会役員会と一体で行うこととし
　　　　た。
　③斐川町ＷＣＳ生産協議会
　　4/9　 役員会　　Ｒ５年販売状況　Ｒ６年生産計画、収穫作業体系及び料金について
　　6/12　Ｒ６生産状況調査
　　7/2　 コントラクター会議　　Ｒ６契約状況　Ｒ６生産状況及び収穫作業についてほか　
　　7/8　 圃場巡回
　　7/16　全体会　　R6契約状況　販売代金の精算方法　収穫作業料金、基準単収の設定について
　　9/20　役員会　　R6生産販売状況について
　　10/3　コントラクター町内巡回
　　11/18 全大会　　R6生産・販売状況　R7生産について　R7種子取りまとめについて　
　　1/9   役員会　　R6生産・販売状況　第2回通常総会について　　
　　1/21　第2回通常総会及びＪＡしまね斐川地区本部ＷＣＳ共助金運営委員会解散総会
　　　　　稲ＷＣＳ生産技術向上研修会　　
２．事業実施主体
　①組織の運営強化の取組状況
　弊社は本事業によって、稲ＷＣＳおよびデントコーンの収穫に供する一連の農業機械、すなわち、汎用型微　
　細断飼料収穫機、マルチヘッダアタッチ、自走ラップマシン、ベールグラブを導入し、飼料自給率向上の取
　り組みを始めた。
　この取り組みによる弊社への効果は以下の通りであった。
　②効果
・作業機械によって稲WCSの自作３．４ｈａ、デントコーンの自作５．１ｈａと収穫作業受託０．８ｈａなら 
  びに斐川町ＷＣＳ生産協議会のコントラクターとして稲ＷＣＳの収穫作業受託１１．９ｈａに着手できた。
・稲WCSよる販売総額は５３９万円であった。
・作付けローテーションに稲ＷＣＳを組み込みほ場を水没させることで、後作の畑作で発生する畑地難雑草を
  抑制できた。
・また、作付けローテーションにデントコーンを組み込むことで大豆作では利用できない広葉雑草への除草
  剤を散布でき、畑地難雑草を抑制できた。
・斐川町WCS生産協議会の一員として稲WCSを生産し、また、デントコーンを市内の畜産農家１戸と島根県畜産
  技術センターに独自販売した。さらに来年には新たに市外畜産農家２戸に対して供給を予定している。
・経営収支計画を作成した時から資材等の経費が高騰して実績の支出は想定支出額の１．２倍に達したため、
　目標所得が得られていない。</t>
    <rPh sb="1069" eb="1075">
      <t>ケイエイシュウシケイカク</t>
    </rPh>
    <rPh sb="1090" eb="1092">
      <t>コウトウ</t>
    </rPh>
    <rPh sb="1094" eb="1096">
      <t>ジッセキ</t>
    </rPh>
    <rPh sb="1097" eb="1099">
      <t>シシュツ</t>
    </rPh>
    <rPh sb="1100" eb="1104">
      <t>ソウテイシシュツ</t>
    </rPh>
    <rPh sb="1104" eb="1105">
      <t>ガク</t>
    </rPh>
    <rPh sb="1109" eb="1110">
      <t>バイ</t>
    </rPh>
    <rPh sb="1111" eb="1112">
      <t>タッ</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</si>
</sst>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
    <numFmt numFmtId="177" formatCode="0.0%"/>
    <numFmt numFmtId="178" formatCode="0_);[Red]\(0\)"/>
    <numFmt numFmtId="179" formatCode="#,##0.0;[Red]\-#,##0.0"/>
    <numFmt numFmtId="180" formatCode="#,##0_);[Red]\(#,##0\)"/>
    <numFmt numFmtId="181" formatCode="#,##0.00_ ;[Red]\-#,##0.00\ "/>
    <numFmt numFmtId="182" formatCode="#,##0.0_ ;[Red]\-#,##0.0\ "/>
    <numFmt numFmtId="183" formatCode="[$-411]ge\.m\.d;@"/>
  </numFmts>
  <fonts count="52">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u/>
      <sz val="11"/>
      <color rgb="FF0563C1"/>
      <name val="游ゴシック"/>
      <family val="2"/>
      <charset val="128"/>
      <scheme val="minor"/>
    </font>
    <font>
      <u/>
      <sz val="11"/>
      <color rgb="FF954F72"/>
      <name val="游ゴシック"/>
      <family val="2"/>
      <charset val="128"/>
      <scheme val="minor"/>
    </font>
    <font>
      <sz val="11"/>
      <color rgb="FF000000"/>
      <name val="ＭＳ 明朝"/>
      <family val="1"/>
      <charset val="128"/>
    </font>
    <font>
      <sz val="6"/>
      <name val="游ゴシック"/>
      <family val="2"/>
      <charset val="128"/>
      <scheme val="minor"/>
    </font>
    <font>
      <sz val="10"/>
      <name val="Arial"/>
      <family val="2"/>
    </font>
    <font>
      <sz val="11"/>
      <name val="ＭＳ 明朝"/>
      <family val="1"/>
      <charset val="128"/>
    </font>
    <font>
      <sz val="6"/>
      <name val="ＭＳ Ｐゴシック"/>
      <family val="3"/>
      <charset val="128"/>
    </font>
    <font>
      <b/>
      <sz val="9"/>
      <color indexed="81"/>
      <name val="MS P ゴシック"/>
      <family val="3"/>
      <charset val="128"/>
    </font>
    <font>
      <sz val="12"/>
      <name val="ＭＳ 明朝"/>
      <family val="1"/>
      <charset val="128"/>
    </font>
    <font>
      <sz val="10"/>
      <name val="ＭＳ 明朝"/>
      <family val="1"/>
      <charset val="128"/>
    </font>
    <font>
      <sz val="9"/>
      <name val="ＭＳ 明朝"/>
      <family val="1"/>
      <charset val="128"/>
    </font>
    <font>
      <sz val="11"/>
      <color rgb="FFFF0000"/>
      <name val="ＭＳ 明朝"/>
      <family val="1"/>
      <charset val="128"/>
    </font>
    <font>
      <sz val="9"/>
      <color rgb="FFFF0000"/>
      <name val="ＭＳ 明朝"/>
      <family val="1"/>
      <charset val="128"/>
    </font>
    <font>
      <b/>
      <sz val="11"/>
      <color theme="1"/>
      <name val="游ゴシック"/>
      <family val="3"/>
      <charset val="128"/>
      <scheme val="minor"/>
    </font>
    <font>
      <sz val="9"/>
      <name val="Times New Roman"/>
      <family val="1"/>
    </font>
    <font>
      <sz val="6"/>
      <name val="ＭＳ Ｐ明朝"/>
      <family val="1"/>
      <charset val="128"/>
    </font>
    <font>
      <sz val="11"/>
      <name val="ＭＳ Ｐ明朝"/>
      <family val="1"/>
      <charset val="128"/>
    </font>
    <font>
      <sz val="9"/>
      <name val="Century"/>
      <family val="1"/>
    </font>
    <font>
      <u/>
      <sz val="11"/>
      <name val="ＭＳ 明朝"/>
      <family val="1"/>
      <charset val="128"/>
    </font>
    <font>
      <sz val="11"/>
      <name val="游ゴシック"/>
      <family val="2"/>
      <charset val="128"/>
      <scheme val="minor"/>
    </font>
    <font>
      <sz val="11"/>
      <color theme="1"/>
      <name val="ＭＳ 明朝"/>
      <family val="1"/>
      <charset val="128"/>
    </font>
    <font>
      <sz val="11"/>
      <color theme="1"/>
      <name val="游ゴシック"/>
      <family val="3"/>
      <charset val="128"/>
      <scheme val="minor"/>
    </font>
    <font>
      <sz val="1"/>
      <color theme="1"/>
      <name val="ＭＳ 明朝"/>
      <family val="1"/>
      <charset val="128"/>
    </font>
    <font>
      <b/>
      <sz val="11"/>
      <color rgb="FFFF0000"/>
      <name val="游ゴシック"/>
      <family val="3"/>
      <charset val="128"/>
      <scheme val="minor"/>
    </font>
    <font>
      <b/>
      <sz val="11"/>
      <name val="游ゴシック"/>
      <family val="3"/>
      <charset val="128"/>
      <scheme val="minor"/>
    </font>
    <font>
      <sz val="11"/>
      <color rgb="FFFF0000"/>
      <name val="ＭＳ Ｐ明朝"/>
      <family val="1"/>
      <charset val="128"/>
    </font>
    <font>
      <b/>
      <sz val="11"/>
      <name val="ＭＳ Ｐ明朝"/>
      <family val="1"/>
      <charset val="128"/>
    </font>
    <font>
      <sz val="11"/>
      <color theme="1"/>
      <name val="ＭＳ Ｐ明朝"/>
      <family val="1"/>
      <charset val="128"/>
    </font>
    <font>
      <sz val="10"/>
      <name val="ＭＳ Ｐ明朝"/>
      <family val="1"/>
      <charset val="128"/>
    </font>
    <font>
      <sz val="8"/>
      <name val="ＭＳ Ｐ明朝"/>
      <family val="1"/>
      <charset val="128"/>
    </font>
    <font>
      <sz val="7"/>
      <name val="ＭＳ Ｐ明朝"/>
      <family val="1"/>
      <charset val="128"/>
    </font>
    <font>
      <sz val="11"/>
      <color theme="0" tint="-0.249977111117893"/>
      <name val="ＭＳ Ｐ明朝"/>
      <family val="1"/>
      <charset val="128"/>
    </font>
    <font>
      <u/>
      <sz val="11"/>
      <color theme="1"/>
      <name val="游ゴシック"/>
      <family val="2"/>
      <charset val="128"/>
      <scheme val="minor"/>
    </font>
    <font>
      <sz val="6"/>
      <name val="ＭＳ 明朝"/>
      <family val="1"/>
      <charset val="128"/>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8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dotted">
        <color indexed="6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587">
    <xf numFmtId="0" fontId="0" fillId="0" borderId="0" xfId="0">
      <alignment vertical="center"/>
    </xf>
    <xf numFmtId="0" fontId="23" fillId="0" borderId="0" xfId="44" applyFont="1" applyAlignment="1"/>
    <xf numFmtId="0" fontId="23" fillId="0" borderId="0" xfId="44" applyFont="1">
      <alignment vertical="center"/>
    </xf>
    <xf numFmtId="0" fontId="20" fillId="0" borderId="0" xfId="44" applyFont="1" applyAlignment="1"/>
    <xf numFmtId="0" fontId="20" fillId="0" borderId="0" xfId="44" applyFont="1" applyAlignment="1">
      <alignment horizontal="right"/>
    </xf>
    <xf numFmtId="0" fontId="23" fillId="0" borderId="0" xfId="44" applyFont="1" applyAlignment="1">
      <alignment horizontal="center" vertical="center"/>
    </xf>
    <xf numFmtId="0" fontId="20" fillId="0" borderId="0" xfId="44" applyFont="1">
      <alignment vertical="center"/>
    </xf>
    <xf numFmtId="0" fontId="23" fillId="0" borderId="0" xfId="0" applyFont="1">
      <alignment vertical="center"/>
    </xf>
    <xf numFmtId="0" fontId="23" fillId="0" borderId="0" xfId="0" applyFont="1" applyAlignment="1">
      <alignment horizontal="justify" vertical="center"/>
    </xf>
    <xf numFmtId="0" fontId="26" fillId="0" borderId="0" xfId="0" applyFont="1" applyAlignment="1">
      <alignment horizontal="justify" vertical="center"/>
    </xf>
    <xf numFmtId="0" fontId="23" fillId="0" borderId="10" xfId="0" applyFont="1" applyBorder="1" applyAlignment="1">
      <alignment horizontal="right" vertical="center" wrapText="1"/>
    </xf>
    <xf numFmtId="0" fontId="23" fillId="0" borderId="10" xfId="0" applyFont="1" applyBorder="1" applyAlignment="1">
      <alignment horizontal="justify"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9" xfId="0" applyFont="1" applyBorder="1" applyAlignment="1">
      <alignment vertical="top" wrapText="1"/>
    </xf>
    <xf numFmtId="10" fontId="27" fillId="0" borderId="19" xfId="0" applyNumberFormat="1" applyFont="1" applyBorder="1" applyAlignment="1">
      <alignment vertical="center" wrapText="1"/>
    </xf>
    <xf numFmtId="10" fontId="23" fillId="33" borderId="19" xfId="0" applyNumberFormat="1" applyFont="1" applyFill="1" applyBorder="1" applyAlignment="1">
      <alignment vertical="top" wrapText="1"/>
    </xf>
    <xf numFmtId="0" fontId="23" fillId="33" borderId="10" xfId="0" applyFont="1" applyFill="1" applyBorder="1" applyAlignment="1">
      <alignment horizontal="right" vertical="center" wrapText="1"/>
    </xf>
    <xf numFmtId="0" fontId="23" fillId="33" borderId="10" xfId="0" applyFont="1" applyFill="1" applyBorder="1" applyAlignment="1">
      <alignment horizontal="justify" vertical="center" wrapText="1"/>
    </xf>
    <xf numFmtId="38" fontId="23" fillId="33" borderId="10" xfId="46" applyFont="1" applyFill="1" applyBorder="1" applyAlignment="1">
      <alignment horizontal="right" vertical="center" wrapText="1"/>
    </xf>
    <xf numFmtId="38" fontId="23" fillId="33" borderId="17" xfId="46" applyFont="1" applyFill="1" applyBorder="1" applyAlignment="1">
      <alignment vertical="center" wrapText="1"/>
    </xf>
    <xf numFmtId="0" fontId="23" fillId="33" borderId="10" xfId="0" applyFont="1" applyFill="1" applyBorder="1" applyAlignment="1">
      <alignment horizontal="left" vertical="center" wrapText="1"/>
    </xf>
    <xf numFmtId="0" fontId="23" fillId="0" borderId="18" xfId="0" applyFont="1" applyBorder="1" applyAlignment="1">
      <alignment vertical="top" wrapText="1"/>
    </xf>
    <xf numFmtId="0" fontId="23" fillId="0" borderId="17" xfId="0" applyFont="1" applyBorder="1" applyAlignment="1">
      <alignment vertical="top" wrapText="1"/>
    </xf>
    <xf numFmtId="3" fontId="23" fillId="0" borderId="17" xfId="0" applyNumberFormat="1" applyFont="1" applyBorder="1" applyAlignment="1">
      <alignment vertical="top" wrapText="1"/>
    </xf>
    <xf numFmtId="3" fontId="23" fillId="0" borderId="18" xfId="0" applyNumberFormat="1" applyFont="1" applyBorder="1" applyAlignment="1">
      <alignment vertical="top" wrapText="1"/>
    </xf>
    <xf numFmtId="177" fontId="23" fillId="0" borderId="19" xfId="0" applyNumberFormat="1" applyFont="1" applyBorder="1" applyAlignment="1">
      <alignment vertical="top" wrapText="1"/>
    </xf>
    <xf numFmtId="0" fontId="27" fillId="0" borderId="19" xfId="0" applyFont="1" applyBorder="1" applyAlignment="1">
      <alignment vertical="center" wrapText="1"/>
    </xf>
    <xf numFmtId="0" fontId="23" fillId="0" borderId="19" xfId="0" applyFont="1" applyBorder="1" applyAlignment="1">
      <alignment vertical="center" wrapText="1"/>
    </xf>
    <xf numFmtId="38" fontId="23" fillId="33" borderId="17" xfId="46" applyFont="1" applyFill="1" applyBorder="1" applyAlignment="1">
      <alignment vertical="top" wrapText="1"/>
    </xf>
    <xf numFmtId="0" fontId="23" fillId="0" borderId="0" xfId="44" applyFont="1" applyAlignment="1">
      <alignment vertical="center" wrapText="1"/>
    </xf>
    <xf numFmtId="0" fontId="29" fillId="0" borderId="0" xfId="0" applyFont="1">
      <alignment vertical="center"/>
    </xf>
    <xf numFmtId="0" fontId="29" fillId="0" borderId="0" xfId="0" applyFont="1" applyAlignment="1">
      <alignment vertical="center" shrinkToFit="1"/>
    </xf>
    <xf numFmtId="0" fontId="0" fillId="0" borderId="0" xfId="0" applyAlignment="1">
      <alignment horizontal="right"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0" fontId="31" fillId="0" borderId="0" xfId="0" applyFont="1" applyAlignment="1">
      <alignment horizontal="right" vertical="center"/>
    </xf>
    <xf numFmtId="0" fontId="0" fillId="0" borderId="11" xfId="0" applyBorder="1" applyAlignment="1">
      <alignment vertical="center" shrinkToFit="1"/>
    </xf>
    <xf numFmtId="0" fontId="0" fillId="0" borderId="12" xfId="0" applyBorder="1" applyAlignment="1">
      <alignment vertical="center" shrinkToFit="1"/>
    </xf>
    <xf numFmtId="0" fontId="0" fillId="0" borderId="13" xfId="0" applyBorder="1" applyAlignment="1">
      <alignment vertical="center" shrinkToFit="1"/>
    </xf>
    <xf numFmtId="0" fontId="0" fillId="0" borderId="29" xfId="0" applyBorder="1" applyAlignment="1">
      <alignment horizontal="right" vertical="center" shrinkToFit="1"/>
    </xf>
    <xf numFmtId="0" fontId="0" fillId="0" borderId="0" xfId="0" applyAlignment="1">
      <alignment horizontal="right" vertical="center" shrinkToFit="1"/>
    </xf>
    <xf numFmtId="0" fontId="0" fillId="0" borderId="30" xfId="0" applyBorder="1" applyAlignment="1">
      <alignment horizontal="right" vertical="center" shrinkToFit="1"/>
    </xf>
    <xf numFmtId="38" fontId="0" fillId="0" borderId="30" xfId="46" applyFont="1" applyBorder="1" applyAlignment="1">
      <alignment horizontal="right" vertical="center" shrinkToFit="1"/>
    </xf>
    <xf numFmtId="38" fontId="0" fillId="0" borderId="0" xfId="46" applyFont="1" applyBorder="1" applyAlignment="1">
      <alignment vertical="center" shrinkToFit="1"/>
    </xf>
    <xf numFmtId="38" fontId="0" fillId="0" borderId="30" xfId="46" applyFont="1" applyBorder="1" applyAlignment="1">
      <alignment vertical="center" shrinkToFit="1"/>
    </xf>
    <xf numFmtId="38" fontId="31" fillId="34" borderId="0" xfId="46" applyFont="1" applyFill="1" applyBorder="1" applyAlignment="1">
      <alignment vertical="center" shrinkToFit="1"/>
    </xf>
    <xf numFmtId="38" fontId="31" fillId="0" borderId="30" xfId="46" applyFont="1" applyBorder="1" applyAlignment="1">
      <alignment vertical="center" shrinkToFit="1"/>
    </xf>
    <xf numFmtId="0" fontId="0" fillId="0" borderId="0" xfId="0" applyAlignment="1">
      <alignment vertical="center" shrinkToFit="1"/>
    </xf>
    <xf numFmtId="0" fontId="14" fillId="0" borderId="12" xfId="0" applyFont="1" applyBorder="1" applyAlignment="1">
      <alignment vertical="center" shrinkToFit="1"/>
    </xf>
    <xf numFmtId="38" fontId="0" fillId="0" borderId="29" xfId="46" applyFont="1" applyBorder="1" applyAlignment="1">
      <alignment horizontal="right" vertical="center" shrinkToFit="1"/>
    </xf>
    <xf numFmtId="38" fontId="31" fillId="34" borderId="29" xfId="46" applyFont="1" applyFill="1" applyBorder="1" applyAlignment="1">
      <alignment vertical="center" shrinkToFit="1"/>
    </xf>
    <xf numFmtId="38" fontId="0" fillId="0" borderId="15" xfId="46" applyFont="1" applyBorder="1" applyAlignment="1">
      <alignment vertical="center" shrinkToFit="1"/>
    </xf>
    <xf numFmtId="38" fontId="0" fillId="0" borderId="16" xfId="46" applyFont="1" applyBorder="1" applyAlignment="1">
      <alignment vertical="center" shrinkToFit="1"/>
    </xf>
    <xf numFmtId="38" fontId="0" fillId="33" borderId="0" xfId="46" applyFont="1" applyFill="1" applyBorder="1" applyAlignment="1">
      <alignment horizontal="right" vertical="center" shrinkToFit="1"/>
    </xf>
    <xf numFmtId="38" fontId="0" fillId="33" borderId="29" xfId="46" applyFont="1" applyFill="1" applyBorder="1" applyAlignment="1">
      <alignment vertical="center" shrinkToFit="1"/>
    </xf>
    <xf numFmtId="38" fontId="0" fillId="33" borderId="14" xfId="46" applyFont="1" applyFill="1" applyBorder="1" applyAlignment="1">
      <alignment vertical="center" shrinkToFit="1"/>
    </xf>
    <xf numFmtId="38" fontId="0" fillId="0" borderId="29" xfId="46" applyFont="1" applyFill="1" applyBorder="1" applyAlignment="1">
      <alignment vertical="center" shrinkToFit="1"/>
    </xf>
    <xf numFmtId="0" fontId="27" fillId="0" borderId="0" xfId="44" applyFont="1">
      <alignment vertical="center"/>
    </xf>
    <xf numFmtId="0" fontId="27" fillId="0" borderId="35" xfId="44" applyFont="1" applyBorder="1">
      <alignment vertical="center"/>
    </xf>
    <xf numFmtId="0" fontId="27" fillId="0" borderId="35" xfId="44" applyFont="1" applyBorder="1" applyAlignment="1">
      <alignment horizontal="center" vertical="center"/>
    </xf>
    <xf numFmtId="0" fontId="27" fillId="0" borderId="48" xfId="44" applyFont="1" applyBorder="1" applyAlignment="1">
      <alignment horizontal="center" vertical="center"/>
    </xf>
    <xf numFmtId="0" fontId="27" fillId="0" borderId="61" xfId="44" applyFont="1" applyBorder="1" applyAlignment="1">
      <alignment horizontal="center" vertical="center"/>
    </xf>
    <xf numFmtId="38" fontId="27" fillId="0" borderId="67" xfId="46" applyFont="1" applyFill="1" applyBorder="1" applyAlignment="1">
      <alignment horizontal="right" vertical="center"/>
    </xf>
    <xf numFmtId="0" fontId="27" fillId="0" borderId="0" xfId="44" applyFont="1" applyAlignment="1">
      <alignment vertical="center" shrinkToFit="1"/>
    </xf>
    <xf numFmtId="0" fontId="27" fillId="0" borderId="0" xfId="44" quotePrefix="1" applyFont="1">
      <alignment vertical="center"/>
    </xf>
    <xf numFmtId="0" fontId="34" fillId="0" borderId="0" xfId="0" applyFont="1" applyAlignment="1"/>
    <xf numFmtId="0" fontId="20" fillId="0" borderId="0" xfId="44" applyFont="1" applyAlignment="1">
      <alignment horizontal="left" vertical="center"/>
    </xf>
    <xf numFmtId="0" fontId="23" fillId="0" borderId="0" xfId="44" applyFont="1" applyAlignment="1">
      <alignment vertical="center" shrinkToFit="1"/>
    </xf>
    <xf numFmtId="38" fontId="31" fillId="0" borderId="0" xfId="46" applyFont="1" applyBorder="1" applyAlignment="1">
      <alignment vertical="center" shrinkToFit="1"/>
    </xf>
    <xf numFmtId="38" fontId="23" fillId="0" borderId="0" xfId="46" applyFont="1" applyAlignment="1">
      <alignment horizontal="right" vertical="center"/>
    </xf>
    <xf numFmtId="38" fontId="23" fillId="0" borderId="0" xfId="46" applyFont="1" applyBorder="1" applyAlignment="1">
      <alignment horizontal="right" vertical="center"/>
    </xf>
    <xf numFmtId="38" fontId="23" fillId="0" borderId="15" xfId="46" applyFont="1" applyBorder="1" applyAlignment="1">
      <alignment horizontal="right" vertical="center"/>
    </xf>
    <xf numFmtId="38" fontId="23" fillId="0" borderId="29" xfId="46" applyFont="1" applyBorder="1" applyAlignment="1">
      <alignment horizontal="right" vertical="center"/>
    </xf>
    <xf numFmtId="38" fontId="23" fillId="0" borderId="12" xfId="46" applyFont="1" applyBorder="1" applyAlignment="1">
      <alignment horizontal="right" vertical="center"/>
    </xf>
    <xf numFmtId="2" fontId="0" fillId="33" borderId="10" xfId="0" applyNumberFormat="1" applyFill="1" applyBorder="1" applyAlignment="1">
      <alignment horizontal="center" vertical="center"/>
    </xf>
    <xf numFmtId="38" fontId="37" fillId="33" borderId="10" xfId="46" applyFont="1" applyFill="1" applyBorder="1" applyAlignment="1">
      <alignment horizontal="center" vertical="center"/>
    </xf>
    <xf numFmtId="38" fontId="23" fillId="33" borderId="12" xfId="46" applyFont="1" applyFill="1" applyBorder="1" applyAlignment="1">
      <alignment horizontal="right" vertical="center"/>
    </xf>
    <xf numFmtId="38" fontId="23" fillId="33" borderId="15" xfId="46" applyFont="1" applyFill="1" applyBorder="1" applyAlignment="1">
      <alignment horizontal="right" vertical="center"/>
    </xf>
    <xf numFmtId="0" fontId="23" fillId="0" borderId="72" xfId="44" applyFont="1" applyBorder="1" applyAlignment="1">
      <alignment shrinkToFit="1"/>
    </xf>
    <xf numFmtId="38" fontId="23" fillId="0" borderId="71" xfId="46" applyFont="1" applyBorder="1" applyAlignment="1">
      <alignment horizontal="right"/>
    </xf>
    <xf numFmtId="0" fontId="23" fillId="0" borderId="73" xfId="44" applyFont="1" applyBorder="1" applyAlignment="1"/>
    <xf numFmtId="0" fontId="23" fillId="0" borderId="61" xfId="44" applyFont="1" applyBorder="1" applyAlignment="1">
      <alignment vertical="center" shrinkToFit="1"/>
    </xf>
    <xf numFmtId="0" fontId="23" fillId="0" borderId="74" xfId="44" applyFont="1" applyBorder="1">
      <alignment vertical="center"/>
    </xf>
    <xf numFmtId="0" fontId="23" fillId="0" borderId="75" xfId="44" applyFont="1" applyBorder="1" applyAlignment="1">
      <alignment vertical="center" shrinkToFit="1"/>
    </xf>
    <xf numFmtId="0" fontId="23" fillId="0" borderId="62" xfId="44" applyFont="1" applyBorder="1" applyAlignment="1">
      <alignment vertical="center" shrinkToFit="1"/>
    </xf>
    <xf numFmtId="0" fontId="23" fillId="0" borderId="77" xfId="44" applyFont="1" applyBorder="1">
      <alignment vertical="center"/>
    </xf>
    <xf numFmtId="0" fontId="36" fillId="0" borderId="61" xfId="44" applyFont="1" applyBorder="1" applyAlignment="1">
      <alignment vertical="center" shrinkToFit="1"/>
    </xf>
    <xf numFmtId="0" fontId="23" fillId="0" borderId="78" xfId="44" applyFont="1" applyBorder="1" applyAlignment="1">
      <alignment horizontal="right" vertical="center"/>
    </xf>
    <xf numFmtId="38" fontId="23" fillId="0" borderId="78" xfId="46" applyFont="1" applyBorder="1" applyAlignment="1">
      <alignment horizontal="right" vertical="center"/>
    </xf>
    <xf numFmtId="0" fontId="36" fillId="0" borderId="62" xfId="44" applyFont="1" applyBorder="1" applyAlignment="1">
      <alignment vertical="center" shrinkToFit="1"/>
    </xf>
    <xf numFmtId="0" fontId="23" fillId="0" borderId="76" xfId="44" applyFont="1" applyBorder="1">
      <alignment vertical="center"/>
    </xf>
    <xf numFmtId="0" fontId="23" fillId="0" borderId="58" xfId="44" applyFont="1" applyBorder="1" applyAlignment="1">
      <alignment vertical="center" shrinkToFit="1"/>
    </xf>
    <xf numFmtId="38" fontId="23" fillId="0" borderId="49" xfId="46" applyFont="1" applyBorder="1" applyAlignment="1">
      <alignment horizontal="right" vertical="center"/>
    </xf>
    <xf numFmtId="38" fontId="23" fillId="0" borderId="50" xfId="46" applyFont="1" applyBorder="1" applyAlignment="1">
      <alignment horizontal="right" vertical="center"/>
    </xf>
    <xf numFmtId="38" fontId="23" fillId="0" borderId="52" xfId="46" applyFont="1" applyBorder="1" applyAlignment="1">
      <alignment horizontal="right" vertical="center"/>
    </xf>
    <xf numFmtId="0" fontId="23" fillId="0" borderId="71" xfId="44" applyFont="1" applyBorder="1" applyAlignment="1">
      <alignment horizontal="right" vertical="center"/>
    </xf>
    <xf numFmtId="0" fontId="23" fillId="0" borderId="72" xfId="44" applyFont="1" applyBorder="1" applyAlignment="1">
      <alignment horizontal="right" vertical="center"/>
    </xf>
    <xf numFmtId="38" fontId="23" fillId="0" borderId="75" xfId="46" applyFont="1" applyBorder="1" applyAlignment="1">
      <alignment horizontal="right" vertical="center"/>
    </xf>
    <xf numFmtId="38" fontId="23" fillId="33" borderId="62" xfId="46" applyFont="1" applyFill="1" applyBorder="1" applyAlignment="1">
      <alignment horizontal="right" vertical="center"/>
    </xf>
    <xf numFmtId="38" fontId="23" fillId="33" borderId="75" xfId="46" applyFont="1" applyFill="1" applyBorder="1" applyAlignment="1">
      <alignment horizontal="right" vertical="center"/>
    </xf>
    <xf numFmtId="38" fontId="23" fillId="0" borderId="61" xfId="46" applyFont="1" applyBorder="1" applyAlignment="1">
      <alignment horizontal="right" vertical="center"/>
    </xf>
    <xf numFmtId="38" fontId="23" fillId="0" borderId="62" xfId="46" applyFont="1" applyBorder="1" applyAlignment="1">
      <alignment horizontal="right" vertical="center"/>
    </xf>
    <xf numFmtId="38" fontId="23" fillId="0" borderId="58" xfId="46" applyFont="1" applyBorder="1" applyAlignment="1">
      <alignment horizontal="right" vertical="center"/>
    </xf>
    <xf numFmtId="0" fontId="23" fillId="0" borderId="71" xfId="44" applyFont="1" applyBorder="1" applyAlignment="1"/>
    <xf numFmtId="0" fontId="23" fillId="0" borderId="15" xfId="44" applyFont="1" applyBorder="1">
      <alignment vertical="center"/>
    </xf>
    <xf numFmtId="0" fontId="23" fillId="0" borderId="29" xfId="44" applyFont="1" applyBorder="1" applyAlignment="1">
      <alignment horizontal="right" vertical="center"/>
    </xf>
    <xf numFmtId="0" fontId="23" fillId="0" borderId="11" xfId="44" applyFont="1" applyBorder="1">
      <alignment vertical="center"/>
    </xf>
    <xf numFmtId="38" fontId="23" fillId="0" borderId="72" xfId="46" applyFont="1" applyBorder="1" applyAlignment="1">
      <alignment horizontal="right" vertical="center"/>
    </xf>
    <xf numFmtId="38" fontId="23" fillId="0" borderId="71" xfId="46" applyFont="1" applyBorder="1" applyAlignment="1">
      <alignment horizontal="right" vertical="center"/>
    </xf>
    <xf numFmtId="0" fontId="23" fillId="0" borderId="73" xfId="44" applyFont="1" applyBorder="1">
      <alignment vertical="center"/>
    </xf>
    <xf numFmtId="0" fontId="23" fillId="0" borderId="79" xfId="44" applyFont="1" applyBorder="1">
      <alignment vertical="center"/>
    </xf>
    <xf numFmtId="40" fontId="23" fillId="0" borderId="61" xfId="46" applyNumberFormat="1" applyFont="1" applyBorder="1" applyAlignment="1">
      <alignment horizontal="right" vertical="center"/>
    </xf>
    <xf numFmtId="0" fontId="23" fillId="0" borderId="60" xfId="44" applyFont="1" applyBorder="1">
      <alignment vertical="center"/>
    </xf>
    <xf numFmtId="38" fontId="23" fillId="0" borderId="47" xfId="46" applyFont="1" applyBorder="1" applyAlignment="1">
      <alignment horizontal="right" vertical="center"/>
    </xf>
    <xf numFmtId="38" fontId="23" fillId="0" borderId="23" xfId="46" applyFont="1" applyBorder="1" applyAlignment="1">
      <alignment horizontal="right" vertical="center"/>
    </xf>
    <xf numFmtId="0" fontId="23" fillId="0" borderId="77" xfId="44" applyFont="1" applyBorder="1" applyAlignment="1">
      <alignment horizontal="right" vertical="center"/>
    </xf>
    <xf numFmtId="0" fontId="23" fillId="0" borderId="78" xfId="44" applyFont="1" applyBorder="1">
      <alignment vertical="center"/>
    </xf>
    <xf numFmtId="0" fontId="23" fillId="0" borderId="72" xfId="44" applyFont="1" applyBorder="1" applyAlignment="1">
      <alignment vertical="center" shrinkToFit="1"/>
    </xf>
    <xf numFmtId="38" fontId="0" fillId="33" borderId="10" xfId="46" applyFont="1" applyFill="1" applyBorder="1" applyAlignment="1">
      <alignment horizontal="center" vertical="center"/>
    </xf>
    <xf numFmtId="38" fontId="23" fillId="0" borderId="75" xfId="46" applyFont="1" applyBorder="1" applyAlignment="1">
      <alignment horizontal="right" vertical="center" shrinkToFit="1"/>
    </xf>
    <xf numFmtId="38" fontId="23" fillId="0" borderId="15" xfId="46" applyFont="1" applyBorder="1" applyAlignment="1">
      <alignment horizontal="right" vertical="center" shrinkToFit="1"/>
    </xf>
    <xf numFmtId="38" fontId="23" fillId="0" borderId="24" xfId="46" applyFont="1" applyBorder="1" applyAlignment="1">
      <alignment horizontal="right" vertical="center" shrinkToFit="1"/>
    </xf>
    <xf numFmtId="0" fontId="23" fillId="0" borderId="79" xfId="44" applyFont="1" applyBorder="1" applyAlignment="1">
      <alignment vertical="center" shrinkToFit="1"/>
    </xf>
    <xf numFmtId="38" fontId="29" fillId="0" borderId="71" xfId="46" applyFont="1" applyBorder="1" applyAlignment="1">
      <alignment horizontal="right"/>
    </xf>
    <xf numFmtId="0" fontId="23" fillId="0" borderId="0" xfId="44" applyFont="1" applyAlignment="1">
      <alignment horizontal="right" vertical="center"/>
    </xf>
    <xf numFmtId="0" fontId="23" fillId="0" borderId="0" xfId="44" applyFont="1" applyAlignment="1">
      <alignment horizontal="right"/>
    </xf>
    <xf numFmtId="0" fontId="23" fillId="0" borderId="0" xfId="44" applyFont="1" applyAlignment="1">
      <alignment horizontal="right" vertical="center" shrinkToFit="1"/>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0" fillId="0" borderId="0" xfId="44" applyFont="1" applyAlignment="1">
      <alignment horizontal="left" vertical="center" wrapText="1" indent="1"/>
    </xf>
    <xf numFmtId="38" fontId="23" fillId="0" borderId="0" xfId="46" applyFont="1" applyFill="1" applyBorder="1" applyAlignment="1">
      <alignment horizontal="right" vertical="center"/>
    </xf>
    <xf numFmtId="38" fontId="0" fillId="0" borderId="0" xfId="0" applyNumberFormat="1">
      <alignment vertical="center"/>
    </xf>
    <xf numFmtId="38" fontId="38" fillId="33" borderId="62" xfId="46" applyFont="1" applyFill="1" applyBorder="1" applyAlignment="1">
      <alignment horizontal="right" vertical="center"/>
    </xf>
    <xf numFmtId="38" fontId="38" fillId="33" borderId="12" xfId="46" applyFont="1" applyFill="1" applyBorder="1" applyAlignment="1">
      <alignment horizontal="right" vertical="center"/>
    </xf>
    <xf numFmtId="0" fontId="38" fillId="0" borderId="78" xfId="44" applyFont="1" applyBorder="1">
      <alignment vertical="center"/>
    </xf>
    <xf numFmtId="38" fontId="38" fillId="33" borderId="75" xfId="46" applyFont="1" applyFill="1" applyBorder="1" applyAlignment="1">
      <alignment horizontal="right" vertical="center"/>
    </xf>
    <xf numFmtId="38" fontId="38" fillId="33" borderId="15" xfId="46" applyFont="1" applyFill="1" applyBorder="1" applyAlignment="1">
      <alignment horizontal="right" vertical="center"/>
    </xf>
    <xf numFmtId="0" fontId="38" fillId="0" borderId="77" xfId="44" applyFont="1" applyBorder="1">
      <alignment vertical="center"/>
    </xf>
    <xf numFmtId="38" fontId="38" fillId="0" borderId="47" xfId="46" applyFont="1" applyBorder="1" applyAlignment="1">
      <alignment horizontal="right" vertical="center"/>
    </xf>
    <xf numFmtId="38" fontId="38" fillId="0" borderId="23" xfId="46" applyFont="1" applyBorder="1" applyAlignment="1">
      <alignment horizontal="right" vertical="center"/>
    </xf>
    <xf numFmtId="0" fontId="38" fillId="0" borderId="77" xfId="44" applyFont="1" applyBorder="1" applyAlignment="1">
      <alignment horizontal="right" vertical="center"/>
    </xf>
    <xf numFmtId="38" fontId="38" fillId="0" borderId="61" xfId="46" applyFont="1" applyBorder="1" applyAlignment="1">
      <alignment horizontal="right" vertical="center"/>
    </xf>
    <xf numFmtId="38" fontId="38" fillId="0" borderId="0" xfId="46" applyFont="1" applyBorder="1" applyAlignment="1">
      <alignment horizontal="right" vertical="center"/>
    </xf>
    <xf numFmtId="0" fontId="38" fillId="0" borderId="78" xfId="44" applyFont="1" applyBorder="1" applyAlignment="1">
      <alignment horizontal="right" vertical="center"/>
    </xf>
    <xf numFmtId="38" fontId="38" fillId="0" borderId="78" xfId="44" applyNumberFormat="1" applyFont="1" applyBorder="1" applyAlignment="1">
      <alignment horizontal="right" vertical="center"/>
    </xf>
    <xf numFmtId="38" fontId="38" fillId="0" borderId="78" xfId="46" applyFont="1" applyBorder="1" applyAlignment="1">
      <alignment horizontal="right" vertical="center"/>
    </xf>
    <xf numFmtId="38" fontId="38" fillId="0" borderId="62" xfId="46" applyFont="1" applyBorder="1" applyAlignment="1">
      <alignment horizontal="right" vertical="center"/>
    </xf>
    <xf numFmtId="38" fontId="38" fillId="0" borderId="12" xfId="46" applyFont="1" applyBorder="1" applyAlignment="1">
      <alignment horizontal="right" vertical="center"/>
    </xf>
    <xf numFmtId="0" fontId="38" fillId="0" borderId="76" xfId="44" applyFont="1" applyBorder="1">
      <alignment vertical="center"/>
    </xf>
    <xf numFmtId="38" fontId="38" fillId="0" borderId="58" xfId="46" applyFont="1" applyBorder="1" applyAlignment="1">
      <alignment horizontal="right" vertical="center"/>
    </xf>
    <xf numFmtId="38" fontId="38" fillId="0" borderId="50" xfId="46" applyFont="1" applyBorder="1" applyAlignment="1">
      <alignment horizontal="right" vertical="center"/>
    </xf>
    <xf numFmtId="38" fontId="38" fillId="0" borderId="52" xfId="46" applyFont="1" applyBorder="1" applyAlignment="1">
      <alignment horizontal="right" vertical="center"/>
    </xf>
    <xf numFmtId="38" fontId="38" fillId="0" borderId="0" xfId="46" applyFont="1" applyAlignment="1">
      <alignment horizontal="right" vertical="center"/>
    </xf>
    <xf numFmtId="0" fontId="38" fillId="0" borderId="0" xfId="44" applyFont="1">
      <alignment vertical="center"/>
    </xf>
    <xf numFmtId="38" fontId="38" fillId="0" borderId="72" xfId="46" applyFont="1" applyBorder="1" applyAlignment="1">
      <alignment horizontal="right" vertical="center"/>
    </xf>
    <xf numFmtId="38" fontId="38" fillId="0" borderId="71" xfId="46" applyFont="1" applyBorder="1" applyAlignment="1">
      <alignment horizontal="right" vertical="center"/>
    </xf>
    <xf numFmtId="0" fontId="38" fillId="0" borderId="73" xfId="44" applyFont="1" applyBorder="1">
      <alignment vertical="center"/>
    </xf>
    <xf numFmtId="0" fontId="38" fillId="0" borderId="79" xfId="44" applyFont="1" applyBorder="1">
      <alignment vertical="center"/>
    </xf>
    <xf numFmtId="179" fontId="38" fillId="0" borderId="61" xfId="46" applyNumberFormat="1" applyFont="1" applyBorder="1" applyAlignment="1">
      <alignment horizontal="right" vertical="center"/>
    </xf>
    <xf numFmtId="179" fontId="38" fillId="0" borderId="0" xfId="46" applyNumberFormat="1" applyFont="1" applyBorder="1" applyAlignment="1">
      <alignment horizontal="right" vertical="center"/>
    </xf>
    <xf numFmtId="40" fontId="38" fillId="0" borderId="61" xfId="46" applyNumberFormat="1" applyFont="1" applyBorder="1" applyAlignment="1">
      <alignment horizontal="right" vertical="center"/>
    </xf>
    <xf numFmtId="40" fontId="38" fillId="0" borderId="0" xfId="46" applyNumberFormat="1" applyFont="1" applyBorder="1" applyAlignment="1">
      <alignment horizontal="right" vertical="center"/>
    </xf>
    <xf numFmtId="0" fontId="38" fillId="0" borderId="60" xfId="44" applyFont="1" applyBorder="1">
      <alignment vertical="center"/>
    </xf>
    <xf numFmtId="40" fontId="38" fillId="0" borderId="58" xfId="46" applyNumberFormat="1" applyFont="1" applyBorder="1" applyAlignment="1">
      <alignment horizontal="right" vertical="center"/>
    </xf>
    <xf numFmtId="40" fontId="38" fillId="0" borderId="50" xfId="46" applyNumberFormat="1" applyFont="1" applyBorder="1" applyAlignment="1">
      <alignment horizontal="right" vertical="center"/>
    </xf>
    <xf numFmtId="179" fontId="23" fillId="0" borderId="0" xfId="46" applyNumberFormat="1" applyFont="1" applyBorder="1" applyAlignment="1">
      <alignment horizontal="right" vertical="center"/>
    </xf>
    <xf numFmtId="38" fontId="23" fillId="0" borderId="79" xfId="46" applyFont="1" applyBorder="1" applyAlignment="1">
      <alignment horizontal="right" vertical="center"/>
    </xf>
    <xf numFmtId="38" fontId="23" fillId="0" borderId="60" xfId="46" applyFont="1" applyBorder="1" applyAlignment="1">
      <alignment horizontal="right" vertical="center"/>
    </xf>
    <xf numFmtId="179" fontId="23" fillId="33" borderId="10" xfId="46" applyNumberFormat="1" applyFont="1" applyFill="1" applyBorder="1" applyAlignment="1">
      <alignment horizontal="right" vertical="center" wrapText="1"/>
    </xf>
    <xf numFmtId="38" fontId="39" fillId="0" borderId="15" xfId="46" applyFont="1" applyBorder="1" applyAlignment="1">
      <alignment vertical="center" shrinkToFit="1"/>
    </xf>
    <xf numFmtId="0" fontId="38" fillId="0" borderId="52" xfId="44" applyFont="1" applyBorder="1">
      <alignment vertical="center"/>
    </xf>
    <xf numFmtId="38" fontId="38" fillId="0" borderId="80" xfId="44" applyNumberFormat="1" applyFont="1" applyBorder="1">
      <alignment vertical="center"/>
    </xf>
    <xf numFmtId="38" fontId="38" fillId="0" borderId="78" xfId="44" applyNumberFormat="1" applyFont="1" applyBorder="1">
      <alignment vertical="center"/>
    </xf>
    <xf numFmtId="40" fontId="38" fillId="0" borderId="78" xfId="46" applyNumberFormat="1" applyFont="1" applyBorder="1">
      <alignment vertical="center"/>
    </xf>
    <xf numFmtId="38" fontId="23" fillId="0" borderId="0" xfId="46" applyFont="1" applyAlignment="1">
      <alignment vertical="center" shrinkToFit="1"/>
    </xf>
    <xf numFmtId="38" fontId="40" fillId="0" borderId="0" xfId="46" applyFont="1" applyAlignment="1">
      <alignment vertical="center"/>
    </xf>
    <xf numFmtId="38" fontId="23" fillId="0" borderId="61" xfId="44" applyNumberFormat="1" applyFont="1" applyBorder="1" applyAlignment="1">
      <alignment vertical="center" shrinkToFit="1"/>
    </xf>
    <xf numFmtId="38" fontId="23" fillId="0" borderId="61" xfId="46" applyFont="1" applyBorder="1" applyAlignment="1">
      <alignment vertical="center" shrinkToFit="1"/>
    </xf>
    <xf numFmtId="38" fontId="23" fillId="0" borderId="58" xfId="46" applyFont="1" applyBorder="1" applyAlignment="1">
      <alignment vertical="center" shrinkToFit="1"/>
    </xf>
    <xf numFmtId="0" fontId="23" fillId="0" borderId="67" xfId="44" applyFont="1" applyBorder="1" applyAlignment="1">
      <alignment horizontal="right" vertical="center" shrinkToFit="1"/>
    </xf>
    <xf numFmtId="38" fontId="23" fillId="0" borderId="68" xfId="46" applyFont="1" applyBorder="1" applyAlignment="1">
      <alignment horizontal="right" vertical="center"/>
    </xf>
    <xf numFmtId="38" fontId="23" fillId="0" borderId="70" xfId="46" applyFont="1" applyBorder="1" applyAlignment="1">
      <alignment horizontal="right" vertical="center"/>
    </xf>
    <xf numFmtId="38" fontId="23" fillId="0" borderId="61" xfId="46" applyFont="1" applyBorder="1" applyAlignment="1">
      <alignment horizontal="right" vertical="center" shrinkToFit="1"/>
    </xf>
    <xf numFmtId="9" fontId="23" fillId="0" borderId="0" xfId="47" applyFont="1" applyBorder="1" applyAlignment="1">
      <alignment horizontal="right" vertical="center"/>
    </xf>
    <xf numFmtId="40" fontId="23" fillId="0" borderId="0" xfId="46" applyNumberFormat="1" applyFont="1" applyBorder="1" applyAlignment="1">
      <alignment horizontal="right" vertical="center"/>
    </xf>
    <xf numFmtId="38" fontId="23" fillId="0" borderId="0" xfId="46" applyFont="1" applyBorder="1" applyAlignment="1">
      <alignment horizontal="left" vertical="center"/>
    </xf>
    <xf numFmtId="40" fontId="23" fillId="0" borderId="50" xfId="46" applyNumberFormat="1" applyFont="1" applyBorder="1" applyAlignment="1">
      <alignment horizontal="right" vertical="center"/>
    </xf>
    <xf numFmtId="38" fontId="23" fillId="0" borderId="67" xfId="46" applyFont="1" applyBorder="1" applyAlignment="1">
      <alignment horizontal="right" vertical="center"/>
    </xf>
    <xf numFmtId="38" fontId="0" fillId="0" borderId="0" xfId="46" applyFont="1">
      <alignment vertical="center"/>
    </xf>
    <xf numFmtId="0" fontId="0" fillId="0" borderId="72" xfId="0" applyBorder="1">
      <alignment vertical="center"/>
    </xf>
    <xf numFmtId="38" fontId="0" fillId="0" borderId="71" xfId="0" applyNumberFormat="1" applyBorder="1">
      <alignment vertical="center"/>
    </xf>
    <xf numFmtId="38" fontId="0" fillId="0" borderId="73" xfId="0" applyNumberFormat="1" applyBorder="1">
      <alignment vertical="center"/>
    </xf>
    <xf numFmtId="0" fontId="0" fillId="0" borderId="61" xfId="0" applyBorder="1">
      <alignment vertical="center"/>
    </xf>
    <xf numFmtId="38" fontId="0" fillId="0" borderId="79" xfId="0" applyNumberFormat="1" applyBorder="1">
      <alignment vertical="center"/>
    </xf>
    <xf numFmtId="0" fontId="41" fillId="0" borderId="58" xfId="0" applyFont="1" applyBorder="1">
      <alignment vertical="center"/>
    </xf>
    <xf numFmtId="38" fontId="41" fillId="0" borderId="50" xfId="0" applyNumberFormat="1" applyFont="1" applyBorder="1">
      <alignment vertical="center"/>
    </xf>
    <xf numFmtId="38" fontId="41" fillId="0" borderId="60" xfId="0" applyNumberFormat="1" applyFont="1" applyBorder="1">
      <alignment vertical="center"/>
    </xf>
    <xf numFmtId="0" fontId="0" fillId="0" borderId="58" xfId="0" applyBorder="1">
      <alignment vertical="center"/>
    </xf>
    <xf numFmtId="38" fontId="0" fillId="0" borderId="50" xfId="0" applyNumberFormat="1" applyBorder="1">
      <alignment vertical="center"/>
    </xf>
    <xf numFmtId="38" fontId="0" fillId="0" borderId="60" xfId="0" applyNumberFormat="1" applyBorder="1">
      <alignment vertical="center"/>
    </xf>
    <xf numFmtId="0" fontId="0" fillId="0" borderId="71" xfId="0" applyBorder="1">
      <alignment vertical="center"/>
    </xf>
    <xf numFmtId="0" fontId="0" fillId="0" borderId="73" xfId="0" applyBorder="1">
      <alignment vertical="center"/>
    </xf>
    <xf numFmtId="0" fontId="0" fillId="0" borderId="61" xfId="0" applyBorder="1" applyAlignment="1">
      <alignment horizontal="right" vertical="center"/>
    </xf>
    <xf numFmtId="0" fontId="0" fillId="0" borderId="79" xfId="0" applyBorder="1" applyAlignment="1">
      <alignment horizontal="right" vertical="center"/>
    </xf>
    <xf numFmtId="179" fontId="0" fillId="0" borderId="0" xfId="0" applyNumberFormat="1" applyAlignment="1">
      <alignment horizontal="right" vertical="center"/>
    </xf>
    <xf numFmtId="179" fontId="0" fillId="0" borderId="79" xfId="0" applyNumberFormat="1" applyBorder="1" applyAlignment="1">
      <alignment horizontal="right" vertical="center"/>
    </xf>
    <xf numFmtId="38" fontId="0" fillId="0" borderId="79" xfId="46" applyFont="1" applyBorder="1">
      <alignment vertical="center"/>
    </xf>
    <xf numFmtId="0" fontId="0" fillId="0" borderId="79" xfId="0" applyBorder="1">
      <alignment vertical="center"/>
    </xf>
    <xf numFmtId="0" fontId="0" fillId="0" borderId="67" xfId="0" applyBorder="1" applyAlignment="1">
      <alignment horizontal="right" vertical="center"/>
    </xf>
    <xf numFmtId="38" fontId="0" fillId="0" borderId="68" xfId="0" applyNumberFormat="1" applyBorder="1">
      <alignment vertical="center"/>
    </xf>
    <xf numFmtId="38" fontId="0" fillId="0" borderId="70" xfId="0" applyNumberFormat="1" applyBorder="1">
      <alignment vertical="center"/>
    </xf>
    <xf numFmtId="0" fontId="0" fillId="0" borderId="67" xfId="0" applyBorder="1">
      <alignment vertical="center"/>
    </xf>
    <xf numFmtId="38" fontId="0" fillId="35" borderId="29" xfId="46" applyFont="1" applyFill="1" applyBorder="1" applyAlignment="1">
      <alignment vertical="center" shrinkToFit="1"/>
    </xf>
    <xf numFmtId="40" fontId="0" fillId="0" borderId="10" xfId="0" applyNumberFormat="1" applyBorder="1">
      <alignment vertical="center"/>
    </xf>
    <xf numFmtId="0" fontId="42" fillId="0" borderId="61" xfId="0" applyFont="1" applyBorder="1">
      <alignment vertical="center"/>
    </xf>
    <xf numFmtId="38" fontId="42" fillId="0" borderId="0" xfId="0" applyNumberFormat="1" applyFont="1">
      <alignment vertical="center"/>
    </xf>
    <xf numFmtId="38" fontId="42" fillId="0" borderId="79" xfId="0" applyNumberFormat="1" applyFont="1" applyBorder="1">
      <alignment vertical="center"/>
    </xf>
    <xf numFmtId="40" fontId="0" fillId="0" borderId="10" xfId="46" applyNumberFormat="1" applyFont="1" applyBorder="1">
      <alignment vertical="center"/>
    </xf>
    <xf numFmtId="0" fontId="0" fillId="0" borderId="0" xfId="0" applyAlignment="1"/>
    <xf numFmtId="0" fontId="0" fillId="0" borderId="67" xfId="0" applyBorder="1" applyAlignment="1">
      <alignment horizontal="right"/>
    </xf>
    <xf numFmtId="0" fontId="0" fillId="0" borderId="68" xfId="0" applyBorder="1" applyAlignment="1">
      <alignment horizontal="right"/>
    </xf>
    <xf numFmtId="0" fontId="0" fillId="0" borderId="70" xfId="0" applyBorder="1" applyAlignment="1">
      <alignment horizontal="right"/>
    </xf>
    <xf numFmtId="0" fontId="0" fillId="0" borderId="72" xfId="0" applyBorder="1" applyAlignment="1">
      <alignment horizontal="right"/>
    </xf>
    <xf numFmtId="38" fontId="0" fillId="0" borderId="71" xfId="46" applyFont="1" applyBorder="1" applyAlignment="1">
      <alignment horizontal="right"/>
    </xf>
    <xf numFmtId="38" fontId="0" fillId="0" borderId="73" xfId="46" applyFont="1" applyBorder="1" applyAlignment="1">
      <alignment horizontal="right"/>
    </xf>
    <xf numFmtId="0" fontId="0" fillId="0" borderId="73" xfId="46" applyNumberFormat="1" applyFont="1" applyBorder="1" applyAlignment="1">
      <alignment horizontal="right" shrinkToFit="1"/>
    </xf>
    <xf numFmtId="0" fontId="0" fillId="0" borderId="61" xfId="0" applyBorder="1" applyAlignment="1">
      <alignment horizontal="right"/>
    </xf>
    <xf numFmtId="38" fontId="0" fillId="0" borderId="0" xfId="46" applyFont="1" applyBorder="1" applyAlignment="1">
      <alignment horizontal="right"/>
    </xf>
    <xf numFmtId="38" fontId="0" fillId="0" borderId="79" xfId="46" applyFont="1" applyBorder="1" applyAlignment="1">
      <alignment horizontal="right"/>
    </xf>
    <xf numFmtId="0" fontId="0" fillId="0" borderId="58" xfId="0" applyBorder="1" applyAlignment="1">
      <alignment horizontal="right"/>
    </xf>
    <xf numFmtId="38" fontId="0" fillId="0" borderId="50" xfId="46" applyFont="1" applyBorder="1" applyAlignment="1">
      <alignment horizontal="right"/>
    </xf>
    <xf numFmtId="38" fontId="0" fillId="0" borderId="60" xfId="46" applyFont="1" applyBorder="1" applyAlignment="1">
      <alignment horizontal="right"/>
    </xf>
    <xf numFmtId="38" fontId="0" fillId="0" borderId="68" xfId="46" applyFont="1" applyBorder="1" applyAlignment="1">
      <alignment horizontal="right"/>
    </xf>
    <xf numFmtId="38" fontId="0" fillId="0" borderId="70" xfId="46" applyFont="1" applyBorder="1" applyAlignment="1">
      <alignment horizontal="right"/>
    </xf>
    <xf numFmtId="0" fontId="0" fillId="0" borderId="61" xfId="0" applyBorder="1" applyAlignment="1">
      <alignment horizontal="right" shrinkToFit="1"/>
    </xf>
    <xf numFmtId="0" fontId="0" fillId="0" borderId="0" xfId="0" applyAlignment="1">
      <alignment horizontal="left"/>
    </xf>
    <xf numFmtId="0" fontId="0" fillId="0" borderId="0" xfId="0" applyAlignment="1">
      <alignment horizontal="right"/>
    </xf>
    <xf numFmtId="38" fontId="0" fillId="0" borderId="50" xfId="0" applyNumberFormat="1" applyBorder="1" applyAlignment="1">
      <alignment horizontal="right"/>
    </xf>
    <xf numFmtId="38" fontId="0" fillId="0" borderId="60" xfId="0" applyNumberFormat="1" applyBorder="1" applyAlignment="1">
      <alignment horizontal="right"/>
    </xf>
    <xf numFmtId="0" fontId="43" fillId="0" borderId="0" xfId="0" applyFont="1" applyAlignment="1"/>
    <xf numFmtId="0" fontId="0" fillId="0" borderId="79" xfId="0" applyBorder="1" applyAlignment="1"/>
    <xf numFmtId="180" fontId="0" fillId="0" borderId="0" xfId="0" applyNumberFormat="1" applyAlignment="1"/>
    <xf numFmtId="0" fontId="0" fillId="0" borderId="79" xfId="0" applyBorder="1" applyAlignment="1">
      <alignment horizontal="right"/>
    </xf>
    <xf numFmtId="0" fontId="0" fillId="0" borderId="0" xfId="0" applyAlignment="1">
      <alignment shrinkToFit="1"/>
    </xf>
    <xf numFmtId="179" fontId="0" fillId="0" borderId="0" xfId="46" applyNumberFormat="1" applyFont="1" applyBorder="1" applyAlignment="1"/>
    <xf numFmtId="179" fontId="0" fillId="0" borderId="79" xfId="46" applyNumberFormat="1" applyFont="1" applyBorder="1" applyAlignment="1"/>
    <xf numFmtId="0" fontId="0" fillId="0" borderId="68" xfId="0" applyBorder="1" applyAlignment="1"/>
    <xf numFmtId="0" fontId="0" fillId="0" borderId="70" xfId="0" applyBorder="1" applyAlignment="1"/>
    <xf numFmtId="179" fontId="0" fillId="0" borderId="0" xfId="46" applyNumberFormat="1" applyFont="1" applyBorder="1" applyAlignment="1">
      <alignment horizontal="right"/>
    </xf>
    <xf numFmtId="1" fontId="0" fillId="0" borderId="0" xfId="0" applyNumberFormat="1" applyAlignment="1">
      <alignment horizontal="right"/>
    </xf>
    <xf numFmtId="0" fontId="0" fillId="0" borderId="50" xfId="0" applyBorder="1" applyAlignment="1"/>
    <xf numFmtId="0" fontId="0" fillId="0" borderId="60" xfId="0" applyBorder="1" applyAlignment="1"/>
    <xf numFmtId="0" fontId="0" fillId="0" borderId="71" xfId="0" applyBorder="1" applyAlignment="1">
      <alignment horizontal="right"/>
    </xf>
    <xf numFmtId="0" fontId="0" fillId="0" borderId="73" xfId="0" applyBorder="1" applyAlignment="1">
      <alignment horizontal="right"/>
    </xf>
    <xf numFmtId="179" fontId="0" fillId="0" borderId="50" xfId="46" applyNumberFormat="1" applyFont="1" applyBorder="1" applyAlignment="1"/>
    <xf numFmtId="179" fontId="0" fillId="0" borderId="60" xfId="46" applyNumberFormat="1" applyFont="1" applyBorder="1" applyAlignment="1"/>
    <xf numFmtId="0" fontId="0" fillId="0" borderId="50" xfId="0" applyBorder="1" applyAlignment="1">
      <alignment horizontal="right"/>
    </xf>
    <xf numFmtId="0" fontId="0" fillId="0" borderId="60" xfId="0" applyBorder="1" applyAlignment="1">
      <alignment horizontal="right"/>
    </xf>
    <xf numFmtId="181" fontId="0" fillId="0" borderId="68" xfId="0" applyNumberFormat="1" applyBorder="1" applyAlignment="1"/>
    <xf numFmtId="38" fontId="0" fillId="0" borderId="0" xfId="0" applyNumberFormat="1" applyAlignment="1"/>
    <xf numFmtId="0" fontId="44" fillId="0" borderId="58" xfId="0" applyFont="1" applyBorder="1" applyAlignment="1">
      <alignment horizontal="right"/>
    </xf>
    <xf numFmtId="182" fontId="44" fillId="0" borderId="50" xfId="0" applyNumberFormat="1" applyFont="1" applyBorder="1" applyAlignment="1"/>
    <xf numFmtId="0" fontId="44" fillId="0" borderId="50" xfId="0" applyFont="1" applyBorder="1" applyAlignment="1"/>
    <xf numFmtId="0" fontId="44" fillId="0" borderId="60" xfId="0" applyFont="1" applyBorder="1" applyAlignment="1"/>
    <xf numFmtId="0" fontId="0" fillId="0" borderId="72" xfId="0" applyBorder="1" applyAlignment="1"/>
    <xf numFmtId="38" fontId="45" fillId="0" borderId="0" xfId="46" applyFont="1" applyFill="1" applyAlignment="1"/>
    <xf numFmtId="38" fontId="0" fillId="0" borderId="0" xfId="46" applyFont="1" applyAlignment="1">
      <alignment horizontal="right"/>
    </xf>
    <xf numFmtId="0" fontId="0" fillId="0" borderId="67" xfId="0" applyBorder="1" applyAlignment="1">
      <alignment shrinkToFit="1"/>
    </xf>
    <xf numFmtId="9" fontId="0" fillId="0" borderId="68" xfId="47" applyFont="1" applyBorder="1" applyAlignment="1"/>
    <xf numFmtId="9" fontId="0" fillId="0" borderId="70" xfId="47" applyFont="1" applyBorder="1" applyAlignment="1"/>
    <xf numFmtId="0" fontId="0" fillId="0" borderId="0" xfId="0" applyAlignment="1">
      <alignment horizontal="right" shrinkToFit="1"/>
    </xf>
    <xf numFmtId="38" fontId="0" fillId="0" borderId="0" xfId="46" applyFont="1" applyAlignment="1"/>
    <xf numFmtId="0" fontId="0" fillId="0" borderId="82" xfId="0" applyBorder="1" applyAlignment="1"/>
    <xf numFmtId="0" fontId="0" fillId="0" borderId="39" xfId="0" applyBorder="1" applyAlignment="1"/>
    <xf numFmtId="0" fontId="0" fillId="0" borderId="41" xfId="0" applyBorder="1" applyAlignment="1">
      <alignment horizontal="right"/>
    </xf>
    <xf numFmtId="0" fontId="0" fillId="0" borderId="61" xfId="0" applyBorder="1" applyAlignment="1"/>
    <xf numFmtId="9" fontId="0" fillId="0" borderId="0" xfId="0" applyNumberFormat="1" applyAlignment="1"/>
    <xf numFmtId="9" fontId="0" fillId="0" borderId="79" xfId="0" applyNumberFormat="1" applyBorder="1" applyAlignment="1"/>
    <xf numFmtId="9" fontId="0" fillId="0" borderId="0" xfId="47" applyFont="1" applyBorder="1" applyAlignment="1"/>
    <xf numFmtId="9" fontId="0" fillId="0" borderId="79" xfId="47" applyFont="1" applyBorder="1" applyAlignment="1"/>
    <xf numFmtId="183" fontId="0" fillId="0" borderId="0" xfId="0" applyNumberFormat="1" applyAlignment="1"/>
    <xf numFmtId="0" fontId="0" fillId="0" borderId="58" xfId="0" applyBorder="1" applyAlignment="1"/>
    <xf numFmtId="9" fontId="0" fillId="0" borderId="50" xfId="0" applyNumberFormat="1" applyBorder="1" applyAlignment="1"/>
    <xf numFmtId="9" fontId="0" fillId="0" borderId="60" xfId="0" applyNumberFormat="1" applyBorder="1" applyAlignment="1"/>
    <xf numFmtId="38" fontId="0" fillId="0" borderId="0" xfId="46" applyFont="1" applyAlignment="1">
      <alignment horizontal="center"/>
    </xf>
    <xf numFmtId="0" fontId="0" fillId="0" borderId="67" xfId="0" applyBorder="1" applyAlignment="1"/>
    <xf numFmtId="0" fontId="0" fillId="0" borderId="32" xfId="0" applyBorder="1" applyAlignment="1">
      <alignment shrinkToFit="1"/>
    </xf>
    <xf numFmtId="0" fontId="0" fillId="0" borderId="81" xfId="0" applyBorder="1" applyAlignment="1">
      <alignment shrinkToFit="1"/>
    </xf>
    <xf numFmtId="0" fontId="0" fillId="0" borderId="72" xfId="0" applyBorder="1" applyAlignment="1">
      <alignment shrinkToFit="1"/>
    </xf>
    <xf numFmtId="38" fontId="0" fillId="0" borderId="83" xfId="46" applyFont="1" applyBorder="1" applyAlignment="1"/>
    <xf numFmtId="38" fontId="0" fillId="0" borderId="71" xfId="46" applyFont="1" applyBorder="1" applyAlignment="1"/>
    <xf numFmtId="38" fontId="0" fillId="0" borderId="73" xfId="46" applyFont="1" applyBorder="1" applyAlignment="1"/>
    <xf numFmtId="0" fontId="0" fillId="0" borderId="84" xfId="0" applyBorder="1" applyAlignment="1">
      <alignment shrinkToFit="1"/>
    </xf>
    <xf numFmtId="0" fontId="0" fillId="0" borderId="61" xfId="0" applyBorder="1" applyAlignment="1">
      <alignment shrinkToFit="1"/>
    </xf>
    <xf numFmtId="38" fontId="0" fillId="0" borderId="19" xfId="46" applyFont="1" applyBorder="1" applyAlignment="1">
      <alignment shrinkToFit="1"/>
    </xf>
    <xf numFmtId="38" fontId="0" fillId="0" borderId="0" xfId="46" applyFont="1" applyBorder="1" applyAlignment="1"/>
    <xf numFmtId="38" fontId="0" fillId="0" borderId="79" xfId="46" applyFont="1" applyBorder="1" applyAlignment="1"/>
    <xf numFmtId="0" fontId="0" fillId="0" borderId="41" xfId="0" applyBorder="1" applyAlignment="1"/>
    <xf numFmtId="38" fontId="0" fillId="0" borderId="19" xfId="46" applyFont="1" applyBorder="1" applyAlignment="1"/>
    <xf numFmtId="38" fontId="0" fillId="0" borderId="19" xfId="46" applyFont="1" applyBorder="1" applyAlignment="1">
      <alignment horizontal="right"/>
    </xf>
    <xf numFmtId="0" fontId="46" fillId="0" borderId="0" xfId="0" applyFont="1" applyAlignment="1"/>
    <xf numFmtId="0" fontId="0" fillId="0" borderId="58" xfId="0" applyBorder="1" applyAlignment="1">
      <alignment shrinkToFit="1"/>
    </xf>
    <xf numFmtId="0" fontId="47" fillId="0" borderId="50" xfId="0" applyFont="1" applyBorder="1" applyAlignment="1"/>
    <xf numFmtId="38" fontId="0" fillId="0" borderId="51" xfId="46" applyFont="1" applyFill="1" applyBorder="1" applyAlignment="1"/>
    <xf numFmtId="38" fontId="0" fillId="0" borderId="50" xfId="46" applyFont="1" applyFill="1" applyBorder="1" applyAlignment="1"/>
    <xf numFmtId="0" fontId="0" fillId="0" borderId="85" xfId="0" applyBorder="1" applyAlignment="1"/>
    <xf numFmtId="0" fontId="0" fillId="0" borderId="86" xfId="0" applyBorder="1" applyAlignment="1"/>
    <xf numFmtId="0" fontId="0" fillId="0" borderId="84" xfId="0" applyBorder="1" applyAlignment="1"/>
    <xf numFmtId="38" fontId="0" fillId="0" borderId="32" xfId="0" applyNumberFormat="1" applyBorder="1" applyAlignment="1"/>
    <xf numFmtId="38" fontId="0" fillId="0" borderId="68" xfId="0" applyNumberFormat="1" applyBorder="1" applyAlignment="1"/>
    <xf numFmtId="0" fontId="0" fillId="0" borderId="81" xfId="0" applyBorder="1" applyAlignment="1"/>
    <xf numFmtId="0" fontId="0" fillId="0" borderId="15" xfId="0" applyBorder="1" applyAlignment="1">
      <alignment shrinkToFit="1"/>
    </xf>
    <xf numFmtId="0" fontId="0" fillId="0" borderId="15" xfId="0" applyBorder="1" applyAlignment="1">
      <alignment horizontal="right" shrinkToFit="1"/>
    </xf>
    <xf numFmtId="0" fontId="0" fillId="0" borderId="15" xfId="0" applyBorder="1" applyAlignment="1"/>
    <xf numFmtId="0" fontId="48" fillId="0" borderId="0" xfId="0" applyFont="1" applyAlignment="1">
      <alignment shrinkToFit="1"/>
    </xf>
    <xf numFmtId="38" fontId="49" fillId="0" borderId="0" xfId="46" applyFont="1" applyAlignment="1"/>
    <xf numFmtId="38" fontId="0" fillId="0" borderId="15" xfId="46" applyFont="1" applyBorder="1" applyAlignment="1"/>
    <xf numFmtId="38" fontId="0" fillId="0" borderId="15" xfId="0" applyNumberFormat="1" applyBorder="1" applyAlignment="1"/>
    <xf numFmtId="0" fontId="0" fillId="0" borderId="87" xfId="0" applyBorder="1" applyAlignment="1">
      <alignment shrinkToFit="1"/>
    </xf>
    <xf numFmtId="38" fontId="0" fillId="0" borderId="87" xfId="46" applyFont="1" applyBorder="1" applyAlignment="1"/>
    <xf numFmtId="0" fontId="0" fillId="0" borderId="87" xfId="0" applyBorder="1" applyAlignment="1"/>
    <xf numFmtId="0" fontId="0" fillId="36" borderId="0" xfId="0" applyFill="1" applyAlignment="1"/>
    <xf numFmtId="0" fontId="50" fillId="0" borderId="0" xfId="0" applyFont="1">
      <alignment vertical="center"/>
    </xf>
    <xf numFmtId="0" fontId="0" fillId="0" borderId="15" xfId="0" applyBorder="1">
      <alignment vertical="center"/>
    </xf>
    <xf numFmtId="38" fontId="0" fillId="0" borderId="15" xfId="46" applyFont="1" applyBorder="1">
      <alignment vertical="center"/>
    </xf>
    <xf numFmtId="38" fontId="0" fillId="0" borderId="15" xfId="0" applyNumberFormat="1" applyBorder="1">
      <alignment vertical="center"/>
    </xf>
    <xf numFmtId="0" fontId="50" fillId="0" borderId="15" xfId="0" applyFont="1" applyBorder="1">
      <alignment vertical="center"/>
    </xf>
    <xf numFmtId="38" fontId="23" fillId="33" borderId="18" xfId="46" applyFont="1" applyFill="1" applyBorder="1" applyAlignment="1">
      <alignment vertical="top" wrapText="1"/>
    </xf>
    <xf numFmtId="2" fontId="51" fillId="0" borderId="0" xfId="44" applyNumberFormat="1" applyFont="1">
      <alignment vertical="center"/>
    </xf>
    <xf numFmtId="38" fontId="29" fillId="0" borderId="0" xfId="0" applyNumberFormat="1" applyFont="1">
      <alignment vertical="center"/>
    </xf>
    <xf numFmtId="0" fontId="27" fillId="0" borderId="10" xfId="0" applyFont="1" applyBorder="1" applyAlignment="1">
      <alignment horizontal="justify" vertical="center" wrapText="1"/>
    </xf>
    <xf numFmtId="179" fontId="23" fillId="0" borderId="10" xfId="0" applyNumberFormat="1" applyFont="1" applyBorder="1" applyAlignment="1">
      <alignment horizontal="right" vertical="center" wrapText="1"/>
    </xf>
    <xf numFmtId="179" fontId="23" fillId="33" borderId="10" xfId="0" applyNumberFormat="1" applyFont="1" applyFill="1" applyBorder="1" applyAlignment="1">
      <alignment horizontal="right" vertical="center" wrapText="1"/>
    </xf>
    <xf numFmtId="179" fontId="23" fillId="0" borderId="10" xfId="0" applyNumberFormat="1" applyFont="1" applyBorder="1" applyAlignment="1">
      <alignment horizontal="justify" vertical="center" wrapText="1"/>
    </xf>
    <xf numFmtId="179" fontId="23" fillId="33" borderId="10" xfId="0" applyNumberFormat="1" applyFont="1" applyFill="1" applyBorder="1">
      <alignment vertical="center"/>
    </xf>
    <xf numFmtId="179" fontId="23" fillId="0" borderId="10" xfId="0" applyNumberFormat="1" applyFont="1" applyBorder="1">
      <alignment vertical="center"/>
    </xf>
    <xf numFmtId="1" fontId="0" fillId="0" borderId="0" xfId="0" applyNumberFormat="1">
      <alignment vertical="center"/>
    </xf>
    <xf numFmtId="0" fontId="23" fillId="0" borderId="12" xfId="0" applyFont="1" applyBorder="1" applyAlignment="1">
      <alignment horizontal="center" vertical="center" wrapText="1"/>
    </xf>
    <xf numFmtId="0" fontId="23" fillId="0" borderId="0" xfId="0" applyFont="1" applyAlignment="1">
      <alignment horizontal="center" vertical="center" wrapText="1"/>
    </xf>
    <xf numFmtId="0" fontId="23" fillId="0" borderId="15" xfId="0" applyFont="1" applyBorder="1" applyAlignment="1">
      <alignment horizontal="center" vertical="center" wrapText="1"/>
    </xf>
    <xf numFmtId="0" fontId="23" fillId="0" borderId="17" xfId="0" applyFont="1" applyBorder="1" applyAlignment="1">
      <alignment horizontal="left" vertical="center" wrapText="1"/>
    </xf>
    <xf numFmtId="0" fontId="23" fillId="0" borderId="19" xfId="0" applyFont="1" applyBorder="1" applyAlignment="1">
      <alignment horizontal="left" vertical="center" wrapText="1"/>
    </xf>
    <xf numFmtId="0" fontId="23" fillId="0" borderId="18" xfId="0" applyFont="1" applyBorder="1" applyAlignment="1">
      <alignment horizontal="left" vertical="center" wrapText="1"/>
    </xf>
    <xf numFmtId="0" fontId="28" fillId="0" borderId="17" xfId="0" applyFont="1" applyBorder="1" applyAlignment="1">
      <alignment horizontal="center" vertical="center" wrapText="1"/>
    </xf>
    <xf numFmtId="0" fontId="28" fillId="0" borderId="19"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18" xfId="0" applyFont="1" applyBorder="1" applyAlignment="1">
      <alignment horizontal="center" vertical="center" wrapText="1"/>
    </xf>
    <xf numFmtId="0" fontId="30" fillId="0" borderId="19" xfId="0" applyFont="1" applyBorder="1" applyAlignment="1">
      <alignment horizontal="center" vertical="center" wrapText="1"/>
    </xf>
    <xf numFmtId="0" fontId="23" fillId="0" borderId="10" xfId="0" applyFont="1" applyBorder="1" applyAlignment="1">
      <alignment horizontal="left" vertical="center" wrapText="1"/>
    </xf>
    <xf numFmtId="0" fontId="28" fillId="0" borderId="18" xfId="0" applyFont="1" applyBorder="1" applyAlignment="1">
      <alignment horizontal="center" vertical="center" wrapText="1"/>
    </xf>
    <xf numFmtId="179" fontId="23" fillId="33" borderId="19" xfId="46" applyNumberFormat="1" applyFont="1" applyFill="1" applyBorder="1" applyAlignment="1">
      <alignment horizontal="center" vertical="center" wrapText="1"/>
    </xf>
    <xf numFmtId="179" fontId="23" fillId="33" borderId="18" xfId="46" applyNumberFormat="1" applyFont="1" applyFill="1" applyBorder="1" applyAlignment="1">
      <alignment horizontal="center" vertical="center" wrapText="1"/>
    </xf>
    <xf numFmtId="0" fontId="30" fillId="0" borderId="18" xfId="0" applyFont="1" applyBorder="1" applyAlignment="1">
      <alignment horizontal="center" vertical="center" wrapText="1"/>
    </xf>
    <xf numFmtId="179" fontId="23" fillId="33" borderId="17" xfId="46" applyNumberFormat="1" applyFont="1" applyFill="1" applyBorder="1" applyAlignment="1">
      <alignment horizontal="center" vertical="center" wrapText="1"/>
    </xf>
    <xf numFmtId="0" fontId="23" fillId="33" borderId="10" xfId="0" applyFont="1" applyFill="1" applyBorder="1" applyAlignment="1">
      <alignment horizontal="left" vertical="top" wrapText="1"/>
    </xf>
    <xf numFmtId="0" fontId="23" fillId="0" borderId="0" xfId="0" applyFont="1" applyAlignment="1">
      <alignment horizontal="left" vertical="center" wrapText="1"/>
    </xf>
    <xf numFmtId="0" fontId="23" fillId="0" borderId="0" xfId="0" applyFont="1" applyAlignment="1">
      <alignment horizontal="left" vertical="center"/>
    </xf>
    <xf numFmtId="0" fontId="26" fillId="0" borderId="17" xfId="0" applyFont="1" applyBorder="1" applyAlignment="1">
      <alignment horizontal="right" vertical="top" wrapText="1"/>
    </xf>
    <xf numFmtId="0" fontId="26" fillId="0" borderId="19" xfId="0" applyFont="1" applyBorder="1" applyAlignment="1">
      <alignment horizontal="right" vertical="top" wrapText="1"/>
    </xf>
    <xf numFmtId="0" fontId="26" fillId="0" borderId="18" xfId="0" applyFont="1" applyBorder="1" applyAlignment="1">
      <alignment horizontal="right" vertical="top" wrapText="1"/>
    </xf>
    <xf numFmtId="0" fontId="23" fillId="0" borderId="0" xfId="0" applyFont="1" applyAlignment="1">
      <alignment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0" fontId="23" fillId="0" borderId="10" xfId="0" applyFont="1" applyBorder="1" applyAlignment="1">
      <alignment horizontal="center" vertical="center" wrapText="1"/>
    </xf>
    <xf numFmtId="178" fontId="27" fillId="0" borderId="17" xfId="0" applyNumberFormat="1" applyFont="1" applyBorder="1" applyAlignment="1">
      <alignment horizontal="center" vertical="center" wrapText="1"/>
    </xf>
    <xf numFmtId="178" fontId="27" fillId="0" borderId="19" xfId="0" applyNumberFormat="1" applyFont="1" applyBorder="1" applyAlignment="1">
      <alignment horizontal="center" vertical="center" wrapText="1"/>
    </xf>
    <xf numFmtId="178" fontId="27" fillId="0" borderId="18" xfId="0" applyNumberFormat="1" applyFont="1" applyBorder="1" applyAlignment="1">
      <alignment horizontal="center" vertical="center" wrapText="1"/>
    </xf>
    <xf numFmtId="0" fontId="23" fillId="0" borderId="12" xfId="0" applyFont="1" applyBorder="1" applyAlignment="1">
      <alignment horizontal="left" vertical="center" wrapText="1"/>
    </xf>
    <xf numFmtId="38" fontId="23" fillId="33" borderId="17" xfId="46" applyFont="1" applyFill="1" applyBorder="1" applyAlignment="1">
      <alignment horizontal="center" vertical="center" wrapText="1"/>
    </xf>
    <xf numFmtId="38" fontId="23" fillId="33" borderId="18" xfId="46" applyFont="1" applyFill="1" applyBorder="1" applyAlignment="1">
      <alignment horizontal="center" vertical="center" wrapText="1"/>
    </xf>
    <xf numFmtId="38" fontId="23" fillId="0" borderId="14" xfId="45" applyFont="1" applyFill="1" applyBorder="1" applyAlignment="1">
      <alignment vertical="center"/>
    </xf>
    <xf numFmtId="38" fontId="23" fillId="0" borderId="15" xfId="45" applyFont="1" applyFill="1" applyBorder="1" applyAlignment="1">
      <alignment vertical="center"/>
    </xf>
    <xf numFmtId="38" fontId="23" fillId="0" borderId="16" xfId="45" applyFont="1" applyFill="1" applyBorder="1" applyAlignment="1">
      <alignment vertical="center"/>
    </xf>
    <xf numFmtId="0" fontId="23" fillId="0" borderId="17" xfId="44" applyFont="1" applyBorder="1" applyAlignment="1">
      <alignment horizontal="left" vertical="center" indent="1"/>
    </xf>
    <xf numFmtId="0" fontId="20" fillId="0" borderId="10" xfId="44" applyFont="1" applyBorder="1" applyAlignment="1">
      <alignment horizontal="left" vertical="center" wrapText="1" indent="1"/>
    </xf>
    <xf numFmtId="0" fontId="20" fillId="0" borderId="28" xfId="44" applyFont="1" applyBorder="1" applyAlignment="1">
      <alignment horizontal="left" vertical="center" wrapText="1" indent="1"/>
    </xf>
    <xf numFmtId="0" fontId="23" fillId="0" borderId="25" xfId="44" applyFont="1" applyBorder="1">
      <alignment vertical="center"/>
    </xf>
    <xf numFmtId="0" fontId="23" fillId="0" borderId="26" xfId="44" applyFont="1" applyBorder="1">
      <alignment vertical="center"/>
    </xf>
    <xf numFmtId="0" fontId="23" fillId="0" borderId="27" xfId="44" applyFont="1" applyBorder="1">
      <alignment vertical="center"/>
    </xf>
    <xf numFmtId="0" fontId="20" fillId="0" borderId="14" xfId="44" applyFont="1" applyBorder="1" applyAlignment="1">
      <alignment horizontal="center" vertical="center"/>
    </xf>
    <xf numFmtId="0" fontId="20" fillId="0" borderId="15" xfId="44" applyFont="1" applyBorder="1" applyAlignment="1">
      <alignment horizontal="center" vertical="center"/>
    </xf>
    <xf numFmtId="0" fontId="20" fillId="0" borderId="16" xfId="44" applyFont="1" applyBorder="1" applyAlignment="1">
      <alignment horizontal="center" vertical="center"/>
    </xf>
    <xf numFmtId="38" fontId="23" fillId="33" borderId="14" xfId="45" applyFont="1" applyFill="1" applyBorder="1" applyAlignment="1">
      <alignment vertical="center"/>
    </xf>
    <xf numFmtId="38" fontId="23" fillId="33" borderId="15" xfId="45" applyFont="1" applyFill="1" applyBorder="1" applyAlignment="1">
      <alignment vertical="center"/>
    </xf>
    <xf numFmtId="38" fontId="23" fillId="33" borderId="16" xfId="45" applyFont="1" applyFill="1" applyBorder="1" applyAlignment="1">
      <alignment vertical="center"/>
    </xf>
    <xf numFmtId="0" fontId="23" fillId="0" borderId="22" xfId="44" applyFont="1" applyBorder="1">
      <alignment vertical="center"/>
    </xf>
    <xf numFmtId="0" fontId="23" fillId="0" borderId="23" xfId="44" applyFont="1" applyBorder="1">
      <alignment vertical="center"/>
    </xf>
    <xf numFmtId="0" fontId="23" fillId="0" borderId="24" xfId="44" applyFont="1" applyBorder="1">
      <alignment vertical="center"/>
    </xf>
    <xf numFmtId="38" fontId="23" fillId="0" borderId="11" xfId="45" applyFont="1" applyFill="1" applyBorder="1" applyAlignment="1">
      <alignment vertical="center"/>
    </xf>
    <xf numFmtId="38" fontId="23" fillId="0" borderId="12" xfId="45" applyFont="1" applyFill="1" applyBorder="1" applyAlignment="1">
      <alignment vertical="center"/>
    </xf>
    <xf numFmtId="38" fontId="23" fillId="0" borderId="13" xfId="45" applyFont="1" applyFill="1" applyBorder="1" applyAlignment="1">
      <alignment vertical="center"/>
    </xf>
    <xf numFmtId="0" fontId="23" fillId="0" borderId="22" xfId="44" applyFont="1" applyBorder="1" applyAlignment="1">
      <alignment horizontal="center" vertical="center" shrinkToFit="1"/>
    </xf>
    <xf numFmtId="0" fontId="23" fillId="0" borderId="23" xfId="44" applyFont="1" applyBorder="1" applyAlignment="1">
      <alignment horizontal="center" vertical="center" shrinkToFit="1"/>
    </xf>
    <xf numFmtId="0" fontId="23" fillId="0" borderId="24" xfId="44" applyFont="1" applyBorder="1" applyAlignment="1">
      <alignment horizontal="center" vertical="center" shrinkToFit="1"/>
    </xf>
    <xf numFmtId="38" fontId="23" fillId="33" borderId="22" xfId="46" applyFont="1" applyFill="1" applyBorder="1" applyAlignment="1">
      <alignment vertical="center"/>
    </xf>
    <xf numFmtId="38" fontId="23" fillId="33" borderId="23" xfId="46" applyFont="1" applyFill="1" applyBorder="1" applyAlignment="1">
      <alignment vertical="center"/>
    </xf>
    <xf numFmtId="38" fontId="23" fillId="33" borderId="24" xfId="46" applyFont="1" applyFill="1" applyBorder="1" applyAlignment="1">
      <alignment vertical="center"/>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3" fillId="0" borderId="28" xfId="44" applyFont="1" applyBorder="1" applyAlignment="1">
      <alignment horizontal="left" vertical="center"/>
    </xf>
    <xf numFmtId="0" fontId="23" fillId="0" borderId="25" xfId="44" applyFont="1" applyBorder="1" applyAlignment="1">
      <alignment horizontal="center" vertical="center" shrinkToFit="1"/>
    </xf>
    <xf numFmtId="0" fontId="23" fillId="0" borderId="26" xfId="44" applyFont="1" applyBorder="1" applyAlignment="1">
      <alignment horizontal="center" vertical="center" shrinkToFit="1"/>
    </xf>
    <xf numFmtId="0" fontId="23" fillId="0" borderId="27" xfId="44" applyFont="1" applyBorder="1" applyAlignment="1">
      <alignment horizontal="center" vertical="center" shrinkToFit="1"/>
    </xf>
    <xf numFmtId="38" fontId="23" fillId="33" borderId="25" xfId="46" applyFont="1" applyFill="1" applyBorder="1" applyAlignment="1">
      <alignment vertical="center"/>
    </xf>
    <xf numFmtId="38" fontId="23" fillId="33" borderId="26" xfId="46" applyFont="1" applyFill="1" applyBorder="1" applyAlignment="1">
      <alignment vertical="center"/>
    </xf>
    <xf numFmtId="38" fontId="23" fillId="33" borderId="27" xfId="46" applyFont="1" applyFill="1" applyBorder="1" applyAlignment="1">
      <alignment vertical="center"/>
    </xf>
    <xf numFmtId="0" fontId="23" fillId="0" borderId="22" xfId="44" applyFont="1" applyBorder="1" applyAlignment="1">
      <alignment horizontal="center" vertical="center"/>
    </xf>
    <xf numFmtId="0" fontId="23" fillId="0" borderId="23" xfId="44" applyFont="1" applyBorder="1" applyAlignment="1">
      <alignment horizontal="center" vertical="center"/>
    </xf>
    <xf numFmtId="0" fontId="23" fillId="0" borderId="24" xfId="44" applyFont="1" applyBorder="1" applyAlignment="1">
      <alignment horizontal="center" vertical="center"/>
    </xf>
    <xf numFmtId="38" fontId="23" fillId="33" borderId="11" xfId="46" applyFont="1" applyFill="1" applyBorder="1" applyAlignment="1">
      <alignment vertical="center"/>
    </xf>
    <xf numFmtId="38" fontId="23" fillId="33" borderId="12" xfId="46" applyFont="1" applyFill="1" applyBorder="1" applyAlignment="1">
      <alignment vertical="center"/>
    </xf>
    <xf numFmtId="38" fontId="23" fillId="33" borderId="13" xfId="46" applyFont="1" applyFill="1" applyBorder="1" applyAlignment="1">
      <alignment vertical="center"/>
    </xf>
    <xf numFmtId="0" fontId="23" fillId="0" borderId="0" xfId="44" applyFont="1">
      <alignment vertical="center"/>
    </xf>
    <xf numFmtId="0" fontId="23" fillId="0" borderId="11" xfId="44" applyFont="1" applyBorder="1" applyAlignment="1">
      <alignment horizontal="center" vertical="center"/>
    </xf>
    <xf numFmtId="0" fontId="23" fillId="0" borderId="12" xfId="44" applyFont="1" applyBorder="1" applyAlignment="1">
      <alignment horizontal="center" vertical="center"/>
    </xf>
    <xf numFmtId="0" fontId="23" fillId="0" borderId="13" xfId="44" applyFont="1" applyBorder="1" applyAlignment="1">
      <alignment horizontal="center" vertical="center"/>
    </xf>
    <xf numFmtId="0" fontId="23" fillId="0" borderId="14" xfId="44" applyFont="1" applyBorder="1" applyAlignment="1">
      <alignment horizontal="center" vertical="center"/>
    </xf>
    <xf numFmtId="0" fontId="23" fillId="0" borderId="15" xfId="44" applyFont="1" applyBorder="1" applyAlignment="1">
      <alignment horizontal="center" vertical="center"/>
    </xf>
    <xf numFmtId="0" fontId="23" fillId="0" borderId="16" xfId="44" applyFont="1" applyBorder="1" applyAlignment="1">
      <alignment horizontal="center" vertical="center"/>
    </xf>
    <xf numFmtId="0" fontId="20" fillId="0" borderId="11" xfId="44" applyFont="1" applyBorder="1" applyAlignment="1">
      <alignment horizontal="left" vertical="center"/>
    </xf>
    <xf numFmtId="0" fontId="20" fillId="0" borderId="12" xfId="44" applyFont="1" applyBorder="1" applyAlignment="1">
      <alignment horizontal="left" vertical="center"/>
    </xf>
    <xf numFmtId="0" fontId="20" fillId="0" borderId="23" xfId="44" applyFont="1" applyBorder="1" applyAlignment="1">
      <alignment horizontal="left" vertical="center"/>
    </xf>
    <xf numFmtId="0" fontId="20" fillId="0" borderId="24" xfId="44" applyFont="1" applyBorder="1" applyAlignment="1">
      <alignment horizontal="left" vertical="center"/>
    </xf>
    <xf numFmtId="0" fontId="20" fillId="0" borderId="22" xfId="44" applyFont="1" applyBorder="1" applyAlignment="1">
      <alignment horizontal="center" vertical="center" wrapText="1"/>
    </xf>
    <xf numFmtId="0" fontId="20" fillId="0" borderId="23" xfId="44" applyFont="1" applyBorder="1" applyAlignment="1">
      <alignment horizontal="center" vertical="center" wrapText="1"/>
    </xf>
    <xf numFmtId="0" fontId="20" fillId="0" borderId="24" xfId="44" applyFont="1" applyBorder="1" applyAlignment="1">
      <alignment horizontal="center" vertical="center" wrapText="1"/>
    </xf>
    <xf numFmtId="38" fontId="23" fillId="33" borderId="22" xfId="45" applyFont="1" applyFill="1" applyBorder="1" applyAlignment="1">
      <alignment vertical="center"/>
    </xf>
    <xf numFmtId="38" fontId="23" fillId="33" borderId="23" xfId="45" applyFont="1" applyFill="1" applyBorder="1" applyAlignment="1">
      <alignment vertical="center"/>
    </xf>
    <xf numFmtId="38" fontId="23" fillId="33" borderId="24" xfId="45" applyFont="1" applyFill="1" applyBorder="1" applyAlignment="1">
      <alignment vertical="center"/>
    </xf>
    <xf numFmtId="38" fontId="23" fillId="0" borderId="22" xfId="45" applyFont="1" applyFill="1" applyBorder="1" applyAlignment="1">
      <alignment vertical="center"/>
    </xf>
    <xf numFmtId="38" fontId="23" fillId="0" borderId="23" xfId="45" applyFont="1" applyFill="1" applyBorder="1" applyAlignment="1">
      <alignment vertical="center"/>
    </xf>
    <xf numFmtId="38" fontId="23" fillId="0" borderId="24" xfId="45" applyFont="1" applyFill="1" applyBorder="1" applyAlignment="1">
      <alignment vertical="center"/>
    </xf>
    <xf numFmtId="0" fontId="23" fillId="0" borderId="22" xfId="44" applyFont="1" applyBorder="1" applyAlignment="1">
      <alignment horizontal="right" vertical="center"/>
    </xf>
    <xf numFmtId="0" fontId="23" fillId="0" borderId="23" xfId="44" applyFont="1" applyBorder="1" applyAlignment="1">
      <alignment horizontal="right" vertical="center"/>
    </xf>
    <xf numFmtId="0" fontId="23" fillId="0" borderId="24" xfId="44" applyFont="1" applyBorder="1" applyAlignment="1">
      <alignment horizontal="right" vertical="center"/>
    </xf>
    <xf numFmtId="38" fontId="23" fillId="0" borderId="18" xfId="46" applyFont="1" applyFill="1" applyBorder="1" applyAlignment="1">
      <alignment horizontal="right" vertical="center"/>
    </xf>
    <xf numFmtId="0" fontId="23" fillId="0" borderId="18" xfId="44" applyFont="1" applyBorder="1" applyAlignment="1">
      <alignment horizontal="right" vertical="center"/>
    </xf>
    <xf numFmtId="0" fontId="20" fillId="0" borderId="18" xfId="44" applyFont="1" applyBorder="1" applyAlignment="1">
      <alignment horizontal="left" vertical="center" wrapText="1" indent="1"/>
    </xf>
    <xf numFmtId="176" fontId="23" fillId="0" borderId="28" xfId="44" applyNumberFormat="1" applyFont="1" applyBorder="1" applyAlignment="1">
      <alignment horizontal="right" vertical="center"/>
    </xf>
    <xf numFmtId="0" fontId="23" fillId="0" borderId="10" xfId="44" applyFont="1" applyBorder="1" applyAlignment="1">
      <alignment horizontal="left" vertical="center" shrinkToFit="1"/>
    </xf>
    <xf numFmtId="38" fontId="23" fillId="33" borderId="10" xfId="46" applyFont="1" applyFill="1" applyBorder="1" applyAlignment="1">
      <alignment horizontal="right" vertical="center"/>
    </xf>
    <xf numFmtId="0" fontId="23" fillId="0" borderId="22" xfId="44" applyFont="1" applyBorder="1" applyAlignment="1">
      <alignment horizontal="left" vertical="center" shrinkToFit="1"/>
    </xf>
    <xf numFmtId="0" fontId="23" fillId="0" borderId="23" xfId="44" applyFont="1" applyBorder="1" applyAlignment="1">
      <alignment horizontal="left" vertical="center" shrinkToFit="1"/>
    </xf>
    <xf numFmtId="0" fontId="23" fillId="0" borderId="24" xfId="44" applyFont="1" applyBorder="1" applyAlignment="1">
      <alignment horizontal="left" vertical="center" shrinkToFit="1"/>
    </xf>
    <xf numFmtId="38" fontId="23" fillId="33" borderId="22" xfId="46" applyFont="1" applyFill="1" applyBorder="1" applyAlignment="1">
      <alignment horizontal="right" vertical="center"/>
    </xf>
    <xf numFmtId="38" fontId="23" fillId="33" borderId="23" xfId="46" applyFont="1" applyFill="1" applyBorder="1" applyAlignment="1">
      <alignment horizontal="right" vertical="center"/>
    </xf>
    <xf numFmtId="38" fontId="23" fillId="33" borderId="24" xfId="46" applyFont="1" applyFill="1" applyBorder="1" applyAlignment="1">
      <alignment horizontal="right" vertical="center"/>
    </xf>
    <xf numFmtId="38" fontId="23" fillId="33" borderId="10" xfId="44" applyNumberFormat="1" applyFont="1" applyFill="1" applyBorder="1" applyAlignment="1">
      <alignment horizontal="right" vertical="center"/>
    </xf>
    <xf numFmtId="0" fontId="23" fillId="33" borderId="10" xfId="44" applyFont="1" applyFill="1" applyBorder="1" applyAlignment="1">
      <alignment horizontal="right" vertical="center"/>
    </xf>
    <xf numFmtId="38" fontId="23" fillId="0" borderId="10" xfId="44" applyNumberFormat="1" applyFont="1" applyBorder="1" applyAlignment="1">
      <alignment horizontal="right" vertical="center"/>
    </xf>
    <xf numFmtId="0" fontId="23" fillId="0" borderId="10" xfId="44" applyFont="1" applyBorder="1" applyAlignment="1">
      <alignment horizontal="right" vertical="center"/>
    </xf>
    <xf numFmtId="38" fontId="23" fillId="0" borderId="22" xfId="44" applyNumberFormat="1" applyFont="1" applyBorder="1" applyAlignment="1">
      <alignment horizontal="right" vertical="center"/>
    </xf>
    <xf numFmtId="38" fontId="23" fillId="0" borderId="10" xfId="45" applyFont="1" applyFill="1" applyBorder="1" applyAlignment="1">
      <alignment horizontal="right" vertical="center"/>
    </xf>
    <xf numFmtId="0" fontId="20" fillId="0" borderId="17" xfId="44" applyFont="1" applyBorder="1" applyAlignment="1">
      <alignment horizontal="center" vertical="center"/>
    </xf>
    <xf numFmtId="38" fontId="23" fillId="33" borderId="10" xfId="45" applyFont="1" applyFill="1" applyBorder="1" applyAlignment="1">
      <alignment horizontal="right" vertical="center"/>
    </xf>
    <xf numFmtId="0" fontId="20" fillId="0" borderId="17" xfId="44" applyFont="1" applyBorder="1" applyAlignment="1">
      <alignment horizontal="left" vertical="center" indent="1"/>
    </xf>
    <xf numFmtId="0" fontId="20" fillId="0" borderId="10" xfId="44" applyFont="1" applyBorder="1" applyAlignment="1">
      <alignment horizontal="left" vertical="center" indent="1"/>
    </xf>
    <xf numFmtId="0" fontId="20" fillId="0" borderId="0" xfId="44" applyFont="1" applyAlignment="1">
      <alignment horizontal="left" vertical="center"/>
    </xf>
    <xf numFmtId="0" fontId="20" fillId="0" borderId="11" xfId="44" applyFont="1" applyBorder="1" applyAlignment="1">
      <alignment horizontal="center" vertical="center"/>
    </xf>
    <xf numFmtId="0" fontId="20" fillId="0" borderId="12" xfId="44" applyFont="1" applyBorder="1" applyAlignment="1">
      <alignment horizontal="center" vertical="center"/>
    </xf>
    <xf numFmtId="0" fontId="20" fillId="0" borderId="13" xfId="44" applyFont="1" applyBorder="1" applyAlignment="1">
      <alignment horizontal="center" vertical="center"/>
    </xf>
    <xf numFmtId="0" fontId="23" fillId="0" borderId="17" xfId="44" applyFont="1" applyBorder="1" applyAlignment="1">
      <alignment horizontal="left" vertical="center"/>
    </xf>
    <xf numFmtId="0" fontId="23" fillId="0" borderId="18" xfId="44" applyFont="1" applyBorder="1" applyAlignment="1">
      <alignment horizontal="left" vertical="center" indent="1"/>
    </xf>
    <xf numFmtId="0" fontId="20" fillId="0" borderId="18" xfId="44" applyFont="1" applyBorder="1" applyAlignment="1">
      <alignment horizontal="center" vertical="center"/>
    </xf>
    <xf numFmtId="0" fontId="20" fillId="0" borderId="13" xfId="44" applyFont="1" applyBorder="1" applyAlignment="1">
      <alignment horizontal="left" vertical="center"/>
    </xf>
    <xf numFmtId="0" fontId="35" fillId="0" borderId="71" xfId="0" applyFont="1" applyBorder="1" applyAlignment="1">
      <alignment horizontal="justify" vertical="center" wrapText="1"/>
    </xf>
    <xf numFmtId="0" fontId="34" fillId="0" borderId="71" xfId="0" applyFont="1" applyBorder="1" applyAlignment="1">
      <alignment vertical="center" wrapText="1"/>
    </xf>
    <xf numFmtId="0" fontId="34" fillId="0" borderId="0" xfId="0" applyFont="1" applyAlignment="1">
      <alignment vertical="center" wrapText="1"/>
    </xf>
    <xf numFmtId="0" fontId="27" fillId="0" borderId="58" xfId="44" applyFont="1" applyBorder="1" applyAlignment="1">
      <alignment horizontal="center" vertical="center"/>
    </xf>
    <xf numFmtId="0" fontId="27" fillId="0" borderId="50" xfId="44" applyFont="1" applyBorder="1" applyAlignment="1">
      <alignment horizontal="center" vertical="center"/>
    </xf>
    <xf numFmtId="38" fontId="27" fillId="0" borderId="68" xfId="46" applyFont="1" applyFill="1" applyBorder="1" applyAlignment="1">
      <alignment horizontal="right" vertical="center"/>
    </xf>
    <xf numFmtId="38" fontId="34" fillId="0" borderId="69" xfId="46" applyFont="1" applyFill="1" applyBorder="1" applyAlignment="1">
      <alignment horizontal="right" vertical="center"/>
    </xf>
    <xf numFmtId="38" fontId="27" fillId="0" borderId="51" xfId="46" applyFont="1" applyFill="1" applyBorder="1" applyAlignment="1">
      <alignment horizontal="right" vertical="center"/>
    </xf>
    <xf numFmtId="38" fontId="34" fillId="0" borderId="70" xfId="46" applyFont="1" applyFill="1" applyBorder="1" applyAlignment="1">
      <alignment horizontal="right" vertical="center"/>
    </xf>
    <xf numFmtId="38" fontId="27" fillId="0" borderId="11" xfId="46" applyFont="1" applyFill="1" applyBorder="1" applyAlignment="1">
      <alignment horizontal="right" vertical="center"/>
    </xf>
    <xf numFmtId="38" fontId="27" fillId="0" borderId="12" xfId="46" applyFont="1" applyFill="1" applyBorder="1" applyAlignment="1">
      <alignment horizontal="right" vertical="center"/>
    </xf>
    <xf numFmtId="38" fontId="27" fillId="0" borderId="13" xfId="46" applyFont="1" applyFill="1" applyBorder="1" applyAlignment="1">
      <alignment horizontal="right" vertical="center"/>
    </xf>
    <xf numFmtId="38" fontId="27" fillId="0" borderId="63" xfId="46" applyFont="1" applyFill="1" applyBorder="1" applyAlignment="1">
      <alignment horizontal="right" vertical="center"/>
    </xf>
    <xf numFmtId="0" fontId="27" fillId="0" borderId="55" xfId="44" applyFont="1" applyBorder="1" applyAlignment="1">
      <alignment horizontal="center" vertical="center"/>
    </xf>
    <xf numFmtId="0" fontId="27" fillId="0" borderId="56" xfId="44" applyFont="1" applyBorder="1" applyAlignment="1">
      <alignment horizontal="center" vertical="center"/>
    </xf>
    <xf numFmtId="38" fontId="27" fillId="0" borderId="64" xfId="46" applyFont="1" applyFill="1" applyBorder="1" applyAlignment="1">
      <alignment horizontal="right" vertical="center"/>
    </xf>
    <xf numFmtId="38" fontId="27" fillId="0" borderId="65" xfId="46" applyFont="1" applyFill="1" applyBorder="1" applyAlignment="1">
      <alignment horizontal="right" vertical="center"/>
    </xf>
    <xf numFmtId="38" fontId="27" fillId="0" borderId="55" xfId="46" applyFont="1" applyFill="1" applyBorder="1" applyAlignment="1">
      <alignment horizontal="right" vertical="center"/>
    </xf>
    <xf numFmtId="38" fontId="27" fillId="0" borderId="66" xfId="46" applyFont="1" applyFill="1" applyBorder="1" applyAlignment="1">
      <alignment horizontal="right" vertical="center"/>
    </xf>
    <xf numFmtId="0" fontId="27" fillId="0" borderId="17" xfId="44" applyFont="1" applyBorder="1">
      <alignment vertical="center"/>
    </xf>
    <xf numFmtId="0" fontId="27" fillId="0" borderId="11" xfId="44" applyFont="1" applyBorder="1">
      <alignment vertical="center"/>
    </xf>
    <xf numFmtId="38" fontId="27" fillId="0" borderId="62" xfId="46" applyFont="1" applyFill="1" applyBorder="1" applyAlignment="1">
      <alignment horizontal="right" vertical="center"/>
    </xf>
    <xf numFmtId="38" fontId="27" fillId="0" borderId="10" xfId="46" applyFont="1" applyBorder="1" applyAlignment="1">
      <alignment horizontal="right" vertical="center"/>
    </xf>
    <xf numFmtId="38" fontId="27" fillId="0" borderId="23" xfId="46" applyFont="1" applyBorder="1" applyAlignment="1">
      <alignment horizontal="right" vertical="center"/>
    </xf>
    <xf numFmtId="38" fontId="27" fillId="0" borderId="43" xfId="46" applyFont="1" applyBorder="1" applyAlignment="1">
      <alignment horizontal="right" vertical="center"/>
    </xf>
    <xf numFmtId="0" fontId="27" fillId="0" borderId="10" xfId="44" applyFont="1" applyBorder="1">
      <alignment vertical="center"/>
    </xf>
    <xf numFmtId="0" fontId="27" fillId="0" borderId="22" xfId="44" applyFont="1" applyBorder="1">
      <alignment vertical="center"/>
    </xf>
    <xf numFmtId="38" fontId="27" fillId="0" borderId="47" xfId="46" applyFont="1" applyBorder="1" applyAlignment="1">
      <alignment horizontal="right" vertical="center"/>
    </xf>
    <xf numFmtId="38" fontId="27" fillId="0" borderId="24" xfId="46" applyFont="1" applyBorder="1" applyAlignment="1">
      <alignment horizontal="right" vertical="center"/>
    </xf>
    <xf numFmtId="38" fontId="27" fillId="0" borderId="22" xfId="46" applyFont="1" applyBorder="1" applyAlignment="1">
      <alignment horizontal="right" vertical="center"/>
    </xf>
    <xf numFmtId="38" fontId="27" fillId="0" borderId="22" xfId="46" applyFont="1" applyFill="1" applyBorder="1" applyAlignment="1">
      <alignment horizontal="right" vertical="center"/>
    </xf>
    <xf numFmtId="38" fontId="27" fillId="0" borderId="23" xfId="46" applyFont="1" applyFill="1" applyBorder="1" applyAlignment="1">
      <alignment horizontal="right" vertical="center"/>
    </xf>
    <xf numFmtId="38" fontId="27" fillId="0" borderId="24" xfId="46" applyFont="1" applyFill="1" applyBorder="1" applyAlignment="1">
      <alignment horizontal="right" vertical="center"/>
    </xf>
    <xf numFmtId="38" fontId="27" fillId="0" borderId="43" xfId="46" applyFont="1" applyFill="1" applyBorder="1" applyAlignment="1">
      <alignment horizontal="right" vertical="center"/>
    </xf>
    <xf numFmtId="0" fontId="27" fillId="0" borderId="22" xfId="44" applyFont="1" applyBorder="1" applyAlignment="1">
      <alignment horizontal="left" vertical="center"/>
    </xf>
    <xf numFmtId="0" fontId="27" fillId="0" borderId="23" xfId="44" applyFont="1" applyBorder="1" applyAlignment="1">
      <alignment horizontal="left" vertical="center"/>
    </xf>
    <xf numFmtId="0" fontId="27" fillId="0" borderId="43" xfId="44" applyFont="1" applyBorder="1" applyAlignment="1">
      <alignment horizontal="left" vertical="center"/>
    </xf>
    <xf numFmtId="0" fontId="34" fillId="0" borderId="22" xfId="0" applyFont="1" applyBorder="1" applyAlignment="1">
      <alignment horizontal="left" vertical="center"/>
    </xf>
    <xf numFmtId="0" fontId="34" fillId="0" borderId="23" xfId="0" applyFont="1" applyBorder="1" applyAlignment="1">
      <alignment horizontal="left" vertical="center"/>
    </xf>
    <xf numFmtId="0" fontId="34" fillId="0" borderId="43" xfId="0" applyFont="1" applyBorder="1" applyAlignment="1">
      <alignment horizontal="left" vertical="center"/>
    </xf>
    <xf numFmtId="38" fontId="27" fillId="0" borderId="47" xfId="46" applyFont="1" applyFill="1" applyBorder="1" applyAlignment="1">
      <alignment horizontal="right" vertical="center"/>
    </xf>
    <xf numFmtId="38" fontId="27" fillId="0" borderId="10" xfId="46" applyFont="1" applyFill="1" applyBorder="1" applyAlignment="1">
      <alignment horizontal="right" vertical="center"/>
    </xf>
    <xf numFmtId="38" fontId="27" fillId="0" borderId="50" xfId="46" applyFont="1" applyFill="1" applyBorder="1" applyAlignment="1">
      <alignment horizontal="right" vertical="center"/>
    </xf>
    <xf numFmtId="38" fontId="27" fillId="0" borderId="59" xfId="46" applyFont="1" applyFill="1" applyBorder="1" applyAlignment="1">
      <alignment horizontal="right" vertical="center"/>
    </xf>
    <xf numFmtId="38" fontId="27" fillId="0" borderId="49" xfId="46" applyFont="1" applyFill="1" applyBorder="1" applyAlignment="1">
      <alignment horizontal="right" vertical="center"/>
    </xf>
    <xf numFmtId="38" fontId="27" fillId="0" borderId="60" xfId="46" applyFont="1" applyFill="1" applyBorder="1" applyAlignment="1">
      <alignment horizontal="right" vertical="center"/>
    </xf>
    <xf numFmtId="0" fontId="27" fillId="0" borderId="38" xfId="44" applyFont="1" applyBorder="1" applyAlignment="1">
      <alignment horizontal="left" vertical="center"/>
    </xf>
    <xf numFmtId="0" fontId="27" fillId="0" borderId="39" xfId="44" applyFont="1" applyBorder="1" applyAlignment="1">
      <alignment horizontal="left" vertical="center"/>
    </xf>
    <xf numFmtId="0" fontId="27" fillId="0" borderId="41" xfId="44" applyFont="1" applyBorder="1" applyAlignment="1">
      <alignment horizontal="left" vertical="center"/>
    </xf>
    <xf numFmtId="38" fontId="27" fillId="0" borderId="10" xfId="46" applyFont="1" applyFill="1" applyBorder="1" applyAlignment="1">
      <alignment vertical="center"/>
    </xf>
    <xf numFmtId="38" fontId="27" fillId="0" borderId="44" xfId="46" applyFont="1" applyFill="1" applyBorder="1" applyAlignment="1">
      <alignment vertical="center"/>
    </xf>
    <xf numFmtId="0" fontId="27" fillId="0" borderId="25" xfId="44" applyFont="1" applyBorder="1" applyAlignment="1">
      <alignment horizontal="left" vertical="center"/>
    </xf>
    <xf numFmtId="0" fontId="34" fillId="0" borderId="26" xfId="0" applyFont="1" applyBorder="1" applyAlignment="1">
      <alignment horizontal="left" vertical="center"/>
    </xf>
    <xf numFmtId="38" fontId="27" fillId="0" borderId="53" xfId="46" applyFont="1" applyFill="1" applyBorder="1" applyAlignment="1">
      <alignment vertical="center"/>
    </xf>
    <xf numFmtId="38" fontId="27" fillId="0" borderId="28" xfId="46" applyFont="1" applyFill="1" applyBorder="1" applyAlignment="1">
      <alignment vertical="center"/>
    </xf>
    <xf numFmtId="38" fontId="27" fillId="0" borderId="54" xfId="46" applyFont="1" applyFill="1" applyBorder="1" applyAlignment="1">
      <alignment vertical="center"/>
    </xf>
    <xf numFmtId="0" fontId="27" fillId="0" borderId="57" xfId="44" applyFont="1" applyBorder="1" applyAlignment="1">
      <alignment horizontal="center" vertical="center"/>
    </xf>
    <xf numFmtId="38" fontId="27" fillId="0" borderId="58" xfId="46" applyFont="1" applyFill="1" applyBorder="1" applyAlignment="1">
      <alignment horizontal="right" vertical="center"/>
    </xf>
    <xf numFmtId="38" fontId="27" fillId="0" borderId="42" xfId="46" applyFont="1" applyFill="1" applyBorder="1" applyAlignment="1">
      <alignment vertical="center"/>
    </xf>
    <xf numFmtId="38" fontId="27" fillId="0" borderId="22" xfId="46" applyFont="1" applyBorder="1" applyAlignment="1">
      <alignment horizontal="center" vertical="center" wrapText="1"/>
    </xf>
    <xf numFmtId="38" fontId="27" fillId="0" borderId="23" xfId="46" applyFont="1" applyBorder="1" applyAlignment="1">
      <alignment horizontal="center" vertical="center" wrapText="1"/>
    </xf>
    <xf numFmtId="38" fontId="27" fillId="0" borderId="24" xfId="46" applyFont="1" applyBorder="1" applyAlignment="1">
      <alignment horizontal="center" vertical="center" wrapText="1"/>
    </xf>
    <xf numFmtId="38" fontId="27" fillId="0" borderId="43" xfId="46" applyFont="1" applyBorder="1" applyAlignment="1">
      <alignment horizontal="center" vertical="center" wrapText="1"/>
    </xf>
    <xf numFmtId="38" fontId="27" fillId="0" borderId="37" xfId="46" applyFont="1" applyBorder="1" applyAlignment="1">
      <alignment vertical="center"/>
    </xf>
    <xf numFmtId="38" fontId="27" fillId="0" borderId="46" xfId="46" applyFont="1" applyBorder="1" applyAlignment="1">
      <alignment vertical="center"/>
    </xf>
    <xf numFmtId="0" fontId="27" fillId="0" borderId="49" xfId="44" applyFont="1" applyBorder="1" applyAlignment="1">
      <alignment horizontal="left" vertical="center" shrinkToFit="1"/>
    </xf>
    <xf numFmtId="0" fontId="27" fillId="0" borderId="50" xfId="44" applyFont="1" applyBorder="1" applyAlignment="1">
      <alignment horizontal="left" vertical="center" shrinkToFit="1"/>
    </xf>
    <xf numFmtId="38" fontId="27" fillId="0" borderId="48" xfId="46" applyFont="1" applyBorder="1" applyAlignment="1">
      <alignment vertical="center" wrapText="1"/>
    </xf>
    <xf numFmtId="38" fontId="27" fillId="0" borderId="51" xfId="46" applyFont="1" applyBorder="1" applyAlignment="1">
      <alignment vertical="center" wrapText="1"/>
    </xf>
    <xf numFmtId="38" fontId="27" fillId="0" borderId="52" xfId="46" applyFont="1" applyBorder="1" applyAlignment="1">
      <alignment vertical="center" wrapText="1"/>
    </xf>
    <xf numFmtId="38" fontId="27" fillId="35" borderId="36" xfId="46" applyFont="1" applyFill="1" applyBorder="1" applyAlignment="1">
      <alignment vertical="center"/>
    </xf>
    <xf numFmtId="38" fontId="27" fillId="35" borderId="37" xfId="46" applyFont="1" applyFill="1" applyBorder="1" applyAlignment="1">
      <alignment vertical="center"/>
    </xf>
    <xf numFmtId="0" fontId="27" fillId="0" borderId="22" xfId="44" applyFont="1" applyBorder="1" applyAlignment="1">
      <alignment vertical="center" shrinkToFit="1"/>
    </xf>
    <xf numFmtId="0" fontId="27" fillId="0" borderId="23" xfId="44" applyFont="1" applyBorder="1" applyAlignment="1">
      <alignment vertical="center" shrinkToFit="1"/>
    </xf>
    <xf numFmtId="0" fontId="27" fillId="0" borderId="43" xfId="44" applyFont="1" applyBorder="1" applyAlignment="1">
      <alignment vertical="center" shrinkToFit="1"/>
    </xf>
    <xf numFmtId="38" fontId="27" fillId="0" borderId="10" xfId="46" applyFont="1" applyBorder="1" applyAlignment="1">
      <alignment vertical="center"/>
    </xf>
    <xf numFmtId="38" fontId="27" fillId="0" borderId="44" xfId="46" applyFont="1" applyBorder="1" applyAlignment="1">
      <alignment vertical="center"/>
    </xf>
    <xf numFmtId="0" fontId="27" fillId="0" borderId="31" xfId="44" applyFont="1" applyBorder="1" applyAlignment="1">
      <alignment horizontal="center" vertical="center"/>
    </xf>
    <xf numFmtId="0" fontId="27" fillId="0" borderId="32" xfId="44" applyFont="1" applyBorder="1" applyAlignment="1">
      <alignment horizontal="center" vertical="center"/>
    </xf>
    <xf numFmtId="0" fontId="27" fillId="0" borderId="33" xfId="44" applyFont="1" applyBorder="1" applyAlignment="1">
      <alignment horizontal="center" vertical="center"/>
    </xf>
    <xf numFmtId="0" fontId="27" fillId="0" borderId="31" xfId="44" applyFont="1" applyBorder="1" applyAlignment="1">
      <alignment horizontal="center" vertical="center" shrinkToFit="1"/>
    </xf>
    <xf numFmtId="0" fontId="27" fillId="0" borderId="32" xfId="44" applyFont="1" applyBorder="1" applyAlignment="1">
      <alignment horizontal="center" vertical="center" shrinkToFit="1"/>
    </xf>
    <xf numFmtId="0" fontId="27" fillId="0" borderId="34" xfId="44" applyFont="1" applyBorder="1" applyAlignment="1">
      <alignment horizontal="center" vertical="center" shrinkToFit="1"/>
    </xf>
    <xf numFmtId="0" fontId="27" fillId="0" borderId="35" xfId="44" applyFont="1" applyBorder="1" applyAlignment="1">
      <alignment horizontal="center" vertical="center" wrapText="1"/>
    </xf>
    <xf numFmtId="0" fontId="27" fillId="0" borderId="18" xfId="44" applyFont="1" applyBorder="1" applyAlignment="1">
      <alignment vertical="center" shrinkToFit="1"/>
    </xf>
    <xf numFmtId="0" fontId="27" fillId="0" borderId="14" xfId="44" applyFont="1" applyBorder="1" applyAlignment="1">
      <alignment vertical="center" shrinkToFit="1"/>
    </xf>
    <xf numFmtId="179" fontId="27" fillId="0" borderId="36" xfId="46" applyNumberFormat="1" applyFont="1" applyBorder="1" applyAlignment="1">
      <alignment horizontal="right" vertical="center"/>
    </xf>
    <xf numFmtId="179" fontId="27" fillId="0" borderId="37" xfId="46" applyNumberFormat="1" applyFont="1" applyBorder="1" applyAlignment="1">
      <alignment horizontal="right" vertical="center"/>
    </xf>
    <xf numFmtId="179" fontId="27" fillId="0" borderId="38" xfId="46" applyNumberFormat="1" applyFont="1" applyBorder="1" applyAlignment="1">
      <alignment vertical="center"/>
    </xf>
    <xf numFmtId="179" fontId="27" fillId="0" borderId="39" xfId="46" applyNumberFormat="1" applyFont="1" applyBorder="1" applyAlignment="1">
      <alignment vertical="center"/>
    </xf>
    <xf numFmtId="179" fontId="27" fillId="0" borderId="40" xfId="46" applyNumberFormat="1" applyFont="1" applyBorder="1" applyAlignment="1">
      <alignment vertical="center"/>
    </xf>
    <xf numFmtId="0" fontId="27" fillId="0" borderId="10" xfId="44" applyFont="1" applyBorder="1" applyAlignment="1">
      <alignment vertical="center" shrinkToFit="1"/>
    </xf>
    <xf numFmtId="179" fontId="27" fillId="0" borderId="42" xfId="46" applyNumberFormat="1" applyFont="1" applyBorder="1" applyAlignment="1">
      <alignment horizontal="right" vertical="center"/>
    </xf>
    <xf numFmtId="179" fontId="27" fillId="0" borderId="10" xfId="46" applyNumberFormat="1" applyFont="1" applyBorder="1" applyAlignment="1">
      <alignment horizontal="right" vertical="center"/>
    </xf>
    <xf numFmtId="179" fontId="27" fillId="0" borderId="10" xfId="46" applyNumberFormat="1" applyFont="1" applyBorder="1" applyAlignment="1">
      <alignment vertical="center"/>
    </xf>
    <xf numFmtId="179" fontId="27" fillId="0" borderId="44" xfId="46" applyNumberFormat="1" applyFont="1" applyBorder="1" applyAlignment="1">
      <alignment vertical="center"/>
    </xf>
    <xf numFmtId="179" fontId="27" fillId="0" borderId="41" xfId="46" applyNumberFormat="1" applyFont="1" applyBorder="1" applyAlignment="1">
      <alignment vertical="center"/>
    </xf>
    <xf numFmtId="179" fontId="27" fillId="0" borderId="22" xfId="46" applyNumberFormat="1" applyFont="1" applyBorder="1" applyAlignment="1">
      <alignment vertical="center"/>
    </xf>
    <xf numFmtId="179" fontId="27" fillId="0" borderId="23" xfId="46" applyNumberFormat="1" applyFont="1" applyBorder="1" applyAlignment="1">
      <alignment vertical="center"/>
    </xf>
    <xf numFmtId="179" fontId="27" fillId="0" borderId="24" xfId="46" applyNumberFormat="1" applyFont="1" applyBorder="1" applyAlignment="1">
      <alignment vertical="center"/>
    </xf>
    <xf numFmtId="179" fontId="27" fillId="0" borderId="43" xfId="46" applyNumberFormat="1" applyFont="1" applyBorder="1" applyAlignment="1">
      <alignment vertical="center"/>
    </xf>
    <xf numFmtId="0" fontId="27" fillId="0" borderId="45" xfId="44" applyFont="1" applyBorder="1" applyAlignment="1">
      <alignment horizontal="center" vertical="center" wrapText="1"/>
    </xf>
    <xf numFmtId="0" fontId="27" fillId="0" borderId="48" xfId="44" applyFont="1" applyBorder="1" applyAlignment="1">
      <alignment horizontal="center" vertical="center" wrapText="1"/>
    </xf>
    <xf numFmtId="0" fontId="27" fillId="0" borderId="38" xfId="44" applyFont="1" applyBorder="1" applyAlignment="1">
      <alignment vertical="center" shrinkToFit="1"/>
    </xf>
    <xf numFmtId="0" fontId="27" fillId="0" borderId="39" xfId="44" applyFont="1" applyBorder="1" applyAlignment="1">
      <alignment vertical="center" shrinkToFit="1"/>
    </xf>
    <xf numFmtId="0" fontId="27" fillId="0" borderId="41" xfId="44" applyFont="1" applyBorder="1" applyAlignment="1">
      <alignment vertical="center" shrinkToFit="1"/>
    </xf>
    <xf numFmtId="38" fontId="27" fillId="0" borderId="36" xfId="46" applyFont="1" applyFill="1" applyBorder="1" applyAlignment="1">
      <alignment vertical="center"/>
    </xf>
    <xf numFmtId="38" fontId="27" fillId="0" borderId="37" xfId="46" applyFont="1" applyFill="1" applyBorder="1" applyAlignment="1">
      <alignment vertical="center"/>
    </xf>
    <xf numFmtId="0" fontId="27" fillId="0" borderId="15" xfId="44" applyFont="1" applyBorder="1" applyAlignment="1">
      <alignment vertical="center" shrinkToFit="1"/>
    </xf>
    <xf numFmtId="38" fontId="27" fillId="0" borderId="42" xfId="46" applyFont="1" applyBorder="1" applyAlignment="1">
      <alignment vertical="center"/>
    </xf>
    <xf numFmtId="179" fontId="27" fillId="0" borderId="37" xfId="46" applyNumberFormat="1" applyFont="1" applyBorder="1" applyAlignment="1">
      <alignment vertical="center"/>
    </xf>
    <xf numFmtId="0" fontId="27" fillId="0" borderId="22" xfId="44" applyFont="1" applyBorder="1" applyAlignment="1">
      <alignment horizontal="left" vertical="center" shrinkToFit="1"/>
    </xf>
    <xf numFmtId="0" fontId="27" fillId="0" borderId="23" xfId="44" applyFont="1" applyBorder="1" applyAlignment="1">
      <alignment horizontal="left" vertical="center" shrinkToFit="1"/>
    </xf>
    <xf numFmtId="38" fontId="27" fillId="0" borderId="47" xfId="46" applyFont="1" applyBorder="1" applyAlignment="1">
      <alignment horizontal="center" vertical="center" wrapText="1"/>
    </xf>
    <xf numFmtId="38" fontId="29" fillId="0" borderId="0" xfId="46" applyFont="1">
      <alignment vertical="center"/>
    </xf>
    <xf numFmtId="38" fontId="30" fillId="0" borderId="17" xfId="46" applyFont="1" applyBorder="1" applyAlignment="1">
      <alignment horizontal="center" vertical="center" wrapText="1"/>
    </xf>
    <xf numFmtId="38" fontId="30" fillId="0" borderId="19" xfId="46" applyFont="1" applyBorder="1" applyAlignment="1">
      <alignment horizontal="center" vertical="center" wrapText="1"/>
    </xf>
    <xf numFmtId="38" fontId="23" fillId="0" borderId="0" xfId="44" applyNumberFormat="1" applyFont="1">
      <alignment vertical="center"/>
    </xf>
  </cellXfs>
  <cellStyles count="48">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xfId="47" builtinId="5"/>
    <cellStyle name="ハイパーリンク" xfId="42" builtinId="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6" builtinId="6"/>
    <cellStyle name="桁区切り 2" xfId="45" xr:uid="{00000000-0005-0000-0000-000021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4" xr:uid="{00000000-0005-0000-0000-00002B000000}"/>
    <cellStyle name="表示済みのハイパーリンク" xfId="43" builtinId="9" customBuiltin="1"/>
    <cellStyle name="良い" xfId="6" builtinId="26" customBuiltin="1"/>
  </cellStyles>
  <dxfs count="0"/>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損益分岐図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'別紙２様式第３－１号の７ (品目別)'!$D$51</c:f>
              <c:strCache>
                <c:ptCount val="1"/>
                <c:pt idx="0">
                  <c:v>固定費</c:v>
                </c:pt>
              </c:strCache>
            </c:strRef>
          </c:tx>
          <c:spPr>
            <a:ln w="19050" cap="rnd">
              <a:solidFill>
                <a:schemeClr val="accent1"/>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(品目別)'!$D$52:$D$61</c:f>
              <c:numCache>
                <c:formatCode>#,##0_);[Red]\(#,##0\)</c:formatCode>
                <c:ptCount val="10"/>
                <c:pt idx="0">
                  <c:v>10354738.105821671</c:v>
                </c:pt>
                <c:pt idx="1">
                  <c:v>10354738.105821671</c:v>
                </c:pt>
                <c:pt idx="2">
                  <c:v>10354738.105821671</c:v>
                </c:pt>
                <c:pt idx="3">
                  <c:v>10354738.105821671</c:v>
                </c:pt>
                <c:pt idx="4">
                  <c:v>10354738.105821671</c:v>
                </c:pt>
                <c:pt idx="5">
                  <c:v>10354738.105821671</c:v>
                </c:pt>
                <c:pt idx="6">
                  <c:v>10354738.105821671</c:v>
                </c:pt>
                <c:pt idx="7">
                  <c:v>10354738.105821671</c:v>
                </c:pt>
                <c:pt idx="8">
                  <c:v>10354738.105821671</c:v>
                </c:pt>
                <c:pt idx="9">
                  <c:v>10354738.105821671</c:v>
                </c:pt>
              </c:numCache>
            </c:numRef>
          </c:yVal>
          <c:smooth val="0"/>
          <c:extLst>
            <c:ext xmlns:c16="http://schemas.microsoft.com/office/drawing/2014/chart" uri="{C3380CC4-5D6E-409C-BE32-E72D297353CC}">
              <c16:uniqueId val="{00000000-D3F7-404B-A135-F4374BBEB059}"/>
            </c:ext>
          </c:extLst>
        </c:ser>
        <c:ser>
          <c:idx val="1"/>
          <c:order val="1"/>
          <c:tx>
            <c:strRef>
              <c:f>'別紙２様式第３－１号の７ (品目別)'!$E$51</c:f>
              <c:strCache>
                <c:ptCount val="1"/>
                <c:pt idx="0">
                  <c:v>経費計</c:v>
                </c:pt>
              </c:strCache>
            </c:strRef>
          </c:tx>
          <c:spPr>
            <a:ln w="19050" cap="rnd">
              <a:solidFill>
                <a:schemeClr val="accent2"/>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(品目別)'!$E$52:$E$61</c:f>
              <c:numCache>
                <c:formatCode>#,##0_);[Red]\(#,##0\)</c:formatCode>
                <c:ptCount val="10"/>
                <c:pt idx="0">
                  <c:v>13204100.255647466</c:v>
                </c:pt>
                <c:pt idx="1">
                  <c:v>14313448.974972088</c:v>
                </c:pt>
                <c:pt idx="2">
                  <c:v>14628781.330560364</c:v>
                </c:pt>
                <c:pt idx="3">
                  <c:v>15483589.975508101</c:v>
                </c:pt>
                <c:pt idx="4">
                  <c:v>16338398.620455842</c:v>
                </c:pt>
                <c:pt idx="5">
                  <c:v>17193207.26540358</c:v>
                </c:pt>
                <c:pt idx="6">
                  <c:v>18048015.910351317</c:v>
                </c:pt>
                <c:pt idx="7">
                  <c:v>18902824.555299059</c:v>
                </c:pt>
                <c:pt idx="8">
                  <c:v>19757633.200246796</c:v>
                </c:pt>
                <c:pt idx="9">
                  <c:v>20612441.845194533</c:v>
                </c:pt>
              </c:numCache>
            </c:numRef>
          </c:yVal>
          <c:smooth val="0"/>
          <c:extLst>
            <c:ext xmlns:c16="http://schemas.microsoft.com/office/drawing/2014/chart" uri="{C3380CC4-5D6E-409C-BE32-E72D297353CC}">
              <c16:uniqueId val="{00000001-D3F7-404B-A135-F4374BBEB059}"/>
            </c:ext>
          </c:extLst>
        </c:ser>
        <c:ser>
          <c:idx val="2"/>
          <c:order val="2"/>
          <c:tx>
            <c:strRef>
              <c:f>'別紙２様式第３－１号の７ (品目別)'!$E$51</c:f>
              <c:strCache>
                <c:ptCount val="1"/>
                <c:pt idx="0">
                  <c:v>経費計</c:v>
                </c:pt>
              </c:strCache>
            </c:strRef>
          </c:tx>
          <c:spPr>
            <a:ln w="19050" cap="rnd">
              <a:solidFill>
                <a:schemeClr val="accent3"/>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yVal>
          <c:smooth val="0"/>
          <c:extLst>
            <c:ext xmlns:c16="http://schemas.microsoft.com/office/drawing/2014/chart" uri="{C3380CC4-5D6E-409C-BE32-E72D297353CC}">
              <c16:uniqueId val="{00000002-D3F7-404B-A135-F4374BBEB059}"/>
            </c:ext>
          </c:extLst>
        </c:ser>
        <c:ser>
          <c:idx val="3"/>
          <c:order val="3"/>
          <c:tx>
            <c:v>現在の売上高</c:v>
          </c:tx>
          <c:spPr>
            <a:ln w="19050" cap="rnd">
              <a:noFill/>
              <a:round/>
            </a:ln>
            <a:effectLst/>
          </c:spPr>
          <c:marker>
            <c:symbol val="circle"/>
            <c:size val="6"/>
            <c:spPr>
              <a:solidFill>
                <a:schemeClr val="accent4"/>
              </a:solidFill>
              <a:ln w="9525">
                <a:noFill/>
              </a:ln>
              <a:effectLst/>
            </c:spPr>
          </c:marker>
          <c:xVal>
            <c:numRef>
              <c:f>'別紙２様式第３－１号の７ (品目別)'!$B$53</c:f>
              <c:numCache>
                <c:formatCode>#,##0_);[Red]\(#,##0\)</c:formatCode>
                <c:ptCount val="1"/>
                <c:pt idx="0">
                  <c:v>13893323</c:v>
                </c:pt>
              </c:numCache>
            </c:numRef>
          </c:xVal>
          <c:yVal>
            <c:numRef>
              <c:f>'別紙２様式第３－１号の７ (品目別)'!$B$53</c:f>
              <c:numCache>
                <c:formatCode>#,##0_);[Red]\(#,##0\)</c:formatCode>
                <c:ptCount val="1"/>
                <c:pt idx="0">
                  <c:v>13893323</c:v>
                </c:pt>
              </c:numCache>
            </c:numRef>
          </c:yVal>
          <c:smooth val="0"/>
          <c:extLst>
            <c:ext xmlns:c16="http://schemas.microsoft.com/office/drawing/2014/chart" uri="{C3380CC4-5D6E-409C-BE32-E72D297353CC}">
              <c16:uniqueId val="{00000003-D3F7-404B-A135-F4374BBEB059}"/>
            </c:ext>
          </c:extLst>
        </c:ser>
        <c:ser>
          <c:idx val="4"/>
          <c:order val="4"/>
          <c:tx>
            <c:v>損益分岐点</c:v>
          </c:tx>
          <c:spPr>
            <a:ln w="19050" cap="rnd">
              <a:noFill/>
              <a:round/>
            </a:ln>
            <a:effectLst/>
          </c:spPr>
          <c:marker>
            <c:symbol val="circle"/>
            <c:size val="5"/>
            <c:spPr>
              <a:solidFill>
                <a:srgbClr val="FF0000"/>
              </a:solidFill>
              <a:ln w="9525">
                <a:solidFill>
                  <a:srgbClr val="FF0000"/>
                </a:solidFill>
              </a:ln>
              <a:effectLst/>
            </c:spPr>
          </c:marker>
          <c:xVal>
            <c:numRef>
              <c:f>'別紙２様式第３－１号の７ (品目別)'!$C$48</c:f>
              <c:numCache>
                <c:formatCode>#,##0_);[Red]\(#,##0\)</c:formatCode>
                <c:ptCount val="1"/>
                <c:pt idx="0">
                  <c:v>14480859.362174815</c:v>
                </c:pt>
              </c:numCache>
            </c:numRef>
          </c:xVal>
          <c:yVal>
            <c:numRef>
              <c:f>'別紙２様式第３－１号の７ (品目別)'!$C$48</c:f>
              <c:numCache>
                <c:formatCode>#,##0_);[Red]\(#,##0\)</c:formatCode>
                <c:ptCount val="1"/>
                <c:pt idx="0">
                  <c:v>14480859.362174815</c:v>
                </c:pt>
              </c:numCache>
            </c:numRef>
          </c:yVal>
          <c:smooth val="0"/>
          <c:extLst>
            <c:ext xmlns:c16="http://schemas.microsoft.com/office/drawing/2014/chart" uri="{C3380CC4-5D6E-409C-BE32-E72D297353CC}">
              <c16:uniqueId val="{00000004-D3F7-404B-A135-F4374BBEB059}"/>
            </c:ext>
          </c:extLst>
        </c:ser>
        <c:dLbls>
          <c:showLegendKey val="0"/>
          <c:showVal val="0"/>
          <c:showCatName val="0"/>
          <c:showSerName val="0"/>
          <c:showPercent val="0"/>
          <c:showBubbleSize val="0"/>
        </c:dLbls>
        <c:axId val="1002148495"/>
        <c:axId val="1002149455"/>
      </c:scatterChart>
      <c:valAx>
        <c:axId val="1002148495"/>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9455"/>
        <c:crosses val="autoZero"/>
        <c:crossBetween val="midCat"/>
        <c:dispUnits>
          <c:builtInUnit val="ten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valAx>
        <c:axId val="1002149455"/>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8495"/>
        <c:crosses val="autoZero"/>
        <c:crossBetween val="midCat"/>
        <c:dispUnits>
          <c:builtInUnit val="tenThousands"/>
          <c:dispUnitsLbl>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73269</xdr:colOff>
      <xdr:row>7</xdr:row>
      <xdr:rowOff>234461</xdr:rowOff>
    </xdr:from>
    <xdr:to>
      <xdr:col>15</xdr:col>
      <xdr:colOff>590242</xdr:colOff>
      <xdr:row>12</xdr:row>
      <xdr:rowOff>639781</xdr:rowOff>
    </xdr:to>
    <xdr:sp macro="" textlink="">
      <xdr:nvSpPr>
        <xdr:cNvPr id="3" name="吹き出し: 角を丸めた四角形 2">
          <a:extLst>
            <a:ext uri="{FF2B5EF4-FFF2-40B4-BE49-F238E27FC236}">
              <a16:creationId xmlns:a16="http://schemas.microsoft.com/office/drawing/2014/main" id="{939FEF70-B0D3-4EE2-82C1-2045E840872F}"/>
            </a:ext>
          </a:extLst>
        </xdr:cNvPr>
        <xdr:cNvSpPr/>
      </xdr:nvSpPr>
      <xdr:spPr bwMode="auto">
        <a:xfrm>
          <a:off x="8316057" y="1875692"/>
          <a:ext cx="5587204" cy="1731493"/>
        </a:xfrm>
        <a:prstGeom prst="wedgeRoundRectCallout">
          <a:avLst>
            <a:gd name="adj1" fmla="val -68714"/>
            <a:gd name="adj2" fmla="val 19448"/>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ja-JP" sz="1200">
              <a:solidFill>
                <a:schemeClr val="dk1"/>
              </a:solidFill>
              <a:effectLst/>
              <a:latin typeface="+mn-ea"/>
              <a:ea typeface="+mn-ea"/>
              <a:cs typeface="+mn-cs"/>
            </a:rPr>
            <a:t>令和</a:t>
          </a:r>
          <a:r>
            <a:rPr kumimoji="1" lang="ja-JP" altLang="en-US" sz="1200">
              <a:solidFill>
                <a:schemeClr val="dk1"/>
              </a:solidFill>
              <a:effectLst/>
              <a:latin typeface="+mn-ea"/>
              <a:ea typeface="+mn-ea"/>
              <a:cs typeface="+mn-cs"/>
            </a:rPr>
            <a:t>６</a:t>
          </a:r>
          <a:r>
            <a:rPr kumimoji="1" lang="ja-JP" altLang="ja-JP" sz="1200">
              <a:solidFill>
                <a:schemeClr val="dk1"/>
              </a:solidFill>
              <a:effectLst/>
              <a:latin typeface="+mn-ea"/>
              <a:ea typeface="+mn-ea"/>
              <a:cs typeface="+mn-cs"/>
            </a:rPr>
            <a:t>年度に取り組んだ事項を記載ください。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en-US" sz="1100">
              <a:latin typeface="+mn-ea"/>
              <a:ea typeface="+mn-ea"/>
            </a:rPr>
            <a:t>実施計画書の２の（３）、６に記載した内容を踏まえ、記載してください。</a:t>
          </a:r>
          <a:endParaRPr kumimoji="1" lang="en-US" altLang="ja-JP" sz="1100">
            <a:latin typeface="+mn-ea"/>
            <a:ea typeface="+mn-ea"/>
          </a:endParaRPr>
        </a:p>
        <a:p>
          <a:pPr algn="l"/>
          <a:r>
            <a:rPr kumimoji="1" lang="ja-JP" altLang="en-US" sz="1200">
              <a:latin typeface="+mn-ea"/>
              <a:ea typeface="+mn-ea"/>
            </a:rPr>
            <a:t>・上記取組による事業実施主体への効果を記載ください。</a:t>
          </a:r>
          <a:endParaRPr kumimoji="1" lang="en-US" altLang="ja-JP" sz="1200">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latin typeface="+mn-ea"/>
              <a:ea typeface="+mn-ea"/>
            </a:rPr>
            <a:t>　</a:t>
          </a:r>
          <a:r>
            <a:rPr kumimoji="1" lang="en-US" altLang="ja-JP" sz="1100">
              <a:solidFill>
                <a:schemeClr val="dk1"/>
              </a:solidFill>
              <a:effectLst/>
              <a:latin typeface="+mn-ea"/>
              <a:ea typeface="+mn-ea"/>
              <a:cs typeface="+mn-cs"/>
            </a:rPr>
            <a:t>※</a:t>
          </a:r>
          <a:r>
            <a:rPr kumimoji="1" lang="ja-JP" altLang="ja-JP" sz="1100">
              <a:solidFill>
                <a:schemeClr val="dk1"/>
              </a:solidFill>
              <a:effectLst/>
              <a:latin typeface="+mn-ea"/>
              <a:ea typeface="+mn-ea"/>
              <a:cs typeface="+mn-cs"/>
            </a:rPr>
            <a:t>実施計画書の２の（</a:t>
          </a:r>
          <a:r>
            <a:rPr kumimoji="1" lang="ja-JP" altLang="en-US" sz="1100">
              <a:solidFill>
                <a:schemeClr val="dk1"/>
              </a:solidFill>
              <a:effectLst/>
              <a:latin typeface="+mn-ea"/>
              <a:ea typeface="+mn-ea"/>
              <a:cs typeface="+mn-cs"/>
            </a:rPr>
            <a:t>４</a:t>
          </a:r>
          <a:r>
            <a:rPr kumimoji="1" lang="ja-JP" altLang="ja-JP" sz="1100">
              <a:solidFill>
                <a:schemeClr val="dk1"/>
              </a:solidFill>
              <a:effectLst/>
              <a:latin typeface="+mn-ea"/>
              <a:ea typeface="+mn-ea"/>
              <a:cs typeface="+mn-cs"/>
            </a:rPr>
            <a:t>）に記載した内容を踏まえ、記載してください</a:t>
          </a:r>
          <a:r>
            <a:rPr kumimoji="1" lang="ja-JP" altLang="ja-JP" sz="1200">
              <a:solidFill>
                <a:schemeClr val="dk1"/>
              </a:solidFill>
              <a:effectLst/>
              <a:latin typeface="+mn-ea"/>
              <a:ea typeface="+mn-ea"/>
              <a:cs typeface="+mn-cs"/>
            </a:rPr>
            <a:t>。</a:t>
          </a:r>
          <a:endParaRPr lang="ja-JP" altLang="ja-JP" sz="1100">
            <a:effectLst/>
            <a:latin typeface="+mn-ea"/>
            <a:ea typeface="+mn-ea"/>
          </a:endParaRPr>
        </a:p>
        <a:p>
          <a:pPr algn="l"/>
          <a:endParaRPr kumimoji="1" lang="ja-JP" altLang="en-US" sz="1100">
            <a:latin typeface="+mn-ea"/>
            <a:ea typeface="+mn-ea"/>
          </a:endParaRPr>
        </a:p>
      </xdr:txBody>
    </xdr:sp>
    <xdr:clientData/>
  </xdr:twoCellAnchor>
  <xdr:twoCellAnchor>
    <xdr:from>
      <xdr:col>7</xdr:col>
      <xdr:colOff>754673</xdr:colOff>
      <xdr:row>77</xdr:row>
      <xdr:rowOff>109902</xdr:rowOff>
    </xdr:from>
    <xdr:to>
      <xdr:col>15</xdr:col>
      <xdr:colOff>164272</xdr:colOff>
      <xdr:row>79</xdr:row>
      <xdr:rowOff>479356</xdr:rowOff>
    </xdr:to>
    <xdr:sp macro="" textlink="">
      <xdr:nvSpPr>
        <xdr:cNvPr id="4" name="吹き出し: 角を丸めた四角形 3">
          <a:extLst>
            <a:ext uri="{FF2B5EF4-FFF2-40B4-BE49-F238E27FC236}">
              <a16:creationId xmlns:a16="http://schemas.microsoft.com/office/drawing/2014/main" id="{BC7C4502-5910-44AE-8D57-40C8F30C23D2}"/>
            </a:ext>
          </a:extLst>
        </xdr:cNvPr>
        <xdr:cNvSpPr/>
      </xdr:nvSpPr>
      <xdr:spPr bwMode="auto">
        <a:xfrm>
          <a:off x="8052288" y="21372633"/>
          <a:ext cx="5425003" cy="1483146"/>
        </a:xfrm>
        <a:prstGeom prst="wedgeRoundRectCallout">
          <a:avLst>
            <a:gd name="adj1" fmla="val -64379"/>
            <a:gd name="adj2" fmla="val -16076"/>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en-US" sz="1200">
              <a:solidFill>
                <a:schemeClr val="dk1"/>
              </a:solidFill>
              <a:effectLst/>
              <a:latin typeface="+mn-ea"/>
              <a:ea typeface="+mn-ea"/>
              <a:cs typeface="+mn-cs"/>
            </a:rPr>
            <a:t>本様式の２に記載した内容を踏まえ、事業実施主体以外の関係者（耕種農家、畜産農家）及び地域へ確認された効果を記載ください。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ja-JP" sz="1200">
              <a:solidFill>
                <a:schemeClr val="dk1"/>
              </a:solidFill>
              <a:effectLst/>
              <a:latin typeface="+mn-ea"/>
              <a:ea typeface="+mn-ea"/>
              <a:cs typeface="+mn-cs"/>
            </a:rPr>
            <a:t>実施計画書の２の（</a:t>
          </a:r>
          <a:r>
            <a:rPr kumimoji="1" lang="ja-JP" altLang="en-US" sz="1200">
              <a:solidFill>
                <a:schemeClr val="dk1"/>
              </a:solidFill>
              <a:effectLst/>
              <a:latin typeface="+mn-ea"/>
              <a:ea typeface="+mn-ea"/>
              <a:cs typeface="+mn-cs"/>
            </a:rPr>
            <a:t>４</a:t>
          </a:r>
          <a:r>
            <a:rPr kumimoji="1" lang="ja-JP" altLang="ja-JP" sz="1200">
              <a:solidFill>
                <a:schemeClr val="dk1"/>
              </a:solidFill>
              <a:effectLst/>
              <a:latin typeface="+mn-ea"/>
              <a:ea typeface="+mn-ea"/>
              <a:cs typeface="+mn-cs"/>
            </a:rPr>
            <a:t>）に記載した内容を踏まえ、記載してください。</a:t>
          </a:r>
          <a:endParaRPr kumimoji="1" lang="ja-JP" altLang="en-US"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61</xdr:row>
      <xdr:rowOff>204786</xdr:rowOff>
    </xdr:from>
    <xdr:to>
      <xdr:col>4</xdr:col>
      <xdr:colOff>895350</xdr:colOff>
      <xdr:row>79</xdr:row>
      <xdr:rowOff>76199</xdr:rowOff>
    </xdr:to>
    <xdr:graphicFrame macro="">
      <xdr:nvGraphicFramePr>
        <xdr:cNvPr id="3" name="グラフ 2">
          <a:extLst>
            <a:ext uri="{FF2B5EF4-FFF2-40B4-BE49-F238E27FC236}">
              <a16:creationId xmlns:a16="http://schemas.microsoft.com/office/drawing/2014/main" id="{0F9BE1E6-0124-4BCA-520B-09777FAA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showGridLines="0" tabSelected="1" view="pageBreakPreview" topLeftCell="A12" zoomScale="130" zoomScaleNormal="100" zoomScaleSheetLayoutView="130" workbookViewId="0">
      <selection activeCell="A12" sqref="A12:G21"/>
    </sheetView>
  </sheetViews>
  <sheetFormatPr defaultColWidth="8.75" defaultRowHeight="23.45" customHeight="1"/>
  <cols>
    <col min="1" max="1" width="24.75" style="7" customWidth="1"/>
    <col min="2" max="6" width="11" style="7" customWidth="1"/>
    <col min="7" max="7" width="16.25" style="7" customWidth="1"/>
    <col min="8" max="8" width="12.375" style="7" bestFit="1" customWidth="1"/>
    <col min="9" max="9" width="6.75" style="7" bestFit="1" customWidth="1"/>
    <col min="10" max="11" width="12.375" style="7" bestFit="1" customWidth="1"/>
    <col min="12" max="16384" width="8.75" style="7"/>
  </cols>
  <sheetData>
    <row r="1" spans="1:7" ht="23.45" customHeight="1">
      <c r="A1" s="359" t="s">
        <v>76</v>
      </c>
      <c r="B1" s="359"/>
      <c r="C1" s="359"/>
      <c r="D1" s="359"/>
      <c r="E1" s="359"/>
      <c r="F1" s="359"/>
    </row>
    <row r="2" spans="1:7" ht="13.5">
      <c r="A2" s="8"/>
    </row>
    <row r="3" spans="1:7" ht="20.45" customHeight="1">
      <c r="A3" s="341" t="s">
        <v>64</v>
      </c>
      <c r="B3" s="341"/>
      <c r="C3" s="341"/>
      <c r="D3" s="341"/>
      <c r="E3" s="341"/>
      <c r="F3" s="341"/>
      <c r="G3" s="341"/>
    </row>
    <row r="4" spans="1:7" ht="20.45" customHeight="1">
      <c r="A4" s="341" t="s">
        <v>0</v>
      </c>
      <c r="B4" s="341"/>
      <c r="C4" s="341"/>
      <c r="D4" s="341"/>
      <c r="E4" s="341"/>
      <c r="F4" s="341"/>
      <c r="G4" s="341"/>
    </row>
    <row r="5" spans="1:7" ht="12" customHeight="1">
      <c r="A5" s="9"/>
    </row>
    <row r="6" spans="1:7" ht="17.25" customHeight="1">
      <c r="A6" s="14" t="s">
        <v>30</v>
      </c>
    </row>
    <row r="7" spans="1:7" ht="23.45" customHeight="1">
      <c r="A7" s="15" t="s">
        <v>1</v>
      </c>
      <c r="B7" s="352" t="s">
        <v>77</v>
      </c>
      <c r="C7" s="352"/>
      <c r="D7" s="352"/>
      <c r="E7" s="352"/>
      <c r="F7" s="352"/>
      <c r="G7" s="352"/>
    </row>
    <row r="8" spans="1:7" ht="23.45" customHeight="1">
      <c r="A8" s="15" t="s">
        <v>2</v>
      </c>
      <c r="B8" s="352" t="s">
        <v>78</v>
      </c>
      <c r="C8" s="352"/>
      <c r="D8" s="352"/>
      <c r="E8" s="352"/>
      <c r="F8" s="352"/>
      <c r="G8" s="352"/>
    </row>
    <row r="9" spans="1:7" ht="8.25" customHeight="1">
      <c r="A9" s="8"/>
    </row>
    <row r="10" spans="1:7" ht="6.75" customHeight="1">
      <c r="A10" s="8"/>
    </row>
    <row r="11" spans="1:7" ht="14.25" customHeight="1">
      <c r="A11" s="359" t="s">
        <v>3</v>
      </c>
      <c r="B11" s="359"/>
      <c r="C11" s="359"/>
      <c r="D11" s="359"/>
      <c r="E11" s="359"/>
      <c r="F11" s="359"/>
    </row>
    <row r="12" spans="1:7" ht="51.75" customHeight="1">
      <c r="A12" s="358" t="s">
        <v>446</v>
      </c>
      <c r="B12" s="358"/>
      <c r="C12" s="358"/>
      <c r="D12" s="358"/>
      <c r="E12" s="358"/>
      <c r="F12" s="358"/>
      <c r="G12" s="358"/>
    </row>
    <row r="13" spans="1:7" ht="51.75" customHeight="1">
      <c r="A13" s="358"/>
      <c r="B13" s="358"/>
      <c r="C13" s="358"/>
      <c r="D13" s="358"/>
      <c r="E13" s="358"/>
      <c r="F13" s="358"/>
      <c r="G13" s="358"/>
    </row>
    <row r="14" spans="1:7" ht="51.75" customHeight="1">
      <c r="A14" s="358"/>
      <c r="B14" s="358"/>
      <c r="C14" s="358"/>
      <c r="D14" s="358"/>
      <c r="E14" s="358"/>
      <c r="F14" s="358"/>
      <c r="G14" s="358"/>
    </row>
    <row r="15" spans="1:7" ht="51.75" customHeight="1">
      <c r="A15" s="358"/>
      <c r="B15" s="358"/>
      <c r="C15" s="358"/>
      <c r="D15" s="358"/>
      <c r="E15" s="358"/>
      <c r="F15" s="358"/>
      <c r="G15" s="358"/>
    </row>
    <row r="16" spans="1:7" ht="51.75" customHeight="1">
      <c r="A16" s="358"/>
      <c r="B16" s="358"/>
      <c r="C16" s="358"/>
      <c r="D16" s="358"/>
      <c r="E16" s="358"/>
      <c r="F16" s="358"/>
      <c r="G16" s="358"/>
    </row>
    <row r="17" spans="1:7" ht="51.75" customHeight="1">
      <c r="A17" s="358"/>
      <c r="B17" s="358"/>
      <c r="C17" s="358"/>
      <c r="D17" s="358"/>
      <c r="E17" s="358"/>
      <c r="F17" s="358"/>
      <c r="G17" s="358"/>
    </row>
    <row r="18" spans="1:7" ht="51.75" customHeight="1">
      <c r="A18" s="358"/>
      <c r="B18" s="358"/>
      <c r="C18" s="358"/>
      <c r="D18" s="358"/>
      <c r="E18" s="358"/>
      <c r="F18" s="358"/>
      <c r="G18" s="358"/>
    </row>
    <row r="19" spans="1:7" ht="51.75" customHeight="1">
      <c r="A19" s="358"/>
      <c r="B19" s="358"/>
      <c r="C19" s="358"/>
      <c r="D19" s="358"/>
      <c r="E19" s="358"/>
      <c r="F19" s="358"/>
      <c r="G19" s="358"/>
    </row>
    <row r="20" spans="1:7" ht="51.75" customHeight="1">
      <c r="A20" s="358"/>
      <c r="B20" s="358"/>
      <c r="C20" s="358"/>
      <c r="D20" s="358"/>
      <c r="E20" s="358"/>
      <c r="F20" s="358"/>
      <c r="G20" s="358"/>
    </row>
    <row r="21" spans="1:7" ht="131.25" customHeight="1">
      <c r="A21" s="358"/>
      <c r="B21" s="358"/>
      <c r="C21" s="358"/>
      <c r="D21" s="358"/>
      <c r="E21" s="358"/>
      <c r="F21" s="358"/>
      <c r="G21" s="358"/>
    </row>
    <row r="22" spans="1:7" ht="13.5">
      <c r="A22" s="364" t="s">
        <v>70</v>
      </c>
      <c r="B22" s="364"/>
      <c r="C22" s="364"/>
      <c r="D22" s="364"/>
      <c r="E22" s="364"/>
      <c r="F22" s="364"/>
    </row>
    <row r="23" spans="1:7" ht="6.75" customHeight="1">
      <c r="A23" s="8"/>
    </row>
    <row r="24" spans="1:7" ht="6.75" customHeight="1">
      <c r="A24" s="8"/>
    </row>
    <row r="25" spans="1:7" ht="16.5" customHeight="1">
      <c r="A25" s="364" t="s">
        <v>65</v>
      </c>
      <c r="B25" s="364"/>
      <c r="C25" s="364"/>
      <c r="D25" s="364"/>
      <c r="E25" s="364"/>
      <c r="F25" s="364"/>
      <c r="G25" s="364"/>
    </row>
    <row r="26" spans="1:7" ht="23.45" customHeight="1">
      <c r="A26" s="367" t="s">
        <v>4</v>
      </c>
      <c r="B26" s="12" t="s">
        <v>5</v>
      </c>
      <c r="C26" s="12" t="s">
        <v>47</v>
      </c>
      <c r="D26" s="12" t="s">
        <v>48</v>
      </c>
      <c r="E26" s="12" t="s">
        <v>49</v>
      </c>
      <c r="F26" s="12" t="s">
        <v>6</v>
      </c>
      <c r="G26" s="348" t="s">
        <v>7</v>
      </c>
    </row>
    <row r="27" spans="1:7" ht="23.45" customHeight="1">
      <c r="A27" s="367"/>
      <c r="B27" s="13" t="s">
        <v>71</v>
      </c>
      <c r="C27" s="13" t="s">
        <v>72</v>
      </c>
      <c r="D27" s="13" t="s">
        <v>73</v>
      </c>
      <c r="E27" s="13" t="s">
        <v>74</v>
      </c>
      <c r="F27" s="13" t="s">
        <v>75</v>
      </c>
      <c r="G27" s="350"/>
    </row>
    <row r="28" spans="1:7" ht="17.25" customHeight="1">
      <c r="A28" s="352" t="s">
        <v>66</v>
      </c>
      <c r="B28" s="368">
        <v>0</v>
      </c>
      <c r="C28" s="31">
        <f>SUM(C72:C73)</f>
        <v>7890275.4545454532</v>
      </c>
      <c r="D28" s="25"/>
      <c r="E28" s="25"/>
      <c r="F28" s="26">
        <v>12015000</v>
      </c>
      <c r="G28" s="361"/>
    </row>
    <row r="29" spans="1:7" ht="17.25" customHeight="1">
      <c r="A29" s="352"/>
      <c r="B29" s="369"/>
      <c r="C29" s="17" t="s">
        <v>82</v>
      </c>
      <c r="D29" s="30"/>
      <c r="E29" s="30"/>
      <c r="F29" s="16"/>
      <c r="G29" s="362"/>
    </row>
    <row r="30" spans="1:7" ht="17.25" customHeight="1">
      <c r="A30" s="352"/>
      <c r="B30" s="369"/>
      <c r="C30" s="18">
        <f>C28/C32</f>
        <v>0.1021092729925452</v>
      </c>
      <c r="D30" s="16"/>
      <c r="E30" s="16"/>
      <c r="F30" s="28">
        <v>0.16700000000000001</v>
      </c>
      <c r="G30" s="362"/>
    </row>
    <row r="31" spans="1:7" ht="17.25" customHeight="1">
      <c r="A31" s="352"/>
      <c r="B31" s="369"/>
      <c r="C31" s="29" t="s">
        <v>83</v>
      </c>
      <c r="D31" s="30"/>
      <c r="E31" s="30"/>
      <c r="F31" s="16"/>
      <c r="G31" s="362"/>
    </row>
    <row r="32" spans="1:7" ht="17.25" customHeight="1">
      <c r="A32" s="352"/>
      <c r="B32" s="370"/>
      <c r="C32" s="330">
        <v>77272859</v>
      </c>
      <c r="D32" s="24"/>
      <c r="E32" s="24"/>
      <c r="F32" s="27">
        <v>71797853</v>
      </c>
      <c r="G32" s="363"/>
    </row>
    <row r="33" spans="1:8" ht="17.25" customHeight="1">
      <c r="A33" s="352" t="s">
        <v>67</v>
      </c>
      <c r="B33" s="365"/>
      <c r="C33" s="372">
        <f>'別紙２様式第３－１号の７'!L11</f>
        <v>15561248.732558602</v>
      </c>
      <c r="D33" s="348"/>
      <c r="E33" s="348"/>
      <c r="F33" s="365"/>
      <c r="G33" s="365"/>
    </row>
    <row r="34" spans="1:8" ht="17.25" customHeight="1">
      <c r="A34" s="352"/>
      <c r="B34" s="366"/>
      <c r="C34" s="373"/>
      <c r="D34" s="350"/>
      <c r="E34" s="350"/>
      <c r="F34" s="366"/>
      <c r="G34" s="366"/>
    </row>
    <row r="35" spans="1:8" ht="17.25" customHeight="1">
      <c r="A35" s="352" t="s">
        <v>68</v>
      </c>
      <c r="B35" s="346">
        <v>0</v>
      </c>
      <c r="C35" s="357">
        <f>SUM(入力する経費!C4:C7)/100</f>
        <v>21.138999999999999</v>
      </c>
      <c r="D35" s="348"/>
      <c r="E35" s="348"/>
      <c r="F35" s="346">
        <v>31.5</v>
      </c>
      <c r="G35" s="584">
        <f>G62</f>
        <v>21.138999999999999</v>
      </c>
      <c r="H35" s="33" t="s">
        <v>92</v>
      </c>
    </row>
    <row r="36" spans="1:8" ht="17.25" customHeight="1">
      <c r="A36" s="343"/>
      <c r="B36" s="347"/>
      <c r="C36" s="354"/>
      <c r="D36" s="349"/>
      <c r="E36" s="349"/>
      <c r="F36" s="347"/>
      <c r="G36" s="585"/>
    </row>
    <row r="37" spans="1:8" ht="17.25" customHeight="1">
      <c r="A37" s="345" t="s">
        <v>69</v>
      </c>
      <c r="B37" s="347">
        <v>0</v>
      </c>
      <c r="C37" s="354">
        <f>E44</f>
        <v>21.138999999999999</v>
      </c>
      <c r="D37" s="349"/>
      <c r="E37" s="349"/>
      <c r="F37" s="347">
        <v>11.5</v>
      </c>
      <c r="G37" s="351"/>
    </row>
    <row r="38" spans="1:8" ht="17.25" customHeight="1">
      <c r="A38" s="352"/>
      <c r="B38" s="353"/>
      <c r="C38" s="355"/>
      <c r="D38" s="350"/>
      <c r="E38" s="350"/>
      <c r="F38" s="353"/>
      <c r="G38" s="356"/>
    </row>
    <row r="39" spans="1:8" ht="7.5" customHeight="1">
      <c r="A39" s="14"/>
      <c r="B39" s="14"/>
      <c r="C39" s="14"/>
      <c r="D39" s="14"/>
      <c r="E39" s="14"/>
      <c r="F39" s="14"/>
    </row>
    <row r="40" spans="1:8" ht="6" customHeight="1">
      <c r="A40" s="8"/>
    </row>
    <row r="41" spans="1:8" ht="19.5" customHeight="1">
      <c r="A41" s="359" t="s">
        <v>8</v>
      </c>
      <c r="B41" s="359"/>
      <c r="C41" s="359"/>
      <c r="D41" s="359"/>
      <c r="E41" s="359"/>
      <c r="F41" s="359"/>
      <c r="G41" s="359"/>
    </row>
    <row r="42" spans="1:8" ht="18" customHeight="1">
      <c r="A42" s="348" t="s">
        <v>56</v>
      </c>
      <c r="B42" s="348" t="s">
        <v>9</v>
      </c>
      <c r="C42" s="348" t="s">
        <v>55</v>
      </c>
      <c r="D42" s="348" t="s">
        <v>10</v>
      </c>
      <c r="E42" s="12" t="s">
        <v>11</v>
      </c>
      <c r="F42" s="12" t="s">
        <v>13</v>
      </c>
      <c r="G42" s="348" t="s">
        <v>15</v>
      </c>
    </row>
    <row r="43" spans="1:8" ht="18" customHeight="1">
      <c r="A43" s="350"/>
      <c r="B43" s="350"/>
      <c r="C43" s="350"/>
      <c r="D43" s="350"/>
      <c r="E43" s="13" t="s">
        <v>12</v>
      </c>
      <c r="F43" s="13" t="s">
        <v>14</v>
      </c>
      <c r="G43" s="350"/>
    </row>
    <row r="44" spans="1:8" ht="16.5" customHeight="1">
      <c r="A44" s="343" t="s">
        <v>79</v>
      </c>
      <c r="B44" s="348" t="s">
        <v>52</v>
      </c>
      <c r="C44" s="15" t="s">
        <v>50</v>
      </c>
      <c r="D44" s="348" t="s">
        <v>85</v>
      </c>
      <c r="E44" s="171">
        <f>SUM(入力する経費!C4:C7)/100</f>
        <v>21.138999999999999</v>
      </c>
      <c r="F44" s="19"/>
      <c r="G44" s="11"/>
    </row>
    <row r="45" spans="1:8" ht="16.5" customHeight="1">
      <c r="A45" s="344"/>
      <c r="B45" s="349"/>
      <c r="C45" s="15" t="s">
        <v>51</v>
      </c>
      <c r="D45" s="349"/>
      <c r="E45" s="334"/>
      <c r="F45" s="10"/>
      <c r="G45" s="11"/>
    </row>
    <row r="46" spans="1:8" ht="16.5" customHeight="1">
      <c r="A46" s="345"/>
      <c r="B46" s="350"/>
      <c r="C46" s="15" t="s">
        <v>62</v>
      </c>
      <c r="D46" s="350"/>
      <c r="E46" s="334"/>
      <c r="F46" s="10"/>
      <c r="G46" s="11"/>
    </row>
    <row r="47" spans="1:8" ht="16.5" customHeight="1">
      <c r="A47" s="343" t="s">
        <v>84</v>
      </c>
      <c r="B47" s="348" t="s">
        <v>52</v>
      </c>
      <c r="C47" s="15" t="s">
        <v>50</v>
      </c>
      <c r="D47" s="348" t="s">
        <v>86</v>
      </c>
      <c r="E47" s="335">
        <f>E44</f>
        <v>21.138999999999999</v>
      </c>
      <c r="F47" s="19"/>
      <c r="G47" s="11"/>
    </row>
    <row r="48" spans="1:8" ht="16.5" customHeight="1">
      <c r="A48" s="344"/>
      <c r="B48" s="349"/>
      <c r="C48" s="15" t="s">
        <v>51</v>
      </c>
      <c r="D48" s="349"/>
      <c r="E48" s="336"/>
      <c r="F48" s="11"/>
      <c r="G48" s="11"/>
    </row>
    <row r="49" spans="1:7" ht="16.5" customHeight="1">
      <c r="A49" s="345"/>
      <c r="B49" s="350"/>
      <c r="C49" s="15" t="s">
        <v>62</v>
      </c>
      <c r="D49" s="350"/>
      <c r="E49" s="336"/>
      <c r="F49" s="11"/>
      <c r="G49" s="11"/>
    </row>
    <row r="50" spans="1:7" ht="16.5" customHeight="1">
      <c r="A50" s="343" t="s">
        <v>80</v>
      </c>
      <c r="B50" s="340" t="s">
        <v>52</v>
      </c>
      <c r="C50" s="15" t="s">
        <v>50</v>
      </c>
      <c r="D50" s="340" t="s">
        <v>87</v>
      </c>
      <c r="E50" s="337">
        <f>E44</f>
        <v>21.138999999999999</v>
      </c>
      <c r="F50" s="20"/>
      <c r="G50" s="11"/>
    </row>
    <row r="51" spans="1:7" ht="16.5" customHeight="1">
      <c r="A51" s="344"/>
      <c r="B51" s="341"/>
      <c r="C51" s="15" t="s">
        <v>51</v>
      </c>
      <c r="D51" s="341"/>
      <c r="E51" s="338"/>
      <c r="F51" s="11"/>
      <c r="G51" s="11"/>
    </row>
    <row r="52" spans="1:7" ht="16.5" customHeight="1">
      <c r="A52" s="345"/>
      <c r="B52" s="342"/>
      <c r="C52" s="15" t="s">
        <v>62</v>
      </c>
      <c r="D52" s="342"/>
      <c r="E52" s="336"/>
      <c r="F52" s="11"/>
      <c r="G52" s="11"/>
    </row>
    <row r="53" spans="1:7" ht="16.5" customHeight="1">
      <c r="A53" s="343" t="s">
        <v>81</v>
      </c>
      <c r="B53" s="340" t="s">
        <v>52</v>
      </c>
      <c r="C53" s="15" t="s">
        <v>50</v>
      </c>
      <c r="D53" s="348" t="s">
        <v>88</v>
      </c>
      <c r="E53" s="335">
        <f>E44+(1190/1048)*1244/100</f>
        <v>35.26457251908397</v>
      </c>
      <c r="F53" s="20"/>
      <c r="G53" s="333" t="s">
        <v>442</v>
      </c>
    </row>
    <row r="54" spans="1:7" ht="16.5" customHeight="1">
      <c r="A54" s="344"/>
      <c r="B54" s="341"/>
      <c r="C54" s="15" t="s">
        <v>51</v>
      </c>
      <c r="D54" s="349"/>
      <c r="E54" s="336"/>
      <c r="F54" s="11"/>
      <c r="G54" s="11"/>
    </row>
    <row r="55" spans="1:7" ht="16.5" customHeight="1">
      <c r="A55" s="345"/>
      <c r="B55" s="342"/>
      <c r="C55" s="15" t="s">
        <v>62</v>
      </c>
      <c r="D55" s="350"/>
      <c r="E55" s="336"/>
      <c r="F55" s="11"/>
      <c r="G55" s="11"/>
    </row>
    <row r="56" spans="1:7" ht="13.5">
      <c r="A56" s="8"/>
    </row>
    <row r="57" spans="1:7" ht="9.75" customHeight="1">
      <c r="A57" s="8"/>
    </row>
    <row r="58" spans="1:7" ht="19.5" customHeight="1">
      <c r="A58" s="359" t="s">
        <v>16</v>
      </c>
      <c r="B58" s="359"/>
      <c r="C58" s="359"/>
      <c r="D58" s="359"/>
      <c r="E58" s="359"/>
      <c r="F58" s="359"/>
      <c r="G58" s="359"/>
    </row>
    <row r="59" spans="1:7" ht="17.25" customHeight="1">
      <c r="A59" s="359" t="s">
        <v>57</v>
      </c>
      <c r="B59" s="359"/>
      <c r="C59" s="359"/>
      <c r="D59" s="359"/>
      <c r="E59" s="359"/>
      <c r="F59" s="359"/>
      <c r="G59" s="359"/>
    </row>
    <row r="60" spans="1:7" ht="23.45" customHeight="1">
      <c r="A60" s="348" t="s">
        <v>17</v>
      </c>
      <c r="B60" s="12" t="s">
        <v>5</v>
      </c>
      <c r="C60" s="12" t="s">
        <v>18</v>
      </c>
      <c r="D60" s="12" t="s">
        <v>19</v>
      </c>
      <c r="E60" s="12" t="s">
        <v>20</v>
      </c>
      <c r="F60" s="348" t="s">
        <v>54</v>
      </c>
    </row>
    <row r="61" spans="1:7" ht="23.45" customHeight="1">
      <c r="A61" s="350"/>
      <c r="B61" s="13" t="s">
        <v>71</v>
      </c>
      <c r="C61" s="13" t="s">
        <v>50</v>
      </c>
      <c r="D61" s="13" t="s">
        <v>73</v>
      </c>
      <c r="E61" s="13" t="s">
        <v>62</v>
      </c>
      <c r="F61" s="350"/>
      <c r="G61" s="34" t="s">
        <v>91</v>
      </c>
    </row>
    <row r="62" spans="1:7" ht="26.45" customHeight="1">
      <c r="A62" s="20" t="s">
        <v>90</v>
      </c>
      <c r="B62" s="21">
        <v>0</v>
      </c>
      <c r="C62" s="171">
        <f>SUM(入力する経費!C4,入力する経費!C6)/100</f>
        <v>5.8613</v>
      </c>
      <c r="D62" s="10"/>
      <c r="E62" s="10"/>
      <c r="F62" s="11"/>
      <c r="G62" s="583">
        <f>SUM(C62:C63)</f>
        <v>21.138999999999999</v>
      </c>
    </row>
    <row r="63" spans="1:7" ht="26.45" customHeight="1">
      <c r="A63" s="20" t="s">
        <v>271</v>
      </c>
      <c r="B63" s="21">
        <v>0</v>
      </c>
      <c r="C63" s="171">
        <f>SUM(入力する経費!C5,入力する経費!C7)/100</f>
        <v>15.277699999999999</v>
      </c>
      <c r="D63" s="10"/>
      <c r="E63" s="10"/>
      <c r="F63" s="11"/>
      <c r="G63" s="332">
        <f>E44</f>
        <v>21.138999999999999</v>
      </c>
    </row>
    <row r="64" spans="1:7" ht="26.45" customHeight="1">
      <c r="A64" s="23"/>
      <c r="B64" s="21"/>
      <c r="C64" s="171"/>
      <c r="D64" s="10"/>
      <c r="E64" s="10"/>
      <c r="F64" s="11"/>
    </row>
    <row r="65" spans="1:7" ht="13.5">
      <c r="A65" s="359" t="s">
        <v>21</v>
      </c>
      <c r="B65" s="359"/>
      <c r="C65" s="359"/>
      <c r="D65" s="359"/>
      <c r="E65" s="359"/>
      <c r="F65" s="359"/>
      <c r="G65" s="359"/>
    </row>
    <row r="66" spans="1:7" ht="13.5">
      <c r="A66" s="359" t="s">
        <v>22</v>
      </c>
      <c r="B66" s="359"/>
      <c r="C66" s="359"/>
      <c r="D66" s="359"/>
      <c r="E66" s="359"/>
      <c r="F66" s="359"/>
      <c r="G66" s="359"/>
    </row>
    <row r="67" spans="1:7" ht="11.25" customHeight="1">
      <c r="A67" s="8"/>
    </row>
    <row r="68" spans="1:7" ht="9.75" customHeight="1">
      <c r="A68" s="8"/>
    </row>
    <row r="69" spans="1:7" ht="14.25" customHeight="1">
      <c r="A69" s="360" t="s">
        <v>23</v>
      </c>
      <c r="B69" s="360"/>
      <c r="C69" s="360"/>
      <c r="D69" s="360"/>
      <c r="E69" s="360"/>
      <c r="F69" s="360"/>
      <c r="G69" s="360"/>
    </row>
    <row r="70" spans="1:7" ht="23.45" customHeight="1">
      <c r="A70" s="348" t="s">
        <v>17</v>
      </c>
      <c r="B70" s="12" t="s">
        <v>5</v>
      </c>
      <c r="C70" s="12" t="s">
        <v>18</v>
      </c>
      <c r="D70" s="12" t="s">
        <v>19</v>
      </c>
      <c r="E70" s="12" t="s">
        <v>20</v>
      </c>
      <c r="F70" s="348" t="s">
        <v>54</v>
      </c>
    </row>
    <row r="71" spans="1:7" ht="23.45" customHeight="1">
      <c r="A71" s="350"/>
      <c r="B71" s="13" t="s">
        <v>71</v>
      </c>
      <c r="C71" s="13" t="s">
        <v>50</v>
      </c>
      <c r="D71" s="13" t="s">
        <v>73</v>
      </c>
      <c r="E71" s="13" t="s">
        <v>62</v>
      </c>
      <c r="F71" s="350"/>
    </row>
    <row r="72" spans="1:7" ht="29.45" customHeight="1">
      <c r="A72" s="20" t="s">
        <v>90</v>
      </c>
      <c r="B72" s="19">
        <v>0</v>
      </c>
      <c r="C72" s="21">
        <f>'別紙２様式第３－１号の７'!AD8+'別紙２様式第３－１号の７'!AD10</f>
        <v>4232285.4545454541</v>
      </c>
      <c r="D72" s="11"/>
      <c r="E72" s="11"/>
      <c r="F72" s="11"/>
    </row>
    <row r="73" spans="1:7" ht="29.45" customHeight="1">
      <c r="A73" s="20" t="s">
        <v>271</v>
      </c>
      <c r="B73" s="19">
        <v>0</v>
      </c>
      <c r="C73" s="22">
        <f>'別紙２様式第３－１号の７'!AD7+'別紙２様式第３－１号の７'!AD9</f>
        <v>3657989.9999999995</v>
      </c>
      <c r="D73" s="11"/>
      <c r="E73" s="11"/>
      <c r="F73" s="11"/>
    </row>
    <row r="74" spans="1:7" ht="29.45" customHeight="1">
      <c r="A74" s="20"/>
      <c r="B74" s="19"/>
      <c r="C74" s="19"/>
      <c r="D74" s="11"/>
      <c r="E74" s="11"/>
      <c r="F74" s="11"/>
    </row>
    <row r="75" spans="1:7" ht="13.5">
      <c r="A75" s="359" t="s">
        <v>24</v>
      </c>
      <c r="B75" s="359"/>
      <c r="C75" s="359"/>
      <c r="D75" s="359"/>
      <c r="E75" s="359"/>
      <c r="F75" s="359"/>
      <c r="G75" s="359"/>
    </row>
    <row r="76" spans="1:7" ht="13.5">
      <c r="A76" s="359" t="s">
        <v>22</v>
      </c>
      <c r="B76" s="359"/>
      <c r="C76" s="359"/>
      <c r="D76" s="359"/>
      <c r="E76" s="359"/>
      <c r="F76" s="359"/>
      <c r="G76" s="359"/>
    </row>
    <row r="77" spans="1:7" ht="14.25">
      <c r="A77" s="9"/>
    </row>
    <row r="78" spans="1:7" ht="23.45" customHeight="1">
      <c r="A78" s="359" t="s">
        <v>25</v>
      </c>
      <c r="B78" s="359"/>
      <c r="C78" s="359"/>
      <c r="D78" s="359"/>
      <c r="E78" s="359"/>
      <c r="F78" s="359"/>
      <c r="G78" s="359"/>
    </row>
    <row r="79" spans="1:7" ht="64.5" customHeight="1">
      <c r="A79" s="358" t="s">
        <v>239</v>
      </c>
      <c r="B79" s="358"/>
      <c r="C79" s="358"/>
      <c r="D79" s="358"/>
      <c r="E79" s="358"/>
      <c r="F79" s="358"/>
      <c r="G79" s="358"/>
    </row>
    <row r="80" spans="1:7" ht="64.5" customHeight="1">
      <c r="A80" s="358"/>
      <c r="B80" s="358"/>
      <c r="C80" s="358"/>
      <c r="D80" s="358"/>
      <c r="E80" s="358"/>
      <c r="F80" s="358"/>
      <c r="G80" s="358"/>
    </row>
    <row r="81" spans="1:7" ht="64.5" customHeight="1">
      <c r="A81" s="358"/>
      <c r="B81" s="358"/>
      <c r="C81" s="358"/>
      <c r="D81" s="358"/>
      <c r="E81" s="358"/>
      <c r="F81" s="358"/>
      <c r="G81" s="358"/>
    </row>
    <row r="82" spans="1:7" ht="64.5" customHeight="1">
      <c r="A82" s="358"/>
      <c r="B82" s="358"/>
      <c r="C82" s="358"/>
      <c r="D82" s="358"/>
      <c r="E82" s="358"/>
      <c r="F82" s="358"/>
      <c r="G82" s="358"/>
    </row>
    <row r="83" spans="1:7" ht="18" customHeight="1">
      <c r="A83" s="371" t="s">
        <v>31</v>
      </c>
      <c r="B83" s="371"/>
      <c r="C83" s="371"/>
      <c r="D83" s="371"/>
      <c r="E83" s="371"/>
      <c r="F83" s="371"/>
      <c r="G83" s="371"/>
    </row>
    <row r="84" spans="1:7" ht="13.5"/>
  </sheetData>
  <mergeCells count="67">
    <mergeCell ref="A83:G83"/>
    <mergeCell ref="G42:G43"/>
    <mergeCell ref="A60:A61"/>
    <mergeCell ref="F60:F61"/>
    <mergeCell ref="B33:B34"/>
    <mergeCell ref="C33:C34"/>
    <mergeCell ref="D33:D34"/>
    <mergeCell ref="E33:E34"/>
    <mergeCell ref="A42:A43"/>
    <mergeCell ref="D42:D43"/>
    <mergeCell ref="G33:G34"/>
    <mergeCell ref="B42:B43"/>
    <mergeCell ref="C42:C43"/>
    <mergeCell ref="A44:A46"/>
    <mergeCell ref="B44:B46"/>
    <mergeCell ref="A47:A49"/>
    <mergeCell ref="G28:G32"/>
    <mergeCell ref="A1:F1"/>
    <mergeCell ref="A11:F11"/>
    <mergeCell ref="A28:A32"/>
    <mergeCell ref="A33:A34"/>
    <mergeCell ref="A25:G25"/>
    <mergeCell ref="A3:G3"/>
    <mergeCell ref="A22:F22"/>
    <mergeCell ref="F33:F34"/>
    <mergeCell ref="A26:A27"/>
    <mergeCell ref="A4:G4"/>
    <mergeCell ref="A12:G21"/>
    <mergeCell ref="B7:G7"/>
    <mergeCell ref="B8:G8"/>
    <mergeCell ref="G26:G27"/>
    <mergeCell ref="B28:B32"/>
    <mergeCell ref="A79:G82"/>
    <mergeCell ref="A41:G41"/>
    <mergeCell ref="A58:G58"/>
    <mergeCell ref="A59:G59"/>
    <mergeCell ref="A65:G65"/>
    <mergeCell ref="A66:G66"/>
    <mergeCell ref="A69:G69"/>
    <mergeCell ref="B47:B49"/>
    <mergeCell ref="A70:A71"/>
    <mergeCell ref="F70:F71"/>
    <mergeCell ref="A75:G75"/>
    <mergeCell ref="A76:G76"/>
    <mergeCell ref="A78:G78"/>
    <mergeCell ref="D44:D46"/>
    <mergeCell ref="D47:D49"/>
    <mergeCell ref="B50:B52"/>
    <mergeCell ref="G35:G36"/>
    <mergeCell ref="A37:A38"/>
    <mergeCell ref="B37:B38"/>
    <mergeCell ref="C37:C38"/>
    <mergeCell ref="D37:D38"/>
    <mergeCell ref="E37:E38"/>
    <mergeCell ref="F37:F38"/>
    <mergeCell ref="G37:G38"/>
    <mergeCell ref="A35:A36"/>
    <mergeCell ref="B35:B36"/>
    <mergeCell ref="C35:C36"/>
    <mergeCell ref="D35:D36"/>
    <mergeCell ref="E35:E36"/>
    <mergeCell ref="D50:D52"/>
    <mergeCell ref="B53:B55"/>
    <mergeCell ref="A50:A52"/>
    <mergeCell ref="A53:A55"/>
    <mergeCell ref="F35:F36"/>
    <mergeCell ref="D53:D55"/>
  </mergeCells>
  <phoneticPr fontId="21"/>
  <pageMargins left="0.74803149606299213" right="0.74803149606299213" top="0.98425196850393704" bottom="0.43307086614173229" header="0.51181102362204722" footer="0.51181102362204722"/>
  <pageSetup paperSize="9" scale="75" orientation="portrait" r:id="rId1"/>
  <rowBreaks count="2" manualBreakCount="2">
    <brk id="23" max="6" man="1"/>
    <brk id="55" max="6"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65"/>
  <sheetViews>
    <sheetView view="pageBreakPreview" topLeftCell="A27" zoomScale="115" zoomScaleNormal="100" zoomScaleSheetLayoutView="115" workbookViewId="0">
      <selection activeCell="S13" sqref="S13"/>
    </sheetView>
  </sheetViews>
  <sheetFormatPr defaultColWidth="7.875" defaultRowHeight="21" customHeight="1"/>
  <cols>
    <col min="1" max="1" width="7" style="2" customWidth="1"/>
    <col min="2" max="42" width="3.375" style="2" customWidth="1"/>
    <col min="43" max="43" width="7.875" style="2"/>
    <col min="44" max="44" width="11.625" style="2" bestFit="1" customWidth="1"/>
    <col min="45" max="16384" width="7.875" style="2"/>
  </cols>
  <sheetData>
    <row r="1" spans="1:42" ht="21.6" customHeight="1">
      <c r="A1" s="461" t="s">
        <v>32</v>
      </c>
      <c r="B1" s="461"/>
      <c r="C1" s="461"/>
      <c r="D1" s="461"/>
      <c r="E1" s="461"/>
      <c r="F1" s="461"/>
      <c r="G1" s="461"/>
      <c r="H1" s="461"/>
      <c r="I1" s="461"/>
      <c r="J1" s="461"/>
      <c r="K1" s="461"/>
      <c r="L1" s="461"/>
      <c r="M1" s="461"/>
      <c r="N1" s="461"/>
      <c r="O1" s="461"/>
      <c r="P1" s="461"/>
      <c r="Q1" s="461"/>
      <c r="R1" s="461"/>
      <c r="S1" s="461"/>
      <c r="T1" s="461"/>
      <c r="U1" s="461"/>
      <c r="V1" s="461"/>
      <c r="W1" s="461"/>
      <c r="X1" s="461"/>
      <c r="Y1" s="461"/>
      <c r="Z1" s="461"/>
      <c r="AA1" s="461"/>
      <c r="AB1" s="461"/>
      <c r="AC1" s="461"/>
      <c r="AD1" s="461"/>
      <c r="AE1" s="461"/>
      <c r="AF1" s="461"/>
      <c r="AG1" s="461"/>
      <c r="AH1" s="461"/>
      <c r="AI1" s="461"/>
      <c r="AJ1" s="461"/>
      <c r="AK1" s="461"/>
      <c r="AL1" s="461"/>
      <c r="AM1" s="461"/>
    </row>
    <row r="2" spans="1:42" ht="13.5">
      <c r="A2" s="461" t="s">
        <v>33</v>
      </c>
      <c r="B2" s="461"/>
      <c r="C2" s="461"/>
      <c r="D2" s="461"/>
      <c r="E2" s="461"/>
      <c r="F2" s="461"/>
      <c r="G2" s="461"/>
      <c r="H2" s="461"/>
      <c r="I2" s="461"/>
      <c r="J2" s="461"/>
      <c r="K2" s="461"/>
      <c r="L2" s="461"/>
      <c r="M2" s="461"/>
      <c r="N2" s="461"/>
      <c r="O2" s="461"/>
      <c r="P2" s="461"/>
      <c r="Q2" s="461"/>
      <c r="R2" s="461"/>
      <c r="S2" s="461"/>
      <c r="T2" s="461"/>
      <c r="U2" s="461"/>
      <c r="V2" s="461"/>
      <c r="W2" s="461"/>
      <c r="X2" s="461"/>
      <c r="Y2" s="461"/>
      <c r="Z2" s="461"/>
      <c r="AA2" s="461"/>
      <c r="AB2" s="461"/>
      <c r="AC2" s="461"/>
      <c r="AD2" s="461"/>
      <c r="AE2" s="461"/>
      <c r="AF2" s="461"/>
      <c r="AG2" s="461"/>
      <c r="AH2" s="461"/>
      <c r="AI2" s="461"/>
      <c r="AJ2" s="461"/>
      <c r="AK2" s="461"/>
      <c r="AL2" s="461"/>
      <c r="AM2" s="461"/>
    </row>
    <row r="3" spans="1:42" s="1" customFormat="1" ht="13.5">
      <c r="B3" s="3"/>
      <c r="C3" s="3"/>
      <c r="D3" s="3"/>
      <c r="E3" s="3"/>
      <c r="F3" s="3"/>
      <c r="G3" s="3"/>
      <c r="H3" s="3"/>
      <c r="L3" s="3"/>
      <c r="M3" s="3"/>
      <c r="N3" s="3"/>
      <c r="O3" s="3"/>
      <c r="P3" s="3"/>
      <c r="Q3" s="3"/>
      <c r="R3" s="3"/>
      <c r="S3" s="3"/>
      <c r="T3" s="3"/>
      <c r="U3" s="3"/>
      <c r="V3" s="4" t="s">
        <v>34</v>
      </c>
      <c r="W3" s="3"/>
      <c r="Y3" s="3"/>
      <c r="Z3" s="3"/>
      <c r="AA3" s="3"/>
      <c r="AB3" s="3"/>
      <c r="AC3" s="3"/>
      <c r="AD3" s="3"/>
      <c r="AE3" s="3"/>
      <c r="AF3" s="3"/>
      <c r="AG3" s="3"/>
      <c r="AH3" s="3"/>
      <c r="AI3" s="3"/>
      <c r="AJ3" s="3"/>
      <c r="AK3" s="3"/>
      <c r="AL3" s="3"/>
      <c r="AM3" s="3"/>
      <c r="AN3" s="3" t="s">
        <v>35</v>
      </c>
    </row>
    <row r="4" spans="1:42" ht="18.75">
      <c r="A4" s="416"/>
      <c r="B4" s="377" t="s">
        <v>36</v>
      </c>
      <c r="C4" s="377"/>
      <c r="D4" s="377"/>
      <c r="E4" s="377"/>
      <c r="F4" s="377"/>
      <c r="G4" s="377"/>
      <c r="H4" s="377"/>
      <c r="I4" s="377"/>
      <c r="J4" s="377"/>
      <c r="K4" s="377"/>
      <c r="L4" s="457" t="s">
        <v>18</v>
      </c>
      <c r="M4" s="457"/>
      <c r="N4" s="457"/>
      <c r="O4" s="457"/>
      <c r="P4" s="462" t="s">
        <v>19</v>
      </c>
      <c r="Q4" s="463"/>
      <c r="R4" s="463"/>
      <c r="S4" s="464"/>
      <c r="T4" s="457" t="s">
        <v>20</v>
      </c>
      <c r="U4" s="457"/>
      <c r="V4" s="457"/>
      <c r="W4" s="457"/>
      <c r="Y4" s="465" t="s">
        <v>36</v>
      </c>
      <c r="Z4" s="465"/>
      <c r="AA4" s="465"/>
      <c r="AB4" s="465"/>
      <c r="AC4" s="465"/>
      <c r="AD4" s="457" t="s">
        <v>18</v>
      </c>
      <c r="AE4" s="457"/>
      <c r="AF4" s="457"/>
      <c r="AG4" s="457"/>
      <c r="AH4" s="457" t="s">
        <v>19</v>
      </c>
      <c r="AI4" s="457"/>
      <c r="AJ4" s="457"/>
      <c r="AK4" s="457"/>
      <c r="AL4" s="457" t="s">
        <v>37</v>
      </c>
      <c r="AM4" s="457"/>
      <c r="AN4" s="457"/>
      <c r="AO4" s="457"/>
    </row>
    <row r="5" spans="1:42" ht="12" customHeight="1">
      <c r="A5" s="416"/>
      <c r="B5" s="466" t="s">
        <v>36</v>
      </c>
      <c r="C5" s="466"/>
      <c r="D5" s="466"/>
      <c r="E5" s="466"/>
      <c r="F5" s="466"/>
      <c r="G5" s="466"/>
      <c r="H5" s="466"/>
      <c r="I5" s="466"/>
      <c r="J5" s="466"/>
      <c r="K5" s="466"/>
      <c r="L5" s="467" t="s">
        <v>52</v>
      </c>
      <c r="M5" s="467"/>
      <c r="N5" s="467"/>
      <c r="O5" s="467"/>
      <c r="P5" s="467" t="s">
        <v>53</v>
      </c>
      <c r="Q5" s="467"/>
      <c r="R5" s="467"/>
      <c r="S5" s="467"/>
      <c r="T5" s="467" t="s">
        <v>63</v>
      </c>
      <c r="U5" s="467"/>
      <c r="V5" s="467"/>
      <c r="W5" s="467"/>
      <c r="Y5" s="401" t="s">
        <v>36</v>
      </c>
      <c r="Z5" s="401"/>
      <c r="AA5" s="401"/>
      <c r="AB5" s="401"/>
      <c r="AC5" s="401"/>
      <c r="AD5" s="467" t="s">
        <v>52</v>
      </c>
      <c r="AE5" s="467"/>
      <c r="AF5" s="467"/>
      <c r="AG5" s="467"/>
      <c r="AH5" s="467" t="s">
        <v>53</v>
      </c>
      <c r="AI5" s="467"/>
      <c r="AJ5" s="467"/>
      <c r="AK5" s="467"/>
      <c r="AL5" s="467" t="s">
        <v>63</v>
      </c>
      <c r="AM5" s="467"/>
      <c r="AN5" s="467"/>
      <c r="AO5" s="467"/>
    </row>
    <row r="6" spans="1:42" ht="25.5" customHeight="1">
      <c r="A6" s="416"/>
      <c r="B6" s="378" t="s">
        <v>26</v>
      </c>
      <c r="C6" s="378"/>
      <c r="D6" s="378"/>
      <c r="E6" s="378"/>
      <c r="F6" s="378"/>
      <c r="G6" s="378"/>
      <c r="H6" s="378"/>
      <c r="I6" s="378"/>
      <c r="J6" s="378"/>
      <c r="K6" s="378"/>
      <c r="L6" s="458">
        <f>+AD6</f>
        <v>12630293.636363635</v>
      </c>
      <c r="M6" s="458"/>
      <c r="N6" s="458"/>
      <c r="O6" s="458"/>
      <c r="P6" s="456">
        <f>+AH6</f>
        <v>0</v>
      </c>
      <c r="Q6" s="456"/>
      <c r="R6" s="456"/>
      <c r="S6" s="456"/>
      <c r="T6" s="456">
        <f>+AL6</f>
        <v>0</v>
      </c>
      <c r="U6" s="456"/>
      <c r="V6" s="456"/>
      <c r="W6" s="456"/>
      <c r="Y6" s="459" t="s">
        <v>26</v>
      </c>
      <c r="Z6" s="460"/>
      <c r="AA6" s="460"/>
      <c r="AB6" s="460"/>
      <c r="AC6" s="460"/>
      <c r="AD6" s="448">
        <f>SUM(AD7:AG11)</f>
        <v>12630293.636363635</v>
      </c>
      <c r="AE6" s="449"/>
      <c r="AF6" s="449"/>
      <c r="AG6" s="450"/>
      <c r="AH6" s="456">
        <f>SUM(AH7:AK10)</f>
        <v>0</v>
      </c>
      <c r="AI6" s="456"/>
      <c r="AJ6" s="456"/>
      <c r="AK6" s="456"/>
      <c r="AL6" s="456">
        <f>SUM(AL7:AO10)</f>
        <v>0</v>
      </c>
      <c r="AM6" s="456"/>
      <c r="AN6" s="456"/>
      <c r="AO6" s="456"/>
    </row>
    <row r="7" spans="1:42" ht="25.5" customHeight="1">
      <c r="A7" s="416"/>
      <c r="B7" s="378" t="s">
        <v>27</v>
      </c>
      <c r="C7" s="378"/>
      <c r="D7" s="378"/>
      <c r="E7" s="378"/>
      <c r="F7" s="378"/>
      <c r="G7" s="378"/>
      <c r="H7" s="378"/>
      <c r="I7" s="378"/>
      <c r="J7" s="378"/>
      <c r="K7" s="378"/>
      <c r="L7" s="451">
        <f>+K35</f>
        <v>6603205.0073142275</v>
      </c>
      <c r="M7" s="452"/>
      <c r="N7" s="452"/>
      <c r="O7" s="452"/>
      <c r="P7" s="455">
        <f>+W35</f>
        <v>0</v>
      </c>
      <c r="Q7" s="437"/>
      <c r="R7" s="437"/>
      <c r="S7" s="438"/>
      <c r="T7" s="453">
        <f>+AI35</f>
        <v>0</v>
      </c>
      <c r="U7" s="454"/>
      <c r="V7" s="454"/>
      <c r="W7" s="454"/>
      <c r="Y7" s="130" t="s">
        <v>36</v>
      </c>
      <c r="Z7" s="443" t="str">
        <f>'01　別紙２様式第３－１号'!A63</f>
        <v>WCS用稲</v>
      </c>
      <c r="AA7" s="443"/>
      <c r="AB7" s="443"/>
      <c r="AC7" s="443"/>
      <c r="AD7" s="444">
        <f>3878050/1.1</f>
        <v>3525499.9999999995</v>
      </c>
      <c r="AE7" s="444"/>
      <c r="AF7" s="444"/>
      <c r="AG7" s="444"/>
      <c r="AH7" s="454"/>
      <c r="AI7" s="454"/>
      <c r="AJ7" s="454"/>
      <c r="AK7" s="454"/>
      <c r="AL7" s="454" t="s">
        <v>36</v>
      </c>
      <c r="AM7" s="454"/>
      <c r="AN7" s="454"/>
      <c r="AO7" s="454"/>
    </row>
    <row r="8" spans="1:42" ht="25.5" customHeight="1">
      <c r="A8" s="416"/>
      <c r="B8" s="378" t="s">
        <v>28</v>
      </c>
      <c r="C8" s="378"/>
      <c r="D8" s="378"/>
      <c r="E8" s="378"/>
      <c r="F8" s="378"/>
      <c r="G8" s="378"/>
      <c r="H8" s="378"/>
      <c r="I8" s="378"/>
      <c r="J8" s="378"/>
      <c r="K8" s="378"/>
      <c r="L8" s="451">
        <f>+O35</f>
        <v>7425720.0972578563</v>
      </c>
      <c r="M8" s="452"/>
      <c r="N8" s="452"/>
      <c r="O8" s="452"/>
      <c r="P8" s="455">
        <f>+AA35</f>
        <v>0</v>
      </c>
      <c r="Q8" s="437"/>
      <c r="R8" s="437"/>
      <c r="S8" s="438"/>
      <c r="T8" s="453">
        <f>+AM35</f>
        <v>0</v>
      </c>
      <c r="U8" s="454"/>
      <c r="V8" s="454"/>
      <c r="W8" s="454"/>
      <c r="Y8" s="131"/>
      <c r="Z8" s="443" t="str">
        <f>'01　別紙２様式第３－１号'!A62</f>
        <v>デントコーン</v>
      </c>
      <c r="AA8" s="443"/>
      <c r="AB8" s="443"/>
      <c r="AC8" s="443"/>
      <c r="AD8" s="444">
        <f>1255500/1.1</f>
        <v>1141363.6363636362</v>
      </c>
      <c r="AE8" s="444"/>
      <c r="AF8" s="444"/>
      <c r="AG8" s="444"/>
      <c r="AH8" s="454"/>
      <c r="AI8" s="454"/>
      <c r="AJ8" s="454"/>
      <c r="AK8" s="454"/>
      <c r="AL8" s="454" t="s">
        <v>36</v>
      </c>
      <c r="AM8" s="454"/>
      <c r="AN8" s="454"/>
      <c r="AO8" s="454"/>
    </row>
    <row r="9" spans="1:42" ht="25.5" customHeight="1">
      <c r="A9" s="416"/>
      <c r="B9" s="378" t="s">
        <v>44</v>
      </c>
      <c r="C9" s="378"/>
      <c r="D9" s="378"/>
      <c r="E9" s="378"/>
      <c r="F9" s="378"/>
      <c r="G9" s="378"/>
      <c r="H9" s="378"/>
      <c r="I9" s="378"/>
      <c r="J9" s="378"/>
      <c r="K9" s="378"/>
      <c r="L9" s="451">
        <f>+L6-L7</f>
        <v>6027088.6290494073</v>
      </c>
      <c r="M9" s="452"/>
      <c r="N9" s="452"/>
      <c r="O9" s="452"/>
      <c r="P9" s="453">
        <f t="shared" ref="P9" si="0">+P6-P7</f>
        <v>0</v>
      </c>
      <c r="Q9" s="454"/>
      <c r="R9" s="454"/>
      <c r="S9" s="454"/>
      <c r="T9" s="453">
        <f t="shared" ref="T9" si="1">+T6-T7</f>
        <v>0</v>
      </c>
      <c r="U9" s="454"/>
      <c r="V9" s="454"/>
      <c r="W9" s="454"/>
      <c r="Y9" s="131"/>
      <c r="Z9" s="443" t="s">
        <v>241</v>
      </c>
      <c r="AA9" s="443"/>
      <c r="AB9" s="443"/>
      <c r="AC9" s="443"/>
      <c r="AD9" s="444">
        <f>145739/1.1</f>
        <v>132490</v>
      </c>
      <c r="AE9" s="444"/>
      <c r="AF9" s="444"/>
      <c r="AG9" s="444"/>
      <c r="AH9" s="454" t="s">
        <v>36</v>
      </c>
      <c r="AI9" s="454"/>
      <c r="AJ9" s="454"/>
      <c r="AK9" s="454"/>
      <c r="AL9" s="454" t="s">
        <v>36</v>
      </c>
      <c r="AM9" s="454"/>
      <c r="AN9" s="454"/>
      <c r="AO9" s="454"/>
    </row>
    <row r="10" spans="1:42" ht="25.5" customHeight="1" thickBot="1">
      <c r="A10" s="416"/>
      <c r="B10" s="379" t="s">
        <v>45</v>
      </c>
      <c r="C10" s="379"/>
      <c r="D10" s="379"/>
      <c r="E10" s="379"/>
      <c r="F10" s="379"/>
      <c r="G10" s="379"/>
      <c r="H10" s="379"/>
      <c r="I10" s="379"/>
      <c r="J10" s="379"/>
      <c r="K10" s="379"/>
      <c r="L10" s="442">
        <f>+L9/L6</f>
        <v>0.47719307266910505</v>
      </c>
      <c r="M10" s="442"/>
      <c r="N10" s="442"/>
      <c r="O10" s="442"/>
      <c r="P10" s="442" t="e">
        <f t="shared" ref="P10" si="2">+P9/P6</f>
        <v>#DIV/0!</v>
      </c>
      <c r="Q10" s="442"/>
      <c r="R10" s="442"/>
      <c r="S10" s="442"/>
      <c r="T10" s="442" t="e">
        <f t="shared" ref="T10" si="3">+T9/T6</f>
        <v>#DIV/0!</v>
      </c>
      <c r="U10" s="442"/>
      <c r="V10" s="442"/>
      <c r="W10" s="442"/>
      <c r="Y10" s="131"/>
      <c r="Z10" s="443" t="s">
        <v>240</v>
      </c>
      <c r="AA10" s="443"/>
      <c r="AB10" s="443"/>
      <c r="AC10" s="443"/>
      <c r="AD10" s="444">
        <f>3400014/1.1</f>
        <v>3090921.8181818179</v>
      </c>
      <c r="AE10" s="444"/>
      <c r="AF10" s="444"/>
      <c r="AG10" s="444"/>
      <c r="AH10" s="436" t="s">
        <v>36</v>
      </c>
      <c r="AI10" s="437"/>
      <c r="AJ10" s="437"/>
      <c r="AK10" s="438"/>
      <c r="AL10" s="436" t="s">
        <v>36</v>
      </c>
      <c r="AM10" s="437"/>
      <c r="AN10" s="437"/>
      <c r="AO10" s="438"/>
    </row>
    <row r="11" spans="1:42" ht="25.5" customHeight="1" thickTop="1">
      <c r="A11" s="416"/>
      <c r="B11" s="441" t="s">
        <v>46</v>
      </c>
      <c r="C11" s="441"/>
      <c r="D11" s="441"/>
      <c r="E11" s="441"/>
      <c r="F11" s="441"/>
      <c r="G11" s="441"/>
      <c r="H11" s="441"/>
      <c r="I11" s="441"/>
      <c r="J11" s="441"/>
      <c r="K11" s="441"/>
      <c r="L11" s="439">
        <f>+L8/L10</f>
        <v>15561248.732558602</v>
      </c>
      <c r="M11" s="439"/>
      <c r="N11" s="439"/>
      <c r="O11" s="439"/>
      <c r="P11" s="440" t="e">
        <f>+P8/P10</f>
        <v>#DIV/0!</v>
      </c>
      <c r="Q11" s="440"/>
      <c r="R11" s="440"/>
      <c r="S11" s="440"/>
      <c r="T11" s="440" t="e">
        <f>+T8/T10</f>
        <v>#DIV/0!</v>
      </c>
      <c r="U11" s="440"/>
      <c r="V11" s="440"/>
      <c r="W11" s="440"/>
      <c r="Y11" s="131"/>
      <c r="Z11" s="445" t="s">
        <v>162</v>
      </c>
      <c r="AA11" s="446"/>
      <c r="AB11" s="446"/>
      <c r="AC11" s="447"/>
      <c r="AD11" s="448">
        <f>(1788500+2696000+729520)/1.1</f>
        <v>4740018.1818181816</v>
      </c>
      <c r="AE11" s="449"/>
      <c r="AF11" s="449"/>
      <c r="AG11" s="450"/>
      <c r="AH11" s="436" t="s">
        <v>36</v>
      </c>
      <c r="AI11" s="437"/>
      <c r="AJ11" s="437"/>
      <c r="AK11" s="438"/>
      <c r="AL11" s="436" t="s">
        <v>36</v>
      </c>
      <c r="AM11" s="437"/>
      <c r="AN11" s="437"/>
      <c r="AO11" s="438"/>
    </row>
    <row r="12" spans="1:42" ht="25.5" customHeight="1">
      <c r="B12" s="132"/>
      <c r="C12" s="132"/>
      <c r="D12" s="132"/>
      <c r="E12" s="132"/>
      <c r="F12" s="132"/>
      <c r="G12" s="132"/>
      <c r="H12" s="132"/>
      <c r="I12" s="132"/>
      <c r="J12" s="132"/>
      <c r="K12" s="132"/>
      <c r="L12" s="133"/>
      <c r="M12" s="133"/>
      <c r="N12" s="133"/>
      <c r="O12" s="133"/>
      <c r="P12" s="127"/>
      <c r="Q12" s="127"/>
      <c r="R12" s="127"/>
      <c r="S12" s="127"/>
      <c r="T12" s="127"/>
      <c r="U12" s="127"/>
      <c r="V12" s="127"/>
      <c r="W12" s="127"/>
      <c r="Z12" s="2" t="s">
        <v>248</v>
      </c>
      <c r="AO12" s="5"/>
    </row>
    <row r="13" spans="1:42" ht="25.5" customHeight="1">
      <c r="A13" s="32"/>
      <c r="AL13" s="6"/>
      <c r="AM13" s="6"/>
      <c r="AP13" s="4" t="s">
        <v>38</v>
      </c>
    </row>
    <row r="14" spans="1:42" ht="25.5" customHeight="1">
      <c r="A14" s="416"/>
      <c r="B14" s="417" t="s">
        <v>36</v>
      </c>
      <c r="C14" s="418"/>
      <c r="D14" s="418"/>
      <c r="E14" s="418"/>
      <c r="F14" s="419"/>
      <c r="G14" s="423" t="s">
        <v>59</v>
      </c>
      <c r="H14" s="424"/>
      <c r="I14" s="424"/>
      <c r="J14" s="424"/>
      <c r="K14" s="425"/>
      <c r="L14" s="425"/>
      <c r="M14" s="425"/>
      <c r="N14" s="425"/>
      <c r="O14" s="425"/>
      <c r="P14" s="425"/>
      <c r="Q14" s="425"/>
      <c r="R14" s="426"/>
      <c r="S14" s="423" t="s">
        <v>60</v>
      </c>
      <c r="T14" s="424"/>
      <c r="U14" s="424"/>
      <c r="V14" s="424"/>
      <c r="W14" s="425"/>
      <c r="X14" s="425"/>
      <c r="Y14" s="425"/>
      <c r="Z14" s="425"/>
      <c r="AA14" s="425"/>
      <c r="AB14" s="425"/>
      <c r="AC14" s="425"/>
      <c r="AD14" s="426"/>
      <c r="AE14" s="423" t="s">
        <v>61</v>
      </c>
      <c r="AF14" s="424"/>
      <c r="AG14" s="424"/>
      <c r="AH14" s="424"/>
      <c r="AI14" s="425"/>
      <c r="AJ14" s="425"/>
      <c r="AK14" s="425"/>
      <c r="AL14" s="425"/>
      <c r="AM14" s="425"/>
      <c r="AN14" s="425"/>
      <c r="AO14" s="425"/>
      <c r="AP14" s="426"/>
    </row>
    <row r="15" spans="1:42" ht="25.5" customHeight="1">
      <c r="A15" s="416"/>
      <c r="B15" s="420"/>
      <c r="C15" s="421"/>
      <c r="D15" s="421"/>
      <c r="E15" s="421"/>
      <c r="F15" s="422"/>
      <c r="G15" s="420" t="s">
        <v>36</v>
      </c>
      <c r="H15" s="421"/>
      <c r="I15" s="421"/>
      <c r="J15" s="422"/>
      <c r="K15" s="427" t="s">
        <v>39</v>
      </c>
      <c r="L15" s="428"/>
      <c r="M15" s="428"/>
      <c r="N15" s="429"/>
      <c r="O15" s="427" t="s">
        <v>40</v>
      </c>
      <c r="P15" s="428"/>
      <c r="Q15" s="428"/>
      <c r="R15" s="429"/>
      <c r="S15" s="420" t="s">
        <v>36</v>
      </c>
      <c r="T15" s="421"/>
      <c r="U15" s="421"/>
      <c r="V15" s="422"/>
      <c r="W15" s="427" t="s">
        <v>39</v>
      </c>
      <c r="X15" s="428"/>
      <c r="Y15" s="428"/>
      <c r="Z15" s="429"/>
      <c r="AA15" s="427" t="s">
        <v>40</v>
      </c>
      <c r="AB15" s="428"/>
      <c r="AC15" s="428"/>
      <c r="AD15" s="429"/>
      <c r="AE15" s="420" t="s">
        <v>36</v>
      </c>
      <c r="AF15" s="421"/>
      <c r="AG15" s="421"/>
      <c r="AH15" s="422"/>
      <c r="AI15" s="427" t="s">
        <v>39</v>
      </c>
      <c r="AJ15" s="428"/>
      <c r="AK15" s="428"/>
      <c r="AL15" s="429"/>
      <c r="AM15" s="427" t="s">
        <v>40</v>
      </c>
      <c r="AN15" s="428"/>
      <c r="AO15" s="428"/>
      <c r="AP15" s="429"/>
    </row>
    <row r="16" spans="1:42" ht="25.5" customHeight="1">
      <c r="A16" s="416"/>
      <c r="B16" s="423" t="s">
        <v>29</v>
      </c>
      <c r="C16" s="425"/>
      <c r="D16" s="425"/>
      <c r="E16" s="425"/>
      <c r="F16" s="426"/>
      <c r="G16" s="430">
        <f>SUM(G17:J27)</f>
        <v>11846239.331675803</v>
      </c>
      <c r="H16" s="431"/>
      <c r="I16" s="431"/>
      <c r="J16" s="432"/>
      <c r="K16" s="430">
        <f>SUM(K17:N27)</f>
        <v>6603205.0073142275</v>
      </c>
      <c r="L16" s="431"/>
      <c r="M16" s="431"/>
      <c r="N16" s="432"/>
      <c r="O16" s="430">
        <f>SUM(O17:R27)</f>
        <v>5243034.3243615767</v>
      </c>
      <c r="P16" s="431"/>
      <c r="Q16" s="431"/>
      <c r="R16" s="432"/>
      <c r="S16" s="433">
        <f>SUM(S17:V27)</f>
        <v>0</v>
      </c>
      <c r="T16" s="434"/>
      <c r="U16" s="434"/>
      <c r="V16" s="435"/>
      <c r="W16" s="433">
        <f>SUM(W17:Z27)</f>
        <v>0</v>
      </c>
      <c r="X16" s="434"/>
      <c r="Y16" s="434"/>
      <c r="Z16" s="435"/>
      <c r="AA16" s="433">
        <f>SUM(AA17:AD27)</f>
        <v>0</v>
      </c>
      <c r="AB16" s="434"/>
      <c r="AC16" s="434"/>
      <c r="AD16" s="435"/>
      <c r="AE16" s="433">
        <f>SUM(AE17:AH27)</f>
        <v>0</v>
      </c>
      <c r="AF16" s="434"/>
      <c r="AG16" s="434"/>
      <c r="AH16" s="435"/>
      <c r="AI16" s="433">
        <f>SUM(AI17:AL27)</f>
        <v>0</v>
      </c>
      <c r="AJ16" s="434"/>
      <c r="AK16" s="434"/>
      <c r="AL16" s="435"/>
      <c r="AM16" s="433">
        <f>SUM(AM17:AP27)</f>
        <v>0</v>
      </c>
      <c r="AN16" s="434"/>
      <c r="AO16" s="434"/>
      <c r="AP16" s="435"/>
    </row>
    <row r="17" spans="1:42" ht="25.5" customHeight="1">
      <c r="A17" s="416"/>
      <c r="B17" s="401" t="s">
        <v>36</v>
      </c>
      <c r="C17" s="410" t="s">
        <v>95</v>
      </c>
      <c r="D17" s="411"/>
      <c r="E17" s="411"/>
      <c r="F17" s="412"/>
      <c r="G17" s="398">
        <f>入力する経費!O3</f>
        <v>444372.72727272718</v>
      </c>
      <c r="H17" s="399"/>
      <c r="I17" s="399"/>
      <c r="J17" s="400"/>
      <c r="K17" s="398">
        <f>G17</f>
        <v>444372.72727272718</v>
      </c>
      <c r="L17" s="399"/>
      <c r="M17" s="399"/>
      <c r="N17" s="400"/>
      <c r="O17" s="398"/>
      <c r="P17" s="399"/>
      <c r="Q17" s="399"/>
      <c r="R17" s="400"/>
      <c r="S17" s="389">
        <f>SUM(W17:AD17)</f>
        <v>0</v>
      </c>
      <c r="T17" s="390"/>
      <c r="U17" s="390"/>
      <c r="V17" s="391"/>
      <c r="W17" s="389" t="s">
        <v>36</v>
      </c>
      <c r="X17" s="390"/>
      <c r="Y17" s="390"/>
      <c r="Z17" s="391"/>
      <c r="AA17" s="389" t="s">
        <v>36</v>
      </c>
      <c r="AB17" s="390"/>
      <c r="AC17" s="390"/>
      <c r="AD17" s="391"/>
      <c r="AE17" s="389">
        <f>SUM(AI17:AP17)</f>
        <v>0</v>
      </c>
      <c r="AF17" s="390"/>
      <c r="AG17" s="390"/>
      <c r="AH17" s="391"/>
      <c r="AI17" s="389" t="s">
        <v>36</v>
      </c>
      <c r="AJ17" s="390"/>
      <c r="AK17" s="390"/>
      <c r="AL17" s="391"/>
      <c r="AM17" s="389" t="s">
        <v>36</v>
      </c>
      <c r="AN17" s="390"/>
      <c r="AO17" s="390"/>
      <c r="AP17" s="391"/>
    </row>
    <row r="18" spans="1:42" ht="25.5" customHeight="1">
      <c r="A18" s="416"/>
      <c r="B18" s="401"/>
      <c r="C18" s="410" t="s">
        <v>93</v>
      </c>
      <c r="D18" s="411"/>
      <c r="E18" s="411"/>
      <c r="F18" s="412"/>
      <c r="G18" s="398">
        <f>入力する経費!O4</f>
        <v>699733.63636363624</v>
      </c>
      <c r="H18" s="399"/>
      <c r="I18" s="399"/>
      <c r="J18" s="400"/>
      <c r="K18" s="398">
        <f t="shared" ref="K18:K19" si="4">G18</f>
        <v>699733.63636363624</v>
      </c>
      <c r="L18" s="399"/>
      <c r="M18" s="399"/>
      <c r="N18" s="400"/>
      <c r="O18" s="398"/>
      <c r="P18" s="399"/>
      <c r="Q18" s="399"/>
      <c r="R18" s="400"/>
      <c r="S18" s="389">
        <f t="shared" ref="S18:S19" si="5">SUM(W18:AD18)</f>
        <v>0</v>
      </c>
      <c r="T18" s="390"/>
      <c r="U18" s="390"/>
      <c r="V18" s="391"/>
      <c r="W18" s="389" t="s">
        <v>36</v>
      </c>
      <c r="X18" s="390"/>
      <c r="Y18" s="390"/>
      <c r="Z18" s="391"/>
      <c r="AA18" s="389" t="s">
        <v>36</v>
      </c>
      <c r="AB18" s="390"/>
      <c r="AC18" s="390"/>
      <c r="AD18" s="391"/>
      <c r="AE18" s="389">
        <f t="shared" ref="AE18:AE19" si="6">SUM(AI18:AP18)</f>
        <v>0</v>
      </c>
      <c r="AF18" s="390"/>
      <c r="AG18" s="390"/>
      <c r="AH18" s="391"/>
      <c r="AI18" s="389" t="s">
        <v>36</v>
      </c>
      <c r="AJ18" s="390"/>
      <c r="AK18" s="390"/>
      <c r="AL18" s="391"/>
      <c r="AM18" s="389" t="s">
        <v>36</v>
      </c>
      <c r="AN18" s="390"/>
      <c r="AO18" s="390"/>
      <c r="AP18" s="391"/>
    </row>
    <row r="19" spans="1:42" ht="25.5" customHeight="1">
      <c r="A19" s="416"/>
      <c r="B19" s="401"/>
      <c r="C19" s="410" t="s">
        <v>149</v>
      </c>
      <c r="D19" s="411"/>
      <c r="E19" s="411"/>
      <c r="F19" s="412"/>
      <c r="G19" s="398">
        <f>入力する経費!O5</f>
        <v>363953.63636363635</v>
      </c>
      <c r="H19" s="399"/>
      <c r="I19" s="399"/>
      <c r="J19" s="400"/>
      <c r="K19" s="398">
        <f t="shared" si="4"/>
        <v>363953.63636363635</v>
      </c>
      <c r="L19" s="399"/>
      <c r="M19" s="399"/>
      <c r="N19" s="400"/>
      <c r="O19" s="398"/>
      <c r="P19" s="399"/>
      <c r="Q19" s="399"/>
      <c r="R19" s="400"/>
      <c r="S19" s="389">
        <f t="shared" si="5"/>
        <v>0</v>
      </c>
      <c r="T19" s="390"/>
      <c r="U19" s="390"/>
      <c r="V19" s="391"/>
      <c r="W19" s="389" t="s">
        <v>36</v>
      </c>
      <c r="X19" s="390"/>
      <c r="Y19" s="390"/>
      <c r="Z19" s="391"/>
      <c r="AA19" s="389" t="s">
        <v>36</v>
      </c>
      <c r="AB19" s="390"/>
      <c r="AC19" s="390"/>
      <c r="AD19" s="391"/>
      <c r="AE19" s="389">
        <f t="shared" si="6"/>
        <v>0</v>
      </c>
      <c r="AF19" s="390"/>
      <c r="AG19" s="390"/>
      <c r="AH19" s="391"/>
      <c r="AI19" s="389" t="s">
        <v>36</v>
      </c>
      <c r="AJ19" s="390"/>
      <c r="AK19" s="390"/>
      <c r="AL19" s="391"/>
      <c r="AM19" s="389" t="s">
        <v>36</v>
      </c>
      <c r="AN19" s="390"/>
      <c r="AO19" s="390"/>
      <c r="AP19" s="391"/>
    </row>
    <row r="20" spans="1:42" ht="25.5" customHeight="1">
      <c r="A20" s="416"/>
      <c r="B20" s="401"/>
      <c r="C20" s="410" t="s">
        <v>150</v>
      </c>
      <c r="D20" s="411"/>
      <c r="E20" s="411"/>
      <c r="F20" s="412"/>
      <c r="G20" s="398">
        <f>入力する経費!O6</f>
        <v>1201300</v>
      </c>
      <c r="H20" s="399"/>
      <c r="I20" s="399"/>
      <c r="J20" s="400"/>
      <c r="K20" s="398">
        <f t="shared" ref="K20:K23" si="7">G20</f>
        <v>1201300</v>
      </c>
      <c r="L20" s="399"/>
      <c r="M20" s="399"/>
      <c r="N20" s="400"/>
      <c r="O20" s="398"/>
      <c r="P20" s="399"/>
      <c r="Q20" s="399"/>
      <c r="R20" s="400"/>
      <c r="S20" s="389">
        <f t="shared" ref="S20:S23" si="8">SUM(W20:AD20)</f>
        <v>0</v>
      </c>
      <c r="T20" s="390"/>
      <c r="U20" s="390"/>
      <c r="V20" s="391"/>
      <c r="W20" s="389" t="s">
        <v>36</v>
      </c>
      <c r="X20" s="390"/>
      <c r="Y20" s="390"/>
      <c r="Z20" s="391"/>
      <c r="AA20" s="389" t="s">
        <v>36</v>
      </c>
      <c r="AB20" s="390"/>
      <c r="AC20" s="390"/>
      <c r="AD20" s="391"/>
      <c r="AE20" s="389">
        <f t="shared" ref="AE20:AE23" si="9">SUM(AI20:AP20)</f>
        <v>0</v>
      </c>
      <c r="AF20" s="390"/>
      <c r="AG20" s="390"/>
      <c r="AH20" s="391"/>
      <c r="AI20" s="389" t="s">
        <v>36</v>
      </c>
      <c r="AJ20" s="390"/>
      <c r="AK20" s="390"/>
      <c r="AL20" s="391"/>
      <c r="AM20" s="389" t="s">
        <v>36</v>
      </c>
      <c r="AN20" s="390"/>
      <c r="AO20" s="390"/>
      <c r="AP20" s="391"/>
    </row>
    <row r="21" spans="1:42" ht="25.5" customHeight="1">
      <c r="A21" s="416"/>
      <c r="B21" s="401"/>
      <c r="C21" s="410" t="s">
        <v>151</v>
      </c>
      <c r="D21" s="411"/>
      <c r="E21" s="411"/>
      <c r="F21" s="412"/>
      <c r="G21" s="398">
        <f>入力する経費!O9</f>
        <v>964826.99875041656</v>
      </c>
      <c r="H21" s="399"/>
      <c r="I21" s="399"/>
      <c r="J21" s="400"/>
      <c r="K21" s="398">
        <f t="shared" si="7"/>
        <v>964826.99875041656</v>
      </c>
      <c r="L21" s="399"/>
      <c r="M21" s="399"/>
      <c r="N21" s="400"/>
      <c r="O21" s="398"/>
      <c r="P21" s="399"/>
      <c r="Q21" s="399"/>
      <c r="R21" s="400"/>
      <c r="S21" s="389">
        <f t="shared" si="8"/>
        <v>0</v>
      </c>
      <c r="T21" s="390"/>
      <c r="U21" s="390"/>
      <c r="V21" s="391"/>
      <c r="W21" s="389" t="s">
        <v>36</v>
      </c>
      <c r="X21" s="390"/>
      <c r="Y21" s="390"/>
      <c r="Z21" s="391"/>
      <c r="AA21" s="389" t="s">
        <v>36</v>
      </c>
      <c r="AB21" s="390"/>
      <c r="AC21" s="390"/>
      <c r="AD21" s="391"/>
      <c r="AE21" s="389">
        <f t="shared" si="9"/>
        <v>0</v>
      </c>
      <c r="AF21" s="390"/>
      <c r="AG21" s="390"/>
      <c r="AH21" s="391"/>
      <c r="AI21" s="389" t="s">
        <v>36</v>
      </c>
      <c r="AJ21" s="390"/>
      <c r="AK21" s="390"/>
      <c r="AL21" s="391"/>
      <c r="AM21" s="389" t="s">
        <v>36</v>
      </c>
      <c r="AN21" s="390"/>
      <c r="AO21" s="390"/>
      <c r="AP21" s="391"/>
    </row>
    <row r="22" spans="1:42" ht="25.5" customHeight="1">
      <c r="A22" s="416"/>
      <c r="B22" s="401"/>
      <c r="C22" s="410" t="s">
        <v>119</v>
      </c>
      <c r="D22" s="411"/>
      <c r="E22" s="411"/>
      <c r="F22" s="412"/>
      <c r="G22" s="398">
        <f>入力する経費!O14</f>
        <v>277476.31824391871</v>
      </c>
      <c r="H22" s="399"/>
      <c r="I22" s="399"/>
      <c r="J22" s="400"/>
      <c r="K22" s="398">
        <f t="shared" si="7"/>
        <v>277476.31824391871</v>
      </c>
      <c r="L22" s="399"/>
      <c r="M22" s="399"/>
      <c r="N22" s="400"/>
      <c r="O22" s="398"/>
      <c r="P22" s="399"/>
      <c r="Q22" s="399"/>
      <c r="R22" s="400"/>
      <c r="S22" s="389">
        <f t="shared" si="8"/>
        <v>0</v>
      </c>
      <c r="T22" s="390"/>
      <c r="U22" s="390"/>
      <c r="V22" s="391"/>
      <c r="W22" s="389" t="s">
        <v>36</v>
      </c>
      <c r="X22" s="390"/>
      <c r="Y22" s="390"/>
      <c r="Z22" s="391"/>
      <c r="AA22" s="389" t="s">
        <v>36</v>
      </c>
      <c r="AB22" s="390"/>
      <c r="AC22" s="390"/>
      <c r="AD22" s="391"/>
      <c r="AE22" s="389">
        <f t="shared" si="9"/>
        <v>0</v>
      </c>
      <c r="AF22" s="390"/>
      <c r="AG22" s="390"/>
      <c r="AH22" s="391"/>
      <c r="AI22" s="389" t="s">
        <v>36</v>
      </c>
      <c r="AJ22" s="390"/>
      <c r="AK22" s="390"/>
      <c r="AL22" s="391"/>
      <c r="AM22" s="389" t="s">
        <v>36</v>
      </c>
      <c r="AN22" s="390"/>
      <c r="AO22" s="390"/>
      <c r="AP22" s="391"/>
    </row>
    <row r="23" spans="1:42" ht="25.5" customHeight="1">
      <c r="A23" s="416"/>
      <c r="B23" s="401"/>
      <c r="C23" s="410" t="s">
        <v>117</v>
      </c>
      <c r="D23" s="411"/>
      <c r="E23" s="411"/>
      <c r="F23" s="412"/>
      <c r="G23" s="398">
        <f>入力する経費!O12</f>
        <v>1499363.3481339552</v>
      </c>
      <c r="H23" s="399"/>
      <c r="I23" s="399"/>
      <c r="J23" s="400"/>
      <c r="K23" s="398">
        <f t="shared" si="7"/>
        <v>1499363.3481339552</v>
      </c>
      <c r="L23" s="399"/>
      <c r="M23" s="399"/>
      <c r="N23" s="400"/>
      <c r="O23" s="398"/>
      <c r="P23" s="399"/>
      <c r="Q23" s="399"/>
      <c r="R23" s="400"/>
      <c r="S23" s="389">
        <f t="shared" si="8"/>
        <v>0</v>
      </c>
      <c r="T23" s="390"/>
      <c r="U23" s="390"/>
      <c r="V23" s="391"/>
      <c r="W23" s="389" t="s">
        <v>36</v>
      </c>
      <c r="X23" s="390"/>
      <c r="Y23" s="390"/>
      <c r="Z23" s="391"/>
      <c r="AA23" s="389" t="s">
        <v>36</v>
      </c>
      <c r="AB23" s="390"/>
      <c r="AC23" s="390"/>
      <c r="AD23" s="391"/>
      <c r="AE23" s="389">
        <f t="shared" si="9"/>
        <v>0</v>
      </c>
      <c r="AF23" s="390"/>
      <c r="AG23" s="390"/>
      <c r="AH23" s="391"/>
      <c r="AI23" s="389" t="s">
        <v>36</v>
      </c>
      <c r="AJ23" s="390"/>
      <c r="AK23" s="390"/>
      <c r="AL23" s="391"/>
      <c r="AM23" s="389" t="s">
        <v>36</v>
      </c>
      <c r="AN23" s="390"/>
      <c r="AO23" s="390"/>
      <c r="AP23" s="391"/>
    </row>
    <row r="24" spans="1:42" ht="25.5" customHeight="1">
      <c r="A24" s="416"/>
      <c r="B24" s="401"/>
      <c r="C24" s="410" t="s">
        <v>153</v>
      </c>
      <c r="D24" s="411"/>
      <c r="E24" s="411"/>
      <c r="F24" s="412"/>
      <c r="G24" s="398">
        <f>入力する経費!O16</f>
        <v>1152178.342185938</v>
      </c>
      <c r="H24" s="399"/>
      <c r="I24" s="399"/>
      <c r="J24" s="400"/>
      <c r="K24" s="398">
        <f t="shared" ref="K24" si="10">G24</f>
        <v>1152178.342185938</v>
      </c>
      <c r="L24" s="399"/>
      <c r="M24" s="399"/>
      <c r="N24" s="400"/>
      <c r="O24" s="398"/>
      <c r="P24" s="399"/>
      <c r="Q24" s="399"/>
      <c r="R24" s="400"/>
      <c r="S24" s="389">
        <f t="shared" ref="S24:S26" si="11">SUM(W24:AD24)</f>
        <v>0</v>
      </c>
      <c r="T24" s="390"/>
      <c r="U24" s="390"/>
      <c r="V24" s="391"/>
      <c r="W24" s="389" t="s">
        <v>36</v>
      </c>
      <c r="X24" s="390"/>
      <c r="Y24" s="390"/>
      <c r="Z24" s="391"/>
      <c r="AA24" s="389" t="s">
        <v>36</v>
      </c>
      <c r="AB24" s="390"/>
      <c r="AC24" s="390"/>
      <c r="AD24" s="391"/>
      <c r="AE24" s="389">
        <f t="shared" ref="AE24:AE26" si="12">SUM(AI24:AP24)</f>
        <v>0</v>
      </c>
      <c r="AF24" s="390"/>
      <c r="AG24" s="390"/>
      <c r="AH24" s="391"/>
      <c r="AI24" s="389" t="s">
        <v>36</v>
      </c>
      <c r="AJ24" s="390"/>
      <c r="AK24" s="390"/>
      <c r="AL24" s="391"/>
      <c r="AM24" s="389" t="s">
        <v>36</v>
      </c>
      <c r="AN24" s="390"/>
      <c r="AO24" s="390"/>
      <c r="AP24" s="391"/>
    </row>
    <row r="25" spans="1:42" ht="25.5" customHeight="1">
      <c r="A25" s="416"/>
      <c r="B25" s="401"/>
      <c r="C25" s="410" t="s">
        <v>120</v>
      </c>
      <c r="D25" s="411"/>
      <c r="E25" s="411"/>
      <c r="F25" s="412"/>
      <c r="G25" s="398">
        <f>入力する経費!O15</f>
        <v>5137000</v>
      </c>
      <c r="H25" s="399"/>
      <c r="I25" s="399"/>
      <c r="J25" s="400"/>
      <c r="K25" s="398" t="s">
        <v>36</v>
      </c>
      <c r="L25" s="399"/>
      <c r="M25" s="399"/>
      <c r="N25" s="400"/>
      <c r="O25" s="398">
        <f>G25</f>
        <v>5137000</v>
      </c>
      <c r="P25" s="399"/>
      <c r="Q25" s="399"/>
      <c r="R25" s="400"/>
      <c r="S25" s="389">
        <f t="shared" si="11"/>
        <v>0</v>
      </c>
      <c r="T25" s="390"/>
      <c r="U25" s="390"/>
      <c r="V25" s="391"/>
      <c r="W25" s="389" t="s">
        <v>36</v>
      </c>
      <c r="X25" s="390"/>
      <c r="Y25" s="390"/>
      <c r="Z25" s="391"/>
      <c r="AA25" s="389" t="s">
        <v>36</v>
      </c>
      <c r="AB25" s="390"/>
      <c r="AC25" s="390"/>
      <c r="AD25" s="391"/>
      <c r="AE25" s="389">
        <f t="shared" si="12"/>
        <v>0</v>
      </c>
      <c r="AF25" s="390"/>
      <c r="AG25" s="390"/>
      <c r="AH25" s="391"/>
      <c r="AI25" s="389" t="s">
        <v>36</v>
      </c>
      <c r="AJ25" s="390"/>
      <c r="AK25" s="390"/>
      <c r="AL25" s="391"/>
      <c r="AM25" s="389" t="s">
        <v>36</v>
      </c>
      <c r="AN25" s="390"/>
      <c r="AO25" s="390"/>
      <c r="AP25" s="391"/>
    </row>
    <row r="26" spans="1:42" ht="25.5" customHeight="1">
      <c r="A26" s="416"/>
      <c r="B26" s="401"/>
      <c r="C26" s="410" t="s">
        <v>160</v>
      </c>
      <c r="D26" s="411"/>
      <c r="E26" s="411"/>
      <c r="F26" s="412"/>
      <c r="G26" s="398">
        <f>入力する経費!O10+入力する経費!O17+入力する経費!O18</f>
        <v>106034.32436157644</v>
      </c>
      <c r="H26" s="399"/>
      <c r="I26" s="399"/>
      <c r="J26" s="400"/>
      <c r="K26" s="398"/>
      <c r="L26" s="399"/>
      <c r="M26" s="399"/>
      <c r="N26" s="400"/>
      <c r="O26" s="398">
        <f>G26</f>
        <v>106034.32436157644</v>
      </c>
      <c r="P26" s="399"/>
      <c r="Q26" s="399"/>
      <c r="R26" s="400"/>
      <c r="S26" s="389">
        <f t="shared" si="11"/>
        <v>0</v>
      </c>
      <c r="T26" s="390"/>
      <c r="U26" s="390"/>
      <c r="V26" s="391"/>
      <c r="W26" s="389" t="s">
        <v>36</v>
      </c>
      <c r="X26" s="390"/>
      <c r="Y26" s="390"/>
      <c r="Z26" s="391"/>
      <c r="AA26" s="389" t="s">
        <v>36</v>
      </c>
      <c r="AB26" s="390"/>
      <c r="AC26" s="390"/>
      <c r="AD26" s="391"/>
      <c r="AE26" s="389">
        <f t="shared" si="12"/>
        <v>0</v>
      </c>
      <c r="AF26" s="390"/>
      <c r="AG26" s="390"/>
      <c r="AH26" s="391"/>
      <c r="AI26" s="389" t="s">
        <v>36</v>
      </c>
      <c r="AJ26" s="390"/>
      <c r="AK26" s="390"/>
      <c r="AL26" s="391"/>
      <c r="AM26" s="389" t="s">
        <v>36</v>
      </c>
      <c r="AN26" s="390"/>
      <c r="AO26" s="390"/>
      <c r="AP26" s="391"/>
    </row>
    <row r="27" spans="1:42" ht="25.5" customHeight="1">
      <c r="A27" s="416"/>
      <c r="B27" s="402"/>
      <c r="C27" s="410"/>
      <c r="D27" s="411"/>
      <c r="E27" s="411"/>
      <c r="F27" s="412"/>
      <c r="G27" s="398"/>
      <c r="H27" s="399"/>
      <c r="I27" s="399"/>
      <c r="J27" s="400"/>
      <c r="K27" s="398" t="s">
        <v>36</v>
      </c>
      <c r="L27" s="399"/>
      <c r="M27" s="399"/>
      <c r="N27" s="400"/>
      <c r="O27" s="398" t="s">
        <v>36</v>
      </c>
      <c r="P27" s="399"/>
      <c r="Q27" s="399"/>
      <c r="R27" s="400"/>
      <c r="S27" s="389">
        <f t="shared" ref="S27" si="13">SUM(W27:AD27)</f>
        <v>0</v>
      </c>
      <c r="T27" s="390"/>
      <c r="U27" s="390"/>
      <c r="V27" s="391"/>
      <c r="W27" s="389" t="s">
        <v>36</v>
      </c>
      <c r="X27" s="390"/>
      <c r="Y27" s="390"/>
      <c r="Z27" s="391"/>
      <c r="AA27" s="389" t="s">
        <v>36</v>
      </c>
      <c r="AB27" s="390"/>
      <c r="AC27" s="390"/>
      <c r="AD27" s="391"/>
      <c r="AE27" s="389">
        <f t="shared" ref="AE27" si="14">SUM(AI27:AP27)</f>
        <v>0</v>
      </c>
      <c r="AF27" s="390"/>
      <c r="AG27" s="390"/>
      <c r="AH27" s="391"/>
      <c r="AI27" s="389" t="s">
        <v>36</v>
      </c>
      <c r="AJ27" s="390"/>
      <c r="AK27" s="390"/>
      <c r="AL27" s="391"/>
      <c r="AM27" s="389" t="s">
        <v>36</v>
      </c>
      <c r="AN27" s="390"/>
      <c r="AO27" s="390"/>
      <c r="AP27" s="391"/>
    </row>
    <row r="28" spans="1:42" ht="25.5" customHeight="1">
      <c r="A28" s="416"/>
      <c r="B28" s="423" t="s">
        <v>41</v>
      </c>
      <c r="C28" s="424"/>
      <c r="D28" s="424"/>
      <c r="E28" s="424"/>
      <c r="F28" s="468"/>
      <c r="G28" s="413">
        <f>SUM(G29:J34)</f>
        <v>2182685.77289628</v>
      </c>
      <c r="H28" s="414"/>
      <c r="I28" s="414"/>
      <c r="J28" s="415"/>
      <c r="K28" s="413">
        <f>SUM(K29:N34)</f>
        <v>0</v>
      </c>
      <c r="L28" s="414"/>
      <c r="M28" s="414"/>
      <c r="N28" s="415"/>
      <c r="O28" s="413">
        <f t="shared" ref="O28" si="15">SUM(O29:R34)</f>
        <v>2182685.77289628</v>
      </c>
      <c r="P28" s="414"/>
      <c r="Q28" s="414"/>
      <c r="R28" s="415"/>
      <c r="S28" s="392" t="s">
        <v>58</v>
      </c>
      <c r="T28" s="393"/>
      <c r="U28" s="393"/>
      <c r="V28" s="394"/>
      <c r="W28" s="392">
        <f t="shared" ref="W28" si="16">SUM(W29:Z34)</f>
        <v>0</v>
      </c>
      <c r="X28" s="393"/>
      <c r="Y28" s="393"/>
      <c r="Z28" s="394"/>
      <c r="AA28" s="392">
        <f t="shared" ref="AA28" si="17">SUM(AA29:AD34)</f>
        <v>0</v>
      </c>
      <c r="AB28" s="393"/>
      <c r="AC28" s="393"/>
      <c r="AD28" s="394"/>
      <c r="AE28" s="392">
        <f>SUM(AE29:AH34)</f>
        <v>0</v>
      </c>
      <c r="AF28" s="393"/>
      <c r="AG28" s="393"/>
      <c r="AH28" s="394"/>
      <c r="AI28" s="392">
        <f t="shared" ref="AI28" si="18">SUM(AI29:AL34)</f>
        <v>0</v>
      </c>
      <c r="AJ28" s="393"/>
      <c r="AK28" s="393"/>
      <c r="AL28" s="394"/>
      <c r="AM28" s="392">
        <f t="shared" ref="AM28" si="19">SUM(AM29:AP34)</f>
        <v>0</v>
      </c>
      <c r="AN28" s="393"/>
      <c r="AO28" s="393"/>
      <c r="AP28" s="394"/>
    </row>
    <row r="29" spans="1:42" ht="25.5" customHeight="1">
      <c r="A29" s="416"/>
      <c r="B29" s="401" t="s">
        <v>36</v>
      </c>
      <c r="C29" s="395" t="s">
        <v>270</v>
      </c>
      <c r="D29" s="396"/>
      <c r="E29" s="396"/>
      <c r="F29" s="397"/>
      <c r="G29" s="398">
        <f>(入力する経費!C4*32862+入力する経費!C5*9474+SUM(入力する経費!C4:C7)*4000)/100</f>
        <v>284523.87040000001</v>
      </c>
      <c r="H29" s="399"/>
      <c r="I29" s="399"/>
      <c r="J29" s="400"/>
      <c r="K29" s="398"/>
      <c r="L29" s="399"/>
      <c r="M29" s="399"/>
      <c r="N29" s="400"/>
      <c r="O29" s="398">
        <f>G29</f>
        <v>284523.87040000001</v>
      </c>
      <c r="P29" s="399"/>
      <c r="Q29" s="399"/>
      <c r="R29" s="400"/>
      <c r="S29" s="389">
        <f>SUM(W29:AD29)</f>
        <v>0</v>
      </c>
      <c r="T29" s="390"/>
      <c r="U29" s="390"/>
      <c r="V29" s="391"/>
      <c r="W29" s="389" t="s">
        <v>36</v>
      </c>
      <c r="X29" s="390"/>
      <c r="Y29" s="390"/>
      <c r="Z29" s="391"/>
      <c r="AA29" s="389" t="s">
        <v>36</v>
      </c>
      <c r="AB29" s="390"/>
      <c r="AC29" s="390"/>
      <c r="AD29" s="391"/>
      <c r="AE29" s="389">
        <f>SUM(AI29:AP29)</f>
        <v>0</v>
      </c>
      <c r="AF29" s="390"/>
      <c r="AG29" s="390"/>
      <c r="AH29" s="391"/>
      <c r="AI29" s="389" t="s">
        <v>36</v>
      </c>
      <c r="AJ29" s="390"/>
      <c r="AK29" s="390"/>
      <c r="AL29" s="391"/>
      <c r="AM29" s="389" t="s">
        <v>36</v>
      </c>
      <c r="AN29" s="390"/>
      <c r="AO29" s="390"/>
      <c r="AP29" s="391"/>
    </row>
    <row r="30" spans="1:42" ht="25.5" customHeight="1">
      <c r="A30" s="416"/>
      <c r="B30" s="401"/>
      <c r="C30" s="395" t="s">
        <v>275</v>
      </c>
      <c r="D30" s="396"/>
      <c r="E30" s="396"/>
      <c r="F30" s="397"/>
      <c r="G30" s="398">
        <f>入力する経費!O28</f>
        <v>515462.08737404796</v>
      </c>
      <c r="H30" s="399"/>
      <c r="I30" s="399"/>
      <c r="J30" s="400"/>
      <c r="K30" s="398"/>
      <c r="L30" s="399"/>
      <c r="M30" s="399"/>
      <c r="N30" s="400"/>
      <c r="O30" s="398">
        <f>入力する経費!O28</f>
        <v>515462.08737404796</v>
      </c>
      <c r="P30" s="399"/>
      <c r="Q30" s="399"/>
      <c r="R30" s="400"/>
      <c r="S30" s="389">
        <f t="shared" ref="S30:S34" si="20">SUM(W30:AD30)</f>
        <v>0</v>
      </c>
      <c r="T30" s="390"/>
      <c r="U30" s="390"/>
      <c r="V30" s="391"/>
      <c r="W30" s="389" t="s">
        <v>36</v>
      </c>
      <c r="X30" s="390"/>
      <c r="Y30" s="390"/>
      <c r="Z30" s="391"/>
      <c r="AA30" s="389" t="s">
        <v>36</v>
      </c>
      <c r="AB30" s="390"/>
      <c r="AC30" s="390"/>
      <c r="AD30" s="391"/>
      <c r="AE30" s="389">
        <f t="shared" ref="AE30:AE34" si="21">SUM(AI30:AP30)</f>
        <v>0</v>
      </c>
      <c r="AF30" s="390"/>
      <c r="AG30" s="390"/>
      <c r="AH30" s="391"/>
      <c r="AI30" s="389" t="s">
        <v>36</v>
      </c>
      <c r="AJ30" s="390"/>
      <c r="AK30" s="390"/>
      <c r="AL30" s="391"/>
      <c r="AM30" s="389" t="s">
        <v>36</v>
      </c>
      <c r="AN30" s="390"/>
      <c r="AO30" s="390"/>
      <c r="AP30" s="391"/>
    </row>
    <row r="31" spans="1:42" ht="25.5" customHeight="1">
      <c r="A31" s="416"/>
      <c r="B31" s="401"/>
      <c r="C31" s="395" t="s">
        <v>154</v>
      </c>
      <c r="D31" s="396"/>
      <c r="E31" s="396"/>
      <c r="F31" s="397"/>
      <c r="G31" s="398">
        <f>入力する経費!O40</f>
        <v>14862.456864378541</v>
      </c>
      <c r="H31" s="399"/>
      <c r="I31" s="399"/>
      <c r="J31" s="400"/>
      <c r="K31" s="398"/>
      <c r="L31" s="399"/>
      <c r="M31" s="399"/>
      <c r="N31" s="400"/>
      <c r="O31" s="398">
        <f t="shared" ref="O31:O32" si="22">G31</f>
        <v>14862.456864378541</v>
      </c>
      <c r="P31" s="399"/>
      <c r="Q31" s="399"/>
      <c r="R31" s="400"/>
      <c r="S31" s="389">
        <f t="shared" ref="S31:S32" si="23">SUM(W31:AD31)</f>
        <v>0</v>
      </c>
      <c r="T31" s="390"/>
      <c r="U31" s="390"/>
      <c r="V31" s="391"/>
      <c r="W31" s="389" t="s">
        <v>36</v>
      </c>
      <c r="X31" s="390"/>
      <c r="Y31" s="390"/>
      <c r="Z31" s="391"/>
      <c r="AA31" s="389" t="s">
        <v>36</v>
      </c>
      <c r="AB31" s="390"/>
      <c r="AC31" s="390"/>
      <c r="AD31" s="391"/>
      <c r="AE31" s="389">
        <f t="shared" ref="AE31:AE32" si="24">SUM(AI31:AP31)</f>
        <v>0</v>
      </c>
      <c r="AF31" s="390"/>
      <c r="AG31" s="390"/>
      <c r="AH31" s="391"/>
      <c r="AI31" s="389" t="s">
        <v>36</v>
      </c>
      <c r="AJ31" s="390"/>
      <c r="AK31" s="390"/>
      <c r="AL31" s="391"/>
      <c r="AM31" s="389" t="s">
        <v>36</v>
      </c>
      <c r="AN31" s="390"/>
      <c r="AO31" s="390"/>
      <c r="AP31" s="391"/>
    </row>
    <row r="32" spans="1:42" ht="25.5" customHeight="1">
      <c r="A32" s="416"/>
      <c r="B32" s="401"/>
      <c r="C32" s="395" t="s">
        <v>161</v>
      </c>
      <c r="D32" s="396"/>
      <c r="E32" s="396"/>
      <c r="F32" s="397"/>
      <c r="G32" s="398">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32" s="399"/>
      <c r="I32" s="399"/>
      <c r="J32" s="400"/>
      <c r="K32" s="398"/>
      <c r="L32" s="399"/>
      <c r="M32" s="399"/>
      <c r="N32" s="400"/>
      <c r="O32" s="398">
        <f t="shared" si="22"/>
        <v>1367837.3582578537</v>
      </c>
      <c r="P32" s="399"/>
      <c r="Q32" s="399"/>
      <c r="R32" s="400"/>
      <c r="S32" s="389">
        <f t="shared" si="23"/>
        <v>0</v>
      </c>
      <c r="T32" s="390"/>
      <c r="U32" s="390"/>
      <c r="V32" s="391"/>
      <c r="W32" s="389" t="s">
        <v>36</v>
      </c>
      <c r="X32" s="390"/>
      <c r="Y32" s="390"/>
      <c r="Z32" s="391"/>
      <c r="AA32" s="389" t="s">
        <v>36</v>
      </c>
      <c r="AB32" s="390"/>
      <c r="AC32" s="390"/>
      <c r="AD32" s="391"/>
      <c r="AE32" s="389">
        <f t="shared" si="24"/>
        <v>0</v>
      </c>
      <c r="AF32" s="390"/>
      <c r="AG32" s="390"/>
      <c r="AH32" s="391"/>
      <c r="AI32" s="389" t="s">
        <v>36</v>
      </c>
      <c r="AJ32" s="390"/>
      <c r="AK32" s="390"/>
      <c r="AL32" s="391"/>
      <c r="AM32" s="389" t="s">
        <v>36</v>
      </c>
      <c r="AN32" s="390"/>
      <c r="AO32" s="390"/>
      <c r="AP32" s="391"/>
    </row>
    <row r="33" spans="1:44" ht="25.5" customHeight="1">
      <c r="A33" s="416"/>
      <c r="B33" s="402"/>
      <c r="C33" s="395"/>
      <c r="D33" s="396"/>
      <c r="E33" s="396"/>
      <c r="F33" s="397"/>
      <c r="G33" s="398">
        <f>SUM(K33:R33)</f>
        <v>0</v>
      </c>
      <c r="H33" s="399"/>
      <c r="I33" s="399"/>
      <c r="J33" s="400"/>
      <c r="K33" s="398" t="s">
        <v>36</v>
      </c>
      <c r="L33" s="399"/>
      <c r="M33" s="399"/>
      <c r="N33" s="400"/>
      <c r="O33" s="398" t="s">
        <v>36</v>
      </c>
      <c r="P33" s="399"/>
      <c r="Q33" s="399"/>
      <c r="R33" s="400"/>
      <c r="S33" s="389">
        <f t="shared" si="20"/>
        <v>0</v>
      </c>
      <c r="T33" s="390"/>
      <c r="U33" s="390"/>
      <c r="V33" s="391"/>
      <c r="W33" s="389" t="s">
        <v>36</v>
      </c>
      <c r="X33" s="390"/>
      <c r="Y33" s="390"/>
      <c r="Z33" s="391"/>
      <c r="AA33" s="389" t="s">
        <v>36</v>
      </c>
      <c r="AB33" s="390"/>
      <c r="AC33" s="390"/>
      <c r="AD33" s="391"/>
      <c r="AE33" s="389">
        <f t="shared" si="21"/>
        <v>0</v>
      </c>
      <c r="AF33" s="390"/>
      <c r="AG33" s="390"/>
      <c r="AH33" s="391"/>
      <c r="AI33" s="389" t="s">
        <v>36</v>
      </c>
      <c r="AJ33" s="390"/>
      <c r="AK33" s="390"/>
      <c r="AL33" s="391"/>
      <c r="AM33" s="389" t="s">
        <v>36</v>
      </c>
      <c r="AN33" s="390"/>
      <c r="AO33" s="390"/>
      <c r="AP33" s="391"/>
    </row>
    <row r="34" spans="1:44" ht="25.5" customHeight="1" thickBot="1">
      <c r="A34" s="416"/>
      <c r="B34" s="403"/>
      <c r="C34" s="404"/>
      <c r="D34" s="405"/>
      <c r="E34" s="405"/>
      <c r="F34" s="406"/>
      <c r="G34" s="407">
        <f t="shared" ref="G34" si="25">SUM(K34:R34)</f>
        <v>0</v>
      </c>
      <c r="H34" s="408"/>
      <c r="I34" s="408"/>
      <c r="J34" s="409"/>
      <c r="K34" s="407" t="s">
        <v>36</v>
      </c>
      <c r="L34" s="408"/>
      <c r="M34" s="408"/>
      <c r="N34" s="409"/>
      <c r="O34" s="407" t="s">
        <v>36</v>
      </c>
      <c r="P34" s="408"/>
      <c r="Q34" s="408"/>
      <c r="R34" s="409"/>
      <c r="S34" s="380">
        <f t="shared" si="20"/>
        <v>0</v>
      </c>
      <c r="T34" s="381"/>
      <c r="U34" s="381"/>
      <c r="V34" s="382"/>
      <c r="W34" s="380" t="s">
        <v>36</v>
      </c>
      <c r="X34" s="381"/>
      <c r="Y34" s="381"/>
      <c r="Z34" s="382"/>
      <c r="AA34" s="380" t="s">
        <v>36</v>
      </c>
      <c r="AB34" s="381"/>
      <c r="AC34" s="381"/>
      <c r="AD34" s="382"/>
      <c r="AE34" s="380">
        <f t="shared" si="21"/>
        <v>0</v>
      </c>
      <c r="AF34" s="381"/>
      <c r="AG34" s="381"/>
      <c r="AH34" s="382"/>
      <c r="AI34" s="380" t="s">
        <v>36</v>
      </c>
      <c r="AJ34" s="381"/>
      <c r="AK34" s="381"/>
      <c r="AL34" s="382"/>
      <c r="AM34" s="380" t="s">
        <v>36</v>
      </c>
      <c r="AN34" s="381"/>
      <c r="AO34" s="381"/>
      <c r="AP34" s="382"/>
      <c r="AR34" s="586"/>
    </row>
    <row r="35" spans="1:44" ht="25.5" customHeight="1" thickTop="1">
      <c r="A35" s="416"/>
      <c r="B35" s="383" t="s">
        <v>42</v>
      </c>
      <c r="C35" s="384"/>
      <c r="D35" s="384"/>
      <c r="E35" s="384"/>
      <c r="F35" s="385"/>
      <c r="G35" s="386">
        <f>SUM(G16,G28)</f>
        <v>14028925.104572084</v>
      </c>
      <c r="H35" s="387"/>
      <c r="I35" s="387"/>
      <c r="J35" s="388"/>
      <c r="K35" s="386">
        <f>SUM(K16,K28)</f>
        <v>6603205.0073142275</v>
      </c>
      <c r="L35" s="387"/>
      <c r="M35" s="387"/>
      <c r="N35" s="388"/>
      <c r="O35" s="386">
        <f>SUM(O16,O28)</f>
        <v>7425720.0972578563</v>
      </c>
      <c r="P35" s="387"/>
      <c r="Q35" s="387"/>
      <c r="R35" s="388"/>
      <c r="S35" s="374">
        <f>SUM(S16,S28)</f>
        <v>0</v>
      </c>
      <c r="T35" s="375"/>
      <c r="U35" s="375"/>
      <c r="V35" s="376"/>
      <c r="W35" s="374">
        <f>SUM(W16,W28)</f>
        <v>0</v>
      </c>
      <c r="X35" s="375"/>
      <c r="Y35" s="375"/>
      <c r="Z35" s="376"/>
      <c r="AA35" s="374">
        <f>SUM(AA16,AA28)</f>
        <v>0</v>
      </c>
      <c r="AB35" s="375"/>
      <c r="AC35" s="375"/>
      <c r="AD35" s="376"/>
      <c r="AE35" s="374">
        <f>SUM(AE16,AE28)</f>
        <v>0</v>
      </c>
      <c r="AF35" s="375"/>
      <c r="AG35" s="375"/>
      <c r="AH35" s="376"/>
      <c r="AI35" s="374">
        <f>SUM(AI16,AI28)</f>
        <v>0</v>
      </c>
      <c r="AJ35" s="375"/>
      <c r="AK35" s="375"/>
      <c r="AL35" s="376"/>
      <c r="AM35" s="374">
        <f>SUM(AM16,AM28)</f>
        <v>0</v>
      </c>
      <c r="AN35" s="375"/>
      <c r="AO35" s="375"/>
      <c r="AP35" s="376"/>
    </row>
    <row r="36" spans="1:44" ht="21.6" customHeight="1">
      <c r="B36" s="2" t="s">
        <v>43</v>
      </c>
    </row>
    <row r="38" spans="1:44" ht="17.25" customHeight="1">
      <c r="H38" s="331"/>
    </row>
    <row r="39" spans="1:44" ht="17.25" customHeight="1"/>
    <row r="40" spans="1:44" ht="17.25" customHeight="1"/>
    <row r="41" spans="1:44" ht="17.25" customHeight="1"/>
    <row r="42" spans="1:44" ht="17.25" customHeight="1"/>
    <row r="43" spans="1:44" ht="17.25" customHeight="1"/>
    <row r="44" spans="1:44" ht="17.25" customHeight="1"/>
    <row r="45" spans="1:44" ht="17.25" customHeight="1"/>
    <row r="46" spans="1:44" ht="17.25" customHeight="1"/>
    <row r="47" spans="1:44" ht="17.25" customHeight="1"/>
    <row r="48" spans="1:44" ht="17.25" customHeight="1"/>
    <row r="49" ht="7.5" customHeight="1"/>
    <row r="50" ht="6" customHeight="1"/>
    <row r="51" ht="19.5" customHeight="1"/>
    <row r="52" ht="18" customHeight="1"/>
    <row r="53" ht="18"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sheetData>
  <mergeCells count="283">
    <mergeCell ref="AM25:AP25"/>
    <mergeCell ref="C31:F31"/>
    <mergeCell ref="G31:J31"/>
    <mergeCell ref="K31:N31"/>
    <mergeCell ref="O31:R31"/>
    <mergeCell ref="S31:V31"/>
    <mergeCell ref="W31:Z31"/>
    <mergeCell ref="AA31:AD31"/>
    <mergeCell ref="AE31:AH31"/>
    <mergeCell ref="AI31:AL31"/>
    <mergeCell ref="AM31:AP31"/>
    <mergeCell ref="C25:F25"/>
    <mergeCell ref="G25:J25"/>
    <mergeCell ref="K25:N25"/>
    <mergeCell ref="O25:R25"/>
    <mergeCell ref="S25:V25"/>
    <mergeCell ref="W25:Z25"/>
    <mergeCell ref="AA25:AD25"/>
    <mergeCell ref="AE25:AH25"/>
    <mergeCell ref="AI25:AL25"/>
    <mergeCell ref="AM26:AP26"/>
    <mergeCell ref="AI26:AL26"/>
    <mergeCell ref="AM27:AP27"/>
    <mergeCell ref="B28:F28"/>
    <mergeCell ref="AM23:AP23"/>
    <mergeCell ref="C24:F24"/>
    <mergeCell ref="G24:J24"/>
    <mergeCell ref="K24:N24"/>
    <mergeCell ref="O24:R24"/>
    <mergeCell ref="S24:V24"/>
    <mergeCell ref="W24:Z24"/>
    <mergeCell ref="AA24:AD24"/>
    <mergeCell ref="AE24:AH24"/>
    <mergeCell ref="AI24:AL24"/>
    <mergeCell ref="AM24:AP24"/>
    <mergeCell ref="C23:F23"/>
    <mergeCell ref="G23:J23"/>
    <mergeCell ref="K23:N23"/>
    <mergeCell ref="O23:R23"/>
    <mergeCell ref="S23:V23"/>
    <mergeCell ref="W23:Z23"/>
    <mergeCell ref="AA23:AD23"/>
    <mergeCell ref="AE23:AH23"/>
    <mergeCell ref="AI23:AL23"/>
    <mergeCell ref="AM21:AP21"/>
    <mergeCell ref="C22:F22"/>
    <mergeCell ref="G22:J22"/>
    <mergeCell ref="K22:N22"/>
    <mergeCell ref="O22:R22"/>
    <mergeCell ref="S22:V22"/>
    <mergeCell ref="W22:Z22"/>
    <mergeCell ref="AA22:AD22"/>
    <mergeCell ref="AE22:AH22"/>
    <mergeCell ref="AI22:AL22"/>
    <mergeCell ref="AM22:AP22"/>
    <mergeCell ref="C21:F21"/>
    <mergeCell ref="G21:J21"/>
    <mergeCell ref="K21:N21"/>
    <mergeCell ref="O21:R21"/>
    <mergeCell ref="S21:V21"/>
    <mergeCell ref="W21:Z21"/>
    <mergeCell ref="AA21:AD21"/>
    <mergeCell ref="AE21:AH21"/>
    <mergeCell ref="AI21:AL21"/>
    <mergeCell ref="AM20:AP20"/>
    <mergeCell ref="C20:F20"/>
    <mergeCell ref="G20:J20"/>
    <mergeCell ref="K20:N20"/>
    <mergeCell ref="O20:R20"/>
    <mergeCell ref="S20:V20"/>
    <mergeCell ref="W20:Z20"/>
    <mergeCell ref="AA20:AD20"/>
    <mergeCell ref="AE20:AH20"/>
    <mergeCell ref="AI20:AL20"/>
    <mergeCell ref="AH4:AK4"/>
    <mergeCell ref="AL4:AO4"/>
    <mergeCell ref="L6:O6"/>
    <mergeCell ref="P6:S6"/>
    <mergeCell ref="T6:W6"/>
    <mergeCell ref="Y6:AC6"/>
    <mergeCell ref="AD6:AG6"/>
    <mergeCell ref="AH6:AK6"/>
    <mergeCell ref="A1:AM1"/>
    <mergeCell ref="A2:AM2"/>
    <mergeCell ref="A4:A11"/>
    <mergeCell ref="L4:O4"/>
    <mergeCell ref="P4:S4"/>
    <mergeCell ref="T4:W4"/>
    <mergeCell ref="Y4:AC4"/>
    <mergeCell ref="AD4:AG4"/>
    <mergeCell ref="B5:K5"/>
    <mergeCell ref="L5:O5"/>
    <mergeCell ref="P5:S5"/>
    <mergeCell ref="T5:W5"/>
    <mergeCell ref="Y5:AC5"/>
    <mergeCell ref="AD5:AG5"/>
    <mergeCell ref="AH5:AK5"/>
    <mergeCell ref="AL5:AO5"/>
    <mergeCell ref="AL6:AO6"/>
    <mergeCell ref="L7:O7"/>
    <mergeCell ref="P7:S7"/>
    <mergeCell ref="T7:W7"/>
    <mergeCell ref="Z7:AC7"/>
    <mergeCell ref="AD7:AG7"/>
    <mergeCell ref="AH7:AK7"/>
    <mergeCell ref="AL7:AO7"/>
    <mergeCell ref="AH8:AK8"/>
    <mergeCell ref="AL8:AO8"/>
    <mergeCell ref="L9:O9"/>
    <mergeCell ref="P9:S9"/>
    <mergeCell ref="T9:W9"/>
    <mergeCell ref="Z9:AC9"/>
    <mergeCell ref="AD9:AG9"/>
    <mergeCell ref="AH9:AK9"/>
    <mergeCell ref="AL9:AO9"/>
    <mergeCell ref="L8:O8"/>
    <mergeCell ref="P8:S8"/>
    <mergeCell ref="T8:W8"/>
    <mergeCell ref="Z8:AC8"/>
    <mergeCell ref="AD8:AG8"/>
    <mergeCell ref="AL10:AO10"/>
    <mergeCell ref="L11:O11"/>
    <mergeCell ref="P11:S11"/>
    <mergeCell ref="T11:W11"/>
    <mergeCell ref="B11:K11"/>
    <mergeCell ref="L10:O10"/>
    <mergeCell ref="P10:S10"/>
    <mergeCell ref="T10:W10"/>
    <mergeCell ref="Z10:AC10"/>
    <mergeCell ref="AD10:AG10"/>
    <mergeCell ref="AH10:AK10"/>
    <mergeCell ref="Z11:AC11"/>
    <mergeCell ref="AD11:AG11"/>
    <mergeCell ref="AH11:AK11"/>
    <mergeCell ref="AL11:AO11"/>
    <mergeCell ref="A14:A35"/>
    <mergeCell ref="B14:F15"/>
    <mergeCell ref="G14:R14"/>
    <mergeCell ref="S14:AD14"/>
    <mergeCell ref="AE14:AP14"/>
    <mergeCell ref="G15:J15"/>
    <mergeCell ref="K15:N15"/>
    <mergeCell ref="O15:R15"/>
    <mergeCell ref="S15:V15"/>
    <mergeCell ref="W15:Z15"/>
    <mergeCell ref="AA15:AD15"/>
    <mergeCell ref="AE15:AH15"/>
    <mergeCell ref="AI15:AL15"/>
    <mergeCell ref="AM15:AP15"/>
    <mergeCell ref="B16:F16"/>
    <mergeCell ref="G16:J16"/>
    <mergeCell ref="K16:N16"/>
    <mergeCell ref="O16:R16"/>
    <mergeCell ref="S16:V16"/>
    <mergeCell ref="W16:Z16"/>
    <mergeCell ref="AA16:AD16"/>
    <mergeCell ref="AE16:AH16"/>
    <mergeCell ref="AI16:AL16"/>
    <mergeCell ref="AM16:AP16"/>
    <mergeCell ref="AE17:AH17"/>
    <mergeCell ref="C26:F26"/>
    <mergeCell ref="G26:J26"/>
    <mergeCell ref="K26:N26"/>
    <mergeCell ref="O26:R26"/>
    <mergeCell ref="S26:V26"/>
    <mergeCell ref="W26:Z26"/>
    <mergeCell ref="AA26:AD26"/>
    <mergeCell ref="AE26:AH26"/>
    <mergeCell ref="C18:F18"/>
    <mergeCell ref="G18:J18"/>
    <mergeCell ref="K18:N18"/>
    <mergeCell ref="O18:R18"/>
    <mergeCell ref="S18:V18"/>
    <mergeCell ref="W18:Z18"/>
    <mergeCell ref="G28:J28"/>
    <mergeCell ref="K28:N28"/>
    <mergeCell ref="O28:R28"/>
    <mergeCell ref="S28:V28"/>
    <mergeCell ref="C27:F27"/>
    <mergeCell ref="G27:J27"/>
    <mergeCell ref="K27:N27"/>
    <mergeCell ref="O27:R27"/>
    <mergeCell ref="S27:V27"/>
    <mergeCell ref="B17:B27"/>
    <mergeCell ref="AI17:AL17"/>
    <mergeCell ref="AM17:AP17"/>
    <mergeCell ref="AA18:AD18"/>
    <mergeCell ref="AE18:AH18"/>
    <mergeCell ref="AI18:AL18"/>
    <mergeCell ref="AM18:AP18"/>
    <mergeCell ref="C19:F19"/>
    <mergeCell ref="G19:J19"/>
    <mergeCell ref="K19:N19"/>
    <mergeCell ref="O19:R19"/>
    <mergeCell ref="S19:V19"/>
    <mergeCell ref="W19:Z19"/>
    <mergeCell ref="AA19:AD19"/>
    <mergeCell ref="AE19:AH19"/>
    <mergeCell ref="AI19:AL19"/>
    <mergeCell ref="AM19:AP19"/>
    <mergeCell ref="C17:F17"/>
    <mergeCell ref="G17:J17"/>
    <mergeCell ref="K17:N17"/>
    <mergeCell ref="O17:R17"/>
    <mergeCell ref="S17:V17"/>
    <mergeCell ref="W17:Z17"/>
    <mergeCell ref="AA17:AD17"/>
    <mergeCell ref="W27:Z27"/>
    <mergeCell ref="AA27:AD27"/>
    <mergeCell ref="AE27:AH27"/>
    <mergeCell ref="AI27:AL27"/>
    <mergeCell ref="S29:V29"/>
    <mergeCell ref="W29:Z29"/>
    <mergeCell ref="AA29:AD29"/>
    <mergeCell ref="AE29:AH29"/>
    <mergeCell ref="AI29:AL29"/>
    <mergeCell ref="C30:F30"/>
    <mergeCell ref="G30:J30"/>
    <mergeCell ref="K30:N30"/>
    <mergeCell ref="O30:R30"/>
    <mergeCell ref="S30:V30"/>
    <mergeCell ref="W30:Z30"/>
    <mergeCell ref="S32:V32"/>
    <mergeCell ref="W32:Z32"/>
    <mergeCell ref="B29:B34"/>
    <mergeCell ref="C29:F29"/>
    <mergeCell ref="G29:J29"/>
    <mergeCell ref="K29:N29"/>
    <mergeCell ref="O29:R29"/>
    <mergeCell ref="C34:F34"/>
    <mergeCell ref="G34:J34"/>
    <mergeCell ref="K34:N34"/>
    <mergeCell ref="O34:R34"/>
    <mergeCell ref="S34:V34"/>
    <mergeCell ref="W34:Z34"/>
    <mergeCell ref="C32:F32"/>
    <mergeCell ref="G32:J32"/>
    <mergeCell ref="K32:N32"/>
    <mergeCell ref="O32:R32"/>
    <mergeCell ref="AA32:AD32"/>
    <mergeCell ref="AE32:AH32"/>
    <mergeCell ref="AI32:AL32"/>
    <mergeCell ref="AM32:AP32"/>
    <mergeCell ref="C33:F33"/>
    <mergeCell ref="G33:J33"/>
    <mergeCell ref="K33:N33"/>
    <mergeCell ref="O33:R33"/>
    <mergeCell ref="S33:V33"/>
    <mergeCell ref="W33:Z33"/>
    <mergeCell ref="AM29:AP29"/>
    <mergeCell ref="W28:Z28"/>
    <mergeCell ref="AA28:AD28"/>
    <mergeCell ref="AE28:AH28"/>
    <mergeCell ref="AI28:AL28"/>
    <mergeCell ref="AM28:AP28"/>
    <mergeCell ref="AM30:AP30"/>
    <mergeCell ref="AA30:AD30"/>
    <mergeCell ref="AE30:AH30"/>
    <mergeCell ref="AI30:AL30"/>
    <mergeCell ref="AA35:AD35"/>
    <mergeCell ref="AE35:AH35"/>
    <mergeCell ref="AI35:AL35"/>
    <mergeCell ref="AM35:AP35"/>
    <mergeCell ref="B4:K4"/>
    <mergeCell ref="B6:K6"/>
    <mergeCell ref="B7:K7"/>
    <mergeCell ref="B8:K8"/>
    <mergeCell ref="B9:K9"/>
    <mergeCell ref="B10:K10"/>
    <mergeCell ref="AA34:AD34"/>
    <mergeCell ref="AE34:AH34"/>
    <mergeCell ref="AI34:AL34"/>
    <mergeCell ref="AM34:AP34"/>
    <mergeCell ref="B35:F35"/>
    <mergeCell ref="G35:J35"/>
    <mergeCell ref="K35:N35"/>
    <mergeCell ref="O35:R35"/>
    <mergeCell ref="S35:V35"/>
    <mergeCell ref="W35:Z35"/>
    <mergeCell ref="AA33:AD33"/>
    <mergeCell ref="AE33:AH33"/>
    <mergeCell ref="AI33:AL33"/>
    <mergeCell ref="AM33:AP33"/>
  </mergeCells>
  <phoneticPr fontId="21"/>
  <pageMargins left="0.74803149606299213" right="0.74803149606299213" top="0.98425196850393704" bottom="0.43307086614173229" header="0.51181102362204722" footer="0.51181102362204722"/>
  <pageSetup paperSize="9" scale="53"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0000-F3F6-4B96-A200-DFE5FA0B114C}">
  <sheetPr>
    <pageSetUpPr fitToPage="1"/>
  </sheetPr>
  <dimension ref="B1:AG40"/>
  <sheetViews>
    <sheetView workbookViewId="0">
      <pane ySplit="2" topLeftCell="A15" activePane="bottomLeft" state="frozen"/>
      <selection pane="bottomLeft" activeCell="J12" sqref="J12"/>
    </sheetView>
  </sheetViews>
  <sheetFormatPr defaultRowHeight="18.75"/>
  <cols>
    <col min="2" max="2" width="23.5" bestFit="1" customWidth="1"/>
    <col min="3" max="3" width="11.875" customWidth="1"/>
    <col min="4" max="4" width="12.5" customWidth="1"/>
    <col min="5" max="5" width="14.5" customWidth="1"/>
    <col min="7" max="7" width="12.125" customWidth="1"/>
    <col min="8" max="8" width="29.625" style="35" bestFit="1" customWidth="1"/>
    <col min="9" max="9" width="15.125" bestFit="1" customWidth="1"/>
    <col min="10" max="33" width="10.625" style="50" customWidth="1"/>
  </cols>
  <sheetData>
    <row r="1" spans="2:33">
      <c r="B1" t="s">
        <v>101</v>
      </c>
      <c r="J1" s="39" t="s">
        <v>97</v>
      </c>
      <c r="K1" s="50" t="s">
        <v>158</v>
      </c>
      <c r="L1" s="51"/>
      <c r="M1" s="51"/>
      <c r="N1" s="40"/>
      <c r="O1" s="41"/>
      <c r="P1" s="39" t="s">
        <v>98</v>
      </c>
      <c r="Q1" s="40" t="s">
        <v>158</v>
      </c>
      <c r="R1" s="40"/>
      <c r="S1" s="40"/>
      <c r="T1" s="40"/>
      <c r="U1" s="41"/>
      <c r="V1" s="39" t="s">
        <v>156</v>
      </c>
      <c r="W1" s="40" t="s">
        <v>158</v>
      </c>
      <c r="X1" s="40"/>
      <c r="Y1" s="40"/>
      <c r="Z1" s="40"/>
      <c r="AA1" s="41"/>
      <c r="AB1" s="39" t="s">
        <v>157</v>
      </c>
      <c r="AC1" s="40" t="s">
        <v>158</v>
      </c>
      <c r="AD1" s="40"/>
      <c r="AE1" s="40"/>
      <c r="AF1" s="40"/>
      <c r="AG1" s="41"/>
    </row>
    <row r="2" spans="2:33">
      <c r="B2" s="36" t="s">
        <v>107</v>
      </c>
      <c r="C2" s="36" t="s">
        <v>102</v>
      </c>
      <c r="D2" s="36" t="s">
        <v>103</v>
      </c>
      <c r="E2" s="36" t="s">
        <v>104</v>
      </c>
      <c r="F2" s="36" t="s">
        <v>105</v>
      </c>
      <c r="I2" s="35" t="s">
        <v>99</v>
      </c>
      <c r="J2" s="42" t="s">
        <v>108</v>
      </c>
      <c r="K2" s="43" t="s">
        <v>90</v>
      </c>
      <c r="L2" s="43" t="s">
        <v>96</v>
      </c>
      <c r="M2" s="43" t="s">
        <v>241</v>
      </c>
      <c r="N2" s="43" t="s">
        <v>240</v>
      </c>
      <c r="O2" s="44" t="s">
        <v>100</v>
      </c>
      <c r="P2" s="42" t="s">
        <v>108</v>
      </c>
      <c r="Q2" s="43" t="s">
        <v>90</v>
      </c>
      <c r="R2" s="43" t="s">
        <v>96</v>
      </c>
      <c r="S2" s="43" t="s">
        <v>241</v>
      </c>
      <c r="T2" s="43" t="s">
        <v>240</v>
      </c>
      <c r="U2" s="44" t="s">
        <v>100</v>
      </c>
      <c r="V2" s="42" t="s">
        <v>108</v>
      </c>
      <c r="W2" s="43" t="s">
        <v>90</v>
      </c>
      <c r="X2" s="43" t="s">
        <v>96</v>
      </c>
      <c r="Y2" s="43" t="s">
        <v>241</v>
      </c>
      <c r="Z2" s="43" t="s">
        <v>240</v>
      </c>
      <c r="AA2" s="44" t="s">
        <v>100</v>
      </c>
      <c r="AB2" s="42" t="s">
        <v>108</v>
      </c>
      <c r="AC2" s="43" t="s">
        <v>90</v>
      </c>
      <c r="AD2" s="43" t="s">
        <v>96</v>
      </c>
      <c r="AE2" s="43" t="s">
        <v>241</v>
      </c>
      <c r="AF2" s="43" t="s">
        <v>240</v>
      </c>
      <c r="AG2" s="44" t="s">
        <v>100</v>
      </c>
    </row>
    <row r="3" spans="2:33">
      <c r="B3" s="36" t="s">
        <v>106</v>
      </c>
      <c r="C3" s="78">
        <v>6002</v>
      </c>
      <c r="D3" s="37"/>
      <c r="E3" s="37"/>
      <c r="F3" s="37"/>
      <c r="H3" s="35" t="s">
        <v>125</v>
      </c>
      <c r="I3" s="38" t="s">
        <v>109</v>
      </c>
      <c r="J3" s="52">
        <v>337164</v>
      </c>
      <c r="K3" s="56">
        <v>389799.99999999994</v>
      </c>
      <c r="L3" s="56">
        <v>54572.727272727265</v>
      </c>
      <c r="M3" s="56">
        <v>0</v>
      </c>
      <c r="N3" s="56">
        <v>0</v>
      </c>
      <c r="O3" s="45">
        <f>SUM(K3:N3)</f>
        <v>444372.72727272718</v>
      </c>
      <c r="P3" s="52"/>
      <c r="Q3" s="56"/>
      <c r="R3" s="56"/>
      <c r="S3" s="56"/>
      <c r="T3" s="56"/>
      <c r="U3" s="45">
        <f>SUM(Q3:T3)</f>
        <v>0</v>
      </c>
      <c r="V3" s="52"/>
      <c r="W3" s="56"/>
      <c r="X3" s="56"/>
      <c r="Y3" s="56"/>
      <c r="Z3" s="56"/>
      <c r="AA3" s="45">
        <f>SUM(W3:Z3)</f>
        <v>0</v>
      </c>
      <c r="AB3" s="52"/>
      <c r="AC3" s="56"/>
      <c r="AD3" s="56"/>
      <c r="AE3" s="56"/>
      <c r="AF3" s="56"/>
      <c r="AG3" s="45">
        <f>SUM(AC3:AF3)</f>
        <v>0</v>
      </c>
    </row>
    <row r="4" spans="2:33">
      <c r="B4" s="36" t="s">
        <v>90</v>
      </c>
      <c r="C4" s="121">
        <v>511.13</v>
      </c>
      <c r="D4" s="77"/>
      <c r="E4" s="77"/>
      <c r="F4" s="77"/>
      <c r="I4" s="38" t="s">
        <v>110</v>
      </c>
      <c r="J4" s="52">
        <v>6592638</v>
      </c>
      <c r="K4" s="56">
        <v>445818.18181818177</v>
      </c>
      <c r="L4" s="56">
        <v>253915.45454545453</v>
      </c>
      <c r="M4" s="56">
        <v>0</v>
      </c>
      <c r="N4" s="56">
        <v>0</v>
      </c>
      <c r="O4" s="45">
        <f t="shared" ref="O4:O14" si="0">SUM(K4:N4)</f>
        <v>699733.63636363624</v>
      </c>
      <c r="P4" s="52"/>
      <c r="Q4" s="56"/>
      <c r="R4" s="56"/>
      <c r="S4" s="56"/>
      <c r="T4" s="56"/>
      <c r="U4" s="45">
        <f t="shared" ref="U4:U14" si="1">SUM(Q4:T4)</f>
        <v>0</v>
      </c>
      <c r="V4" s="52"/>
      <c r="W4" s="56"/>
      <c r="X4" s="56"/>
      <c r="Y4" s="56"/>
      <c r="Z4" s="56"/>
      <c r="AA4" s="45">
        <f t="shared" ref="AA4:AA14" si="2">SUM(W4:Z4)</f>
        <v>0</v>
      </c>
      <c r="AB4" s="52"/>
      <c r="AC4" s="56"/>
      <c r="AD4" s="56"/>
      <c r="AE4" s="56"/>
      <c r="AF4" s="56"/>
      <c r="AG4" s="45">
        <f t="shared" ref="AG4:AG14" si="3">SUM(AC4:AF4)</f>
        <v>0</v>
      </c>
    </row>
    <row r="5" spans="2:33">
      <c r="B5" s="36" t="s">
        <v>96</v>
      </c>
      <c r="C5" s="121">
        <v>337.77</v>
      </c>
      <c r="D5" s="77"/>
      <c r="E5" s="77"/>
      <c r="F5" s="77"/>
      <c r="I5" s="38" t="s">
        <v>111</v>
      </c>
      <c r="J5" s="52">
        <v>3688448</v>
      </c>
      <c r="K5" s="56">
        <v>210393.63636363635</v>
      </c>
      <c r="L5" s="56">
        <v>153560</v>
      </c>
      <c r="M5" s="56">
        <v>0</v>
      </c>
      <c r="N5" s="56">
        <v>0</v>
      </c>
      <c r="O5" s="45">
        <f t="shared" si="0"/>
        <v>363953.63636363635</v>
      </c>
      <c r="P5" s="52"/>
      <c r="Q5" s="56"/>
      <c r="R5" s="56"/>
      <c r="S5" s="56"/>
      <c r="T5" s="56"/>
      <c r="U5" s="45">
        <f t="shared" si="1"/>
        <v>0</v>
      </c>
      <c r="V5" s="52"/>
      <c r="W5" s="56"/>
      <c r="X5" s="56"/>
      <c r="Y5" s="56"/>
      <c r="Z5" s="56"/>
      <c r="AA5" s="45">
        <f t="shared" si="2"/>
        <v>0</v>
      </c>
      <c r="AB5" s="52"/>
      <c r="AC5" s="56"/>
      <c r="AD5" s="56"/>
      <c r="AE5" s="56"/>
      <c r="AF5" s="56"/>
      <c r="AG5" s="45">
        <f t="shared" si="3"/>
        <v>0</v>
      </c>
    </row>
    <row r="6" spans="2:33">
      <c r="B6" s="36" t="s">
        <v>241</v>
      </c>
      <c r="C6" s="121">
        <v>75</v>
      </c>
      <c r="D6" s="77"/>
      <c r="E6" s="77"/>
      <c r="F6" s="77"/>
      <c r="I6" s="38" t="s">
        <v>94</v>
      </c>
      <c r="J6" s="52">
        <v>811523</v>
      </c>
      <c r="K6" s="56">
        <v>278500</v>
      </c>
      <c r="L6" s="56">
        <v>922799.99999999988</v>
      </c>
      <c r="M6" s="56">
        <v>0</v>
      </c>
      <c r="N6" s="56">
        <v>0</v>
      </c>
      <c r="O6" s="45">
        <f t="shared" si="0"/>
        <v>1201300</v>
      </c>
      <c r="P6" s="52"/>
      <c r="Q6" s="56"/>
      <c r="R6" s="56"/>
      <c r="S6" s="56"/>
      <c r="T6" s="56"/>
      <c r="U6" s="45">
        <f t="shared" si="1"/>
        <v>0</v>
      </c>
      <c r="V6" s="52"/>
      <c r="W6" s="56"/>
      <c r="X6" s="56"/>
      <c r="Y6" s="56"/>
      <c r="Z6" s="56"/>
      <c r="AA6" s="45">
        <f t="shared" si="2"/>
        <v>0</v>
      </c>
      <c r="AB6" s="52"/>
      <c r="AC6" s="56"/>
      <c r="AD6" s="56"/>
      <c r="AE6" s="56"/>
      <c r="AF6" s="56"/>
      <c r="AG6" s="45">
        <f t="shared" si="3"/>
        <v>0</v>
      </c>
    </row>
    <row r="7" spans="2:33">
      <c r="B7" s="36" t="s">
        <v>240</v>
      </c>
      <c r="C7" s="121">
        <v>1190</v>
      </c>
      <c r="D7" s="77"/>
      <c r="E7" s="77"/>
      <c r="F7" s="77"/>
      <c r="G7" s="134"/>
      <c r="H7" s="35" t="s">
        <v>126</v>
      </c>
      <c r="I7" s="38" t="s">
        <v>112</v>
      </c>
      <c r="J7" s="57">
        <v>0</v>
      </c>
      <c r="K7" s="46">
        <f>$J7*$C$4/$C$3</f>
        <v>0</v>
      </c>
      <c r="L7" s="46">
        <f>$J7*$C$5/$C$3</f>
        <v>0</v>
      </c>
      <c r="M7" s="46">
        <f>$J7*$C$6/$C$3</f>
        <v>0</v>
      </c>
      <c r="N7" s="46">
        <f>$J7*$C$7/$C$3</f>
        <v>0</v>
      </c>
      <c r="O7" s="47">
        <f t="shared" si="0"/>
        <v>0</v>
      </c>
      <c r="P7" s="57"/>
      <c r="Q7" s="46" t="e">
        <f>$P7*$D$4/$D$3</f>
        <v>#DIV/0!</v>
      </c>
      <c r="R7" s="46" t="e">
        <f>$P7*$D$5/$D$3</f>
        <v>#DIV/0!</v>
      </c>
      <c r="S7" s="46" t="e">
        <f>$P7*$D$6/$D$3</f>
        <v>#DIV/0!</v>
      </c>
      <c r="T7" s="46" t="e">
        <f>$P7*$D$7/$D$3</f>
        <v>#DIV/0!</v>
      </c>
      <c r="U7" s="47" t="e">
        <f t="shared" si="1"/>
        <v>#DIV/0!</v>
      </c>
      <c r="V7" s="57"/>
      <c r="W7" s="46" t="e">
        <f>$V7*$E$4/$E$3</f>
        <v>#DIV/0!</v>
      </c>
      <c r="X7" s="46" t="e">
        <f>$V7*$E$5/$E$3</f>
        <v>#DIV/0!</v>
      </c>
      <c r="Y7" s="46" t="e">
        <f>$V7*$E$6/$E$3</f>
        <v>#DIV/0!</v>
      </c>
      <c r="Z7" s="46" t="e">
        <f>$V7*$E$7/$E$3</f>
        <v>#DIV/0!</v>
      </c>
      <c r="AA7" s="47" t="e">
        <f t="shared" si="2"/>
        <v>#DIV/0!</v>
      </c>
      <c r="AB7" s="57"/>
      <c r="AC7" s="46" t="e">
        <f>$AB7*$F$4/$F$3</f>
        <v>#DIV/0!</v>
      </c>
      <c r="AD7" s="46" t="e">
        <f>$AB7*$F$5/$F$3</f>
        <v>#DIV/0!</v>
      </c>
      <c r="AE7" s="46" t="e">
        <f>$AB7*$F$6/$F$3</f>
        <v>#DIV/0!</v>
      </c>
      <c r="AF7" s="46" t="e">
        <f>$AB7*$F$7/$F$3</f>
        <v>#DIV/0!</v>
      </c>
      <c r="AG7" s="47" t="e">
        <f t="shared" si="3"/>
        <v>#DIV/0!</v>
      </c>
    </row>
    <row r="8" spans="2:33">
      <c r="F8" s="134"/>
      <c r="G8" s="134"/>
      <c r="H8" s="35" t="s">
        <v>127</v>
      </c>
      <c r="I8" s="35" t="s">
        <v>113</v>
      </c>
      <c r="J8" s="59">
        <v>4994257</v>
      </c>
      <c r="K8" s="71">
        <v>0</v>
      </c>
      <c r="L8" s="71">
        <v>0</v>
      </c>
      <c r="M8" s="71">
        <v>0</v>
      </c>
      <c r="N8" s="71">
        <v>0</v>
      </c>
      <c r="O8" s="49">
        <f t="shared" si="0"/>
        <v>0</v>
      </c>
      <c r="P8" s="59"/>
      <c r="Q8" s="71">
        <v>0</v>
      </c>
      <c r="R8" s="71">
        <v>0</v>
      </c>
      <c r="S8" s="71">
        <v>0</v>
      </c>
      <c r="T8" s="71">
        <v>0</v>
      </c>
      <c r="U8" s="49">
        <f t="shared" si="1"/>
        <v>0</v>
      </c>
      <c r="V8" s="59"/>
      <c r="W8" s="71">
        <v>0</v>
      </c>
      <c r="X8" s="71">
        <v>0</v>
      </c>
      <c r="Y8" s="71">
        <v>0</v>
      </c>
      <c r="Z8" s="71">
        <v>0</v>
      </c>
      <c r="AA8" s="49">
        <f t="shared" si="2"/>
        <v>0</v>
      </c>
      <c r="AB8" s="59"/>
      <c r="AC8" s="71">
        <v>0</v>
      </c>
      <c r="AD8" s="71">
        <v>0</v>
      </c>
      <c r="AE8" s="71">
        <v>0</v>
      </c>
      <c r="AF8" s="71">
        <v>0</v>
      </c>
      <c r="AG8" s="49">
        <f t="shared" si="3"/>
        <v>0</v>
      </c>
    </row>
    <row r="9" spans="2:33">
      <c r="B9" s="36" t="s">
        <v>272</v>
      </c>
      <c r="C9" s="216">
        <f>SUM(C4:C5)/C3</f>
        <v>0.14143618793735421</v>
      </c>
      <c r="D9" s="216" t="e">
        <f t="shared" ref="D9:F9" si="4">SUM(D4:D5)/D3</f>
        <v>#DIV/0!</v>
      </c>
      <c r="E9" s="216" t="e">
        <f t="shared" si="4"/>
        <v>#DIV/0!</v>
      </c>
      <c r="F9" s="216" t="e">
        <f t="shared" si="4"/>
        <v>#DIV/0!</v>
      </c>
      <c r="G9" s="134"/>
      <c r="I9" s="38" t="s">
        <v>114</v>
      </c>
      <c r="J9" s="57">
        <v>2739435</v>
      </c>
      <c r="K9" s="46">
        <f t="shared" ref="K9:K16" si="5">$J9*$C$4/$C$3</f>
        <v>233290.13854548484</v>
      </c>
      <c r="L9" s="46">
        <f t="shared" ref="L9:L40" si="6">$J9*$C$5/$C$3</f>
        <v>154165.10495668108</v>
      </c>
      <c r="M9" s="46">
        <f t="shared" ref="M9:M40" si="7">$J9*$C$6/$C$3</f>
        <v>34231.526991002997</v>
      </c>
      <c r="N9" s="46">
        <f t="shared" ref="N9:N40" si="8">$J9*$C$7/$C$3</f>
        <v>543140.2282572476</v>
      </c>
      <c r="O9" s="47">
        <f t="shared" si="0"/>
        <v>964826.99875041656</v>
      </c>
      <c r="P9" s="57"/>
      <c r="Q9" s="46" t="e">
        <f>$P9*$D$4/$D$3</f>
        <v>#DIV/0!</v>
      </c>
      <c r="R9" s="46" t="e">
        <f>$P9*$D$5/$D$3</f>
        <v>#DIV/0!</v>
      </c>
      <c r="S9" s="46" t="e">
        <f>$P9*$D$6/$D$3</f>
        <v>#DIV/0!</v>
      </c>
      <c r="T9" s="46" t="e">
        <f>$P9*$D$7/$D$3</f>
        <v>#DIV/0!</v>
      </c>
      <c r="U9" s="47" t="e">
        <f t="shared" si="1"/>
        <v>#DIV/0!</v>
      </c>
      <c r="V9" s="57"/>
      <c r="W9" s="46" t="e">
        <f>$V9*$E$4/$E$3</f>
        <v>#DIV/0!</v>
      </c>
      <c r="X9" s="46" t="e">
        <f>$V9*$E$5/$E$3</f>
        <v>#DIV/0!</v>
      </c>
      <c r="Y9" s="46" t="e">
        <f>$V9*$E$6/$E$3</f>
        <v>#DIV/0!</v>
      </c>
      <c r="Z9" s="46" t="e">
        <f>$V9*$E$7/$E$3</f>
        <v>#DIV/0!</v>
      </c>
      <c r="AA9" s="47" t="e">
        <f t="shared" si="2"/>
        <v>#DIV/0!</v>
      </c>
      <c r="AB9" s="57"/>
      <c r="AC9" s="46" t="e">
        <f>$AB9*$F$4/$F$3</f>
        <v>#DIV/0!</v>
      </c>
      <c r="AD9" s="46" t="e">
        <f>$AB9*$F$5/$F$3</f>
        <v>#DIV/0!</v>
      </c>
      <c r="AE9" s="46" t="e">
        <f>$AB9*$F$6/$F$3</f>
        <v>#DIV/0!</v>
      </c>
      <c r="AF9" s="46" t="e">
        <f>$AB9*$F$7/$F$3</f>
        <v>#DIV/0!</v>
      </c>
      <c r="AG9" s="47" t="e">
        <f t="shared" si="3"/>
        <v>#DIV/0!</v>
      </c>
    </row>
    <row r="10" spans="2:33">
      <c r="B10" s="36" t="s">
        <v>424</v>
      </c>
      <c r="C10" s="220">
        <f>SUM(C4:C5)/SUM(C4:C7)</f>
        <v>0.40158001797625242</v>
      </c>
      <c r="D10" s="220" t="e">
        <f t="shared" ref="D10:F10" si="9">SUM(D4:D5)/SUM(D4:D7)</f>
        <v>#DIV/0!</v>
      </c>
      <c r="E10" s="220" t="e">
        <f t="shared" si="9"/>
        <v>#DIV/0!</v>
      </c>
      <c r="F10" s="220" t="e">
        <f t="shared" si="9"/>
        <v>#DIV/0!</v>
      </c>
      <c r="G10" s="134"/>
      <c r="H10" s="35" t="s">
        <v>276</v>
      </c>
      <c r="I10" s="35" t="s">
        <v>115</v>
      </c>
      <c r="J10" s="57">
        <v>590182</v>
      </c>
      <c r="K10" s="71">
        <v>0</v>
      </c>
      <c r="L10" s="71">
        <v>0</v>
      </c>
      <c r="M10" s="71">
        <v>0</v>
      </c>
      <c r="N10" s="71">
        <v>0</v>
      </c>
      <c r="O10" s="49">
        <f>J10*C$9/1.1</f>
        <v>75884.629335675985</v>
      </c>
      <c r="P10" s="57"/>
      <c r="Q10" s="46" t="e">
        <f>$P10*$D$4/$D$3</f>
        <v>#DIV/0!</v>
      </c>
      <c r="R10" s="46" t="e">
        <f>$P10*$D$5/$D$3</f>
        <v>#DIV/0!</v>
      </c>
      <c r="S10" s="46" t="e">
        <f>$P10*$D$6/$D$3</f>
        <v>#DIV/0!</v>
      </c>
      <c r="T10" s="46" t="e">
        <f>$P10*$D$7/$D$3</f>
        <v>#DIV/0!</v>
      </c>
      <c r="U10" s="47" t="e">
        <f t="shared" si="1"/>
        <v>#DIV/0!</v>
      </c>
      <c r="V10" s="57"/>
      <c r="W10" s="46" t="e">
        <f>$V10*$E$4/$E$3</f>
        <v>#DIV/0!</v>
      </c>
      <c r="X10" s="46" t="e">
        <f>$V10*$E$5/$E$3</f>
        <v>#DIV/0!</v>
      </c>
      <c r="Y10" s="46" t="e">
        <f>$V10*$E$6/$E$3</f>
        <v>#DIV/0!</v>
      </c>
      <c r="Z10" s="46" t="e">
        <f>$V10*$E$7/$E$3</f>
        <v>#DIV/0!</v>
      </c>
      <c r="AA10" s="47" t="e">
        <f t="shared" si="2"/>
        <v>#DIV/0!</v>
      </c>
      <c r="AB10" s="57"/>
      <c r="AC10" s="46" t="e">
        <f>$AB10*$F$4/$F$3</f>
        <v>#DIV/0!</v>
      </c>
      <c r="AD10" s="46" t="e">
        <f>$AB10*$F$5/$F$3</f>
        <v>#DIV/0!</v>
      </c>
      <c r="AE10" s="46" t="e">
        <f>$AB10*$F$6/$F$3</f>
        <v>#DIV/0!</v>
      </c>
      <c r="AF10" s="46" t="e">
        <f>$AB10*$F$7/$F$3</f>
        <v>#DIV/0!</v>
      </c>
      <c r="AG10" s="47" t="e">
        <f t="shared" si="3"/>
        <v>#DIV/0!</v>
      </c>
    </row>
    <row r="11" spans="2:33">
      <c r="F11" s="134"/>
      <c r="G11" s="134"/>
      <c r="I11" s="35" t="s">
        <v>116</v>
      </c>
      <c r="J11" s="59">
        <v>6991899</v>
      </c>
      <c r="K11" s="71">
        <v>0</v>
      </c>
      <c r="L11" s="71">
        <v>0</v>
      </c>
      <c r="M11" s="71">
        <v>0</v>
      </c>
      <c r="N11" s="71">
        <v>0</v>
      </c>
      <c r="O11" s="49">
        <f t="shared" si="0"/>
        <v>0</v>
      </c>
      <c r="P11" s="59"/>
      <c r="Q11" s="71">
        <v>0</v>
      </c>
      <c r="R11" s="71">
        <v>0</v>
      </c>
      <c r="S11" s="71">
        <v>0</v>
      </c>
      <c r="T11" s="71">
        <v>0</v>
      </c>
      <c r="U11" s="49">
        <f t="shared" si="1"/>
        <v>0</v>
      </c>
      <c r="V11" s="59"/>
      <c r="W11" s="71">
        <v>0</v>
      </c>
      <c r="X11" s="71">
        <v>0</v>
      </c>
      <c r="Y11" s="71">
        <v>0</v>
      </c>
      <c r="Z11" s="71">
        <v>0</v>
      </c>
      <c r="AA11" s="49">
        <f t="shared" si="2"/>
        <v>0</v>
      </c>
      <c r="AB11" s="59"/>
      <c r="AC11" s="71">
        <v>0</v>
      </c>
      <c r="AD11" s="71">
        <v>0</v>
      </c>
      <c r="AE11" s="71">
        <v>0</v>
      </c>
      <c r="AF11" s="71">
        <v>0</v>
      </c>
      <c r="AG11" s="49">
        <f t="shared" si="3"/>
        <v>0</v>
      </c>
    </row>
    <row r="12" spans="2:33">
      <c r="F12" s="134"/>
      <c r="G12" s="134"/>
      <c r="I12" s="38" t="s">
        <v>117</v>
      </c>
      <c r="J12" s="57">
        <v>4257145</v>
      </c>
      <c r="K12" s="46">
        <f t="shared" si="5"/>
        <v>362538.24122792401</v>
      </c>
      <c r="L12" s="46">
        <f t="shared" si="6"/>
        <v>239576.11906864375</v>
      </c>
      <c r="M12" s="46">
        <f t="shared" si="7"/>
        <v>53196.58030656448</v>
      </c>
      <c r="N12" s="46">
        <f t="shared" si="8"/>
        <v>844052.40753082302</v>
      </c>
      <c r="O12" s="47">
        <f t="shared" si="0"/>
        <v>1499363.3481339552</v>
      </c>
      <c r="P12" s="57"/>
      <c r="Q12" s="46" t="e">
        <f>$P12*$D$4/$D$3</f>
        <v>#DIV/0!</v>
      </c>
      <c r="R12" s="46" t="e">
        <f>$P12*$D$5/$D$3</f>
        <v>#DIV/0!</v>
      </c>
      <c r="S12" s="46" t="e">
        <f>$P12*$D$6/$D$3</f>
        <v>#DIV/0!</v>
      </c>
      <c r="T12" s="46" t="e">
        <f>$P12*$D$7/$D$3</f>
        <v>#DIV/0!</v>
      </c>
      <c r="U12" s="47" t="e">
        <f t="shared" si="1"/>
        <v>#DIV/0!</v>
      </c>
      <c r="V12" s="57"/>
      <c r="W12" s="46" t="e">
        <f>$V12*$E$4/$E$3</f>
        <v>#DIV/0!</v>
      </c>
      <c r="X12" s="46" t="e">
        <f>$V12*$E$5/$E$3</f>
        <v>#DIV/0!</v>
      </c>
      <c r="Y12" s="46" t="e">
        <f>$V12*$E$6/$E$3</f>
        <v>#DIV/0!</v>
      </c>
      <c r="Z12" s="46" t="e">
        <f>$V12*$E$7/$E$3</f>
        <v>#DIV/0!</v>
      </c>
      <c r="AA12" s="47" t="e">
        <f t="shared" si="2"/>
        <v>#DIV/0!</v>
      </c>
      <c r="AB12" s="57"/>
      <c r="AC12" s="46" t="e">
        <f>$AB12*$F$4/$F$3</f>
        <v>#DIV/0!</v>
      </c>
      <c r="AD12" s="46" t="e">
        <f>$AB12*$F$5/$F$3</f>
        <v>#DIV/0!</v>
      </c>
      <c r="AE12" s="46" t="e">
        <f>$AB12*$F$6/$F$3</f>
        <v>#DIV/0!</v>
      </c>
      <c r="AF12" s="46" t="e">
        <f>$AB12*$F$7/$F$3</f>
        <v>#DIV/0!</v>
      </c>
      <c r="AG12" s="47" t="e">
        <f t="shared" si="3"/>
        <v>#DIV/0!</v>
      </c>
    </row>
    <row r="13" spans="2:33">
      <c r="F13" s="134"/>
      <c r="G13" s="134"/>
      <c r="I13" s="35" t="s">
        <v>118</v>
      </c>
      <c r="J13" s="57">
        <v>7385093</v>
      </c>
      <c r="K13" s="46">
        <f t="shared" si="5"/>
        <v>628914.1261396202</v>
      </c>
      <c r="L13" s="46">
        <f t="shared" si="6"/>
        <v>415605.27534321888</v>
      </c>
      <c r="M13" s="46">
        <f t="shared" si="7"/>
        <v>92282.90153282239</v>
      </c>
      <c r="N13" s="46">
        <f t="shared" si="8"/>
        <v>1464222.0376541154</v>
      </c>
      <c r="O13" s="47">
        <f t="shared" si="0"/>
        <v>2601024.3406697768</v>
      </c>
      <c r="P13" s="57"/>
      <c r="Q13" s="46" t="e">
        <f>$P13*$D$4/$D$3</f>
        <v>#DIV/0!</v>
      </c>
      <c r="R13" s="46" t="e">
        <f>$P13*$D$5/$D$3</f>
        <v>#DIV/0!</v>
      </c>
      <c r="S13" s="46" t="e">
        <f>$P13*$D$6/$D$3</f>
        <v>#DIV/0!</v>
      </c>
      <c r="T13" s="46" t="e">
        <f>$P13*$D$7/$D$3</f>
        <v>#DIV/0!</v>
      </c>
      <c r="U13" s="47" t="e">
        <f t="shared" si="1"/>
        <v>#DIV/0!</v>
      </c>
      <c r="V13" s="57"/>
      <c r="W13" s="46" t="e">
        <f>$V13*$E$4/$E$3</f>
        <v>#DIV/0!</v>
      </c>
      <c r="X13" s="46" t="e">
        <f>$V13*$E$5/$E$3</f>
        <v>#DIV/0!</v>
      </c>
      <c r="Y13" s="46" t="e">
        <f>$V13*$E$6/$E$3</f>
        <v>#DIV/0!</v>
      </c>
      <c r="Z13" s="46" t="e">
        <f>$V13*$E$7/$E$3</f>
        <v>#DIV/0!</v>
      </c>
      <c r="AA13" s="47" t="e">
        <f t="shared" si="2"/>
        <v>#DIV/0!</v>
      </c>
      <c r="AB13" s="57"/>
      <c r="AC13" s="46" t="e">
        <f>$AB13*$F$4/$F$3</f>
        <v>#DIV/0!</v>
      </c>
      <c r="AD13" s="46" t="e">
        <f>$AB13*$F$5/$F$3</f>
        <v>#DIV/0!</v>
      </c>
      <c r="AE13" s="46" t="e">
        <f>$AB13*$F$6/$F$3</f>
        <v>#DIV/0!</v>
      </c>
      <c r="AF13" s="46" t="e">
        <f>$AB13*$F$7/$F$3</f>
        <v>#DIV/0!</v>
      </c>
      <c r="AG13" s="47" t="e">
        <f t="shared" si="3"/>
        <v>#DIV/0!</v>
      </c>
    </row>
    <row r="14" spans="2:33">
      <c r="F14" s="134"/>
      <c r="G14" s="134"/>
      <c r="H14" s="38" t="s">
        <v>159</v>
      </c>
      <c r="I14" s="38" t="s">
        <v>119</v>
      </c>
      <c r="J14" s="57">
        <v>787839</v>
      </c>
      <c r="K14" s="46">
        <f t="shared" si="5"/>
        <v>67092.327235921359</v>
      </c>
      <c r="L14" s="46">
        <f t="shared" si="6"/>
        <v>44336.61763245584</v>
      </c>
      <c r="M14" s="46">
        <f t="shared" si="7"/>
        <v>9844.7059313562149</v>
      </c>
      <c r="N14" s="46">
        <f t="shared" si="8"/>
        <v>156202.66744418527</v>
      </c>
      <c r="O14" s="47">
        <f t="shared" si="0"/>
        <v>277476.31824391871</v>
      </c>
      <c r="P14" s="57"/>
      <c r="Q14" s="46" t="e">
        <f>$P14*$D$4/$D$3</f>
        <v>#DIV/0!</v>
      </c>
      <c r="R14" s="46" t="e">
        <f>$P14*$D$5/$D$3</f>
        <v>#DIV/0!</v>
      </c>
      <c r="S14" s="46" t="e">
        <f>$P14*$D$6/$D$3</f>
        <v>#DIV/0!</v>
      </c>
      <c r="T14" s="46" t="e">
        <f>$P14*$D$7/$D$3</f>
        <v>#DIV/0!</v>
      </c>
      <c r="U14" s="47" t="e">
        <f t="shared" si="1"/>
        <v>#DIV/0!</v>
      </c>
      <c r="V14" s="57"/>
      <c r="W14" s="46" t="e">
        <f>$V14*$E$4/$E$3</f>
        <v>#DIV/0!</v>
      </c>
      <c r="X14" s="46" t="e">
        <f>$V14*$E$5/$E$3</f>
        <v>#DIV/0!</v>
      </c>
      <c r="Y14" s="46" t="e">
        <f>$V14*$E$6/$E$3</f>
        <v>#DIV/0!</v>
      </c>
      <c r="Z14" s="46" t="e">
        <f>$V14*$E$7/$E$3</f>
        <v>#DIV/0!</v>
      </c>
      <c r="AA14" s="47" t="e">
        <f t="shared" si="2"/>
        <v>#DIV/0!</v>
      </c>
      <c r="AB14" s="57"/>
      <c r="AC14" s="46" t="e">
        <f>$AB14*$F$4/$F$3</f>
        <v>#DIV/0!</v>
      </c>
      <c r="AD14" s="46" t="e">
        <f>$AB14*$F$5/$F$3</f>
        <v>#DIV/0!</v>
      </c>
      <c r="AE14" s="46" t="e">
        <f>$AB14*$F$6/$F$3</f>
        <v>#DIV/0!</v>
      </c>
      <c r="AF14" s="46" t="e">
        <f>$AB14*$F$7/$F$3</f>
        <v>#DIV/0!</v>
      </c>
      <c r="AG14" s="47" t="e">
        <f t="shared" si="3"/>
        <v>#DIV/0!</v>
      </c>
    </row>
    <row r="15" spans="2:33">
      <c r="F15" s="134"/>
      <c r="G15" s="134"/>
      <c r="H15" s="38" t="s">
        <v>155</v>
      </c>
      <c r="I15" s="38" t="s">
        <v>120</v>
      </c>
      <c r="J15" s="53"/>
      <c r="K15" s="48"/>
      <c r="L15" s="48"/>
      <c r="M15" s="48"/>
      <c r="N15" s="48"/>
      <c r="O15" s="49">
        <v>5137000</v>
      </c>
      <c r="P15" s="53"/>
      <c r="Q15" s="48"/>
      <c r="R15" s="48"/>
      <c r="S15" s="48"/>
      <c r="T15" s="48"/>
      <c r="U15" s="49">
        <v>4356000</v>
      </c>
      <c r="V15" s="53"/>
      <c r="W15" s="48"/>
      <c r="X15" s="48"/>
      <c r="Y15" s="48"/>
      <c r="Z15" s="48"/>
      <c r="AA15" s="49">
        <v>4175000</v>
      </c>
      <c r="AB15" s="53"/>
      <c r="AC15" s="48"/>
      <c r="AD15" s="48"/>
      <c r="AE15" s="48"/>
      <c r="AF15" s="48"/>
      <c r="AG15" s="49">
        <v>4196000</v>
      </c>
    </row>
    <row r="16" spans="2:33">
      <c r="F16" s="134"/>
      <c r="G16" s="134"/>
      <c r="H16" s="38" t="s">
        <v>159</v>
      </c>
      <c r="I16" s="38" t="s">
        <v>121</v>
      </c>
      <c r="J16" s="57">
        <v>3271382</v>
      </c>
      <c r="K16" s="46">
        <f t="shared" si="5"/>
        <v>278590.71670443186</v>
      </c>
      <c r="L16" s="46">
        <f t="shared" si="6"/>
        <v>184101.08266244584</v>
      </c>
      <c r="M16" s="46">
        <f t="shared" si="7"/>
        <v>40878.648783738754</v>
      </c>
      <c r="N16" s="46">
        <f t="shared" si="8"/>
        <v>648607.89403532154</v>
      </c>
      <c r="O16" s="47">
        <f t="shared" ref="O16:O40" si="10">SUM(K16:N16)</f>
        <v>1152178.342185938</v>
      </c>
      <c r="P16" s="57"/>
      <c r="Q16" s="46" t="e">
        <f>$P16*$D$4/$D$3</f>
        <v>#DIV/0!</v>
      </c>
      <c r="R16" s="46" t="e">
        <f>$P16*$D$5/$D$3</f>
        <v>#DIV/0!</v>
      </c>
      <c r="S16" s="46" t="e">
        <f>$P16*$D$6/$D$3</f>
        <v>#DIV/0!</v>
      </c>
      <c r="T16" s="46" t="e">
        <f>$P16*$D$7/$D$3</f>
        <v>#DIV/0!</v>
      </c>
      <c r="U16" s="47" t="e">
        <f t="shared" ref="U16:U40" si="11">SUM(Q16:T16)</f>
        <v>#DIV/0!</v>
      </c>
      <c r="V16" s="57"/>
      <c r="W16" s="46" t="e">
        <f>$V16*$E$4/$E$3</f>
        <v>#DIV/0!</v>
      </c>
      <c r="X16" s="46" t="e">
        <f>$V16*$E$5/$E$3</f>
        <v>#DIV/0!</v>
      </c>
      <c r="Y16" s="46" t="e">
        <f>$V16*$E$6/$E$3</f>
        <v>#DIV/0!</v>
      </c>
      <c r="Z16" s="46" t="e">
        <f>$V16*$E$7/$E$3</f>
        <v>#DIV/0!</v>
      </c>
      <c r="AA16" s="47" t="e">
        <f t="shared" ref="AA16:AA40" si="12">SUM(W16:Z16)</f>
        <v>#DIV/0!</v>
      </c>
      <c r="AB16" s="57"/>
      <c r="AC16" s="46" t="e">
        <f>$AB16*$F$4/$F$3</f>
        <v>#DIV/0!</v>
      </c>
      <c r="AD16" s="46" t="e">
        <f>$AB16*$F$5/$F$3</f>
        <v>#DIV/0!</v>
      </c>
      <c r="AE16" s="46" t="e">
        <f>$AB16*$F$6/$F$3</f>
        <v>#DIV/0!</v>
      </c>
      <c r="AF16" s="46" t="e">
        <f>$AB16*$F$7/$F$3</f>
        <v>#DIV/0!</v>
      </c>
      <c r="AG16" s="47" t="e">
        <f t="shared" ref="AG16:AG40" si="13">SUM(AC16:AF16)</f>
        <v>#DIV/0!</v>
      </c>
    </row>
    <row r="17" spans="6:33">
      <c r="F17" s="134"/>
      <c r="G17" s="134"/>
      <c r="H17" s="35" t="s">
        <v>276</v>
      </c>
      <c r="I17" s="35" t="s">
        <v>122</v>
      </c>
      <c r="J17" s="57">
        <v>135370</v>
      </c>
      <c r="K17" s="71">
        <v>0</v>
      </c>
      <c r="L17" s="71">
        <v>0</v>
      </c>
      <c r="M17" s="71">
        <v>0</v>
      </c>
      <c r="N17" s="71">
        <v>0</v>
      </c>
      <c r="O17" s="49">
        <f>J17*C$9/1.1</f>
        <v>17405.651600981488</v>
      </c>
      <c r="P17" s="57"/>
      <c r="Q17" s="46" t="e">
        <f>$P17*$D$4/$D$3</f>
        <v>#DIV/0!</v>
      </c>
      <c r="R17" s="46" t="e">
        <f>$P17*$D$5/$D$3</f>
        <v>#DIV/0!</v>
      </c>
      <c r="S17" s="46" t="e">
        <f>$P17*$D$6/$D$3</f>
        <v>#DIV/0!</v>
      </c>
      <c r="T17" s="46" t="e">
        <f>$P17*$D$7/$D$3</f>
        <v>#DIV/0!</v>
      </c>
      <c r="U17" s="47" t="e">
        <f t="shared" si="11"/>
        <v>#DIV/0!</v>
      </c>
      <c r="V17" s="57"/>
      <c r="W17" s="46" t="e">
        <f>$V17*$E$4/$E$3</f>
        <v>#DIV/0!</v>
      </c>
      <c r="X17" s="46" t="e">
        <f>$V17*$E$5/$E$3</f>
        <v>#DIV/0!</v>
      </c>
      <c r="Y17" s="46" t="e">
        <f>$V17*$E$6/$E$3</f>
        <v>#DIV/0!</v>
      </c>
      <c r="Z17" s="46" t="e">
        <f>$V17*$E$7/$E$3</f>
        <v>#DIV/0!</v>
      </c>
      <c r="AA17" s="47" t="e">
        <f t="shared" si="12"/>
        <v>#DIV/0!</v>
      </c>
      <c r="AB17" s="57"/>
      <c r="AC17" s="46" t="e">
        <f>$AB17*$F$4/$F$3</f>
        <v>#DIV/0!</v>
      </c>
      <c r="AD17" s="46" t="e">
        <f>$AB17*$F$5/$F$3</f>
        <v>#DIV/0!</v>
      </c>
      <c r="AE17" s="46" t="e">
        <f>$AB17*$F$6/$F$3</f>
        <v>#DIV/0!</v>
      </c>
      <c r="AF17" s="46" t="e">
        <f>$AB17*$F$7/$F$3</f>
        <v>#DIV/0!</v>
      </c>
      <c r="AG17" s="47" t="e">
        <f t="shared" si="13"/>
        <v>#DIV/0!</v>
      </c>
    </row>
    <row r="18" spans="6:33">
      <c r="F18" s="134"/>
      <c r="G18" s="134"/>
      <c r="H18" s="35" t="s">
        <v>276</v>
      </c>
      <c r="I18" s="35" t="s">
        <v>123</v>
      </c>
      <c r="J18" s="57">
        <v>99115</v>
      </c>
      <c r="K18" s="71">
        <v>0</v>
      </c>
      <c r="L18" s="71">
        <v>0</v>
      </c>
      <c r="M18" s="71">
        <v>0</v>
      </c>
      <c r="N18" s="71">
        <v>0</v>
      </c>
      <c r="O18" s="49">
        <f>J18*C$9/1.1</f>
        <v>12744.043424918964</v>
      </c>
      <c r="P18" s="57"/>
      <c r="Q18" s="46" t="e">
        <f>$P18*$D$4/$D$3</f>
        <v>#DIV/0!</v>
      </c>
      <c r="R18" s="46" t="e">
        <f>$P18*$D$5/$D$3</f>
        <v>#DIV/0!</v>
      </c>
      <c r="S18" s="46" t="e">
        <f>$P18*$D$6/$D$3</f>
        <v>#DIV/0!</v>
      </c>
      <c r="T18" s="46" t="e">
        <f>$P18*$D$7/$D$3</f>
        <v>#DIV/0!</v>
      </c>
      <c r="U18" s="47" t="e">
        <f t="shared" si="11"/>
        <v>#DIV/0!</v>
      </c>
      <c r="V18" s="57"/>
      <c r="W18" s="46" t="e">
        <f>$V18*$E$4/$E$3</f>
        <v>#DIV/0!</v>
      </c>
      <c r="X18" s="46" t="e">
        <f>$V18*$E$5/$E$3</f>
        <v>#DIV/0!</v>
      </c>
      <c r="Y18" s="46" t="e">
        <f>$V18*$E$6/$E$3</f>
        <v>#DIV/0!</v>
      </c>
      <c r="Z18" s="46" t="e">
        <f>$V18*$E$7/$E$3</f>
        <v>#DIV/0!</v>
      </c>
      <c r="AA18" s="47" t="e">
        <f t="shared" si="12"/>
        <v>#DIV/0!</v>
      </c>
      <c r="AB18" s="57"/>
      <c r="AC18" s="46" t="e">
        <f>$AB18*$F$4/$F$3</f>
        <v>#DIV/0!</v>
      </c>
      <c r="AD18" s="46" t="e">
        <f>$AB18*$F$5/$F$3</f>
        <v>#DIV/0!</v>
      </c>
      <c r="AE18" s="46" t="e">
        <f>$AB18*$F$6/$F$3</f>
        <v>#DIV/0!</v>
      </c>
      <c r="AF18" s="46" t="e">
        <f>$AB18*$F$7/$F$3</f>
        <v>#DIV/0!</v>
      </c>
      <c r="AG18" s="47" t="e">
        <f t="shared" si="13"/>
        <v>#DIV/0!</v>
      </c>
    </row>
    <row r="19" spans="6:33">
      <c r="F19" s="134"/>
      <c r="G19" s="134"/>
      <c r="H19" s="35" t="s">
        <v>124</v>
      </c>
      <c r="I19" s="35" t="s">
        <v>128</v>
      </c>
      <c r="J19" s="59">
        <v>9600000</v>
      </c>
      <c r="K19" s="71">
        <v>0</v>
      </c>
      <c r="L19" s="71">
        <v>0</v>
      </c>
      <c r="M19" s="71">
        <v>0</v>
      </c>
      <c r="N19" s="71">
        <v>0</v>
      </c>
      <c r="O19" s="49">
        <f t="shared" si="10"/>
        <v>0</v>
      </c>
      <c r="P19" s="59"/>
      <c r="Q19" s="71">
        <v>0</v>
      </c>
      <c r="R19" s="71">
        <v>0</v>
      </c>
      <c r="S19" s="71">
        <v>0</v>
      </c>
      <c r="T19" s="71">
        <v>0</v>
      </c>
      <c r="U19" s="49">
        <f t="shared" si="11"/>
        <v>0</v>
      </c>
      <c r="V19" s="59"/>
      <c r="W19" s="71">
        <v>0</v>
      </c>
      <c r="X19" s="71">
        <v>0</v>
      </c>
      <c r="Y19" s="71">
        <v>0</v>
      </c>
      <c r="Z19" s="71">
        <v>0</v>
      </c>
      <c r="AA19" s="49">
        <f t="shared" si="12"/>
        <v>0</v>
      </c>
      <c r="AB19" s="59"/>
      <c r="AC19" s="71">
        <v>0</v>
      </c>
      <c r="AD19" s="71">
        <v>0</v>
      </c>
      <c r="AE19" s="71">
        <v>0</v>
      </c>
      <c r="AF19" s="71">
        <v>0</v>
      </c>
      <c r="AG19" s="49">
        <f t="shared" si="13"/>
        <v>0</v>
      </c>
    </row>
    <row r="20" spans="6:33">
      <c r="F20" s="134"/>
      <c r="G20" s="134"/>
      <c r="H20" s="38"/>
      <c r="I20" s="38" t="s">
        <v>129</v>
      </c>
      <c r="J20" s="215">
        <v>12888612</v>
      </c>
      <c r="K20" s="71">
        <v>0</v>
      </c>
      <c r="L20" s="71">
        <v>0</v>
      </c>
      <c r="M20" s="71">
        <v>0</v>
      </c>
      <c r="N20" s="71">
        <v>0</v>
      </c>
      <c r="O20" s="49">
        <f t="shared" ref="O20" si="14">SUM(K20:N20)</f>
        <v>0</v>
      </c>
      <c r="P20" s="59"/>
      <c r="Q20" s="71">
        <v>0</v>
      </c>
      <c r="R20" s="71">
        <v>0</v>
      </c>
      <c r="S20" s="71">
        <v>0</v>
      </c>
      <c r="T20" s="71">
        <v>0</v>
      </c>
      <c r="U20" s="49">
        <f t="shared" si="11"/>
        <v>0</v>
      </c>
      <c r="V20" s="59"/>
      <c r="W20" s="71">
        <v>0</v>
      </c>
      <c r="X20" s="71">
        <v>0</v>
      </c>
      <c r="Y20" s="71">
        <v>0</v>
      </c>
      <c r="Z20" s="71">
        <v>0</v>
      </c>
      <c r="AA20" s="49">
        <f t="shared" si="12"/>
        <v>0</v>
      </c>
      <c r="AB20" s="59"/>
      <c r="AC20" s="71">
        <v>0</v>
      </c>
      <c r="AD20" s="71">
        <v>0</v>
      </c>
      <c r="AE20" s="71">
        <v>0</v>
      </c>
      <c r="AF20" s="71">
        <v>0</v>
      </c>
      <c r="AG20" s="49">
        <f t="shared" si="13"/>
        <v>0</v>
      </c>
    </row>
    <row r="21" spans="6:33">
      <c r="F21" s="134"/>
      <c r="G21" s="134"/>
      <c r="H21" s="38" t="s">
        <v>227</v>
      </c>
      <c r="I21" s="38" t="s">
        <v>130</v>
      </c>
      <c r="J21" s="215">
        <v>2066000</v>
      </c>
      <c r="K21" s="71">
        <v>0</v>
      </c>
      <c r="L21" s="71">
        <v>0</v>
      </c>
      <c r="M21" s="71">
        <v>0</v>
      </c>
      <c r="N21" s="71">
        <v>0</v>
      </c>
      <c r="O21" s="49">
        <f t="shared" si="10"/>
        <v>0</v>
      </c>
      <c r="P21" s="59"/>
      <c r="Q21" s="71">
        <v>0</v>
      </c>
      <c r="R21" s="71">
        <v>0</v>
      </c>
      <c r="S21" s="71">
        <v>0</v>
      </c>
      <c r="T21" s="71">
        <v>0</v>
      </c>
      <c r="U21" s="47">
        <f t="shared" si="11"/>
        <v>0</v>
      </c>
      <c r="V21" s="59"/>
      <c r="W21" s="71">
        <v>0</v>
      </c>
      <c r="X21" s="71">
        <v>0</v>
      </c>
      <c r="Y21" s="71">
        <v>0</v>
      </c>
      <c r="Z21" s="71">
        <v>0</v>
      </c>
      <c r="AA21" s="47">
        <f t="shared" si="12"/>
        <v>0</v>
      </c>
      <c r="AB21" s="59"/>
      <c r="AC21" s="71">
        <v>0</v>
      </c>
      <c r="AD21" s="71">
        <v>0</v>
      </c>
      <c r="AE21" s="71">
        <v>0</v>
      </c>
      <c r="AF21" s="71">
        <v>0</v>
      </c>
      <c r="AG21" s="47">
        <f t="shared" si="13"/>
        <v>0</v>
      </c>
    </row>
    <row r="22" spans="6:33">
      <c r="F22" s="134"/>
      <c r="G22" s="134"/>
      <c r="H22" s="35" t="s">
        <v>276</v>
      </c>
      <c r="I22" s="35" t="s">
        <v>131</v>
      </c>
      <c r="J22" s="57">
        <v>3980041</v>
      </c>
      <c r="K22" s="71">
        <v>0</v>
      </c>
      <c r="L22" s="71">
        <v>0</v>
      </c>
      <c r="M22" s="71">
        <v>0</v>
      </c>
      <c r="N22" s="71">
        <v>0</v>
      </c>
      <c r="O22" s="49">
        <f>J22*C$9/1.1</f>
        <v>511747.11534034106</v>
      </c>
      <c r="P22" s="57"/>
      <c r="Q22" s="46" t="e">
        <f t="shared" ref="Q22:Q29" si="15">$P22*$D$4/$D$3</f>
        <v>#DIV/0!</v>
      </c>
      <c r="R22" s="46" t="e">
        <f t="shared" ref="R22:R29" si="16">$P22*$D$5/$D$3</f>
        <v>#DIV/0!</v>
      </c>
      <c r="S22" s="46" t="e">
        <f t="shared" ref="S22:S29" si="17">$P22*$D$6/$D$3</f>
        <v>#DIV/0!</v>
      </c>
      <c r="T22" s="46" t="e">
        <f t="shared" ref="T22:T29" si="18">$P22*$D$7/$D$3</f>
        <v>#DIV/0!</v>
      </c>
      <c r="U22" s="47" t="e">
        <f t="shared" si="11"/>
        <v>#DIV/0!</v>
      </c>
      <c r="V22" s="57"/>
      <c r="W22" s="46" t="e">
        <f t="shared" ref="W22:W29" si="19">$V22*$E$4/$E$3</f>
        <v>#DIV/0!</v>
      </c>
      <c r="X22" s="46" t="e">
        <f t="shared" ref="X22:X29" si="20">$V22*$E$5/$E$3</f>
        <v>#DIV/0!</v>
      </c>
      <c r="Y22" s="46" t="e">
        <f t="shared" ref="Y22:Y29" si="21">$V22*$E$6/$E$3</f>
        <v>#DIV/0!</v>
      </c>
      <c r="Z22" s="46" t="e">
        <f t="shared" ref="Z22:Z29" si="22">$V22*$E$7/$E$3</f>
        <v>#DIV/0!</v>
      </c>
      <c r="AA22" s="47" t="e">
        <f t="shared" si="12"/>
        <v>#DIV/0!</v>
      </c>
      <c r="AB22" s="57"/>
      <c r="AC22" s="46" t="e">
        <f t="shared" ref="AC22:AC29" si="23">$AB22*$F$4/$F$3</f>
        <v>#DIV/0!</v>
      </c>
      <c r="AD22" s="46" t="e">
        <f t="shared" ref="AD22:AD29" si="24">$AB22*$F$5/$F$3</f>
        <v>#DIV/0!</v>
      </c>
      <c r="AE22" s="46" t="e">
        <f t="shared" ref="AE22:AE29" si="25">$AB22*$F$6/$F$3</f>
        <v>#DIV/0!</v>
      </c>
      <c r="AF22" s="46" t="e">
        <f t="shared" ref="AF22:AF29" si="26">$AB22*$F$7/$F$3</f>
        <v>#DIV/0!</v>
      </c>
      <c r="AG22" s="47" t="e">
        <f t="shared" si="13"/>
        <v>#DIV/0!</v>
      </c>
    </row>
    <row r="23" spans="6:33">
      <c r="F23" s="134"/>
      <c r="G23" s="134"/>
      <c r="H23" s="35" t="s">
        <v>273</v>
      </c>
      <c r="I23" s="35" t="s">
        <v>132</v>
      </c>
      <c r="J23" s="57">
        <v>857140</v>
      </c>
      <c r="K23" s="71">
        <v>0</v>
      </c>
      <c r="L23" s="71">
        <v>0</v>
      </c>
      <c r="M23" s="71">
        <v>0</v>
      </c>
      <c r="N23" s="71">
        <v>0</v>
      </c>
      <c r="O23" s="49">
        <f>J23*C$9</f>
        <v>121230.61412862378</v>
      </c>
      <c r="P23" s="57"/>
      <c r="Q23" s="46" t="e">
        <f t="shared" si="15"/>
        <v>#DIV/0!</v>
      </c>
      <c r="R23" s="46" t="e">
        <f t="shared" si="16"/>
        <v>#DIV/0!</v>
      </c>
      <c r="S23" s="46" t="e">
        <f t="shared" si="17"/>
        <v>#DIV/0!</v>
      </c>
      <c r="T23" s="46" t="e">
        <f t="shared" si="18"/>
        <v>#DIV/0!</v>
      </c>
      <c r="U23" s="47" t="e">
        <f t="shared" si="11"/>
        <v>#DIV/0!</v>
      </c>
      <c r="V23" s="57"/>
      <c r="W23" s="46" t="e">
        <f t="shared" si="19"/>
        <v>#DIV/0!</v>
      </c>
      <c r="X23" s="46" t="e">
        <f t="shared" si="20"/>
        <v>#DIV/0!</v>
      </c>
      <c r="Y23" s="46" t="e">
        <f t="shared" si="21"/>
        <v>#DIV/0!</v>
      </c>
      <c r="Z23" s="46" t="e">
        <f t="shared" si="22"/>
        <v>#DIV/0!</v>
      </c>
      <c r="AA23" s="47" t="e">
        <f t="shared" si="12"/>
        <v>#DIV/0!</v>
      </c>
      <c r="AB23" s="57"/>
      <c r="AC23" s="46" t="e">
        <f t="shared" si="23"/>
        <v>#DIV/0!</v>
      </c>
      <c r="AD23" s="46" t="e">
        <f t="shared" si="24"/>
        <v>#DIV/0!</v>
      </c>
      <c r="AE23" s="46" t="e">
        <f t="shared" si="25"/>
        <v>#DIV/0!</v>
      </c>
      <c r="AF23" s="46" t="e">
        <f t="shared" si="26"/>
        <v>#DIV/0!</v>
      </c>
      <c r="AG23" s="47" t="e">
        <f t="shared" si="13"/>
        <v>#DIV/0!</v>
      </c>
    </row>
    <row r="24" spans="6:33">
      <c r="F24" s="134"/>
      <c r="G24" s="134"/>
      <c r="I24" s="35" t="s">
        <v>133</v>
      </c>
      <c r="J24" s="59">
        <v>194900</v>
      </c>
      <c r="K24" s="71">
        <v>0</v>
      </c>
      <c r="L24" s="71">
        <v>0</v>
      </c>
      <c r="M24" s="71">
        <v>0</v>
      </c>
      <c r="N24" s="71">
        <v>0</v>
      </c>
      <c r="O24" s="49">
        <f t="shared" ref="O24" si="27">SUM(K24:N24)</f>
        <v>0</v>
      </c>
      <c r="P24" s="57"/>
      <c r="Q24" s="71">
        <v>0</v>
      </c>
      <c r="R24" s="71">
        <v>0</v>
      </c>
      <c r="S24" s="71">
        <v>0</v>
      </c>
      <c r="T24" s="71">
        <v>0</v>
      </c>
      <c r="U24" s="49">
        <f t="shared" si="11"/>
        <v>0</v>
      </c>
      <c r="V24" s="57"/>
      <c r="W24" s="71">
        <v>0</v>
      </c>
      <c r="X24" s="71">
        <v>0</v>
      </c>
      <c r="Y24" s="71">
        <v>0</v>
      </c>
      <c r="Z24" s="71">
        <v>0</v>
      </c>
      <c r="AA24" s="49">
        <f t="shared" si="12"/>
        <v>0</v>
      </c>
      <c r="AB24" s="57"/>
      <c r="AC24" s="71">
        <v>0</v>
      </c>
      <c r="AD24" s="71">
        <v>0</v>
      </c>
      <c r="AE24" s="71">
        <v>0</v>
      </c>
      <c r="AF24" s="71">
        <v>0</v>
      </c>
      <c r="AG24" s="49">
        <f t="shared" si="13"/>
        <v>0</v>
      </c>
    </row>
    <row r="25" spans="6:33">
      <c r="F25" s="134"/>
      <c r="G25" s="134"/>
      <c r="H25" s="35" t="s">
        <v>273</v>
      </c>
      <c r="I25" s="35" t="s">
        <v>134</v>
      </c>
      <c r="J25" s="57">
        <v>136529</v>
      </c>
      <c r="K25" s="71">
        <v>0</v>
      </c>
      <c r="L25" s="71">
        <v>0</v>
      </c>
      <c r="M25" s="71">
        <v>0</v>
      </c>
      <c r="N25" s="71">
        <v>0</v>
      </c>
      <c r="O25" s="49">
        <f>J25*C$9</f>
        <v>19310.141302899032</v>
      </c>
      <c r="P25" s="57"/>
      <c r="Q25" s="46" t="e">
        <f t="shared" si="15"/>
        <v>#DIV/0!</v>
      </c>
      <c r="R25" s="46" t="e">
        <f t="shared" si="16"/>
        <v>#DIV/0!</v>
      </c>
      <c r="S25" s="46" t="e">
        <f t="shared" si="17"/>
        <v>#DIV/0!</v>
      </c>
      <c r="T25" s="46" t="e">
        <f t="shared" si="18"/>
        <v>#DIV/0!</v>
      </c>
      <c r="U25" s="47" t="e">
        <f t="shared" si="11"/>
        <v>#DIV/0!</v>
      </c>
      <c r="V25" s="57"/>
      <c r="W25" s="46" t="e">
        <f t="shared" si="19"/>
        <v>#DIV/0!</v>
      </c>
      <c r="X25" s="46" t="e">
        <f t="shared" si="20"/>
        <v>#DIV/0!</v>
      </c>
      <c r="Y25" s="46" t="e">
        <f t="shared" si="21"/>
        <v>#DIV/0!</v>
      </c>
      <c r="Z25" s="46" t="e">
        <f t="shared" si="22"/>
        <v>#DIV/0!</v>
      </c>
      <c r="AA25" s="47" t="e">
        <f t="shared" si="12"/>
        <v>#DIV/0!</v>
      </c>
      <c r="AB25" s="57"/>
      <c r="AC25" s="46" t="e">
        <f t="shared" si="23"/>
        <v>#DIV/0!</v>
      </c>
      <c r="AD25" s="46" t="e">
        <f t="shared" si="24"/>
        <v>#DIV/0!</v>
      </c>
      <c r="AE25" s="46" t="e">
        <f t="shared" si="25"/>
        <v>#DIV/0!</v>
      </c>
      <c r="AF25" s="46" t="e">
        <f t="shared" si="26"/>
        <v>#DIV/0!</v>
      </c>
      <c r="AG25" s="47" t="e">
        <f t="shared" si="13"/>
        <v>#DIV/0!</v>
      </c>
    </row>
    <row r="26" spans="6:33">
      <c r="F26" s="134"/>
      <c r="G26" s="134"/>
      <c r="H26" s="35" t="s">
        <v>273</v>
      </c>
      <c r="I26" s="35" t="s">
        <v>135</v>
      </c>
      <c r="J26" s="57">
        <v>472047</v>
      </c>
      <c r="K26" s="71">
        <v>0</v>
      </c>
      <c r="L26" s="71">
        <v>0</v>
      </c>
      <c r="M26" s="71">
        <v>0</v>
      </c>
      <c r="N26" s="71">
        <v>0</v>
      </c>
      <c r="O26" s="49">
        <f>J26*C$9</f>
        <v>66764.528207264244</v>
      </c>
      <c r="P26" s="57"/>
      <c r="Q26" s="46" t="e">
        <f t="shared" si="15"/>
        <v>#DIV/0!</v>
      </c>
      <c r="R26" s="46" t="e">
        <f t="shared" si="16"/>
        <v>#DIV/0!</v>
      </c>
      <c r="S26" s="46" t="e">
        <f t="shared" si="17"/>
        <v>#DIV/0!</v>
      </c>
      <c r="T26" s="46" t="e">
        <f t="shared" si="18"/>
        <v>#DIV/0!</v>
      </c>
      <c r="U26" s="47" t="e">
        <f t="shared" si="11"/>
        <v>#DIV/0!</v>
      </c>
      <c r="V26" s="57"/>
      <c r="W26" s="46" t="e">
        <f t="shared" si="19"/>
        <v>#DIV/0!</v>
      </c>
      <c r="X26" s="46" t="e">
        <f t="shared" si="20"/>
        <v>#DIV/0!</v>
      </c>
      <c r="Y26" s="46" t="e">
        <f t="shared" si="21"/>
        <v>#DIV/0!</v>
      </c>
      <c r="Z26" s="46" t="e">
        <f t="shared" si="22"/>
        <v>#DIV/0!</v>
      </c>
      <c r="AA26" s="47" t="e">
        <f t="shared" si="12"/>
        <v>#DIV/0!</v>
      </c>
      <c r="AB26" s="57"/>
      <c r="AC26" s="46" t="e">
        <f t="shared" si="23"/>
        <v>#DIV/0!</v>
      </c>
      <c r="AD26" s="46" t="e">
        <f t="shared" si="24"/>
        <v>#DIV/0!</v>
      </c>
      <c r="AE26" s="46" t="e">
        <f t="shared" si="25"/>
        <v>#DIV/0!</v>
      </c>
      <c r="AF26" s="46" t="e">
        <f t="shared" si="26"/>
        <v>#DIV/0!</v>
      </c>
      <c r="AG26" s="47" t="e">
        <f t="shared" si="13"/>
        <v>#DIV/0!</v>
      </c>
    </row>
    <row r="27" spans="6:33">
      <c r="F27" s="134"/>
      <c r="G27" s="134"/>
      <c r="H27" s="35" t="s">
        <v>273</v>
      </c>
      <c r="I27" s="35" t="s">
        <v>136</v>
      </c>
      <c r="J27" s="57">
        <v>137462</v>
      </c>
      <c r="K27" s="71">
        <v>0</v>
      </c>
      <c r="L27" s="71">
        <v>0</v>
      </c>
      <c r="M27" s="71">
        <v>0</v>
      </c>
      <c r="N27" s="71">
        <v>0</v>
      </c>
      <c r="O27" s="49">
        <f>J27*C$9</f>
        <v>19442.101266244586</v>
      </c>
      <c r="P27" s="57"/>
      <c r="Q27" s="46" t="e">
        <f t="shared" si="15"/>
        <v>#DIV/0!</v>
      </c>
      <c r="R27" s="46" t="e">
        <f t="shared" si="16"/>
        <v>#DIV/0!</v>
      </c>
      <c r="S27" s="46" t="e">
        <f t="shared" si="17"/>
        <v>#DIV/0!</v>
      </c>
      <c r="T27" s="46" t="e">
        <f t="shared" si="18"/>
        <v>#DIV/0!</v>
      </c>
      <c r="U27" s="47" t="e">
        <f t="shared" si="11"/>
        <v>#DIV/0!</v>
      </c>
      <c r="V27" s="57"/>
      <c r="W27" s="46" t="e">
        <f t="shared" si="19"/>
        <v>#DIV/0!</v>
      </c>
      <c r="X27" s="46" t="e">
        <f t="shared" si="20"/>
        <v>#DIV/0!</v>
      </c>
      <c r="Y27" s="46" t="e">
        <f t="shared" si="21"/>
        <v>#DIV/0!</v>
      </c>
      <c r="Z27" s="46" t="e">
        <f t="shared" si="22"/>
        <v>#DIV/0!</v>
      </c>
      <c r="AA27" s="47" t="e">
        <f t="shared" si="12"/>
        <v>#DIV/0!</v>
      </c>
      <c r="AB27" s="57"/>
      <c r="AC27" s="46" t="e">
        <f t="shared" si="23"/>
        <v>#DIV/0!</v>
      </c>
      <c r="AD27" s="46" t="e">
        <f t="shared" si="24"/>
        <v>#DIV/0!</v>
      </c>
      <c r="AE27" s="46" t="e">
        <f t="shared" si="25"/>
        <v>#DIV/0!</v>
      </c>
      <c r="AF27" s="46" t="e">
        <f t="shared" si="26"/>
        <v>#DIV/0!</v>
      </c>
      <c r="AG27" s="47" t="e">
        <f t="shared" si="13"/>
        <v>#DIV/0!</v>
      </c>
    </row>
    <row r="28" spans="6:33">
      <c r="F28" s="134"/>
      <c r="G28" s="134"/>
      <c r="H28" s="35" t="s">
        <v>274</v>
      </c>
      <c r="I28" s="38" t="s">
        <v>137</v>
      </c>
      <c r="J28" s="57">
        <v>1283585</v>
      </c>
      <c r="K28" s="71">
        <v>0</v>
      </c>
      <c r="L28" s="71">
        <v>0</v>
      </c>
      <c r="M28" s="71">
        <v>0</v>
      </c>
      <c r="N28" s="71">
        <v>0</v>
      </c>
      <c r="O28" s="49">
        <f>J28*C$10</f>
        <v>515462.08737404796</v>
      </c>
      <c r="P28" s="57"/>
      <c r="Q28" s="71">
        <v>0</v>
      </c>
      <c r="R28" s="71">
        <v>0</v>
      </c>
      <c r="S28" s="71">
        <v>0</v>
      </c>
      <c r="T28" s="71">
        <v>0</v>
      </c>
      <c r="U28" s="49">
        <f t="shared" si="11"/>
        <v>0</v>
      </c>
      <c r="V28" s="57"/>
      <c r="W28" s="71">
        <v>0</v>
      </c>
      <c r="X28" s="71">
        <v>0</v>
      </c>
      <c r="Y28" s="71">
        <v>0</v>
      </c>
      <c r="Z28" s="71">
        <v>0</v>
      </c>
      <c r="AA28" s="49">
        <f t="shared" si="12"/>
        <v>0</v>
      </c>
      <c r="AB28" s="57"/>
      <c r="AC28" s="71">
        <v>0</v>
      </c>
      <c r="AD28" s="71">
        <v>0</v>
      </c>
      <c r="AE28" s="71">
        <v>0</v>
      </c>
      <c r="AF28" s="71">
        <v>0</v>
      </c>
      <c r="AG28" s="49">
        <f t="shared" si="13"/>
        <v>0</v>
      </c>
    </row>
    <row r="29" spans="6:33">
      <c r="F29" s="134"/>
      <c r="G29" s="134"/>
      <c r="H29" s="35" t="s">
        <v>273</v>
      </c>
      <c r="I29" s="35" t="s">
        <v>138</v>
      </c>
      <c r="J29" s="57">
        <v>215933</v>
      </c>
      <c r="K29" s="71">
        <v>0</v>
      </c>
      <c r="L29" s="71">
        <v>0</v>
      </c>
      <c r="M29" s="71">
        <v>0</v>
      </c>
      <c r="N29" s="71">
        <v>0</v>
      </c>
      <c r="O29" s="49">
        <f>J29*C$9</f>
        <v>30540.740369876708</v>
      </c>
      <c r="P29" s="57"/>
      <c r="Q29" s="46" t="e">
        <f t="shared" si="15"/>
        <v>#DIV/0!</v>
      </c>
      <c r="R29" s="46" t="e">
        <f t="shared" si="16"/>
        <v>#DIV/0!</v>
      </c>
      <c r="S29" s="46" t="e">
        <f t="shared" si="17"/>
        <v>#DIV/0!</v>
      </c>
      <c r="T29" s="46" t="e">
        <f t="shared" si="18"/>
        <v>#DIV/0!</v>
      </c>
      <c r="U29" s="47" t="e">
        <f t="shared" si="11"/>
        <v>#DIV/0!</v>
      </c>
      <c r="V29" s="57"/>
      <c r="W29" s="46" t="e">
        <f t="shared" si="19"/>
        <v>#DIV/0!</v>
      </c>
      <c r="X29" s="46" t="e">
        <f t="shared" si="20"/>
        <v>#DIV/0!</v>
      </c>
      <c r="Y29" s="46" t="e">
        <f t="shared" si="21"/>
        <v>#DIV/0!</v>
      </c>
      <c r="Z29" s="46" t="e">
        <f t="shared" si="22"/>
        <v>#DIV/0!</v>
      </c>
      <c r="AA29" s="47" t="e">
        <f t="shared" si="12"/>
        <v>#DIV/0!</v>
      </c>
      <c r="AB29" s="57"/>
      <c r="AC29" s="46" t="e">
        <f t="shared" si="23"/>
        <v>#DIV/0!</v>
      </c>
      <c r="AD29" s="46" t="e">
        <f t="shared" si="24"/>
        <v>#DIV/0!</v>
      </c>
      <c r="AE29" s="46" t="e">
        <f t="shared" si="25"/>
        <v>#DIV/0!</v>
      </c>
      <c r="AF29" s="46" t="e">
        <f t="shared" si="26"/>
        <v>#DIV/0!</v>
      </c>
      <c r="AG29" s="47" t="e">
        <f t="shared" si="13"/>
        <v>#DIV/0!</v>
      </c>
    </row>
    <row r="30" spans="6:33">
      <c r="F30" s="134"/>
      <c r="G30" s="134"/>
      <c r="I30" s="35" t="s">
        <v>139</v>
      </c>
      <c r="J30" s="59">
        <v>151537</v>
      </c>
      <c r="K30" s="71">
        <v>0</v>
      </c>
      <c r="L30" s="71">
        <v>0</v>
      </c>
      <c r="M30" s="71">
        <v>0</v>
      </c>
      <c r="N30" s="71">
        <v>0</v>
      </c>
      <c r="O30" s="49">
        <f t="shared" si="10"/>
        <v>0</v>
      </c>
      <c r="P30" s="59"/>
      <c r="Q30" s="71">
        <v>0</v>
      </c>
      <c r="R30" s="71">
        <v>0</v>
      </c>
      <c r="S30" s="71">
        <v>0</v>
      </c>
      <c r="T30" s="71">
        <v>0</v>
      </c>
      <c r="U30" s="49">
        <f t="shared" si="11"/>
        <v>0</v>
      </c>
      <c r="V30" s="59"/>
      <c r="W30" s="71">
        <v>0</v>
      </c>
      <c r="X30" s="71">
        <v>0</v>
      </c>
      <c r="Y30" s="71">
        <v>0</v>
      </c>
      <c r="Z30" s="71">
        <v>0</v>
      </c>
      <c r="AA30" s="49">
        <f t="shared" si="12"/>
        <v>0</v>
      </c>
      <c r="AB30" s="59"/>
      <c r="AC30" s="71">
        <v>0</v>
      </c>
      <c r="AD30" s="71">
        <v>0</v>
      </c>
      <c r="AE30" s="71">
        <v>0</v>
      </c>
      <c r="AF30" s="71">
        <v>0</v>
      </c>
      <c r="AG30" s="49">
        <f t="shared" si="13"/>
        <v>0</v>
      </c>
    </row>
    <row r="31" spans="6:33">
      <c r="F31" s="134"/>
      <c r="G31" s="134"/>
      <c r="H31" s="35" t="s">
        <v>276</v>
      </c>
      <c r="I31" s="35" t="s">
        <v>140</v>
      </c>
      <c r="J31" s="57">
        <v>1577410</v>
      </c>
      <c r="K31" s="71">
        <v>0</v>
      </c>
      <c r="L31" s="71">
        <v>0</v>
      </c>
      <c r="M31" s="71">
        <v>0</v>
      </c>
      <c r="N31" s="71">
        <v>0</v>
      </c>
      <c r="O31" s="49">
        <f>J31*C$9/1.1</f>
        <v>202820.77928569264</v>
      </c>
      <c r="P31" s="57"/>
      <c r="Q31" s="46" t="e">
        <f>$P31*$D$4/$D$3</f>
        <v>#DIV/0!</v>
      </c>
      <c r="R31" s="46" t="e">
        <f>$P31*$D$5/$D$3</f>
        <v>#DIV/0!</v>
      </c>
      <c r="S31" s="46" t="e">
        <f>$P31*$D$6/$D$3</f>
        <v>#DIV/0!</v>
      </c>
      <c r="T31" s="46" t="e">
        <f>$P31*$D$7/$D$3</f>
        <v>#DIV/0!</v>
      </c>
      <c r="U31" s="47" t="e">
        <f t="shared" si="11"/>
        <v>#DIV/0!</v>
      </c>
      <c r="V31" s="57"/>
      <c r="W31" s="46" t="e">
        <f>$V31*$E$4/$E$3</f>
        <v>#DIV/0!</v>
      </c>
      <c r="X31" s="46" t="e">
        <f>$V31*$E$5/$E$3</f>
        <v>#DIV/0!</v>
      </c>
      <c r="Y31" s="46" t="e">
        <f>$V31*$E$6/$E$3</f>
        <v>#DIV/0!</v>
      </c>
      <c r="Z31" s="46" t="e">
        <f>$V31*$E$7/$E$3</f>
        <v>#DIV/0!</v>
      </c>
      <c r="AA31" s="47" t="e">
        <f t="shared" si="12"/>
        <v>#DIV/0!</v>
      </c>
      <c r="AB31" s="57"/>
      <c r="AC31" s="46" t="e">
        <f>$AB31*$F$4/$F$3</f>
        <v>#DIV/0!</v>
      </c>
      <c r="AD31" s="46" t="e">
        <f>$AB31*$F$5/$F$3</f>
        <v>#DIV/0!</v>
      </c>
      <c r="AE31" s="46" t="e">
        <f>$AB31*$F$6/$F$3</f>
        <v>#DIV/0!</v>
      </c>
      <c r="AF31" s="46" t="e">
        <f>$AB31*$F$7/$F$3</f>
        <v>#DIV/0!</v>
      </c>
      <c r="AG31" s="47" t="e">
        <f t="shared" si="13"/>
        <v>#DIV/0!</v>
      </c>
    </row>
    <row r="32" spans="6:33">
      <c r="F32" s="134"/>
      <c r="G32" s="134"/>
      <c r="I32" s="35" t="s">
        <v>141</v>
      </c>
      <c r="J32" s="59">
        <v>1316446</v>
      </c>
      <c r="K32" s="71">
        <v>0</v>
      </c>
      <c r="L32" s="71">
        <v>0</v>
      </c>
      <c r="M32" s="71">
        <v>0</v>
      </c>
      <c r="N32" s="71">
        <v>0</v>
      </c>
      <c r="O32" s="49">
        <f t="shared" si="10"/>
        <v>0</v>
      </c>
      <c r="P32" s="59"/>
      <c r="Q32" s="71">
        <v>0</v>
      </c>
      <c r="R32" s="71">
        <v>0</v>
      </c>
      <c r="S32" s="71">
        <v>0</v>
      </c>
      <c r="T32" s="71">
        <v>0</v>
      </c>
      <c r="U32" s="49">
        <f t="shared" si="11"/>
        <v>0</v>
      </c>
      <c r="V32" s="59"/>
      <c r="W32" s="71">
        <v>0</v>
      </c>
      <c r="X32" s="71">
        <v>0</v>
      </c>
      <c r="Y32" s="71">
        <v>0</v>
      </c>
      <c r="Z32" s="71">
        <v>0</v>
      </c>
      <c r="AA32" s="49">
        <f t="shared" si="12"/>
        <v>0</v>
      </c>
      <c r="AB32" s="59"/>
      <c r="AC32" s="71">
        <v>0</v>
      </c>
      <c r="AD32" s="71">
        <v>0</v>
      </c>
      <c r="AE32" s="71">
        <v>0</v>
      </c>
      <c r="AF32" s="71">
        <v>0</v>
      </c>
      <c r="AG32" s="49">
        <f t="shared" si="13"/>
        <v>0</v>
      </c>
    </row>
    <row r="33" spans="6:33">
      <c r="F33" s="134"/>
      <c r="G33" s="134"/>
      <c r="I33" s="35" t="s">
        <v>142</v>
      </c>
      <c r="J33" s="59">
        <v>527171</v>
      </c>
      <c r="K33" s="71">
        <v>0</v>
      </c>
      <c r="L33" s="71">
        <v>0</v>
      </c>
      <c r="M33" s="71">
        <v>0</v>
      </c>
      <c r="N33" s="71">
        <v>0</v>
      </c>
      <c r="O33" s="49">
        <f t="shared" si="10"/>
        <v>0</v>
      </c>
      <c r="P33" s="59"/>
      <c r="Q33" s="71">
        <v>0</v>
      </c>
      <c r="R33" s="71">
        <v>0</v>
      </c>
      <c r="S33" s="71">
        <v>0</v>
      </c>
      <c r="T33" s="71">
        <v>0</v>
      </c>
      <c r="U33" s="49">
        <f t="shared" si="11"/>
        <v>0</v>
      </c>
      <c r="V33" s="59"/>
      <c r="W33" s="71">
        <v>0</v>
      </c>
      <c r="X33" s="71">
        <v>0</v>
      </c>
      <c r="Y33" s="71">
        <v>0</v>
      </c>
      <c r="Z33" s="71">
        <v>0</v>
      </c>
      <c r="AA33" s="49">
        <f t="shared" si="12"/>
        <v>0</v>
      </c>
      <c r="AB33" s="59"/>
      <c r="AC33" s="71">
        <v>0</v>
      </c>
      <c r="AD33" s="71">
        <v>0</v>
      </c>
      <c r="AE33" s="71">
        <v>0</v>
      </c>
      <c r="AF33" s="71">
        <v>0</v>
      </c>
      <c r="AG33" s="49">
        <f t="shared" si="13"/>
        <v>0</v>
      </c>
    </row>
    <row r="34" spans="6:33">
      <c r="F34" s="134"/>
      <c r="G34" s="134"/>
      <c r="H34" s="35" t="s">
        <v>273</v>
      </c>
      <c r="I34" s="35" t="s">
        <v>143</v>
      </c>
      <c r="J34" s="57">
        <v>24091</v>
      </c>
      <c r="K34" s="71">
        <v>0</v>
      </c>
      <c r="L34" s="71">
        <v>0</v>
      </c>
      <c r="M34" s="71">
        <v>0</v>
      </c>
      <c r="N34" s="71">
        <v>0</v>
      </c>
      <c r="O34" s="49">
        <f>J34*C$9</f>
        <v>3407.3392035988004</v>
      </c>
      <c r="P34" s="57"/>
      <c r="Q34" s="46" t="e">
        <f t="shared" ref="Q34:Q40" si="28">$P34*$D$4/$D$3</f>
        <v>#DIV/0!</v>
      </c>
      <c r="R34" s="46" t="e">
        <f t="shared" ref="R34:R40" si="29">$P34*$D$5/$D$3</f>
        <v>#DIV/0!</v>
      </c>
      <c r="S34" s="46" t="e">
        <f t="shared" ref="S34:S40" si="30">$P34*$D$6/$D$3</f>
        <v>#DIV/0!</v>
      </c>
      <c r="T34" s="46" t="e">
        <f t="shared" ref="T34:T40" si="31">$P34*$D$7/$D$3</f>
        <v>#DIV/0!</v>
      </c>
      <c r="U34" s="47" t="e">
        <f t="shared" si="11"/>
        <v>#DIV/0!</v>
      </c>
      <c r="V34" s="57"/>
      <c r="W34" s="46" t="e">
        <f t="shared" ref="W34:W40" si="32">$V34*$E$4/$E$3</f>
        <v>#DIV/0!</v>
      </c>
      <c r="X34" s="46" t="e">
        <f t="shared" ref="X34:X40" si="33">$V34*$E$5/$E$3</f>
        <v>#DIV/0!</v>
      </c>
      <c r="Y34" s="46" t="e">
        <f t="shared" ref="Y34:Y40" si="34">$V34*$E$6/$E$3</f>
        <v>#DIV/0!</v>
      </c>
      <c r="Z34" s="46" t="e">
        <f t="shared" ref="Z34:Z40" si="35">$V34*$E$7/$E$3</f>
        <v>#DIV/0!</v>
      </c>
      <c r="AA34" s="47" t="e">
        <f t="shared" si="12"/>
        <v>#DIV/0!</v>
      </c>
      <c r="AB34" s="57"/>
      <c r="AC34" s="46" t="e">
        <f t="shared" ref="AC34:AC40" si="36">$AB34*$F$4/$F$3</f>
        <v>#DIV/0!</v>
      </c>
      <c r="AD34" s="46" t="e">
        <f t="shared" ref="AD34:AD40" si="37">$AB34*$F$5/$F$3</f>
        <v>#DIV/0!</v>
      </c>
      <c r="AE34" s="46" t="e">
        <f t="shared" ref="AE34:AE40" si="38">$AB34*$F$6/$F$3</f>
        <v>#DIV/0!</v>
      </c>
      <c r="AF34" s="46" t="e">
        <f t="shared" ref="AF34:AF40" si="39">$AB34*$F$7/$F$3</f>
        <v>#DIV/0!</v>
      </c>
      <c r="AG34" s="47" t="e">
        <f t="shared" si="13"/>
        <v>#DIV/0!</v>
      </c>
    </row>
    <row r="35" spans="6:33">
      <c r="F35" s="134"/>
      <c r="G35" s="134"/>
      <c r="I35" s="35" t="s">
        <v>144</v>
      </c>
      <c r="J35" s="57">
        <v>1782373</v>
      </c>
      <c r="K35" s="46">
        <f t="shared" ref="K35:K40" si="40">$J35*$C$4/$C$3</f>
        <v>151786.78965178275</v>
      </c>
      <c r="L35" s="46">
        <f t="shared" si="6"/>
        <v>100305.25295068309</v>
      </c>
      <c r="M35" s="46">
        <f t="shared" si="7"/>
        <v>22272.23842052649</v>
      </c>
      <c r="N35" s="46">
        <f t="shared" si="8"/>
        <v>353386.18293902033</v>
      </c>
      <c r="O35" s="47">
        <f t="shared" si="10"/>
        <v>627750.46396201267</v>
      </c>
      <c r="P35" s="57"/>
      <c r="Q35" s="46" t="e">
        <f t="shared" si="28"/>
        <v>#DIV/0!</v>
      </c>
      <c r="R35" s="46" t="e">
        <f t="shared" si="29"/>
        <v>#DIV/0!</v>
      </c>
      <c r="S35" s="46" t="e">
        <f t="shared" si="30"/>
        <v>#DIV/0!</v>
      </c>
      <c r="T35" s="46" t="e">
        <f t="shared" si="31"/>
        <v>#DIV/0!</v>
      </c>
      <c r="U35" s="47" t="e">
        <f t="shared" si="11"/>
        <v>#DIV/0!</v>
      </c>
      <c r="V35" s="57"/>
      <c r="W35" s="46" t="e">
        <f t="shared" si="32"/>
        <v>#DIV/0!</v>
      </c>
      <c r="X35" s="46" t="e">
        <f t="shared" si="33"/>
        <v>#DIV/0!</v>
      </c>
      <c r="Y35" s="46" t="e">
        <f t="shared" si="34"/>
        <v>#DIV/0!</v>
      </c>
      <c r="Z35" s="46" t="e">
        <f t="shared" si="35"/>
        <v>#DIV/0!</v>
      </c>
      <c r="AA35" s="47" t="e">
        <f t="shared" si="12"/>
        <v>#DIV/0!</v>
      </c>
      <c r="AB35" s="57"/>
      <c r="AC35" s="46" t="e">
        <f t="shared" si="36"/>
        <v>#DIV/0!</v>
      </c>
      <c r="AD35" s="46" t="e">
        <f t="shared" si="37"/>
        <v>#DIV/0!</v>
      </c>
      <c r="AE35" s="46" t="e">
        <f t="shared" si="38"/>
        <v>#DIV/0!</v>
      </c>
      <c r="AF35" s="46" t="e">
        <f t="shared" si="39"/>
        <v>#DIV/0!</v>
      </c>
      <c r="AG35" s="47" t="e">
        <f t="shared" si="13"/>
        <v>#DIV/0!</v>
      </c>
    </row>
    <row r="36" spans="6:33">
      <c r="F36" s="134"/>
      <c r="G36" s="134"/>
      <c r="H36" s="35" t="s">
        <v>273</v>
      </c>
      <c r="I36" s="35" t="s">
        <v>145</v>
      </c>
      <c r="J36" s="57">
        <v>32388</v>
      </c>
      <c r="K36" s="71">
        <v>0</v>
      </c>
      <c r="L36" s="71">
        <v>0</v>
      </c>
      <c r="M36" s="71">
        <v>0</v>
      </c>
      <c r="N36" s="71">
        <v>0</v>
      </c>
      <c r="O36" s="49">
        <f>J36*C$9</f>
        <v>4580.8352549150286</v>
      </c>
      <c r="P36" s="57"/>
      <c r="Q36" s="46" t="e">
        <f t="shared" si="28"/>
        <v>#DIV/0!</v>
      </c>
      <c r="R36" s="46" t="e">
        <f t="shared" si="29"/>
        <v>#DIV/0!</v>
      </c>
      <c r="S36" s="46" t="e">
        <f t="shared" si="30"/>
        <v>#DIV/0!</v>
      </c>
      <c r="T36" s="46" t="e">
        <f t="shared" si="31"/>
        <v>#DIV/0!</v>
      </c>
      <c r="U36" s="47" t="e">
        <f t="shared" si="11"/>
        <v>#DIV/0!</v>
      </c>
      <c r="V36" s="57"/>
      <c r="W36" s="46" t="e">
        <f t="shared" si="32"/>
        <v>#DIV/0!</v>
      </c>
      <c r="X36" s="46" t="e">
        <f t="shared" si="33"/>
        <v>#DIV/0!</v>
      </c>
      <c r="Y36" s="46" t="e">
        <f t="shared" si="34"/>
        <v>#DIV/0!</v>
      </c>
      <c r="Z36" s="46" t="e">
        <f t="shared" si="35"/>
        <v>#DIV/0!</v>
      </c>
      <c r="AA36" s="47" t="e">
        <f t="shared" si="12"/>
        <v>#DIV/0!</v>
      </c>
      <c r="AB36" s="57"/>
      <c r="AC36" s="46" t="e">
        <f t="shared" si="36"/>
        <v>#DIV/0!</v>
      </c>
      <c r="AD36" s="46" t="e">
        <f t="shared" si="37"/>
        <v>#DIV/0!</v>
      </c>
      <c r="AE36" s="46" t="e">
        <f t="shared" si="38"/>
        <v>#DIV/0!</v>
      </c>
      <c r="AF36" s="46" t="e">
        <f t="shared" si="39"/>
        <v>#DIV/0!</v>
      </c>
      <c r="AG36" s="47" t="e">
        <f t="shared" si="13"/>
        <v>#DIV/0!</v>
      </c>
    </row>
    <row r="37" spans="6:33">
      <c r="F37" s="134"/>
      <c r="G37" s="134"/>
      <c r="H37" s="35" t="s">
        <v>273</v>
      </c>
      <c r="I37" s="35" t="s">
        <v>146</v>
      </c>
      <c r="J37" s="57">
        <v>96500</v>
      </c>
      <c r="K37" s="71">
        <v>0</v>
      </c>
      <c r="L37" s="71">
        <v>0</v>
      </c>
      <c r="M37" s="71">
        <v>0</v>
      </c>
      <c r="N37" s="71">
        <v>0</v>
      </c>
      <c r="O37" s="49">
        <f>J37*C$9</f>
        <v>13648.592135954681</v>
      </c>
      <c r="P37" s="57"/>
      <c r="Q37" s="46" t="e">
        <f t="shared" si="28"/>
        <v>#DIV/0!</v>
      </c>
      <c r="R37" s="46" t="e">
        <f t="shared" si="29"/>
        <v>#DIV/0!</v>
      </c>
      <c r="S37" s="46" t="e">
        <f t="shared" si="30"/>
        <v>#DIV/0!</v>
      </c>
      <c r="T37" s="46" t="e">
        <f t="shared" si="31"/>
        <v>#DIV/0!</v>
      </c>
      <c r="U37" s="47" t="e">
        <f t="shared" si="11"/>
        <v>#DIV/0!</v>
      </c>
      <c r="V37" s="57"/>
      <c r="W37" s="46" t="e">
        <f t="shared" si="32"/>
        <v>#DIV/0!</v>
      </c>
      <c r="X37" s="46" t="e">
        <f t="shared" si="33"/>
        <v>#DIV/0!</v>
      </c>
      <c r="Y37" s="46" t="e">
        <f t="shared" si="34"/>
        <v>#DIV/0!</v>
      </c>
      <c r="Z37" s="46" t="e">
        <f t="shared" si="35"/>
        <v>#DIV/0!</v>
      </c>
      <c r="AA37" s="47" t="e">
        <f t="shared" si="12"/>
        <v>#DIV/0!</v>
      </c>
      <c r="AB37" s="57"/>
      <c r="AC37" s="46" t="e">
        <f t="shared" si="36"/>
        <v>#DIV/0!</v>
      </c>
      <c r="AD37" s="46" t="e">
        <f t="shared" si="37"/>
        <v>#DIV/0!</v>
      </c>
      <c r="AE37" s="46" t="e">
        <f t="shared" si="38"/>
        <v>#DIV/0!</v>
      </c>
      <c r="AF37" s="46" t="e">
        <f t="shared" si="39"/>
        <v>#DIV/0!</v>
      </c>
      <c r="AG37" s="47" t="e">
        <f t="shared" si="13"/>
        <v>#DIV/0!</v>
      </c>
    </row>
    <row r="38" spans="6:33">
      <c r="F38" s="134"/>
      <c r="G38" s="134"/>
      <c r="H38" s="35" t="s">
        <v>273</v>
      </c>
      <c r="I38" s="35" t="s">
        <v>147</v>
      </c>
      <c r="J38" s="57">
        <v>85250</v>
      </c>
      <c r="K38" s="71">
        <v>0</v>
      </c>
      <c r="L38" s="71">
        <v>0</v>
      </c>
      <c r="M38" s="71">
        <v>0</v>
      </c>
      <c r="N38" s="71">
        <v>0</v>
      </c>
      <c r="O38" s="49">
        <f>J38*C$9</f>
        <v>12057.435021659447</v>
      </c>
      <c r="P38" s="57"/>
      <c r="Q38" s="46" t="e">
        <f t="shared" si="28"/>
        <v>#DIV/0!</v>
      </c>
      <c r="R38" s="46" t="e">
        <f t="shared" si="29"/>
        <v>#DIV/0!</v>
      </c>
      <c r="S38" s="46" t="e">
        <f t="shared" si="30"/>
        <v>#DIV/0!</v>
      </c>
      <c r="T38" s="46" t="e">
        <f t="shared" si="31"/>
        <v>#DIV/0!</v>
      </c>
      <c r="U38" s="47" t="e">
        <f t="shared" si="11"/>
        <v>#DIV/0!</v>
      </c>
      <c r="V38" s="57"/>
      <c r="W38" s="46" t="e">
        <f t="shared" si="32"/>
        <v>#DIV/0!</v>
      </c>
      <c r="X38" s="46" t="e">
        <f t="shared" si="33"/>
        <v>#DIV/0!</v>
      </c>
      <c r="Y38" s="46" t="e">
        <f t="shared" si="34"/>
        <v>#DIV/0!</v>
      </c>
      <c r="Z38" s="46" t="e">
        <f t="shared" si="35"/>
        <v>#DIV/0!</v>
      </c>
      <c r="AA38" s="47" t="e">
        <f t="shared" si="12"/>
        <v>#DIV/0!</v>
      </c>
      <c r="AB38" s="57"/>
      <c r="AC38" s="46" t="e">
        <f t="shared" si="36"/>
        <v>#DIV/0!</v>
      </c>
      <c r="AD38" s="46" t="e">
        <f t="shared" si="37"/>
        <v>#DIV/0!</v>
      </c>
      <c r="AE38" s="46" t="e">
        <f t="shared" si="38"/>
        <v>#DIV/0!</v>
      </c>
      <c r="AF38" s="46" t="e">
        <f t="shared" si="39"/>
        <v>#DIV/0!</v>
      </c>
      <c r="AG38" s="47" t="e">
        <f t="shared" si="13"/>
        <v>#DIV/0!</v>
      </c>
    </row>
    <row r="39" spans="6:33">
      <c r="F39" s="134"/>
      <c r="G39" s="134"/>
      <c r="H39" s="35" t="s">
        <v>273</v>
      </c>
      <c r="I39" s="35" t="s">
        <v>148</v>
      </c>
      <c r="J39" s="57">
        <v>685253</v>
      </c>
      <c r="K39" s="71">
        <v>0</v>
      </c>
      <c r="L39" s="71">
        <v>0</v>
      </c>
      <c r="M39" s="71">
        <v>0</v>
      </c>
      <c r="N39" s="71">
        <v>0</v>
      </c>
      <c r="O39" s="49">
        <f>J39*C$9</f>
        <v>96919.57209263579</v>
      </c>
      <c r="P39" s="57"/>
      <c r="Q39" s="46" t="e">
        <f t="shared" si="28"/>
        <v>#DIV/0!</v>
      </c>
      <c r="R39" s="46" t="e">
        <f t="shared" si="29"/>
        <v>#DIV/0!</v>
      </c>
      <c r="S39" s="46" t="e">
        <f t="shared" si="30"/>
        <v>#DIV/0!</v>
      </c>
      <c r="T39" s="46" t="e">
        <f t="shared" si="31"/>
        <v>#DIV/0!</v>
      </c>
      <c r="U39" s="47" t="e">
        <f t="shared" si="11"/>
        <v>#DIV/0!</v>
      </c>
      <c r="V39" s="57"/>
      <c r="W39" s="46" t="e">
        <f t="shared" si="32"/>
        <v>#DIV/0!</v>
      </c>
      <c r="X39" s="46" t="e">
        <f t="shared" si="33"/>
        <v>#DIV/0!</v>
      </c>
      <c r="Y39" s="46" t="e">
        <f t="shared" si="34"/>
        <v>#DIV/0!</v>
      </c>
      <c r="Z39" s="46" t="e">
        <f t="shared" si="35"/>
        <v>#DIV/0!</v>
      </c>
      <c r="AA39" s="47" t="e">
        <f t="shared" si="12"/>
        <v>#DIV/0!</v>
      </c>
      <c r="AB39" s="57"/>
      <c r="AC39" s="46" t="e">
        <f t="shared" si="36"/>
        <v>#DIV/0!</v>
      </c>
      <c r="AD39" s="46" t="e">
        <f t="shared" si="37"/>
        <v>#DIV/0!</v>
      </c>
      <c r="AE39" s="46" t="e">
        <f t="shared" si="38"/>
        <v>#DIV/0!</v>
      </c>
      <c r="AF39" s="46" t="e">
        <f t="shared" si="39"/>
        <v>#DIV/0!</v>
      </c>
      <c r="AG39" s="47" t="e">
        <f t="shared" si="13"/>
        <v>#DIV/0!</v>
      </c>
    </row>
    <row r="40" spans="6:33">
      <c r="F40" s="134"/>
      <c r="G40" s="134"/>
      <c r="I40" s="38" t="s">
        <v>154</v>
      </c>
      <c r="J40" s="58">
        <v>42199</v>
      </c>
      <c r="K40" s="54">
        <f t="shared" si="40"/>
        <v>3593.6645901366214</v>
      </c>
      <c r="L40" s="54">
        <f t="shared" si="6"/>
        <v>2374.8011046317893</v>
      </c>
      <c r="M40" s="54">
        <f t="shared" si="7"/>
        <v>527.31172942352543</v>
      </c>
      <c r="N40" s="172">
        <f t="shared" si="8"/>
        <v>8366.6794401866046</v>
      </c>
      <c r="O40" s="55">
        <f t="shared" si="10"/>
        <v>14862.456864378541</v>
      </c>
      <c r="P40" s="58"/>
      <c r="Q40" s="54" t="e">
        <f t="shared" si="28"/>
        <v>#DIV/0!</v>
      </c>
      <c r="R40" s="54" t="e">
        <f t="shared" si="29"/>
        <v>#DIV/0!</v>
      </c>
      <c r="S40" s="54" t="e">
        <f t="shared" si="30"/>
        <v>#DIV/0!</v>
      </c>
      <c r="T40" s="172" t="e">
        <f t="shared" si="31"/>
        <v>#DIV/0!</v>
      </c>
      <c r="U40" s="55" t="e">
        <f t="shared" si="11"/>
        <v>#DIV/0!</v>
      </c>
      <c r="V40" s="58"/>
      <c r="W40" s="54" t="e">
        <f t="shared" si="32"/>
        <v>#DIV/0!</v>
      </c>
      <c r="X40" s="54" t="e">
        <f t="shared" si="33"/>
        <v>#DIV/0!</v>
      </c>
      <c r="Y40" s="54" t="e">
        <f t="shared" si="34"/>
        <v>#DIV/0!</v>
      </c>
      <c r="Z40" s="172" t="e">
        <f t="shared" si="35"/>
        <v>#DIV/0!</v>
      </c>
      <c r="AA40" s="55" t="e">
        <f t="shared" si="12"/>
        <v>#DIV/0!</v>
      </c>
      <c r="AB40" s="58"/>
      <c r="AC40" s="54" t="e">
        <f t="shared" si="36"/>
        <v>#DIV/0!</v>
      </c>
      <c r="AD40" s="54" t="e">
        <f t="shared" si="37"/>
        <v>#DIV/0!</v>
      </c>
      <c r="AE40" s="54" t="e">
        <f t="shared" si="38"/>
        <v>#DIV/0!</v>
      </c>
      <c r="AF40" s="172" t="e">
        <f t="shared" si="39"/>
        <v>#DIV/0!</v>
      </c>
      <c r="AG40" s="55" t="e">
        <f t="shared" si="13"/>
        <v>#DIV/0!</v>
      </c>
    </row>
  </sheetData>
  <phoneticPr fontId="21"/>
  <pageMargins left="0.70866141732283472" right="0.70866141732283472" top="0.74803149606299213" bottom="0.74803149606299213" header="0.31496062992125984" footer="0.3149606299212598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00DB-3285-4411-A32F-978BB10E498B}">
  <dimension ref="B1:AE60"/>
  <sheetViews>
    <sheetView view="pageBreakPreview" topLeftCell="A24" zoomScale="115" zoomScaleNormal="100" zoomScaleSheetLayoutView="115" workbookViewId="0">
      <selection activeCell="B41" sqref="B41:B42"/>
    </sheetView>
  </sheetViews>
  <sheetFormatPr defaultRowHeight="18.75"/>
  <cols>
    <col min="2" max="2" width="10.5" bestFit="1" customWidth="1"/>
    <col min="4" max="7" width="6.5" customWidth="1"/>
    <col min="8" max="22" width="5.5" customWidth="1"/>
    <col min="24" max="24" width="17.5" bestFit="1" customWidth="1"/>
    <col min="25" max="25" width="11.5" customWidth="1"/>
    <col min="26" max="26" width="12.625" customWidth="1"/>
    <col min="27" max="27" width="10" bestFit="1" customWidth="1"/>
    <col min="28" max="28" width="17.25" bestFit="1" customWidth="1"/>
    <col min="29" max="29" width="9.5" bestFit="1" customWidth="1"/>
  </cols>
  <sheetData>
    <row r="1" spans="2:27">
      <c r="B1" t="s">
        <v>212</v>
      </c>
    </row>
    <row r="2" spans="2:27">
      <c r="B2" s="60" t="s">
        <v>210</v>
      </c>
      <c r="C2" s="60"/>
      <c r="D2" s="60"/>
      <c r="E2" s="60"/>
      <c r="F2" s="60"/>
      <c r="G2" s="60"/>
      <c r="H2" s="60"/>
      <c r="I2" s="60"/>
      <c r="J2" s="60"/>
      <c r="K2" s="60"/>
      <c r="L2" s="60"/>
      <c r="M2" s="60"/>
      <c r="N2" s="60"/>
      <c r="O2" s="60"/>
      <c r="P2" s="60"/>
      <c r="Q2" s="60"/>
      <c r="R2" s="60"/>
      <c r="S2" s="60"/>
      <c r="T2" s="60"/>
      <c r="U2" s="60"/>
      <c r="V2" s="60"/>
      <c r="W2" s="60"/>
      <c r="X2" t="s">
        <v>441</v>
      </c>
    </row>
    <row r="3" spans="2:27" ht="19.5" thickBot="1">
      <c r="B3" s="60" t="s">
        <v>211</v>
      </c>
      <c r="C3" s="60"/>
      <c r="D3" s="60"/>
      <c r="E3" s="60"/>
      <c r="F3" s="60"/>
      <c r="G3" s="60"/>
      <c r="H3" s="60"/>
      <c r="I3" s="60"/>
      <c r="J3" s="60"/>
      <c r="K3" s="60"/>
      <c r="L3" s="60"/>
      <c r="M3" s="60"/>
      <c r="N3" s="60"/>
      <c r="O3" s="60"/>
      <c r="P3" s="60"/>
      <c r="Q3" s="60"/>
      <c r="R3" s="60"/>
      <c r="S3" s="60"/>
      <c r="T3" s="60"/>
      <c r="U3" s="60"/>
      <c r="V3" s="60"/>
      <c r="W3" s="60"/>
    </row>
    <row r="4" spans="2:27" ht="19.5" thickBot="1">
      <c r="B4" s="60"/>
      <c r="C4" s="546" t="s">
        <v>163</v>
      </c>
      <c r="D4" s="547"/>
      <c r="E4" s="547"/>
      <c r="F4" s="547"/>
      <c r="G4" s="548"/>
      <c r="H4" s="549" t="s">
        <v>184</v>
      </c>
      <c r="I4" s="550"/>
      <c r="J4" s="550"/>
      <c r="K4" s="550" t="s">
        <v>185</v>
      </c>
      <c r="L4" s="550"/>
      <c r="M4" s="550"/>
      <c r="N4" s="550" t="s">
        <v>186</v>
      </c>
      <c r="O4" s="550"/>
      <c r="P4" s="550"/>
      <c r="Q4" s="550" t="s">
        <v>187</v>
      </c>
      <c r="R4" s="550"/>
      <c r="S4" s="550"/>
      <c r="T4" s="550" t="s">
        <v>188</v>
      </c>
      <c r="U4" s="550"/>
      <c r="V4" s="551"/>
      <c r="W4" s="60"/>
      <c r="X4" s="192"/>
      <c r="Y4" s="203" t="s">
        <v>52</v>
      </c>
      <c r="Z4" s="204"/>
    </row>
    <row r="5" spans="2:27" ht="18.75" customHeight="1">
      <c r="B5" s="60"/>
      <c r="C5" s="552" t="s">
        <v>189</v>
      </c>
      <c r="D5" s="553" t="s">
        <v>190</v>
      </c>
      <c r="E5" s="553"/>
      <c r="F5" s="553"/>
      <c r="G5" s="554"/>
      <c r="H5" s="555">
        <v>0.4</v>
      </c>
      <c r="I5" s="556"/>
      <c r="J5" s="556"/>
      <c r="K5" s="579">
        <v>5</v>
      </c>
      <c r="L5" s="579"/>
      <c r="M5" s="579"/>
      <c r="N5" s="557">
        <v>5</v>
      </c>
      <c r="O5" s="558"/>
      <c r="P5" s="559"/>
      <c r="Q5" s="557">
        <v>5</v>
      </c>
      <c r="R5" s="558"/>
      <c r="S5" s="559"/>
      <c r="T5" s="557">
        <v>5</v>
      </c>
      <c r="U5" s="558"/>
      <c r="V5" s="565"/>
      <c r="W5" s="60"/>
      <c r="X5" s="205"/>
      <c r="Y5" s="35" t="s">
        <v>257</v>
      </c>
      <c r="Z5" s="206" t="s">
        <v>261</v>
      </c>
    </row>
    <row r="6" spans="2:27">
      <c r="B6" s="60"/>
      <c r="C6" s="552"/>
      <c r="D6" s="560" t="s">
        <v>191</v>
      </c>
      <c r="E6" s="560"/>
      <c r="F6" s="560"/>
      <c r="G6" s="541"/>
      <c r="H6" s="561">
        <v>6.5</v>
      </c>
      <c r="I6" s="562"/>
      <c r="J6" s="562"/>
      <c r="K6" s="563">
        <v>3.4</v>
      </c>
      <c r="L6" s="563"/>
      <c r="M6" s="563"/>
      <c r="N6" s="566">
        <v>4.4000000000000004</v>
      </c>
      <c r="O6" s="567"/>
      <c r="P6" s="568"/>
      <c r="Q6" s="566">
        <v>5.5</v>
      </c>
      <c r="R6" s="567"/>
      <c r="S6" s="568"/>
      <c r="T6" s="566">
        <v>6.5</v>
      </c>
      <c r="U6" s="567"/>
      <c r="V6" s="569"/>
      <c r="W6" s="60"/>
      <c r="X6" s="205" t="s">
        <v>258</v>
      </c>
      <c r="Y6" s="207">
        <f>K5</f>
        <v>5</v>
      </c>
      <c r="Z6" s="208">
        <f>入力する経費!C4/100</f>
        <v>5.1113</v>
      </c>
    </row>
    <row r="7" spans="2:27" ht="19.5" thickBot="1">
      <c r="B7" s="60"/>
      <c r="C7" s="552"/>
      <c r="D7" s="560" t="s">
        <v>192</v>
      </c>
      <c r="E7" s="560"/>
      <c r="F7" s="560"/>
      <c r="G7" s="541"/>
      <c r="H7" s="561">
        <v>0</v>
      </c>
      <c r="I7" s="562"/>
      <c r="J7" s="562"/>
      <c r="K7" s="563">
        <v>10</v>
      </c>
      <c r="L7" s="563"/>
      <c r="M7" s="563"/>
      <c r="N7" s="563">
        <v>13</v>
      </c>
      <c r="O7" s="563"/>
      <c r="P7" s="563"/>
      <c r="Q7" s="563">
        <v>15</v>
      </c>
      <c r="R7" s="563"/>
      <c r="S7" s="563"/>
      <c r="T7" s="563">
        <v>20</v>
      </c>
      <c r="U7" s="563"/>
      <c r="V7" s="564"/>
      <c r="W7" s="60"/>
      <c r="X7" s="205" t="s">
        <v>259</v>
      </c>
      <c r="Y7" s="207">
        <f>K6</f>
        <v>3.4</v>
      </c>
      <c r="Z7" s="208">
        <f>入力する経費!C5/100</f>
        <v>3.3776999999999999</v>
      </c>
    </row>
    <row r="8" spans="2:27">
      <c r="B8" s="60"/>
      <c r="C8" s="570" t="s">
        <v>193</v>
      </c>
      <c r="D8" s="572" t="s">
        <v>194</v>
      </c>
      <c r="E8" s="573"/>
      <c r="F8" s="573"/>
      <c r="G8" s="574"/>
      <c r="H8" s="575">
        <v>30</v>
      </c>
      <c r="I8" s="576"/>
      <c r="J8" s="576"/>
      <c r="K8" s="532">
        <v>500</v>
      </c>
      <c r="L8" s="532"/>
      <c r="M8" s="532"/>
      <c r="N8" s="532">
        <v>500</v>
      </c>
      <c r="O8" s="532"/>
      <c r="P8" s="532"/>
      <c r="Q8" s="532">
        <v>500</v>
      </c>
      <c r="R8" s="532"/>
      <c r="S8" s="532"/>
      <c r="T8" s="532">
        <v>500</v>
      </c>
      <c r="U8" s="532"/>
      <c r="V8" s="533"/>
      <c r="W8" s="60"/>
      <c r="X8" s="205" t="s">
        <v>260</v>
      </c>
      <c r="Y8" s="207">
        <f>K7</f>
        <v>10</v>
      </c>
      <c r="Z8" s="208">
        <f>SUM(入力する経費!C6:C7)/100</f>
        <v>12.65</v>
      </c>
    </row>
    <row r="9" spans="2:27">
      <c r="B9" s="60"/>
      <c r="C9" s="552"/>
      <c r="D9" s="541" t="s">
        <v>195</v>
      </c>
      <c r="E9" s="542"/>
      <c r="F9" s="542"/>
      <c r="G9" s="543"/>
      <c r="H9" s="527">
        <v>578</v>
      </c>
      <c r="I9" s="518"/>
      <c r="J9" s="518"/>
      <c r="K9" s="544">
        <v>340</v>
      </c>
      <c r="L9" s="544"/>
      <c r="M9" s="544"/>
      <c r="N9" s="544">
        <v>440</v>
      </c>
      <c r="O9" s="544"/>
      <c r="P9" s="544"/>
      <c r="Q9" s="544">
        <v>550</v>
      </c>
      <c r="R9" s="544"/>
      <c r="S9" s="544"/>
      <c r="T9" s="544">
        <v>650</v>
      </c>
      <c r="U9" s="544"/>
      <c r="V9" s="545"/>
      <c r="W9" s="66"/>
      <c r="X9" s="205" t="s">
        <v>262</v>
      </c>
      <c r="Y9" s="134">
        <f>K8</f>
        <v>500</v>
      </c>
      <c r="Z9" s="209">
        <f>('01　別紙２様式第３－１号'!C73-145739)/(9500*1.1)</f>
        <v>336.10057416267938</v>
      </c>
      <c r="AA9" t="s">
        <v>264</v>
      </c>
    </row>
    <row r="10" spans="2:27" ht="19.5" thickBot="1">
      <c r="B10" s="60"/>
      <c r="C10" s="552"/>
      <c r="D10" s="554" t="s">
        <v>196</v>
      </c>
      <c r="E10" s="577"/>
      <c r="F10" s="577"/>
      <c r="G10" s="577"/>
      <c r="H10" s="578" t="s">
        <v>164</v>
      </c>
      <c r="I10" s="544"/>
      <c r="J10" s="544"/>
      <c r="K10" s="544" t="s">
        <v>164</v>
      </c>
      <c r="L10" s="544"/>
      <c r="M10" s="544"/>
      <c r="N10" s="544" t="s">
        <v>164</v>
      </c>
      <c r="O10" s="544"/>
      <c r="P10" s="544"/>
      <c r="Q10" s="544" t="s">
        <v>164</v>
      </c>
      <c r="R10" s="544"/>
      <c r="S10" s="544"/>
      <c r="T10" s="544" t="s">
        <v>164</v>
      </c>
      <c r="U10" s="544"/>
      <c r="V10" s="545"/>
      <c r="W10" s="60"/>
      <c r="X10" s="205" t="s">
        <v>263</v>
      </c>
      <c r="Y10" s="134">
        <f>K9</f>
        <v>340</v>
      </c>
      <c r="Z10" s="210">
        <v>310</v>
      </c>
    </row>
    <row r="11" spans="2:27" ht="19.5" thickBot="1">
      <c r="B11" s="60"/>
      <c r="C11" s="552"/>
      <c r="D11" s="580" t="s">
        <v>197</v>
      </c>
      <c r="E11" s="581"/>
      <c r="F11" s="581"/>
      <c r="G11" s="581"/>
      <c r="H11" s="582">
        <v>1</v>
      </c>
      <c r="I11" s="529"/>
      <c r="J11" s="530"/>
      <c r="K11" s="528">
        <v>1</v>
      </c>
      <c r="L11" s="529"/>
      <c r="M11" s="530"/>
      <c r="N11" s="528">
        <v>1</v>
      </c>
      <c r="O11" s="529"/>
      <c r="P11" s="530"/>
      <c r="Q11" s="528">
        <v>1</v>
      </c>
      <c r="R11" s="529"/>
      <c r="S11" s="530"/>
      <c r="T11" s="528">
        <v>1</v>
      </c>
      <c r="U11" s="529"/>
      <c r="V11" s="531"/>
      <c r="W11" s="60"/>
      <c r="X11" s="211" t="s">
        <v>265</v>
      </c>
      <c r="Y11" s="212">
        <f>K17</f>
        <v>13143</v>
      </c>
      <c r="Z11" s="213">
        <f>'別紙２様式第３－１号の７'!AD6/1000</f>
        <v>12630.293636363635</v>
      </c>
    </row>
    <row r="12" spans="2:27" ht="19.5" thickBot="1">
      <c r="B12" s="60"/>
      <c r="C12" s="571"/>
      <c r="D12" s="534"/>
      <c r="E12" s="535"/>
      <c r="F12" s="535"/>
      <c r="G12" s="535"/>
      <c r="H12" s="536"/>
      <c r="I12" s="537"/>
      <c r="J12" s="537"/>
      <c r="K12" s="537"/>
      <c r="L12" s="537"/>
      <c r="M12" s="537"/>
      <c r="N12" s="537"/>
      <c r="O12" s="537"/>
      <c r="P12" s="537"/>
      <c r="Q12" s="537"/>
      <c r="R12" s="537"/>
      <c r="S12" s="537"/>
      <c r="T12" s="537"/>
      <c r="U12" s="537"/>
      <c r="V12" s="538"/>
      <c r="W12" s="60"/>
    </row>
    <row r="13" spans="2:27">
      <c r="B13" s="60"/>
      <c r="C13" s="61"/>
      <c r="D13" s="515" t="s">
        <v>165</v>
      </c>
      <c r="E13" s="516"/>
      <c r="F13" s="516"/>
      <c r="G13" s="517"/>
      <c r="H13" s="539">
        <v>1396</v>
      </c>
      <c r="I13" s="540"/>
      <c r="J13" s="540"/>
      <c r="K13" s="532">
        <v>5054</v>
      </c>
      <c r="L13" s="532"/>
      <c r="M13" s="532"/>
      <c r="N13" s="532">
        <v>5364</v>
      </c>
      <c r="O13" s="532"/>
      <c r="P13" s="532"/>
      <c r="Q13" s="532">
        <v>5705</v>
      </c>
      <c r="R13" s="532"/>
      <c r="S13" s="532"/>
      <c r="T13" s="532">
        <v>6015</v>
      </c>
      <c r="U13" s="532"/>
      <c r="V13" s="533"/>
      <c r="W13" s="67"/>
      <c r="X13" s="192" t="str">
        <f>'別紙２様式第３－１号の７'!C17</f>
        <v>種苗費</v>
      </c>
      <c r="Y13" s="193">
        <f>K18</f>
        <v>269.20999999999998</v>
      </c>
      <c r="Z13" s="194">
        <f>'別紙２様式第３－１号の７'!G17/1000</f>
        <v>444.37272727272716</v>
      </c>
    </row>
    <row r="14" spans="2:27">
      <c r="B14" s="68"/>
      <c r="C14" s="62" t="s">
        <v>198</v>
      </c>
      <c r="D14" s="503" t="s">
        <v>166</v>
      </c>
      <c r="E14" s="504"/>
      <c r="F14" s="504"/>
      <c r="G14" s="505"/>
      <c r="H14" s="527">
        <v>0</v>
      </c>
      <c r="I14" s="518"/>
      <c r="J14" s="518"/>
      <c r="K14" s="518">
        <v>3000</v>
      </c>
      <c r="L14" s="518"/>
      <c r="M14" s="518"/>
      <c r="N14" s="518">
        <v>3900</v>
      </c>
      <c r="O14" s="518"/>
      <c r="P14" s="518"/>
      <c r="Q14" s="518">
        <v>4500</v>
      </c>
      <c r="R14" s="518"/>
      <c r="S14" s="518"/>
      <c r="T14" s="518">
        <v>6000</v>
      </c>
      <c r="U14" s="518"/>
      <c r="V14" s="519"/>
      <c r="W14" s="67"/>
      <c r="X14" s="195" t="str">
        <f>'別紙２様式第３－１号の７'!C18</f>
        <v>肥料費</v>
      </c>
      <c r="Y14" s="134">
        <f>K19</f>
        <v>1427.72</v>
      </c>
      <c r="Z14" s="196">
        <f>'別紙２様式第３－１号の７'!G18/1000</f>
        <v>699.73363636363626</v>
      </c>
    </row>
    <row r="15" spans="2:27">
      <c r="B15" s="68"/>
      <c r="C15" s="62"/>
      <c r="D15" s="503" t="s">
        <v>167</v>
      </c>
      <c r="E15" s="504"/>
      <c r="F15" s="504"/>
      <c r="G15" s="505"/>
      <c r="H15" s="527">
        <v>5607.5</v>
      </c>
      <c r="I15" s="518"/>
      <c r="J15" s="518"/>
      <c r="K15" s="518">
        <v>5089</v>
      </c>
      <c r="L15" s="518"/>
      <c r="M15" s="518"/>
      <c r="N15" s="518">
        <v>5924</v>
      </c>
      <c r="O15" s="518"/>
      <c r="P15" s="518"/>
      <c r="Q15" s="518">
        <v>6842.5</v>
      </c>
      <c r="R15" s="518"/>
      <c r="S15" s="518"/>
      <c r="T15" s="518">
        <v>7677.5</v>
      </c>
      <c r="U15" s="518"/>
      <c r="V15" s="519"/>
      <c r="W15" s="67"/>
      <c r="X15" s="195" t="str">
        <f>'別紙２様式第３－１号の７'!C19</f>
        <v>農薬衛生費</v>
      </c>
      <c r="Y15" s="134">
        <f>K20</f>
        <v>578.85400000000004</v>
      </c>
      <c r="Z15" s="196">
        <f>'別紙２様式第３－１号の７'!G19/1000</f>
        <v>363.95363636363635</v>
      </c>
    </row>
    <row r="16" spans="2:27" ht="19.5" thickBot="1">
      <c r="B16" s="68"/>
      <c r="C16" s="62" t="s">
        <v>199</v>
      </c>
      <c r="D16" s="520"/>
      <c r="E16" s="521"/>
      <c r="F16" s="521"/>
      <c r="G16" s="521"/>
      <c r="H16" s="522"/>
      <c r="I16" s="523"/>
      <c r="J16" s="523"/>
      <c r="K16" s="523"/>
      <c r="L16" s="523"/>
      <c r="M16" s="523"/>
      <c r="N16" s="523"/>
      <c r="O16" s="523"/>
      <c r="P16" s="523"/>
      <c r="Q16" s="523"/>
      <c r="R16" s="523"/>
      <c r="S16" s="523"/>
      <c r="T16" s="523"/>
      <c r="U16" s="523"/>
      <c r="V16" s="524"/>
      <c r="W16" s="60"/>
      <c r="X16" s="195" t="str">
        <f>'別紙２様式第３－１号の７'!C20</f>
        <v>資材費</v>
      </c>
      <c r="Y16" s="134">
        <f>K21</f>
        <v>1285</v>
      </c>
      <c r="Z16" s="196">
        <f>'別紙２様式第３－１号の７'!G20/1000</f>
        <v>1201.3</v>
      </c>
    </row>
    <row r="17" spans="2:29" ht="20.25" thickTop="1" thickBot="1">
      <c r="B17" s="68"/>
      <c r="C17" s="63"/>
      <c r="D17" s="482" t="s">
        <v>168</v>
      </c>
      <c r="E17" s="483"/>
      <c r="F17" s="483"/>
      <c r="G17" s="525"/>
      <c r="H17" s="526">
        <v>7003.5</v>
      </c>
      <c r="I17" s="511"/>
      <c r="J17" s="512"/>
      <c r="K17" s="511">
        <v>13143</v>
      </c>
      <c r="L17" s="511"/>
      <c r="M17" s="512"/>
      <c r="N17" s="511">
        <v>15188</v>
      </c>
      <c r="O17" s="511"/>
      <c r="P17" s="512"/>
      <c r="Q17" s="511">
        <v>17047.5</v>
      </c>
      <c r="R17" s="511"/>
      <c r="S17" s="512"/>
      <c r="T17" s="513">
        <v>19692.5</v>
      </c>
      <c r="U17" s="511"/>
      <c r="V17" s="514"/>
      <c r="W17" s="68"/>
      <c r="X17" s="195" t="str">
        <f>'別紙２様式第３－１号の７'!C21</f>
        <v>燃料費</v>
      </c>
      <c r="Y17" s="134">
        <f>K22</f>
        <v>715</v>
      </c>
      <c r="Z17" s="196">
        <f>'別紙２様式第３－１号の７'!G21/1000</f>
        <v>964.82699875041658</v>
      </c>
    </row>
    <row r="18" spans="2:29">
      <c r="B18" s="68"/>
      <c r="C18" s="64"/>
      <c r="D18" s="515" t="s">
        <v>169</v>
      </c>
      <c r="E18" s="516"/>
      <c r="F18" s="516"/>
      <c r="G18" s="517"/>
      <c r="H18" s="509">
        <v>117.44799999999999</v>
      </c>
      <c r="I18" s="500"/>
      <c r="J18" s="501"/>
      <c r="K18" s="499">
        <v>269.20999999999998</v>
      </c>
      <c r="L18" s="500"/>
      <c r="M18" s="501"/>
      <c r="N18" s="499">
        <v>284.61</v>
      </c>
      <c r="O18" s="500"/>
      <c r="P18" s="501"/>
      <c r="Q18" s="499">
        <v>301.55</v>
      </c>
      <c r="R18" s="500"/>
      <c r="S18" s="501"/>
      <c r="T18" s="499">
        <v>316.95</v>
      </c>
      <c r="U18" s="500"/>
      <c r="V18" s="502"/>
      <c r="W18" s="68"/>
      <c r="X18" s="195" t="str">
        <f>'別紙２様式第３－１号の７'!C22</f>
        <v>共済掛金</v>
      </c>
      <c r="Y18" s="134">
        <f>K27</f>
        <v>46.782412626832013</v>
      </c>
      <c r="Z18" s="196">
        <f>'別紙２様式第３－１号の７'!G22/1000</f>
        <v>277.47631824391868</v>
      </c>
    </row>
    <row r="19" spans="2:29">
      <c r="B19" s="68"/>
      <c r="C19" s="64"/>
      <c r="D19" s="503" t="s">
        <v>170</v>
      </c>
      <c r="E19" s="504"/>
      <c r="F19" s="504"/>
      <c r="G19" s="505"/>
      <c r="H19" s="509">
        <v>836.97699999999998</v>
      </c>
      <c r="I19" s="500"/>
      <c r="J19" s="501"/>
      <c r="K19" s="499">
        <v>1427.72</v>
      </c>
      <c r="L19" s="500"/>
      <c r="M19" s="501"/>
      <c r="N19" s="499">
        <v>1543.77</v>
      </c>
      <c r="O19" s="500"/>
      <c r="P19" s="501"/>
      <c r="Q19" s="499">
        <v>1671.425</v>
      </c>
      <c r="R19" s="500"/>
      <c r="S19" s="501"/>
      <c r="T19" s="499">
        <v>1787.4749999999999</v>
      </c>
      <c r="U19" s="500"/>
      <c r="V19" s="502"/>
      <c r="W19" s="68"/>
      <c r="X19" s="195" t="str">
        <f>'別紙２様式第３－１号の７'!C23</f>
        <v>修繕費</v>
      </c>
      <c r="Y19" s="134">
        <f>K29</f>
        <v>721.45896656534933</v>
      </c>
      <c r="Z19" s="196">
        <f>'別紙２様式第３－１号の７'!G23/1000</f>
        <v>1499.3633481339552</v>
      </c>
    </row>
    <row r="20" spans="2:29">
      <c r="B20" s="68"/>
      <c r="C20" s="64"/>
      <c r="D20" s="503" t="s">
        <v>171</v>
      </c>
      <c r="E20" s="504"/>
      <c r="F20" s="504"/>
      <c r="G20" s="505"/>
      <c r="H20" s="509">
        <v>465.51499999999999</v>
      </c>
      <c r="I20" s="500"/>
      <c r="J20" s="501"/>
      <c r="K20" s="499">
        <v>578.85400000000004</v>
      </c>
      <c r="L20" s="500"/>
      <c r="M20" s="501"/>
      <c r="N20" s="499">
        <v>646.16399999999999</v>
      </c>
      <c r="O20" s="500"/>
      <c r="P20" s="501"/>
      <c r="Q20" s="499">
        <v>720.20500000000004</v>
      </c>
      <c r="R20" s="500"/>
      <c r="S20" s="501"/>
      <c r="T20" s="499">
        <v>787.51499999999999</v>
      </c>
      <c r="U20" s="500"/>
      <c r="V20" s="502"/>
      <c r="W20" s="68"/>
      <c r="X20" s="195" t="str">
        <f>'別紙２様式第３－１号の７'!C24</f>
        <v>地代</v>
      </c>
      <c r="Y20" s="134">
        <f>K31</f>
        <v>309.86245772266062</v>
      </c>
      <c r="Z20" s="196">
        <f>'別紙２様式第３－１号の７'!G24/1000</f>
        <v>1152.1783421859379</v>
      </c>
    </row>
    <row r="21" spans="2:29">
      <c r="B21" s="68"/>
      <c r="C21" s="64"/>
      <c r="D21" s="503" t="s">
        <v>172</v>
      </c>
      <c r="E21" s="504"/>
      <c r="F21" s="504"/>
      <c r="G21" s="505"/>
      <c r="H21" s="509">
        <v>568</v>
      </c>
      <c r="I21" s="500"/>
      <c r="J21" s="500"/>
      <c r="K21" s="510">
        <v>1285</v>
      </c>
      <c r="L21" s="510"/>
      <c r="M21" s="510"/>
      <c r="N21" s="510">
        <v>1488.9</v>
      </c>
      <c r="O21" s="510"/>
      <c r="P21" s="510"/>
      <c r="Q21" s="500">
        <v>1659.5</v>
      </c>
      <c r="R21" s="500"/>
      <c r="S21" s="501"/>
      <c r="T21" s="499">
        <v>1946</v>
      </c>
      <c r="U21" s="500"/>
      <c r="V21" s="502"/>
      <c r="W21" s="68"/>
      <c r="X21" s="195" t="str">
        <f>'別紙２様式第３－１号の７'!C25</f>
        <v>減価償却費</v>
      </c>
      <c r="Y21" s="134">
        <f>K28</f>
        <v>5136.7484941552211</v>
      </c>
      <c r="Z21" s="196">
        <f>'別紙２様式第３－１号の７'!G25/1000</f>
        <v>5137</v>
      </c>
    </row>
    <row r="22" spans="2:29">
      <c r="B22" s="68"/>
      <c r="C22" s="64" t="s">
        <v>200</v>
      </c>
      <c r="D22" s="503" t="s">
        <v>173</v>
      </c>
      <c r="E22" s="504"/>
      <c r="F22" s="504"/>
      <c r="G22" s="505"/>
      <c r="H22" s="509">
        <v>680</v>
      </c>
      <c r="I22" s="500"/>
      <c r="J22" s="501"/>
      <c r="K22" s="498">
        <v>715</v>
      </c>
      <c r="L22" s="492"/>
      <c r="M22" s="497"/>
      <c r="N22" s="498">
        <v>815</v>
      </c>
      <c r="O22" s="492"/>
      <c r="P22" s="497"/>
      <c r="Q22" s="498">
        <v>925</v>
      </c>
      <c r="R22" s="492"/>
      <c r="S22" s="497"/>
      <c r="T22" s="498">
        <v>1025</v>
      </c>
      <c r="U22" s="492"/>
      <c r="V22" s="493"/>
      <c r="W22" s="68"/>
      <c r="X22" s="217" t="str">
        <f>'別紙２様式第３－１号の７'!C29</f>
        <v>雇用労賃(別単価)</v>
      </c>
      <c r="Y22" s="218">
        <f>K26</f>
        <v>270.1216</v>
      </c>
      <c r="Z22" s="219">
        <f>'別紙２様式第３－１号の７'!G29/1000</f>
        <v>284.52387040000002</v>
      </c>
    </row>
    <row r="23" spans="2:29">
      <c r="B23" s="68"/>
      <c r="C23" s="64"/>
      <c r="D23" s="503" t="s">
        <v>174</v>
      </c>
      <c r="E23" s="504"/>
      <c r="F23" s="504"/>
      <c r="G23" s="505"/>
      <c r="H23" s="496">
        <v>0</v>
      </c>
      <c r="I23" s="492"/>
      <c r="J23" s="497"/>
      <c r="K23" s="498">
        <v>0</v>
      </c>
      <c r="L23" s="492"/>
      <c r="M23" s="497"/>
      <c r="N23" s="498">
        <v>0</v>
      </c>
      <c r="O23" s="492"/>
      <c r="P23" s="497"/>
      <c r="Q23" s="498">
        <v>0</v>
      </c>
      <c r="R23" s="492"/>
      <c r="S23" s="497"/>
      <c r="T23" s="498">
        <v>0</v>
      </c>
      <c r="U23" s="492"/>
      <c r="V23" s="493"/>
      <c r="W23" s="68"/>
      <c r="X23" s="195" t="str">
        <f>'別紙２様式第３－１号の７'!C30</f>
        <v>租税公課（×飼料自作率）</v>
      </c>
      <c r="Y23" s="134">
        <f>K32</f>
        <v>215.69199594731506</v>
      </c>
      <c r="Z23" s="196">
        <f>'別紙２様式第３－１号の７'!G30/1000</f>
        <v>515.462087374048</v>
      </c>
      <c r="AC23" s="134"/>
    </row>
    <row r="24" spans="2:29">
      <c r="B24" s="68"/>
      <c r="C24" s="64"/>
      <c r="D24" s="506" t="s">
        <v>175</v>
      </c>
      <c r="E24" s="507"/>
      <c r="F24" s="507"/>
      <c r="G24" s="508"/>
      <c r="H24" s="496">
        <v>0</v>
      </c>
      <c r="I24" s="492"/>
      <c r="J24" s="497"/>
      <c r="K24" s="498">
        <v>0</v>
      </c>
      <c r="L24" s="492"/>
      <c r="M24" s="497"/>
      <c r="N24" s="498">
        <v>0</v>
      </c>
      <c r="O24" s="492"/>
      <c r="P24" s="497"/>
      <c r="Q24" s="498">
        <v>0</v>
      </c>
      <c r="R24" s="492"/>
      <c r="S24" s="497"/>
      <c r="T24" s="498">
        <v>0</v>
      </c>
      <c r="U24" s="492"/>
      <c r="V24" s="493"/>
      <c r="W24" s="68"/>
      <c r="X24" s="195" t="str">
        <f>'別紙２様式第３－１号の７'!C31</f>
        <v>営業外費用</v>
      </c>
      <c r="Y24" s="134">
        <f>K33</f>
        <v>6.3383991894630185</v>
      </c>
      <c r="Z24" s="196">
        <f>'別紙２様式第３－１号の７'!G31/1000</f>
        <v>14.86245686437854</v>
      </c>
      <c r="AC24" s="134"/>
    </row>
    <row r="25" spans="2:29" ht="19.5" thickBot="1">
      <c r="B25" s="68"/>
      <c r="C25" s="64"/>
      <c r="D25" s="503" t="s">
        <v>176</v>
      </c>
      <c r="E25" s="504"/>
      <c r="F25" s="504"/>
      <c r="G25" s="505"/>
      <c r="H25" s="496">
        <v>0</v>
      </c>
      <c r="I25" s="492"/>
      <c r="J25" s="497"/>
      <c r="K25" s="498">
        <v>0</v>
      </c>
      <c r="L25" s="492"/>
      <c r="M25" s="497"/>
      <c r="N25" s="498">
        <v>0</v>
      </c>
      <c r="O25" s="492"/>
      <c r="P25" s="497"/>
      <c r="Q25" s="498">
        <v>0</v>
      </c>
      <c r="R25" s="492"/>
      <c r="S25" s="497"/>
      <c r="T25" s="498">
        <v>0</v>
      </c>
      <c r="U25" s="492"/>
      <c r="V25" s="493"/>
      <c r="W25" s="68"/>
      <c r="X25" s="197" t="s">
        <v>267</v>
      </c>
      <c r="Y25" s="198">
        <f>Y55</f>
        <v>763.96523521574238</v>
      </c>
      <c r="Z25" s="199">
        <f>Z55</f>
        <v>1473.87168261943</v>
      </c>
    </row>
    <row r="26" spans="2:29" ht="19.5" thickBot="1">
      <c r="B26" s="68"/>
      <c r="C26" s="64"/>
      <c r="D26" s="503" t="s">
        <v>177</v>
      </c>
      <c r="E26" s="504"/>
      <c r="F26" s="504"/>
      <c r="G26" s="505"/>
      <c r="H26" s="496">
        <v>102.59528</v>
      </c>
      <c r="I26" s="492"/>
      <c r="J26" s="497"/>
      <c r="K26" s="498">
        <v>270.1216</v>
      </c>
      <c r="L26" s="492"/>
      <c r="M26" s="497"/>
      <c r="N26" s="498">
        <v>295.59559999999999</v>
      </c>
      <c r="O26" s="492"/>
      <c r="P26" s="497"/>
      <c r="Q26" s="498">
        <v>318.41699999999997</v>
      </c>
      <c r="R26" s="492"/>
      <c r="S26" s="497"/>
      <c r="T26" s="498">
        <v>352.16048000000001</v>
      </c>
      <c r="U26" s="492"/>
      <c r="V26" s="493"/>
      <c r="W26" s="68"/>
      <c r="X26" s="214" t="s">
        <v>268</v>
      </c>
      <c r="Y26" s="212">
        <f>K36</f>
        <v>11746.753561422584</v>
      </c>
      <c r="Z26" s="213">
        <f>SUM(Z13:Z25)</f>
        <v>14028.925104572085</v>
      </c>
    </row>
    <row r="27" spans="2:29" ht="19.5" thickBot="1">
      <c r="B27" s="68"/>
      <c r="C27" s="64" t="s">
        <v>201</v>
      </c>
      <c r="D27" s="503" t="s">
        <v>178</v>
      </c>
      <c r="E27" s="504"/>
      <c r="F27" s="504"/>
      <c r="G27" s="505"/>
      <c r="H27" s="496">
        <v>39.842424242424244</v>
      </c>
      <c r="I27" s="492"/>
      <c r="J27" s="497"/>
      <c r="K27" s="498">
        <v>46.782412626832013</v>
      </c>
      <c r="L27" s="492"/>
      <c r="M27" s="497"/>
      <c r="N27" s="498">
        <v>51.768115942028984</v>
      </c>
      <c r="O27" s="492"/>
      <c r="P27" s="497"/>
      <c r="Q27" s="498">
        <v>57.125550660792953</v>
      </c>
      <c r="R27" s="492"/>
      <c r="S27" s="497"/>
      <c r="T27" s="498">
        <v>61.978653888041819</v>
      </c>
      <c r="U27" s="492"/>
      <c r="V27" s="493"/>
      <c r="W27" s="68"/>
      <c r="X27" s="200" t="s">
        <v>269</v>
      </c>
      <c r="Y27" s="201">
        <f>Y11-Y26</f>
        <v>1396.2464385774165</v>
      </c>
      <c r="Z27" s="202">
        <f>Z11-Z26</f>
        <v>-1398.6314682084503</v>
      </c>
    </row>
    <row r="28" spans="2:29">
      <c r="B28" s="68"/>
      <c r="C28" s="64"/>
      <c r="D28" s="503" t="s">
        <v>179</v>
      </c>
      <c r="E28" s="504"/>
      <c r="F28" s="504"/>
      <c r="G28" s="505"/>
      <c r="H28" s="496">
        <v>1154.4210607433001</v>
      </c>
      <c r="I28" s="492"/>
      <c r="J28" s="497"/>
      <c r="K28" s="498">
        <v>5136.7484941552211</v>
      </c>
      <c r="L28" s="492"/>
      <c r="M28" s="497"/>
      <c r="N28" s="498">
        <v>4335.7652828973687</v>
      </c>
      <c r="O28" s="492"/>
      <c r="P28" s="497"/>
      <c r="Q28" s="498">
        <v>4174.5776276648703</v>
      </c>
      <c r="R28" s="492"/>
      <c r="S28" s="497"/>
      <c r="T28" s="498">
        <v>4196.3721178921678</v>
      </c>
      <c r="U28" s="492"/>
      <c r="V28" s="493"/>
      <c r="W28" s="68"/>
    </row>
    <row r="29" spans="2:29">
      <c r="B29" s="68"/>
      <c r="C29" s="64"/>
      <c r="D29" s="503" t="s">
        <v>180</v>
      </c>
      <c r="E29" s="504"/>
      <c r="F29" s="504"/>
      <c r="G29" s="505"/>
      <c r="H29" s="496">
        <v>312.12587412587408</v>
      </c>
      <c r="I29" s="492"/>
      <c r="J29" s="497"/>
      <c r="K29" s="498">
        <v>721.45896656534933</v>
      </c>
      <c r="L29" s="492"/>
      <c r="M29" s="497"/>
      <c r="N29" s="498">
        <v>844.08958130477095</v>
      </c>
      <c r="O29" s="492"/>
      <c r="P29" s="497"/>
      <c r="Q29" s="498">
        <v>932.75047258979191</v>
      </c>
      <c r="R29" s="492"/>
      <c r="S29" s="497"/>
      <c r="T29" s="498">
        <v>1090.8817742800929</v>
      </c>
      <c r="U29" s="492"/>
      <c r="V29" s="493"/>
      <c r="W29" s="68"/>
    </row>
    <row r="30" spans="2:29">
      <c r="B30" s="68"/>
      <c r="C30" s="64"/>
      <c r="D30" s="503" t="s">
        <v>181</v>
      </c>
      <c r="E30" s="504"/>
      <c r="F30" s="504"/>
      <c r="G30" s="505"/>
      <c r="H30" s="496">
        <v>0</v>
      </c>
      <c r="I30" s="492"/>
      <c r="J30" s="497"/>
      <c r="K30" s="498">
        <v>0</v>
      </c>
      <c r="L30" s="492"/>
      <c r="M30" s="497"/>
      <c r="N30" s="499">
        <v>0</v>
      </c>
      <c r="O30" s="500"/>
      <c r="P30" s="501"/>
      <c r="Q30" s="499">
        <v>0</v>
      </c>
      <c r="R30" s="500"/>
      <c r="S30" s="501"/>
      <c r="T30" s="499">
        <v>0</v>
      </c>
      <c r="U30" s="500"/>
      <c r="V30" s="502"/>
      <c r="W30" s="68"/>
      <c r="X30" t="s">
        <v>425</v>
      </c>
    </row>
    <row r="31" spans="2:29">
      <c r="B31" s="60"/>
      <c r="C31" s="64"/>
      <c r="D31" s="503" t="s">
        <v>182</v>
      </c>
      <c r="E31" s="504"/>
      <c r="F31" s="504"/>
      <c r="G31" s="505"/>
      <c r="H31" s="496">
        <v>263.89557109557109</v>
      </c>
      <c r="I31" s="492"/>
      <c r="J31" s="497"/>
      <c r="K31" s="498">
        <v>309.86245772266062</v>
      </c>
      <c r="L31" s="492"/>
      <c r="M31" s="497"/>
      <c r="N31" s="499">
        <v>342.88517279821627</v>
      </c>
      <c r="O31" s="500"/>
      <c r="P31" s="501"/>
      <c r="Q31" s="499">
        <v>378.37004405286348</v>
      </c>
      <c r="R31" s="500"/>
      <c r="S31" s="501"/>
      <c r="T31" s="499">
        <v>410.5144848616859</v>
      </c>
      <c r="U31" s="500"/>
      <c r="V31" s="502"/>
      <c r="W31" s="68"/>
    </row>
    <row r="32" spans="2:29">
      <c r="B32" s="60"/>
      <c r="C32" s="64"/>
      <c r="D32" s="503" t="s">
        <v>183</v>
      </c>
      <c r="E32" s="504"/>
      <c r="F32" s="504"/>
      <c r="G32" s="505"/>
      <c r="H32" s="496">
        <v>93.315151515151513</v>
      </c>
      <c r="I32" s="492"/>
      <c r="J32" s="497"/>
      <c r="K32" s="498">
        <v>215.69199594731506</v>
      </c>
      <c r="L32" s="492"/>
      <c r="M32" s="497"/>
      <c r="N32" s="498">
        <v>342.88517279821627</v>
      </c>
      <c r="O32" s="492"/>
      <c r="P32" s="497"/>
      <c r="Q32" s="498">
        <v>278.86105860113423</v>
      </c>
      <c r="R32" s="492"/>
      <c r="S32" s="497"/>
      <c r="T32" s="498">
        <v>326.13700590234305</v>
      </c>
      <c r="U32" s="492"/>
      <c r="V32" s="493"/>
      <c r="W32" s="68"/>
      <c r="X32" s="325" t="s">
        <v>427</v>
      </c>
    </row>
    <row r="33" spans="2:31">
      <c r="B33" s="60"/>
      <c r="C33" s="64"/>
      <c r="D33" s="503" t="s">
        <v>202</v>
      </c>
      <c r="E33" s="504"/>
      <c r="F33" s="504"/>
      <c r="G33" s="505"/>
      <c r="H33" s="496">
        <v>2.742191142191142</v>
      </c>
      <c r="I33" s="492"/>
      <c r="J33" s="497"/>
      <c r="K33" s="498">
        <v>6.3383991894630185</v>
      </c>
      <c r="L33" s="492"/>
      <c r="M33" s="497"/>
      <c r="N33" s="491">
        <v>7.4157740993184023</v>
      </c>
      <c r="O33" s="491"/>
      <c r="P33" s="491"/>
      <c r="Q33" s="491">
        <v>8.1947069943289232</v>
      </c>
      <c r="R33" s="491"/>
      <c r="S33" s="491"/>
      <c r="T33" s="492">
        <v>9.5839742443212312</v>
      </c>
      <c r="U33" s="492"/>
      <c r="V33" s="493"/>
      <c r="W33" s="68"/>
      <c r="X33" t="s">
        <v>115</v>
      </c>
      <c r="Y33" s="134">
        <f>参考＿経営収支計画根拠!Z69/1.1*参考＿経営収支計画根拠!R34</f>
        <v>7.8343753202828728</v>
      </c>
      <c r="Z33" s="191">
        <f>(入力する経費!J10/1.1*入力する経費!C$9)/1000</f>
        <v>75.884629335675967</v>
      </c>
      <c r="AA33" s="191"/>
    </row>
    <row r="34" spans="2:31">
      <c r="B34" s="60"/>
      <c r="C34" s="64"/>
      <c r="D34" s="494" t="s">
        <v>203</v>
      </c>
      <c r="E34" s="494"/>
      <c r="F34" s="494"/>
      <c r="G34" s="495"/>
      <c r="H34" s="496">
        <v>1774</v>
      </c>
      <c r="I34" s="492"/>
      <c r="J34" s="497"/>
      <c r="K34" s="498">
        <v>0</v>
      </c>
      <c r="L34" s="492"/>
      <c r="M34" s="497"/>
      <c r="N34" s="491">
        <v>0</v>
      </c>
      <c r="O34" s="491"/>
      <c r="P34" s="491"/>
      <c r="Q34" s="491">
        <v>0</v>
      </c>
      <c r="R34" s="491"/>
      <c r="S34" s="491"/>
      <c r="T34" s="492">
        <v>0</v>
      </c>
      <c r="U34" s="492"/>
      <c r="V34" s="493"/>
      <c r="W34" s="68"/>
      <c r="X34" t="s">
        <v>426</v>
      </c>
      <c r="Y34" s="134">
        <f>参考＿経営収支計画根拠!Z76/1.1*参考＿経営収支計画根拠!R34</f>
        <v>7.0595469919032476</v>
      </c>
      <c r="Z34" s="191">
        <f>(入力する経費!J17/1.1*入力する経費!C$9)/1000</f>
        <v>17.405651600981489</v>
      </c>
      <c r="AA34" s="191"/>
    </row>
    <row r="35" spans="2:31" ht="19.5" thickBot="1">
      <c r="B35" s="60"/>
      <c r="C35" s="64"/>
      <c r="D35" s="488" t="s">
        <v>204</v>
      </c>
      <c r="E35" s="488"/>
      <c r="F35" s="488"/>
      <c r="G35" s="489"/>
      <c r="H35" s="490">
        <v>650.63397329942791</v>
      </c>
      <c r="I35" s="479"/>
      <c r="J35" s="480"/>
      <c r="K35" s="478">
        <v>763.96523521574238</v>
      </c>
      <c r="L35" s="479"/>
      <c r="M35" s="480"/>
      <c r="N35" s="478">
        <v>845.38266950440845</v>
      </c>
      <c r="O35" s="479"/>
      <c r="P35" s="480"/>
      <c r="Q35" s="478">
        <v>932.87054465358426</v>
      </c>
      <c r="R35" s="479"/>
      <c r="S35" s="480"/>
      <c r="T35" s="478">
        <v>1012.1225955921664</v>
      </c>
      <c r="U35" s="479"/>
      <c r="V35" s="481"/>
      <c r="W35" s="68"/>
      <c r="X35" s="326" t="s">
        <v>123</v>
      </c>
      <c r="Y35" s="328">
        <f>参考＿経営収支計画根拠!Z77/1.1*参考＿経営収支計画根拠!R34</f>
        <v>7.4900071743363723</v>
      </c>
      <c r="Z35" s="327">
        <f>(入力する経費!J18/1.1*入力する経費!C$9)/1000</f>
        <v>12.744043424918964</v>
      </c>
      <c r="AA35" s="191"/>
    </row>
    <row r="36" spans="2:31" ht="20.25" thickTop="1" thickBot="1">
      <c r="B36" s="60"/>
      <c r="C36" s="63"/>
      <c r="D36" s="482" t="s">
        <v>205</v>
      </c>
      <c r="E36" s="483"/>
      <c r="F36" s="483"/>
      <c r="G36" s="483"/>
      <c r="H36" s="484">
        <v>7061.5115261639403</v>
      </c>
      <c r="I36" s="485"/>
      <c r="J36" s="486"/>
      <c r="K36" s="485">
        <v>11746.753561422584</v>
      </c>
      <c r="L36" s="485"/>
      <c r="M36" s="485"/>
      <c r="N36" s="485">
        <v>11844.231369344328</v>
      </c>
      <c r="O36" s="485"/>
      <c r="P36" s="485"/>
      <c r="Q36" s="485">
        <v>12358.847005217367</v>
      </c>
      <c r="R36" s="485"/>
      <c r="S36" s="485"/>
      <c r="T36" s="485">
        <v>13322.691086660816</v>
      </c>
      <c r="U36" s="485"/>
      <c r="V36" s="487"/>
      <c r="W36" s="60"/>
      <c r="X36" t="s">
        <v>100</v>
      </c>
      <c r="Y36" s="134">
        <f>SUM(Y33:Y35)</f>
        <v>22.383929486522494</v>
      </c>
      <c r="Z36" s="134">
        <f>SUM(Z33:Z35)</f>
        <v>106.03432436157641</v>
      </c>
    </row>
    <row r="37" spans="2:31" ht="19.5" thickBot="1">
      <c r="B37" s="60"/>
      <c r="C37" s="472" t="s">
        <v>206</v>
      </c>
      <c r="D37" s="473"/>
      <c r="E37" s="473"/>
      <c r="F37" s="473"/>
      <c r="G37" s="473"/>
      <c r="H37" s="65" t="s">
        <v>207</v>
      </c>
      <c r="I37" s="474">
        <v>-58.011526163940289</v>
      </c>
      <c r="J37" s="475"/>
      <c r="K37" s="476">
        <v>1396.2464385774165</v>
      </c>
      <c r="L37" s="476"/>
      <c r="M37" s="476"/>
      <c r="N37" s="476">
        <v>3343.7686306556716</v>
      </c>
      <c r="O37" s="476"/>
      <c r="P37" s="476"/>
      <c r="Q37" s="476">
        <v>4688.652994782633</v>
      </c>
      <c r="R37" s="476"/>
      <c r="S37" s="476"/>
      <c r="T37" s="65" t="s">
        <v>208</v>
      </c>
      <c r="U37" s="474">
        <v>6369.8089133391841</v>
      </c>
      <c r="V37" s="477"/>
      <c r="W37" s="60"/>
      <c r="Z37" s="35" t="s">
        <v>440</v>
      </c>
    </row>
    <row r="38" spans="2:31" ht="18.75" customHeight="1">
      <c r="B38" s="60"/>
      <c r="C38" s="469" t="s">
        <v>209</v>
      </c>
      <c r="D38" s="470"/>
      <c r="E38" s="470"/>
      <c r="F38" s="470"/>
      <c r="G38" s="470"/>
      <c r="H38" s="470"/>
      <c r="I38" s="470"/>
      <c r="J38" s="470"/>
      <c r="K38" s="470"/>
      <c r="L38" s="470"/>
      <c r="M38" s="470"/>
      <c r="N38" s="470"/>
      <c r="O38" s="470"/>
      <c r="P38" s="470"/>
      <c r="Q38" s="470"/>
      <c r="R38" s="470"/>
      <c r="S38" s="470"/>
      <c r="T38" s="470"/>
      <c r="U38" s="470"/>
      <c r="V38" s="470"/>
      <c r="W38" s="60"/>
      <c r="X38" s="329" t="s">
        <v>428</v>
      </c>
      <c r="Y38" s="326"/>
      <c r="Z38" s="326"/>
    </row>
    <row r="39" spans="2:31">
      <c r="B39" s="60"/>
      <c r="C39" s="471"/>
      <c r="D39" s="471"/>
      <c r="E39" s="471"/>
      <c r="F39" s="471"/>
      <c r="G39" s="471"/>
      <c r="H39" s="471"/>
      <c r="I39" s="471"/>
      <c r="J39" s="471"/>
      <c r="K39" s="471"/>
      <c r="L39" s="471"/>
      <c r="M39" s="471"/>
      <c r="N39" s="471"/>
      <c r="O39" s="471"/>
      <c r="P39" s="471"/>
      <c r="Q39" s="471"/>
      <c r="R39" s="471"/>
      <c r="S39" s="471"/>
      <c r="T39" s="471"/>
      <c r="U39" s="471"/>
      <c r="V39" s="471"/>
      <c r="W39" s="60"/>
      <c r="X39" t="s">
        <v>444</v>
      </c>
      <c r="Y39" s="134">
        <f>参考＿経営収支計画根拠!AE65*参考＿経営収支計画根拠!R34</f>
        <v>351.34160090191654</v>
      </c>
      <c r="Z39" s="134">
        <f>入力する経費!J22*入力する経費!C$9/1000</f>
        <v>562.92182687437526</v>
      </c>
      <c r="AA39" s="134"/>
      <c r="AB39" s="191"/>
      <c r="AC39" s="191"/>
      <c r="AD39" s="134"/>
      <c r="AE39" s="191"/>
    </row>
    <row r="40" spans="2:31">
      <c r="X40" t="s">
        <v>132</v>
      </c>
      <c r="Y40" s="191">
        <f>参考＿経営収支計画根拠!AE66/1.1*参考＿経営収支計画根拠!R34</f>
        <v>85.231116121758717</v>
      </c>
      <c r="Z40" s="134">
        <f>入力する経費!J23/1.1*入力する経費!C$9/1000</f>
        <v>110.2096492078398</v>
      </c>
      <c r="AA40" s="134"/>
      <c r="AB40" s="191"/>
      <c r="AC40" s="191"/>
      <c r="AD40" s="134"/>
      <c r="AE40" s="191"/>
    </row>
    <row r="41" spans="2:31">
      <c r="B41" s="134"/>
      <c r="X41" t="s">
        <v>429</v>
      </c>
      <c r="Y41" s="191">
        <f>参考＿経営収支計画根拠!AE68/1.1*参考＿経営収支計画根拠!R34</f>
        <v>0.77482832837962479</v>
      </c>
      <c r="Z41" s="134">
        <f>入力する経費!J25/1.1*入力する経費!C$9/1000</f>
        <v>17.554673911726393</v>
      </c>
      <c r="AA41" s="134"/>
      <c r="AB41" s="191"/>
      <c r="AC41" s="191"/>
      <c r="AD41" s="134"/>
      <c r="AE41" s="191"/>
    </row>
    <row r="42" spans="2:31">
      <c r="X42" t="s">
        <v>430</v>
      </c>
      <c r="Y42" s="191">
        <f>参考＿経営収支計画根拠!AE69/1.1*参考＿経営収支計画根拠!R34</f>
        <v>6.1986266270369983</v>
      </c>
      <c r="Z42" s="134">
        <f>入力する経費!J26/1.1*入力する経費!C$9/1000</f>
        <v>60.695025642967494</v>
      </c>
      <c r="AA42" s="134"/>
      <c r="AB42" s="191"/>
      <c r="AC42" s="191"/>
      <c r="AD42" s="134"/>
      <c r="AE42" s="191"/>
    </row>
    <row r="43" spans="2:31">
      <c r="X43" t="s">
        <v>431</v>
      </c>
      <c r="Y43" s="191">
        <f>参考＿経営収支計画根拠!AE70/1.1*参考＿経営収支計画根拠!R34</f>
        <v>11.880701035154246</v>
      </c>
      <c r="Z43" s="134">
        <f>入力する経費!J27/1.1*入力する経費!C$9/1000</f>
        <v>17.674637514767802</v>
      </c>
      <c r="AA43" s="134"/>
      <c r="AB43" s="191"/>
      <c r="AC43" s="191"/>
      <c r="AD43" s="134"/>
      <c r="AE43" s="191"/>
    </row>
    <row r="44" spans="2:31">
      <c r="X44" t="s">
        <v>433</v>
      </c>
      <c r="Y44" s="191">
        <f>参考＿経営収支計画根拠!AE72/1.1*参考＿経営収支計画根拠!R34</f>
        <v>25.138874654094494</v>
      </c>
      <c r="Z44" s="134">
        <f>入力する経費!J29/1.1*入力する経費!C$9/1000</f>
        <v>27.764309427160644</v>
      </c>
      <c r="AA44" s="134"/>
      <c r="AB44" s="191"/>
      <c r="AC44" s="191"/>
      <c r="AD44" s="134"/>
      <c r="AE44" s="191"/>
    </row>
    <row r="45" spans="2:31">
      <c r="X45" t="s">
        <v>445</v>
      </c>
      <c r="Y45" s="191">
        <f>参考＿経営収支計画根拠!AE74*参考＿経営収支計画根拠!R34</f>
        <v>145.36640360766629</v>
      </c>
      <c r="Z45" s="134">
        <f>入力する経費!J31*入力する経費!C$9/1000</f>
        <v>223.10285721426192</v>
      </c>
      <c r="AA45" s="134"/>
      <c r="AB45" s="191"/>
      <c r="AC45" s="191"/>
      <c r="AD45" s="134"/>
      <c r="AE45" s="191"/>
    </row>
    <row r="46" spans="2:31">
      <c r="X46" t="s">
        <v>434</v>
      </c>
      <c r="Y46" s="191">
        <f>参考＿経営収支計画根拠!AE77/1.1*参考＿経営収支計画根拠!R34</f>
        <v>66.549144204161109</v>
      </c>
      <c r="Z46" s="134">
        <f>入力する経費!J34/1.1*入力する経費!C$9/1000</f>
        <v>3.0975810941807271</v>
      </c>
      <c r="AA46" s="134"/>
      <c r="AB46" s="191"/>
      <c r="AC46" s="191"/>
      <c r="AD46" s="134"/>
      <c r="AE46" s="191"/>
    </row>
    <row r="47" spans="2:31">
      <c r="X47" t="s">
        <v>435</v>
      </c>
      <c r="Y47" s="191">
        <f>参考＿経営収支計画根拠!AE78/1.1*参考＿経営収支計画根拠!R34</f>
        <v>21.894926719278466</v>
      </c>
      <c r="Z47" s="134">
        <f>入力する経費!J35/1.1*入力する経費!C$9/1000</f>
        <v>229.17458418405985</v>
      </c>
      <c r="AA47" s="134"/>
      <c r="AB47" s="191"/>
      <c r="AC47" s="191"/>
      <c r="AD47" s="134"/>
      <c r="AE47" s="191"/>
    </row>
    <row r="48" spans="2:31">
      <c r="X48" t="s">
        <v>436</v>
      </c>
      <c r="Y48" s="191">
        <f>参考＿経営収支計画根拠!AE79/1.1*参考＿経営収支計画根拠!R34</f>
        <v>5.7681664446038736</v>
      </c>
      <c r="Z48" s="134">
        <f>入力する経費!J36/1.1*入力する経費!C$9/1000</f>
        <v>4.1643956862863885</v>
      </c>
      <c r="AA48" s="134"/>
      <c r="AB48" s="191"/>
      <c r="AC48" s="191"/>
      <c r="AD48" s="134"/>
      <c r="AE48" s="191"/>
    </row>
    <row r="49" spans="24:31">
      <c r="X49" t="s">
        <v>437</v>
      </c>
      <c r="Y49" s="191">
        <f>参考＿経営収支計画根拠!AE80/1.1*参考＿経営収支計画根拠!R34</f>
        <v>7.8343753202828728</v>
      </c>
      <c r="Z49" s="134">
        <f>入力する経費!J37/1.1*入力する経費!C$9/1000</f>
        <v>12.407811032686073</v>
      </c>
      <c r="AA49" s="134"/>
      <c r="AB49" s="191"/>
      <c r="AC49" s="191"/>
      <c r="AD49" s="134"/>
      <c r="AE49" s="191"/>
    </row>
    <row r="50" spans="24:31">
      <c r="X50" t="s">
        <v>438</v>
      </c>
      <c r="Y50" s="191">
        <f>参考＿経営収支計画根拠!AE81/1.1*参考＿経営収支計画根拠!R34</f>
        <v>4.8211540432509992</v>
      </c>
      <c r="Z50" s="134">
        <f>入力する経費!J38/1.1*入力する経費!C$9/1000</f>
        <v>10.961304565144951</v>
      </c>
      <c r="AA50" s="134"/>
      <c r="AB50" s="191"/>
      <c r="AC50" s="191"/>
      <c r="AD50" s="134"/>
      <c r="AE50" s="191"/>
    </row>
    <row r="51" spans="24:31">
      <c r="X51" s="326" t="s">
        <v>439</v>
      </c>
      <c r="Y51" s="327">
        <f>参考＿経営収支計画根拠!AE82/1.1*参考＿経営収支計画根拠!R34</f>
        <v>8.7813877216357472</v>
      </c>
      <c r="Z51" s="328">
        <f>入力する経費!J39/1.1*入力する経費!C$9/1000</f>
        <v>88.108701902396163</v>
      </c>
      <c r="AA51" s="191"/>
      <c r="AB51" s="191"/>
      <c r="AC51" s="191"/>
      <c r="AD51" s="134"/>
      <c r="AE51" s="191"/>
    </row>
    <row r="52" spans="24:31">
      <c r="X52" t="s">
        <v>100</v>
      </c>
      <c r="Y52" s="134">
        <f>SUM(Y39:Y51)</f>
        <v>741.58130572921993</v>
      </c>
      <c r="Z52" s="134">
        <f>SUM(Z39:Z51)</f>
        <v>1367.8373582578536</v>
      </c>
      <c r="AA52" s="339">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入力する経費!J39/1.1)*入力する経費!C$9/1000</f>
        <v>1367.8373582578536</v>
      </c>
      <c r="AB52" s="134" t="s">
        <v>443</v>
      </c>
      <c r="AD52" s="134"/>
      <c r="AE52" s="191"/>
    </row>
    <row r="53" spans="24:31">
      <c r="Z53" s="35" t="s">
        <v>440</v>
      </c>
      <c r="AB53" s="191"/>
      <c r="AD53" s="134"/>
      <c r="AE53" s="191"/>
    </row>
    <row r="54" spans="24:31">
      <c r="AB54" s="191"/>
      <c r="AD54" s="134"/>
      <c r="AE54" s="191"/>
    </row>
    <row r="55" spans="24:31">
      <c r="X55" s="325" t="s">
        <v>266</v>
      </c>
      <c r="Y55" s="134">
        <f>Y36+Y52</f>
        <v>763.96523521574238</v>
      </c>
      <c r="Z55" s="134">
        <f>Z36+Z52</f>
        <v>1473.87168261943</v>
      </c>
      <c r="AB55" s="134"/>
      <c r="AD55" s="134"/>
      <c r="AE55" s="191"/>
    </row>
    <row r="56" spans="24:31">
      <c r="Y56" s="134"/>
      <c r="AB56" s="134"/>
      <c r="AD56" s="134"/>
      <c r="AE56" s="191"/>
    </row>
    <row r="57" spans="24:31">
      <c r="X57" t="s">
        <v>432</v>
      </c>
      <c r="Y57" s="191">
        <f>参考＿経営収支計画根拠!S51</f>
        <v>215.69199594731506</v>
      </c>
      <c r="Z57" s="134">
        <f>入力する経費!O28/1000</f>
        <v>515.462087374048</v>
      </c>
      <c r="AB57" s="134"/>
      <c r="AD57" s="134"/>
      <c r="AE57" s="191"/>
    </row>
    <row r="58" spans="24:31">
      <c r="AB58" s="134"/>
      <c r="AD58" s="134"/>
      <c r="AE58" s="191"/>
    </row>
    <row r="59" spans="24:31">
      <c r="AB59" s="134"/>
      <c r="AD59" s="134"/>
      <c r="AE59" s="191"/>
    </row>
    <row r="60" spans="24:31">
      <c r="AE60" s="134"/>
    </row>
  </sheetData>
  <mergeCells count="207">
    <mergeCell ref="C8:C12"/>
    <mergeCell ref="D8:G8"/>
    <mergeCell ref="H8:J8"/>
    <mergeCell ref="K8:M8"/>
    <mergeCell ref="D10:G10"/>
    <mergeCell ref="H10:J10"/>
    <mergeCell ref="K10:M10"/>
    <mergeCell ref="K5:M5"/>
    <mergeCell ref="N5:P5"/>
    <mergeCell ref="N8:P8"/>
    <mergeCell ref="D11:G11"/>
    <mergeCell ref="H11:J11"/>
    <mergeCell ref="K11:M11"/>
    <mergeCell ref="N11:P11"/>
    <mergeCell ref="C4:G4"/>
    <mergeCell ref="H4:J4"/>
    <mergeCell ref="K4:M4"/>
    <mergeCell ref="N4:P4"/>
    <mergeCell ref="Q4:S4"/>
    <mergeCell ref="T4:V4"/>
    <mergeCell ref="C5:C7"/>
    <mergeCell ref="D5:G5"/>
    <mergeCell ref="H5:J5"/>
    <mergeCell ref="Q5:S5"/>
    <mergeCell ref="D7:G7"/>
    <mergeCell ref="H7:J7"/>
    <mergeCell ref="K7:M7"/>
    <mergeCell ref="N7:P7"/>
    <mergeCell ref="Q7:S7"/>
    <mergeCell ref="T7:V7"/>
    <mergeCell ref="T5:V5"/>
    <mergeCell ref="D6:G6"/>
    <mergeCell ref="H6:J6"/>
    <mergeCell ref="K6:M6"/>
    <mergeCell ref="N6:P6"/>
    <mergeCell ref="Q6:S6"/>
    <mergeCell ref="T6:V6"/>
    <mergeCell ref="Q8:S8"/>
    <mergeCell ref="T8:V8"/>
    <mergeCell ref="D9:G9"/>
    <mergeCell ref="H9:J9"/>
    <mergeCell ref="K9:M9"/>
    <mergeCell ref="N9:P9"/>
    <mergeCell ref="Q9:S9"/>
    <mergeCell ref="T9:V9"/>
    <mergeCell ref="N10:P10"/>
    <mergeCell ref="Q10:S10"/>
    <mergeCell ref="T10:V10"/>
    <mergeCell ref="Q11:S11"/>
    <mergeCell ref="T11:V11"/>
    <mergeCell ref="Q13:S13"/>
    <mergeCell ref="T13:V13"/>
    <mergeCell ref="D14:G14"/>
    <mergeCell ref="H14:J14"/>
    <mergeCell ref="K14:M14"/>
    <mergeCell ref="N14:P14"/>
    <mergeCell ref="Q14:S14"/>
    <mergeCell ref="T14:V14"/>
    <mergeCell ref="D12:G12"/>
    <mergeCell ref="H12:J12"/>
    <mergeCell ref="K12:M12"/>
    <mergeCell ref="N12:P12"/>
    <mergeCell ref="Q12:S12"/>
    <mergeCell ref="T12:V12"/>
    <mergeCell ref="D13:G13"/>
    <mergeCell ref="H13:J13"/>
    <mergeCell ref="K13:M13"/>
    <mergeCell ref="N13:P13"/>
    <mergeCell ref="Q17:S17"/>
    <mergeCell ref="T17:V17"/>
    <mergeCell ref="D18:G18"/>
    <mergeCell ref="H18:J18"/>
    <mergeCell ref="K18:M18"/>
    <mergeCell ref="N18:P18"/>
    <mergeCell ref="Q18:S18"/>
    <mergeCell ref="T18:V18"/>
    <mergeCell ref="Q15:S15"/>
    <mergeCell ref="T15:V15"/>
    <mergeCell ref="D16:G16"/>
    <mergeCell ref="H16:J16"/>
    <mergeCell ref="K16:M16"/>
    <mergeCell ref="N16:P16"/>
    <mergeCell ref="Q16:S16"/>
    <mergeCell ref="T16:V16"/>
    <mergeCell ref="D17:G17"/>
    <mergeCell ref="H17:J17"/>
    <mergeCell ref="K17:M17"/>
    <mergeCell ref="N17:P17"/>
    <mergeCell ref="D15:G15"/>
    <mergeCell ref="H15:J15"/>
    <mergeCell ref="K15:M15"/>
    <mergeCell ref="N15:P15"/>
    <mergeCell ref="Q21:S21"/>
    <mergeCell ref="T21:V21"/>
    <mergeCell ref="D22:G22"/>
    <mergeCell ref="H22:J22"/>
    <mergeCell ref="K22:M22"/>
    <mergeCell ref="N22:P22"/>
    <mergeCell ref="Q22:S22"/>
    <mergeCell ref="T22:V22"/>
    <mergeCell ref="Q19:S19"/>
    <mergeCell ref="T19:V19"/>
    <mergeCell ref="D20:G20"/>
    <mergeCell ref="H20:J20"/>
    <mergeCell ref="K20:M20"/>
    <mergeCell ref="N20:P20"/>
    <mergeCell ref="Q20:S20"/>
    <mergeCell ref="T20:V20"/>
    <mergeCell ref="D21:G21"/>
    <mergeCell ref="H21:J21"/>
    <mergeCell ref="K21:M21"/>
    <mergeCell ref="N21:P21"/>
    <mergeCell ref="D19:G19"/>
    <mergeCell ref="H19:J19"/>
    <mergeCell ref="K19:M19"/>
    <mergeCell ref="N19:P19"/>
    <mergeCell ref="Q25:S25"/>
    <mergeCell ref="T25:V25"/>
    <mergeCell ref="D26:G26"/>
    <mergeCell ref="H26:J26"/>
    <mergeCell ref="K26:M26"/>
    <mergeCell ref="N26:P26"/>
    <mergeCell ref="Q26:S26"/>
    <mergeCell ref="T26:V26"/>
    <mergeCell ref="Q23:S23"/>
    <mergeCell ref="T23:V23"/>
    <mergeCell ref="D24:G24"/>
    <mergeCell ref="H24:J24"/>
    <mergeCell ref="K24:M24"/>
    <mergeCell ref="N24:P24"/>
    <mergeCell ref="Q24:S24"/>
    <mergeCell ref="T24:V24"/>
    <mergeCell ref="D25:G25"/>
    <mergeCell ref="H25:J25"/>
    <mergeCell ref="K25:M25"/>
    <mergeCell ref="N25:P25"/>
    <mergeCell ref="D23:G23"/>
    <mergeCell ref="H23:J23"/>
    <mergeCell ref="K23:M23"/>
    <mergeCell ref="N23:P23"/>
    <mergeCell ref="Q29:S29"/>
    <mergeCell ref="T29:V29"/>
    <mergeCell ref="D30:G30"/>
    <mergeCell ref="H30:J30"/>
    <mergeCell ref="K30:M30"/>
    <mergeCell ref="N30:P30"/>
    <mergeCell ref="Q30:S30"/>
    <mergeCell ref="T30:V30"/>
    <mergeCell ref="Q27:S27"/>
    <mergeCell ref="T27:V27"/>
    <mergeCell ref="D28:G28"/>
    <mergeCell ref="H28:J28"/>
    <mergeCell ref="K28:M28"/>
    <mergeCell ref="N28:P28"/>
    <mergeCell ref="Q28:S28"/>
    <mergeCell ref="T28:V28"/>
    <mergeCell ref="D29:G29"/>
    <mergeCell ref="H29:J29"/>
    <mergeCell ref="K29:M29"/>
    <mergeCell ref="N29:P29"/>
    <mergeCell ref="D27:G27"/>
    <mergeCell ref="H27:J27"/>
    <mergeCell ref="K27:M27"/>
    <mergeCell ref="N27:P27"/>
    <mergeCell ref="Q33:S33"/>
    <mergeCell ref="T33:V33"/>
    <mergeCell ref="D34:G34"/>
    <mergeCell ref="H34:J34"/>
    <mergeCell ref="K34:M34"/>
    <mergeCell ref="N34:P34"/>
    <mergeCell ref="Q34:S34"/>
    <mergeCell ref="T34:V34"/>
    <mergeCell ref="Q31:S31"/>
    <mergeCell ref="T31:V31"/>
    <mergeCell ref="D32:G32"/>
    <mergeCell ref="H32:J32"/>
    <mergeCell ref="K32:M32"/>
    <mergeCell ref="N32:P32"/>
    <mergeCell ref="Q32:S32"/>
    <mergeCell ref="T32:V32"/>
    <mergeCell ref="D33:G33"/>
    <mergeCell ref="H33:J33"/>
    <mergeCell ref="K33:M33"/>
    <mergeCell ref="N33:P33"/>
    <mergeCell ref="D31:G31"/>
    <mergeCell ref="H31:J31"/>
    <mergeCell ref="K31:M31"/>
    <mergeCell ref="N31:P31"/>
    <mergeCell ref="C38:V39"/>
    <mergeCell ref="C37:G37"/>
    <mergeCell ref="I37:J37"/>
    <mergeCell ref="K37:M37"/>
    <mergeCell ref="N37:P37"/>
    <mergeCell ref="Q37:S37"/>
    <mergeCell ref="U37:V37"/>
    <mergeCell ref="Q35:S35"/>
    <mergeCell ref="T35:V35"/>
    <mergeCell ref="D36:G36"/>
    <mergeCell ref="H36:J36"/>
    <mergeCell ref="K36:M36"/>
    <mergeCell ref="N36:P36"/>
    <mergeCell ref="Q36:S36"/>
    <mergeCell ref="T36:V36"/>
    <mergeCell ref="D35:G35"/>
    <mergeCell ref="H35:J35"/>
    <mergeCell ref="K35:M35"/>
    <mergeCell ref="N35:P35"/>
  </mergeCells>
  <phoneticPr fontId="21"/>
  <pageMargins left="0" right="0" top="0.74803149606299213" bottom="0.74803149606299213" header="0.31496062992125984" footer="0.31496062992125984"/>
  <pageSetup paperSize="9" scale="73" orientation="portrait" copies="0" r:id="rId1"/>
  <rowBreaks count="1" manualBreakCount="1">
    <brk id="39" min="1" max="32" man="1"/>
  </rowBreaks>
  <colBreaks count="1" manualBreakCount="1">
    <brk id="2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E6DE6-8465-492F-A0A7-216DF85A1D34}">
  <dimension ref="B2:AF91"/>
  <sheetViews>
    <sheetView topLeftCell="A27" workbookViewId="0">
      <selection activeCell="AE84" sqref="AE84"/>
    </sheetView>
  </sheetViews>
  <sheetFormatPr defaultRowHeight="18.75"/>
  <cols>
    <col min="1" max="1" width="3.375" style="221" customWidth="1"/>
    <col min="2" max="2" width="11.625" style="221" customWidth="1"/>
    <col min="3" max="3" width="11.5" style="221" bestFit="1" customWidth="1"/>
    <col min="4" max="4" width="14.125" style="221" customWidth="1"/>
    <col min="5" max="5" width="12.875" style="221" customWidth="1"/>
    <col min="6" max="6" width="17.5" style="221" customWidth="1"/>
    <col min="7" max="7" width="9" style="221"/>
    <col min="8" max="8" width="19.125" style="221" customWidth="1"/>
    <col min="9" max="9" width="12.125" style="221" customWidth="1"/>
    <col min="10" max="10" width="19.125" style="221" customWidth="1"/>
    <col min="11" max="11" width="19.875" style="221" customWidth="1"/>
    <col min="12" max="12" width="20" style="221" bestFit="1" customWidth="1"/>
    <col min="13" max="14" width="14.125" style="221" customWidth="1"/>
    <col min="15" max="15" width="18.875" style="221" customWidth="1"/>
    <col min="16" max="16" width="21.5" style="221" customWidth="1"/>
    <col min="17" max="21" width="12.875" style="221" customWidth="1"/>
    <col min="22" max="22" width="11.625" style="221" customWidth="1"/>
    <col min="23" max="25" width="9" style="221"/>
    <col min="26" max="26" width="10.125" style="221" customWidth="1"/>
    <col min="27" max="30" width="9" style="221"/>
    <col min="31" max="31" width="10.875" style="221" customWidth="1"/>
    <col min="32" max="256" width="9" style="221"/>
    <col min="257" max="257" width="3.375" style="221" customWidth="1"/>
    <col min="258" max="258" width="11.625" style="221" customWidth="1"/>
    <col min="259" max="259" width="11.5" style="221" bestFit="1" customWidth="1"/>
    <col min="260" max="260" width="14.125" style="221" customWidth="1"/>
    <col min="261" max="261" width="12.875" style="221" customWidth="1"/>
    <col min="262" max="262" width="17.5" style="221" customWidth="1"/>
    <col min="263" max="263" width="9" style="221"/>
    <col min="264" max="264" width="19.125" style="221" customWidth="1"/>
    <col min="265" max="265" width="12.125" style="221" customWidth="1"/>
    <col min="266" max="266" width="19.125" style="221" customWidth="1"/>
    <col min="267" max="267" width="19.875" style="221" customWidth="1"/>
    <col min="268" max="268" width="20" style="221" bestFit="1" customWidth="1"/>
    <col min="269" max="270" width="14.125" style="221" customWidth="1"/>
    <col min="271" max="271" width="18.875" style="221" customWidth="1"/>
    <col min="272" max="272" width="21.5" style="221" customWidth="1"/>
    <col min="273" max="277" width="12.875" style="221" customWidth="1"/>
    <col min="278" max="281" width="9" style="221"/>
    <col min="282" max="282" width="10.125" style="221" customWidth="1"/>
    <col min="283" max="286" width="9" style="221"/>
    <col min="287" max="287" width="10.875" style="221" customWidth="1"/>
    <col min="288" max="512" width="9" style="221"/>
    <col min="513" max="513" width="3.375" style="221" customWidth="1"/>
    <col min="514" max="514" width="11.625" style="221" customWidth="1"/>
    <col min="515" max="515" width="11.5" style="221" bestFit="1" customWidth="1"/>
    <col min="516" max="516" width="14.125" style="221" customWidth="1"/>
    <col min="517" max="517" width="12.875" style="221" customWidth="1"/>
    <col min="518" max="518" width="17.5" style="221" customWidth="1"/>
    <col min="519" max="519" width="9" style="221"/>
    <col min="520" max="520" width="19.125" style="221" customWidth="1"/>
    <col min="521" max="521" width="12.125" style="221" customWidth="1"/>
    <col min="522" max="522" width="19.125" style="221" customWidth="1"/>
    <col min="523" max="523" width="19.875" style="221" customWidth="1"/>
    <col min="524" max="524" width="20" style="221" bestFit="1" customWidth="1"/>
    <col min="525" max="526" width="14.125" style="221" customWidth="1"/>
    <col min="527" max="527" width="18.875" style="221" customWidth="1"/>
    <col min="528" max="528" width="21.5" style="221" customWidth="1"/>
    <col min="529" max="533" width="12.875" style="221" customWidth="1"/>
    <col min="534" max="537" width="9" style="221"/>
    <col min="538" max="538" width="10.125" style="221" customWidth="1"/>
    <col min="539" max="542" width="9" style="221"/>
    <col min="543" max="543" width="10.875" style="221" customWidth="1"/>
    <col min="544" max="768" width="9" style="221"/>
    <col min="769" max="769" width="3.375" style="221" customWidth="1"/>
    <col min="770" max="770" width="11.625" style="221" customWidth="1"/>
    <col min="771" max="771" width="11.5" style="221" bestFit="1" customWidth="1"/>
    <col min="772" max="772" width="14.125" style="221" customWidth="1"/>
    <col min="773" max="773" width="12.875" style="221" customWidth="1"/>
    <col min="774" max="774" width="17.5" style="221" customWidth="1"/>
    <col min="775" max="775" width="9" style="221"/>
    <col min="776" max="776" width="19.125" style="221" customWidth="1"/>
    <col min="777" max="777" width="12.125" style="221" customWidth="1"/>
    <col min="778" max="778" width="19.125" style="221" customWidth="1"/>
    <col min="779" max="779" width="19.875" style="221" customWidth="1"/>
    <col min="780" max="780" width="20" style="221" bestFit="1" customWidth="1"/>
    <col min="781" max="782" width="14.125" style="221" customWidth="1"/>
    <col min="783" max="783" width="18.875" style="221" customWidth="1"/>
    <col min="784" max="784" width="21.5" style="221" customWidth="1"/>
    <col min="785" max="789" width="12.875" style="221" customWidth="1"/>
    <col min="790" max="793" width="9" style="221"/>
    <col min="794" max="794" width="10.125" style="221" customWidth="1"/>
    <col min="795" max="798" width="9" style="221"/>
    <col min="799" max="799" width="10.875" style="221" customWidth="1"/>
    <col min="800" max="1024" width="9" style="221"/>
    <col min="1025" max="1025" width="3.375" style="221" customWidth="1"/>
    <col min="1026" max="1026" width="11.625" style="221" customWidth="1"/>
    <col min="1027" max="1027" width="11.5" style="221" bestFit="1" customWidth="1"/>
    <col min="1028" max="1028" width="14.125" style="221" customWidth="1"/>
    <col min="1029" max="1029" width="12.875" style="221" customWidth="1"/>
    <col min="1030" max="1030" width="17.5" style="221" customWidth="1"/>
    <col min="1031" max="1031" width="9" style="221"/>
    <col min="1032" max="1032" width="19.125" style="221" customWidth="1"/>
    <col min="1033" max="1033" width="12.125" style="221" customWidth="1"/>
    <col min="1034" max="1034" width="19.125" style="221" customWidth="1"/>
    <col min="1035" max="1035" width="19.875" style="221" customWidth="1"/>
    <col min="1036" max="1036" width="20" style="221" bestFit="1" customWidth="1"/>
    <col min="1037" max="1038" width="14.125" style="221" customWidth="1"/>
    <col min="1039" max="1039" width="18.875" style="221" customWidth="1"/>
    <col min="1040" max="1040" width="21.5" style="221" customWidth="1"/>
    <col min="1041" max="1045" width="12.875" style="221" customWidth="1"/>
    <col min="1046" max="1049" width="9" style="221"/>
    <col min="1050" max="1050" width="10.125" style="221" customWidth="1"/>
    <col min="1051" max="1054" width="9" style="221"/>
    <col min="1055" max="1055" width="10.875" style="221" customWidth="1"/>
    <col min="1056" max="1280" width="9" style="221"/>
    <col min="1281" max="1281" width="3.375" style="221" customWidth="1"/>
    <col min="1282" max="1282" width="11.625" style="221" customWidth="1"/>
    <col min="1283" max="1283" width="11.5" style="221" bestFit="1" customWidth="1"/>
    <col min="1284" max="1284" width="14.125" style="221" customWidth="1"/>
    <col min="1285" max="1285" width="12.875" style="221" customWidth="1"/>
    <col min="1286" max="1286" width="17.5" style="221" customWidth="1"/>
    <col min="1287" max="1287" width="9" style="221"/>
    <col min="1288" max="1288" width="19.125" style="221" customWidth="1"/>
    <col min="1289" max="1289" width="12.125" style="221" customWidth="1"/>
    <col min="1290" max="1290" width="19.125" style="221" customWidth="1"/>
    <col min="1291" max="1291" width="19.875" style="221" customWidth="1"/>
    <col min="1292" max="1292" width="20" style="221" bestFit="1" customWidth="1"/>
    <col min="1293" max="1294" width="14.125" style="221" customWidth="1"/>
    <col min="1295" max="1295" width="18.875" style="221" customWidth="1"/>
    <col min="1296" max="1296" width="21.5" style="221" customWidth="1"/>
    <col min="1297" max="1301" width="12.875" style="221" customWidth="1"/>
    <col min="1302" max="1305" width="9" style="221"/>
    <col min="1306" max="1306" width="10.125" style="221" customWidth="1"/>
    <col min="1307" max="1310" width="9" style="221"/>
    <col min="1311" max="1311" width="10.875" style="221" customWidth="1"/>
    <col min="1312" max="1536" width="9" style="221"/>
    <col min="1537" max="1537" width="3.375" style="221" customWidth="1"/>
    <col min="1538" max="1538" width="11.625" style="221" customWidth="1"/>
    <col min="1539" max="1539" width="11.5" style="221" bestFit="1" customWidth="1"/>
    <col min="1540" max="1540" width="14.125" style="221" customWidth="1"/>
    <col min="1541" max="1541" width="12.875" style="221" customWidth="1"/>
    <col min="1542" max="1542" width="17.5" style="221" customWidth="1"/>
    <col min="1543" max="1543" width="9" style="221"/>
    <col min="1544" max="1544" width="19.125" style="221" customWidth="1"/>
    <col min="1545" max="1545" width="12.125" style="221" customWidth="1"/>
    <col min="1546" max="1546" width="19.125" style="221" customWidth="1"/>
    <col min="1547" max="1547" width="19.875" style="221" customWidth="1"/>
    <col min="1548" max="1548" width="20" style="221" bestFit="1" customWidth="1"/>
    <col min="1549" max="1550" width="14.125" style="221" customWidth="1"/>
    <col min="1551" max="1551" width="18.875" style="221" customWidth="1"/>
    <col min="1552" max="1552" width="21.5" style="221" customWidth="1"/>
    <col min="1553" max="1557" width="12.875" style="221" customWidth="1"/>
    <col min="1558" max="1561" width="9" style="221"/>
    <col min="1562" max="1562" width="10.125" style="221" customWidth="1"/>
    <col min="1563" max="1566" width="9" style="221"/>
    <col min="1567" max="1567" width="10.875" style="221" customWidth="1"/>
    <col min="1568" max="1792" width="9" style="221"/>
    <col min="1793" max="1793" width="3.375" style="221" customWidth="1"/>
    <col min="1794" max="1794" width="11.625" style="221" customWidth="1"/>
    <col min="1795" max="1795" width="11.5" style="221" bestFit="1" customWidth="1"/>
    <col min="1796" max="1796" width="14.125" style="221" customWidth="1"/>
    <col min="1797" max="1797" width="12.875" style="221" customWidth="1"/>
    <col min="1798" max="1798" width="17.5" style="221" customWidth="1"/>
    <col min="1799" max="1799" width="9" style="221"/>
    <col min="1800" max="1800" width="19.125" style="221" customWidth="1"/>
    <col min="1801" max="1801" width="12.125" style="221" customWidth="1"/>
    <col min="1802" max="1802" width="19.125" style="221" customWidth="1"/>
    <col min="1803" max="1803" width="19.875" style="221" customWidth="1"/>
    <col min="1804" max="1804" width="20" style="221" bestFit="1" customWidth="1"/>
    <col min="1805" max="1806" width="14.125" style="221" customWidth="1"/>
    <col min="1807" max="1807" width="18.875" style="221" customWidth="1"/>
    <col min="1808" max="1808" width="21.5" style="221" customWidth="1"/>
    <col min="1809" max="1813" width="12.875" style="221" customWidth="1"/>
    <col min="1814" max="1817" width="9" style="221"/>
    <col min="1818" max="1818" width="10.125" style="221" customWidth="1"/>
    <col min="1819" max="1822" width="9" style="221"/>
    <col min="1823" max="1823" width="10.875" style="221" customWidth="1"/>
    <col min="1824" max="2048" width="9" style="221"/>
    <col min="2049" max="2049" width="3.375" style="221" customWidth="1"/>
    <col min="2050" max="2050" width="11.625" style="221" customWidth="1"/>
    <col min="2051" max="2051" width="11.5" style="221" bestFit="1" customWidth="1"/>
    <col min="2052" max="2052" width="14.125" style="221" customWidth="1"/>
    <col min="2053" max="2053" width="12.875" style="221" customWidth="1"/>
    <col min="2054" max="2054" width="17.5" style="221" customWidth="1"/>
    <col min="2055" max="2055" width="9" style="221"/>
    <col min="2056" max="2056" width="19.125" style="221" customWidth="1"/>
    <col min="2057" max="2057" width="12.125" style="221" customWidth="1"/>
    <col min="2058" max="2058" width="19.125" style="221" customWidth="1"/>
    <col min="2059" max="2059" width="19.875" style="221" customWidth="1"/>
    <col min="2060" max="2060" width="20" style="221" bestFit="1" customWidth="1"/>
    <col min="2061" max="2062" width="14.125" style="221" customWidth="1"/>
    <col min="2063" max="2063" width="18.875" style="221" customWidth="1"/>
    <col min="2064" max="2064" width="21.5" style="221" customWidth="1"/>
    <col min="2065" max="2069" width="12.875" style="221" customWidth="1"/>
    <col min="2070" max="2073" width="9" style="221"/>
    <col min="2074" max="2074" width="10.125" style="221" customWidth="1"/>
    <col min="2075" max="2078" width="9" style="221"/>
    <col min="2079" max="2079" width="10.875" style="221" customWidth="1"/>
    <col min="2080" max="2304" width="9" style="221"/>
    <col min="2305" max="2305" width="3.375" style="221" customWidth="1"/>
    <col min="2306" max="2306" width="11.625" style="221" customWidth="1"/>
    <col min="2307" max="2307" width="11.5" style="221" bestFit="1" customWidth="1"/>
    <col min="2308" max="2308" width="14.125" style="221" customWidth="1"/>
    <col min="2309" max="2309" width="12.875" style="221" customWidth="1"/>
    <col min="2310" max="2310" width="17.5" style="221" customWidth="1"/>
    <col min="2311" max="2311" width="9" style="221"/>
    <col min="2312" max="2312" width="19.125" style="221" customWidth="1"/>
    <col min="2313" max="2313" width="12.125" style="221" customWidth="1"/>
    <col min="2314" max="2314" width="19.125" style="221" customWidth="1"/>
    <col min="2315" max="2315" width="19.875" style="221" customWidth="1"/>
    <col min="2316" max="2316" width="20" style="221" bestFit="1" customWidth="1"/>
    <col min="2317" max="2318" width="14.125" style="221" customWidth="1"/>
    <col min="2319" max="2319" width="18.875" style="221" customWidth="1"/>
    <col min="2320" max="2320" width="21.5" style="221" customWidth="1"/>
    <col min="2321" max="2325" width="12.875" style="221" customWidth="1"/>
    <col min="2326" max="2329" width="9" style="221"/>
    <col min="2330" max="2330" width="10.125" style="221" customWidth="1"/>
    <col min="2331" max="2334" width="9" style="221"/>
    <col min="2335" max="2335" width="10.875" style="221" customWidth="1"/>
    <col min="2336" max="2560" width="9" style="221"/>
    <col min="2561" max="2561" width="3.375" style="221" customWidth="1"/>
    <col min="2562" max="2562" width="11.625" style="221" customWidth="1"/>
    <col min="2563" max="2563" width="11.5" style="221" bestFit="1" customWidth="1"/>
    <col min="2564" max="2564" width="14.125" style="221" customWidth="1"/>
    <col min="2565" max="2565" width="12.875" style="221" customWidth="1"/>
    <col min="2566" max="2566" width="17.5" style="221" customWidth="1"/>
    <col min="2567" max="2567" width="9" style="221"/>
    <col min="2568" max="2568" width="19.125" style="221" customWidth="1"/>
    <col min="2569" max="2569" width="12.125" style="221" customWidth="1"/>
    <col min="2570" max="2570" width="19.125" style="221" customWidth="1"/>
    <col min="2571" max="2571" width="19.875" style="221" customWidth="1"/>
    <col min="2572" max="2572" width="20" style="221" bestFit="1" customWidth="1"/>
    <col min="2573" max="2574" width="14.125" style="221" customWidth="1"/>
    <col min="2575" max="2575" width="18.875" style="221" customWidth="1"/>
    <col min="2576" max="2576" width="21.5" style="221" customWidth="1"/>
    <col min="2577" max="2581" width="12.875" style="221" customWidth="1"/>
    <col min="2582" max="2585" width="9" style="221"/>
    <col min="2586" max="2586" width="10.125" style="221" customWidth="1"/>
    <col min="2587" max="2590" width="9" style="221"/>
    <col min="2591" max="2591" width="10.875" style="221" customWidth="1"/>
    <col min="2592" max="2816" width="9" style="221"/>
    <col min="2817" max="2817" width="3.375" style="221" customWidth="1"/>
    <col min="2818" max="2818" width="11.625" style="221" customWidth="1"/>
    <col min="2819" max="2819" width="11.5" style="221" bestFit="1" customWidth="1"/>
    <col min="2820" max="2820" width="14.125" style="221" customWidth="1"/>
    <col min="2821" max="2821" width="12.875" style="221" customWidth="1"/>
    <col min="2822" max="2822" width="17.5" style="221" customWidth="1"/>
    <col min="2823" max="2823" width="9" style="221"/>
    <col min="2824" max="2824" width="19.125" style="221" customWidth="1"/>
    <col min="2825" max="2825" width="12.125" style="221" customWidth="1"/>
    <col min="2826" max="2826" width="19.125" style="221" customWidth="1"/>
    <col min="2827" max="2827" width="19.875" style="221" customWidth="1"/>
    <col min="2828" max="2828" width="20" style="221" bestFit="1" customWidth="1"/>
    <col min="2829" max="2830" width="14.125" style="221" customWidth="1"/>
    <col min="2831" max="2831" width="18.875" style="221" customWidth="1"/>
    <col min="2832" max="2832" width="21.5" style="221" customWidth="1"/>
    <col min="2833" max="2837" width="12.875" style="221" customWidth="1"/>
    <col min="2838" max="2841" width="9" style="221"/>
    <col min="2842" max="2842" width="10.125" style="221" customWidth="1"/>
    <col min="2843" max="2846" width="9" style="221"/>
    <col min="2847" max="2847" width="10.875" style="221" customWidth="1"/>
    <col min="2848" max="3072" width="9" style="221"/>
    <col min="3073" max="3073" width="3.375" style="221" customWidth="1"/>
    <col min="3074" max="3074" width="11.625" style="221" customWidth="1"/>
    <col min="3075" max="3075" width="11.5" style="221" bestFit="1" customWidth="1"/>
    <col min="3076" max="3076" width="14.125" style="221" customWidth="1"/>
    <col min="3077" max="3077" width="12.875" style="221" customWidth="1"/>
    <col min="3078" max="3078" width="17.5" style="221" customWidth="1"/>
    <col min="3079" max="3079" width="9" style="221"/>
    <col min="3080" max="3080" width="19.125" style="221" customWidth="1"/>
    <col min="3081" max="3081" width="12.125" style="221" customWidth="1"/>
    <col min="3082" max="3082" width="19.125" style="221" customWidth="1"/>
    <col min="3083" max="3083" width="19.875" style="221" customWidth="1"/>
    <col min="3084" max="3084" width="20" style="221" bestFit="1" customWidth="1"/>
    <col min="3085" max="3086" width="14.125" style="221" customWidth="1"/>
    <col min="3087" max="3087" width="18.875" style="221" customWidth="1"/>
    <col min="3088" max="3088" width="21.5" style="221" customWidth="1"/>
    <col min="3089" max="3093" width="12.875" style="221" customWidth="1"/>
    <col min="3094" max="3097" width="9" style="221"/>
    <col min="3098" max="3098" width="10.125" style="221" customWidth="1"/>
    <col min="3099" max="3102" width="9" style="221"/>
    <col min="3103" max="3103" width="10.875" style="221" customWidth="1"/>
    <col min="3104" max="3328" width="9" style="221"/>
    <col min="3329" max="3329" width="3.375" style="221" customWidth="1"/>
    <col min="3330" max="3330" width="11.625" style="221" customWidth="1"/>
    <col min="3331" max="3331" width="11.5" style="221" bestFit="1" customWidth="1"/>
    <col min="3332" max="3332" width="14.125" style="221" customWidth="1"/>
    <col min="3333" max="3333" width="12.875" style="221" customWidth="1"/>
    <col min="3334" max="3334" width="17.5" style="221" customWidth="1"/>
    <col min="3335" max="3335" width="9" style="221"/>
    <col min="3336" max="3336" width="19.125" style="221" customWidth="1"/>
    <col min="3337" max="3337" width="12.125" style="221" customWidth="1"/>
    <col min="3338" max="3338" width="19.125" style="221" customWidth="1"/>
    <col min="3339" max="3339" width="19.875" style="221" customWidth="1"/>
    <col min="3340" max="3340" width="20" style="221" bestFit="1" customWidth="1"/>
    <col min="3341" max="3342" width="14.125" style="221" customWidth="1"/>
    <col min="3343" max="3343" width="18.875" style="221" customWidth="1"/>
    <col min="3344" max="3344" width="21.5" style="221" customWidth="1"/>
    <col min="3345" max="3349" width="12.875" style="221" customWidth="1"/>
    <col min="3350" max="3353" width="9" style="221"/>
    <col min="3354" max="3354" width="10.125" style="221" customWidth="1"/>
    <col min="3355" max="3358" width="9" style="221"/>
    <col min="3359" max="3359" width="10.875" style="221" customWidth="1"/>
    <col min="3360" max="3584" width="9" style="221"/>
    <col min="3585" max="3585" width="3.375" style="221" customWidth="1"/>
    <col min="3586" max="3586" width="11.625" style="221" customWidth="1"/>
    <col min="3587" max="3587" width="11.5" style="221" bestFit="1" customWidth="1"/>
    <col min="3588" max="3588" width="14.125" style="221" customWidth="1"/>
    <col min="3589" max="3589" width="12.875" style="221" customWidth="1"/>
    <col min="3590" max="3590" width="17.5" style="221" customWidth="1"/>
    <col min="3591" max="3591" width="9" style="221"/>
    <col min="3592" max="3592" width="19.125" style="221" customWidth="1"/>
    <col min="3593" max="3593" width="12.125" style="221" customWidth="1"/>
    <col min="3594" max="3594" width="19.125" style="221" customWidth="1"/>
    <col min="3595" max="3595" width="19.875" style="221" customWidth="1"/>
    <col min="3596" max="3596" width="20" style="221" bestFit="1" customWidth="1"/>
    <col min="3597" max="3598" width="14.125" style="221" customWidth="1"/>
    <col min="3599" max="3599" width="18.875" style="221" customWidth="1"/>
    <col min="3600" max="3600" width="21.5" style="221" customWidth="1"/>
    <col min="3601" max="3605" width="12.875" style="221" customWidth="1"/>
    <col min="3606" max="3609" width="9" style="221"/>
    <col min="3610" max="3610" width="10.125" style="221" customWidth="1"/>
    <col min="3611" max="3614" width="9" style="221"/>
    <col min="3615" max="3615" width="10.875" style="221" customWidth="1"/>
    <col min="3616" max="3840" width="9" style="221"/>
    <col min="3841" max="3841" width="3.375" style="221" customWidth="1"/>
    <col min="3842" max="3842" width="11.625" style="221" customWidth="1"/>
    <col min="3843" max="3843" width="11.5" style="221" bestFit="1" customWidth="1"/>
    <col min="3844" max="3844" width="14.125" style="221" customWidth="1"/>
    <col min="3845" max="3845" width="12.875" style="221" customWidth="1"/>
    <col min="3846" max="3846" width="17.5" style="221" customWidth="1"/>
    <col min="3847" max="3847" width="9" style="221"/>
    <col min="3848" max="3848" width="19.125" style="221" customWidth="1"/>
    <col min="3849" max="3849" width="12.125" style="221" customWidth="1"/>
    <col min="3850" max="3850" width="19.125" style="221" customWidth="1"/>
    <col min="3851" max="3851" width="19.875" style="221" customWidth="1"/>
    <col min="3852" max="3852" width="20" style="221" bestFit="1" customWidth="1"/>
    <col min="3853" max="3854" width="14.125" style="221" customWidth="1"/>
    <col min="3855" max="3855" width="18.875" style="221" customWidth="1"/>
    <col min="3856" max="3856" width="21.5" style="221" customWidth="1"/>
    <col min="3857" max="3861" width="12.875" style="221" customWidth="1"/>
    <col min="3862" max="3865" width="9" style="221"/>
    <col min="3866" max="3866" width="10.125" style="221" customWidth="1"/>
    <col min="3867" max="3870" width="9" style="221"/>
    <col min="3871" max="3871" width="10.875" style="221" customWidth="1"/>
    <col min="3872" max="4096" width="9" style="221"/>
    <col min="4097" max="4097" width="3.375" style="221" customWidth="1"/>
    <col min="4098" max="4098" width="11.625" style="221" customWidth="1"/>
    <col min="4099" max="4099" width="11.5" style="221" bestFit="1" customWidth="1"/>
    <col min="4100" max="4100" width="14.125" style="221" customWidth="1"/>
    <col min="4101" max="4101" width="12.875" style="221" customWidth="1"/>
    <col min="4102" max="4102" width="17.5" style="221" customWidth="1"/>
    <col min="4103" max="4103" width="9" style="221"/>
    <col min="4104" max="4104" width="19.125" style="221" customWidth="1"/>
    <col min="4105" max="4105" width="12.125" style="221" customWidth="1"/>
    <col min="4106" max="4106" width="19.125" style="221" customWidth="1"/>
    <col min="4107" max="4107" width="19.875" style="221" customWidth="1"/>
    <col min="4108" max="4108" width="20" style="221" bestFit="1" customWidth="1"/>
    <col min="4109" max="4110" width="14.125" style="221" customWidth="1"/>
    <col min="4111" max="4111" width="18.875" style="221" customWidth="1"/>
    <col min="4112" max="4112" width="21.5" style="221" customWidth="1"/>
    <col min="4113" max="4117" width="12.875" style="221" customWidth="1"/>
    <col min="4118" max="4121" width="9" style="221"/>
    <col min="4122" max="4122" width="10.125" style="221" customWidth="1"/>
    <col min="4123" max="4126" width="9" style="221"/>
    <col min="4127" max="4127" width="10.875" style="221" customWidth="1"/>
    <col min="4128" max="4352" width="9" style="221"/>
    <col min="4353" max="4353" width="3.375" style="221" customWidth="1"/>
    <col min="4354" max="4354" width="11.625" style="221" customWidth="1"/>
    <col min="4355" max="4355" width="11.5" style="221" bestFit="1" customWidth="1"/>
    <col min="4356" max="4356" width="14.125" style="221" customWidth="1"/>
    <col min="4357" max="4357" width="12.875" style="221" customWidth="1"/>
    <col min="4358" max="4358" width="17.5" style="221" customWidth="1"/>
    <col min="4359" max="4359" width="9" style="221"/>
    <col min="4360" max="4360" width="19.125" style="221" customWidth="1"/>
    <col min="4361" max="4361" width="12.125" style="221" customWidth="1"/>
    <col min="4362" max="4362" width="19.125" style="221" customWidth="1"/>
    <col min="4363" max="4363" width="19.875" style="221" customWidth="1"/>
    <col min="4364" max="4364" width="20" style="221" bestFit="1" customWidth="1"/>
    <col min="4365" max="4366" width="14.125" style="221" customWidth="1"/>
    <col min="4367" max="4367" width="18.875" style="221" customWidth="1"/>
    <col min="4368" max="4368" width="21.5" style="221" customWidth="1"/>
    <col min="4369" max="4373" width="12.875" style="221" customWidth="1"/>
    <col min="4374" max="4377" width="9" style="221"/>
    <col min="4378" max="4378" width="10.125" style="221" customWidth="1"/>
    <col min="4379" max="4382" width="9" style="221"/>
    <col min="4383" max="4383" width="10.875" style="221" customWidth="1"/>
    <col min="4384" max="4608" width="9" style="221"/>
    <col min="4609" max="4609" width="3.375" style="221" customWidth="1"/>
    <col min="4610" max="4610" width="11.625" style="221" customWidth="1"/>
    <col min="4611" max="4611" width="11.5" style="221" bestFit="1" customWidth="1"/>
    <col min="4612" max="4612" width="14.125" style="221" customWidth="1"/>
    <col min="4613" max="4613" width="12.875" style="221" customWidth="1"/>
    <col min="4614" max="4614" width="17.5" style="221" customWidth="1"/>
    <col min="4615" max="4615" width="9" style="221"/>
    <col min="4616" max="4616" width="19.125" style="221" customWidth="1"/>
    <col min="4617" max="4617" width="12.125" style="221" customWidth="1"/>
    <col min="4618" max="4618" width="19.125" style="221" customWidth="1"/>
    <col min="4619" max="4619" width="19.875" style="221" customWidth="1"/>
    <col min="4620" max="4620" width="20" style="221" bestFit="1" customWidth="1"/>
    <col min="4621" max="4622" width="14.125" style="221" customWidth="1"/>
    <col min="4623" max="4623" width="18.875" style="221" customWidth="1"/>
    <col min="4624" max="4624" width="21.5" style="221" customWidth="1"/>
    <col min="4625" max="4629" width="12.875" style="221" customWidth="1"/>
    <col min="4630" max="4633" width="9" style="221"/>
    <col min="4634" max="4634" width="10.125" style="221" customWidth="1"/>
    <col min="4635" max="4638" width="9" style="221"/>
    <col min="4639" max="4639" width="10.875" style="221" customWidth="1"/>
    <col min="4640" max="4864" width="9" style="221"/>
    <col min="4865" max="4865" width="3.375" style="221" customWidth="1"/>
    <col min="4866" max="4866" width="11.625" style="221" customWidth="1"/>
    <col min="4867" max="4867" width="11.5" style="221" bestFit="1" customWidth="1"/>
    <col min="4868" max="4868" width="14.125" style="221" customWidth="1"/>
    <col min="4869" max="4869" width="12.875" style="221" customWidth="1"/>
    <col min="4870" max="4870" width="17.5" style="221" customWidth="1"/>
    <col min="4871" max="4871" width="9" style="221"/>
    <col min="4872" max="4872" width="19.125" style="221" customWidth="1"/>
    <col min="4873" max="4873" width="12.125" style="221" customWidth="1"/>
    <col min="4874" max="4874" width="19.125" style="221" customWidth="1"/>
    <col min="4875" max="4875" width="19.875" style="221" customWidth="1"/>
    <col min="4876" max="4876" width="20" style="221" bestFit="1" customWidth="1"/>
    <col min="4877" max="4878" width="14.125" style="221" customWidth="1"/>
    <col min="4879" max="4879" width="18.875" style="221" customWidth="1"/>
    <col min="4880" max="4880" width="21.5" style="221" customWidth="1"/>
    <col min="4881" max="4885" width="12.875" style="221" customWidth="1"/>
    <col min="4886" max="4889" width="9" style="221"/>
    <col min="4890" max="4890" width="10.125" style="221" customWidth="1"/>
    <col min="4891" max="4894" width="9" style="221"/>
    <col min="4895" max="4895" width="10.875" style="221" customWidth="1"/>
    <col min="4896" max="5120" width="9" style="221"/>
    <col min="5121" max="5121" width="3.375" style="221" customWidth="1"/>
    <col min="5122" max="5122" width="11.625" style="221" customWidth="1"/>
    <col min="5123" max="5123" width="11.5" style="221" bestFit="1" customWidth="1"/>
    <col min="5124" max="5124" width="14.125" style="221" customWidth="1"/>
    <col min="5125" max="5125" width="12.875" style="221" customWidth="1"/>
    <col min="5126" max="5126" width="17.5" style="221" customWidth="1"/>
    <col min="5127" max="5127" width="9" style="221"/>
    <col min="5128" max="5128" width="19.125" style="221" customWidth="1"/>
    <col min="5129" max="5129" width="12.125" style="221" customWidth="1"/>
    <col min="5130" max="5130" width="19.125" style="221" customWidth="1"/>
    <col min="5131" max="5131" width="19.875" style="221" customWidth="1"/>
    <col min="5132" max="5132" width="20" style="221" bestFit="1" customWidth="1"/>
    <col min="5133" max="5134" width="14.125" style="221" customWidth="1"/>
    <col min="5135" max="5135" width="18.875" style="221" customWidth="1"/>
    <col min="5136" max="5136" width="21.5" style="221" customWidth="1"/>
    <col min="5137" max="5141" width="12.875" style="221" customWidth="1"/>
    <col min="5142" max="5145" width="9" style="221"/>
    <col min="5146" max="5146" width="10.125" style="221" customWidth="1"/>
    <col min="5147" max="5150" width="9" style="221"/>
    <col min="5151" max="5151" width="10.875" style="221" customWidth="1"/>
    <col min="5152" max="5376" width="9" style="221"/>
    <col min="5377" max="5377" width="3.375" style="221" customWidth="1"/>
    <col min="5378" max="5378" width="11.625" style="221" customWidth="1"/>
    <col min="5379" max="5379" width="11.5" style="221" bestFit="1" customWidth="1"/>
    <col min="5380" max="5380" width="14.125" style="221" customWidth="1"/>
    <col min="5381" max="5381" width="12.875" style="221" customWidth="1"/>
    <col min="5382" max="5382" width="17.5" style="221" customWidth="1"/>
    <col min="5383" max="5383" width="9" style="221"/>
    <col min="5384" max="5384" width="19.125" style="221" customWidth="1"/>
    <col min="5385" max="5385" width="12.125" style="221" customWidth="1"/>
    <col min="5386" max="5386" width="19.125" style="221" customWidth="1"/>
    <col min="5387" max="5387" width="19.875" style="221" customWidth="1"/>
    <col min="5388" max="5388" width="20" style="221" bestFit="1" customWidth="1"/>
    <col min="5389" max="5390" width="14.125" style="221" customWidth="1"/>
    <col min="5391" max="5391" width="18.875" style="221" customWidth="1"/>
    <col min="5392" max="5392" width="21.5" style="221" customWidth="1"/>
    <col min="5393" max="5397" width="12.875" style="221" customWidth="1"/>
    <col min="5398" max="5401" width="9" style="221"/>
    <col min="5402" max="5402" width="10.125" style="221" customWidth="1"/>
    <col min="5403" max="5406" width="9" style="221"/>
    <col min="5407" max="5407" width="10.875" style="221" customWidth="1"/>
    <col min="5408" max="5632" width="9" style="221"/>
    <col min="5633" max="5633" width="3.375" style="221" customWidth="1"/>
    <col min="5634" max="5634" width="11.625" style="221" customWidth="1"/>
    <col min="5635" max="5635" width="11.5" style="221" bestFit="1" customWidth="1"/>
    <col min="5636" max="5636" width="14.125" style="221" customWidth="1"/>
    <col min="5637" max="5637" width="12.875" style="221" customWidth="1"/>
    <col min="5638" max="5638" width="17.5" style="221" customWidth="1"/>
    <col min="5639" max="5639" width="9" style="221"/>
    <col min="5640" max="5640" width="19.125" style="221" customWidth="1"/>
    <col min="5641" max="5641" width="12.125" style="221" customWidth="1"/>
    <col min="5642" max="5642" width="19.125" style="221" customWidth="1"/>
    <col min="5643" max="5643" width="19.875" style="221" customWidth="1"/>
    <col min="5644" max="5644" width="20" style="221" bestFit="1" customWidth="1"/>
    <col min="5645" max="5646" width="14.125" style="221" customWidth="1"/>
    <col min="5647" max="5647" width="18.875" style="221" customWidth="1"/>
    <col min="5648" max="5648" width="21.5" style="221" customWidth="1"/>
    <col min="5649" max="5653" width="12.875" style="221" customWidth="1"/>
    <col min="5654" max="5657" width="9" style="221"/>
    <col min="5658" max="5658" width="10.125" style="221" customWidth="1"/>
    <col min="5659" max="5662" width="9" style="221"/>
    <col min="5663" max="5663" width="10.875" style="221" customWidth="1"/>
    <col min="5664" max="5888" width="9" style="221"/>
    <col min="5889" max="5889" width="3.375" style="221" customWidth="1"/>
    <col min="5890" max="5890" width="11.625" style="221" customWidth="1"/>
    <col min="5891" max="5891" width="11.5" style="221" bestFit="1" customWidth="1"/>
    <col min="5892" max="5892" width="14.125" style="221" customWidth="1"/>
    <col min="5893" max="5893" width="12.875" style="221" customWidth="1"/>
    <col min="5894" max="5894" width="17.5" style="221" customWidth="1"/>
    <col min="5895" max="5895" width="9" style="221"/>
    <col min="5896" max="5896" width="19.125" style="221" customWidth="1"/>
    <col min="5897" max="5897" width="12.125" style="221" customWidth="1"/>
    <col min="5898" max="5898" width="19.125" style="221" customWidth="1"/>
    <col min="5899" max="5899" width="19.875" style="221" customWidth="1"/>
    <col min="5900" max="5900" width="20" style="221" bestFit="1" customWidth="1"/>
    <col min="5901" max="5902" width="14.125" style="221" customWidth="1"/>
    <col min="5903" max="5903" width="18.875" style="221" customWidth="1"/>
    <col min="5904" max="5904" width="21.5" style="221" customWidth="1"/>
    <col min="5905" max="5909" width="12.875" style="221" customWidth="1"/>
    <col min="5910" max="5913" width="9" style="221"/>
    <col min="5914" max="5914" width="10.125" style="221" customWidth="1"/>
    <col min="5915" max="5918" width="9" style="221"/>
    <col min="5919" max="5919" width="10.875" style="221" customWidth="1"/>
    <col min="5920" max="6144" width="9" style="221"/>
    <col min="6145" max="6145" width="3.375" style="221" customWidth="1"/>
    <col min="6146" max="6146" width="11.625" style="221" customWidth="1"/>
    <col min="6147" max="6147" width="11.5" style="221" bestFit="1" customWidth="1"/>
    <col min="6148" max="6148" width="14.125" style="221" customWidth="1"/>
    <col min="6149" max="6149" width="12.875" style="221" customWidth="1"/>
    <col min="6150" max="6150" width="17.5" style="221" customWidth="1"/>
    <col min="6151" max="6151" width="9" style="221"/>
    <col min="6152" max="6152" width="19.125" style="221" customWidth="1"/>
    <col min="6153" max="6153" width="12.125" style="221" customWidth="1"/>
    <col min="6154" max="6154" width="19.125" style="221" customWidth="1"/>
    <col min="6155" max="6155" width="19.875" style="221" customWidth="1"/>
    <col min="6156" max="6156" width="20" style="221" bestFit="1" customWidth="1"/>
    <col min="6157" max="6158" width="14.125" style="221" customWidth="1"/>
    <col min="6159" max="6159" width="18.875" style="221" customWidth="1"/>
    <col min="6160" max="6160" width="21.5" style="221" customWidth="1"/>
    <col min="6161" max="6165" width="12.875" style="221" customWidth="1"/>
    <col min="6166" max="6169" width="9" style="221"/>
    <col min="6170" max="6170" width="10.125" style="221" customWidth="1"/>
    <col min="6171" max="6174" width="9" style="221"/>
    <col min="6175" max="6175" width="10.875" style="221" customWidth="1"/>
    <col min="6176" max="6400" width="9" style="221"/>
    <col min="6401" max="6401" width="3.375" style="221" customWidth="1"/>
    <col min="6402" max="6402" width="11.625" style="221" customWidth="1"/>
    <col min="6403" max="6403" width="11.5" style="221" bestFit="1" customWidth="1"/>
    <col min="6404" max="6404" width="14.125" style="221" customWidth="1"/>
    <col min="6405" max="6405" width="12.875" style="221" customWidth="1"/>
    <col min="6406" max="6406" width="17.5" style="221" customWidth="1"/>
    <col min="6407" max="6407" width="9" style="221"/>
    <col min="6408" max="6408" width="19.125" style="221" customWidth="1"/>
    <col min="6409" max="6409" width="12.125" style="221" customWidth="1"/>
    <col min="6410" max="6410" width="19.125" style="221" customWidth="1"/>
    <col min="6411" max="6411" width="19.875" style="221" customWidth="1"/>
    <col min="6412" max="6412" width="20" style="221" bestFit="1" customWidth="1"/>
    <col min="6413" max="6414" width="14.125" style="221" customWidth="1"/>
    <col min="6415" max="6415" width="18.875" style="221" customWidth="1"/>
    <col min="6416" max="6416" width="21.5" style="221" customWidth="1"/>
    <col min="6417" max="6421" width="12.875" style="221" customWidth="1"/>
    <col min="6422" max="6425" width="9" style="221"/>
    <col min="6426" max="6426" width="10.125" style="221" customWidth="1"/>
    <col min="6427" max="6430" width="9" style="221"/>
    <col min="6431" max="6431" width="10.875" style="221" customWidth="1"/>
    <col min="6432" max="6656" width="9" style="221"/>
    <col min="6657" max="6657" width="3.375" style="221" customWidth="1"/>
    <col min="6658" max="6658" width="11.625" style="221" customWidth="1"/>
    <col min="6659" max="6659" width="11.5" style="221" bestFit="1" customWidth="1"/>
    <col min="6660" max="6660" width="14.125" style="221" customWidth="1"/>
    <col min="6661" max="6661" width="12.875" style="221" customWidth="1"/>
    <col min="6662" max="6662" width="17.5" style="221" customWidth="1"/>
    <col min="6663" max="6663" width="9" style="221"/>
    <col min="6664" max="6664" width="19.125" style="221" customWidth="1"/>
    <col min="6665" max="6665" width="12.125" style="221" customWidth="1"/>
    <col min="6666" max="6666" width="19.125" style="221" customWidth="1"/>
    <col min="6667" max="6667" width="19.875" style="221" customWidth="1"/>
    <col min="6668" max="6668" width="20" style="221" bestFit="1" customWidth="1"/>
    <col min="6669" max="6670" width="14.125" style="221" customWidth="1"/>
    <col min="6671" max="6671" width="18.875" style="221" customWidth="1"/>
    <col min="6672" max="6672" width="21.5" style="221" customWidth="1"/>
    <col min="6673" max="6677" width="12.875" style="221" customWidth="1"/>
    <col min="6678" max="6681" width="9" style="221"/>
    <col min="6682" max="6682" width="10.125" style="221" customWidth="1"/>
    <col min="6683" max="6686" width="9" style="221"/>
    <col min="6687" max="6687" width="10.875" style="221" customWidth="1"/>
    <col min="6688" max="6912" width="9" style="221"/>
    <col min="6913" max="6913" width="3.375" style="221" customWidth="1"/>
    <col min="6914" max="6914" width="11.625" style="221" customWidth="1"/>
    <col min="6915" max="6915" width="11.5" style="221" bestFit="1" customWidth="1"/>
    <col min="6916" max="6916" width="14.125" style="221" customWidth="1"/>
    <col min="6917" max="6917" width="12.875" style="221" customWidth="1"/>
    <col min="6918" max="6918" width="17.5" style="221" customWidth="1"/>
    <col min="6919" max="6919" width="9" style="221"/>
    <col min="6920" max="6920" width="19.125" style="221" customWidth="1"/>
    <col min="6921" max="6921" width="12.125" style="221" customWidth="1"/>
    <col min="6922" max="6922" width="19.125" style="221" customWidth="1"/>
    <col min="6923" max="6923" width="19.875" style="221" customWidth="1"/>
    <col min="6924" max="6924" width="20" style="221" bestFit="1" customWidth="1"/>
    <col min="6925" max="6926" width="14.125" style="221" customWidth="1"/>
    <col min="6927" max="6927" width="18.875" style="221" customWidth="1"/>
    <col min="6928" max="6928" width="21.5" style="221" customWidth="1"/>
    <col min="6929" max="6933" width="12.875" style="221" customWidth="1"/>
    <col min="6934" max="6937" width="9" style="221"/>
    <col min="6938" max="6938" width="10.125" style="221" customWidth="1"/>
    <col min="6939" max="6942" width="9" style="221"/>
    <col min="6943" max="6943" width="10.875" style="221" customWidth="1"/>
    <col min="6944" max="7168" width="9" style="221"/>
    <col min="7169" max="7169" width="3.375" style="221" customWidth="1"/>
    <col min="7170" max="7170" width="11.625" style="221" customWidth="1"/>
    <col min="7171" max="7171" width="11.5" style="221" bestFit="1" customWidth="1"/>
    <col min="7172" max="7172" width="14.125" style="221" customWidth="1"/>
    <col min="7173" max="7173" width="12.875" style="221" customWidth="1"/>
    <col min="7174" max="7174" width="17.5" style="221" customWidth="1"/>
    <col min="7175" max="7175" width="9" style="221"/>
    <col min="7176" max="7176" width="19.125" style="221" customWidth="1"/>
    <col min="7177" max="7177" width="12.125" style="221" customWidth="1"/>
    <col min="7178" max="7178" width="19.125" style="221" customWidth="1"/>
    <col min="7179" max="7179" width="19.875" style="221" customWidth="1"/>
    <col min="7180" max="7180" width="20" style="221" bestFit="1" customWidth="1"/>
    <col min="7181" max="7182" width="14.125" style="221" customWidth="1"/>
    <col min="7183" max="7183" width="18.875" style="221" customWidth="1"/>
    <col min="7184" max="7184" width="21.5" style="221" customWidth="1"/>
    <col min="7185" max="7189" width="12.875" style="221" customWidth="1"/>
    <col min="7190" max="7193" width="9" style="221"/>
    <col min="7194" max="7194" width="10.125" style="221" customWidth="1"/>
    <col min="7195" max="7198" width="9" style="221"/>
    <col min="7199" max="7199" width="10.875" style="221" customWidth="1"/>
    <col min="7200" max="7424" width="9" style="221"/>
    <col min="7425" max="7425" width="3.375" style="221" customWidth="1"/>
    <col min="7426" max="7426" width="11.625" style="221" customWidth="1"/>
    <col min="7427" max="7427" width="11.5" style="221" bestFit="1" customWidth="1"/>
    <col min="7428" max="7428" width="14.125" style="221" customWidth="1"/>
    <col min="7429" max="7429" width="12.875" style="221" customWidth="1"/>
    <col min="7430" max="7430" width="17.5" style="221" customWidth="1"/>
    <col min="7431" max="7431" width="9" style="221"/>
    <col min="7432" max="7432" width="19.125" style="221" customWidth="1"/>
    <col min="7433" max="7433" width="12.125" style="221" customWidth="1"/>
    <col min="7434" max="7434" width="19.125" style="221" customWidth="1"/>
    <col min="7435" max="7435" width="19.875" style="221" customWidth="1"/>
    <col min="7436" max="7436" width="20" style="221" bestFit="1" customWidth="1"/>
    <col min="7437" max="7438" width="14.125" style="221" customWidth="1"/>
    <col min="7439" max="7439" width="18.875" style="221" customWidth="1"/>
    <col min="7440" max="7440" width="21.5" style="221" customWidth="1"/>
    <col min="7441" max="7445" width="12.875" style="221" customWidth="1"/>
    <col min="7446" max="7449" width="9" style="221"/>
    <col min="7450" max="7450" width="10.125" style="221" customWidth="1"/>
    <col min="7451" max="7454" width="9" style="221"/>
    <col min="7455" max="7455" width="10.875" style="221" customWidth="1"/>
    <col min="7456" max="7680" width="9" style="221"/>
    <col min="7681" max="7681" width="3.375" style="221" customWidth="1"/>
    <col min="7682" max="7682" width="11.625" style="221" customWidth="1"/>
    <col min="7683" max="7683" width="11.5" style="221" bestFit="1" customWidth="1"/>
    <col min="7684" max="7684" width="14.125" style="221" customWidth="1"/>
    <col min="7685" max="7685" width="12.875" style="221" customWidth="1"/>
    <col min="7686" max="7686" width="17.5" style="221" customWidth="1"/>
    <col min="7687" max="7687" width="9" style="221"/>
    <col min="7688" max="7688" width="19.125" style="221" customWidth="1"/>
    <col min="7689" max="7689" width="12.125" style="221" customWidth="1"/>
    <col min="7690" max="7690" width="19.125" style="221" customWidth="1"/>
    <col min="7691" max="7691" width="19.875" style="221" customWidth="1"/>
    <col min="7692" max="7692" width="20" style="221" bestFit="1" customWidth="1"/>
    <col min="7693" max="7694" width="14.125" style="221" customWidth="1"/>
    <col min="7695" max="7695" width="18.875" style="221" customWidth="1"/>
    <col min="7696" max="7696" width="21.5" style="221" customWidth="1"/>
    <col min="7697" max="7701" width="12.875" style="221" customWidth="1"/>
    <col min="7702" max="7705" width="9" style="221"/>
    <col min="7706" max="7706" width="10.125" style="221" customWidth="1"/>
    <col min="7707" max="7710" width="9" style="221"/>
    <col min="7711" max="7711" width="10.875" style="221" customWidth="1"/>
    <col min="7712" max="7936" width="9" style="221"/>
    <col min="7937" max="7937" width="3.375" style="221" customWidth="1"/>
    <col min="7938" max="7938" width="11.625" style="221" customWidth="1"/>
    <col min="7939" max="7939" width="11.5" style="221" bestFit="1" customWidth="1"/>
    <col min="7940" max="7940" width="14.125" style="221" customWidth="1"/>
    <col min="7941" max="7941" width="12.875" style="221" customWidth="1"/>
    <col min="7942" max="7942" width="17.5" style="221" customWidth="1"/>
    <col min="7943" max="7943" width="9" style="221"/>
    <col min="7944" max="7944" width="19.125" style="221" customWidth="1"/>
    <col min="7945" max="7945" width="12.125" style="221" customWidth="1"/>
    <col min="7946" max="7946" width="19.125" style="221" customWidth="1"/>
    <col min="7947" max="7947" width="19.875" style="221" customWidth="1"/>
    <col min="7948" max="7948" width="20" style="221" bestFit="1" customWidth="1"/>
    <col min="7949" max="7950" width="14.125" style="221" customWidth="1"/>
    <col min="7951" max="7951" width="18.875" style="221" customWidth="1"/>
    <col min="7952" max="7952" width="21.5" style="221" customWidth="1"/>
    <col min="7953" max="7957" width="12.875" style="221" customWidth="1"/>
    <col min="7958" max="7961" width="9" style="221"/>
    <col min="7962" max="7962" width="10.125" style="221" customWidth="1"/>
    <col min="7963" max="7966" width="9" style="221"/>
    <col min="7967" max="7967" width="10.875" style="221" customWidth="1"/>
    <col min="7968" max="8192" width="9" style="221"/>
    <col min="8193" max="8193" width="3.375" style="221" customWidth="1"/>
    <col min="8194" max="8194" width="11.625" style="221" customWidth="1"/>
    <col min="8195" max="8195" width="11.5" style="221" bestFit="1" customWidth="1"/>
    <col min="8196" max="8196" width="14.125" style="221" customWidth="1"/>
    <col min="8197" max="8197" width="12.875" style="221" customWidth="1"/>
    <col min="8198" max="8198" width="17.5" style="221" customWidth="1"/>
    <col min="8199" max="8199" width="9" style="221"/>
    <col min="8200" max="8200" width="19.125" style="221" customWidth="1"/>
    <col min="8201" max="8201" width="12.125" style="221" customWidth="1"/>
    <col min="8202" max="8202" width="19.125" style="221" customWidth="1"/>
    <col min="8203" max="8203" width="19.875" style="221" customWidth="1"/>
    <col min="8204" max="8204" width="20" style="221" bestFit="1" customWidth="1"/>
    <col min="8205" max="8206" width="14.125" style="221" customWidth="1"/>
    <col min="8207" max="8207" width="18.875" style="221" customWidth="1"/>
    <col min="8208" max="8208" width="21.5" style="221" customWidth="1"/>
    <col min="8209" max="8213" width="12.875" style="221" customWidth="1"/>
    <col min="8214" max="8217" width="9" style="221"/>
    <col min="8218" max="8218" width="10.125" style="221" customWidth="1"/>
    <col min="8219" max="8222" width="9" style="221"/>
    <col min="8223" max="8223" width="10.875" style="221" customWidth="1"/>
    <col min="8224" max="8448" width="9" style="221"/>
    <col min="8449" max="8449" width="3.375" style="221" customWidth="1"/>
    <col min="8450" max="8450" width="11.625" style="221" customWidth="1"/>
    <col min="8451" max="8451" width="11.5" style="221" bestFit="1" customWidth="1"/>
    <col min="8452" max="8452" width="14.125" style="221" customWidth="1"/>
    <col min="8453" max="8453" width="12.875" style="221" customWidth="1"/>
    <col min="8454" max="8454" width="17.5" style="221" customWidth="1"/>
    <col min="8455" max="8455" width="9" style="221"/>
    <col min="8456" max="8456" width="19.125" style="221" customWidth="1"/>
    <col min="8457" max="8457" width="12.125" style="221" customWidth="1"/>
    <col min="8458" max="8458" width="19.125" style="221" customWidth="1"/>
    <col min="8459" max="8459" width="19.875" style="221" customWidth="1"/>
    <col min="8460" max="8460" width="20" style="221" bestFit="1" customWidth="1"/>
    <col min="8461" max="8462" width="14.125" style="221" customWidth="1"/>
    <col min="8463" max="8463" width="18.875" style="221" customWidth="1"/>
    <col min="8464" max="8464" width="21.5" style="221" customWidth="1"/>
    <col min="8465" max="8469" width="12.875" style="221" customWidth="1"/>
    <col min="8470" max="8473" width="9" style="221"/>
    <col min="8474" max="8474" width="10.125" style="221" customWidth="1"/>
    <col min="8475" max="8478" width="9" style="221"/>
    <col min="8479" max="8479" width="10.875" style="221" customWidth="1"/>
    <col min="8480" max="8704" width="9" style="221"/>
    <col min="8705" max="8705" width="3.375" style="221" customWidth="1"/>
    <col min="8706" max="8706" width="11.625" style="221" customWidth="1"/>
    <col min="8707" max="8707" width="11.5" style="221" bestFit="1" customWidth="1"/>
    <col min="8708" max="8708" width="14.125" style="221" customWidth="1"/>
    <col min="8709" max="8709" width="12.875" style="221" customWidth="1"/>
    <col min="8710" max="8710" width="17.5" style="221" customWidth="1"/>
    <col min="8711" max="8711" width="9" style="221"/>
    <col min="8712" max="8712" width="19.125" style="221" customWidth="1"/>
    <col min="8713" max="8713" width="12.125" style="221" customWidth="1"/>
    <col min="8714" max="8714" width="19.125" style="221" customWidth="1"/>
    <col min="8715" max="8715" width="19.875" style="221" customWidth="1"/>
    <col min="8716" max="8716" width="20" style="221" bestFit="1" customWidth="1"/>
    <col min="8717" max="8718" width="14.125" style="221" customWidth="1"/>
    <col min="8719" max="8719" width="18.875" style="221" customWidth="1"/>
    <col min="8720" max="8720" width="21.5" style="221" customWidth="1"/>
    <col min="8721" max="8725" width="12.875" style="221" customWidth="1"/>
    <col min="8726" max="8729" width="9" style="221"/>
    <col min="8730" max="8730" width="10.125" style="221" customWidth="1"/>
    <col min="8731" max="8734" width="9" style="221"/>
    <col min="8735" max="8735" width="10.875" style="221" customWidth="1"/>
    <col min="8736" max="8960" width="9" style="221"/>
    <col min="8961" max="8961" width="3.375" style="221" customWidth="1"/>
    <col min="8962" max="8962" width="11.625" style="221" customWidth="1"/>
    <col min="8963" max="8963" width="11.5" style="221" bestFit="1" customWidth="1"/>
    <col min="8964" max="8964" width="14.125" style="221" customWidth="1"/>
    <col min="8965" max="8965" width="12.875" style="221" customWidth="1"/>
    <col min="8966" max="8966" width="17.5" style="221" customWidth="1"/>
    <col min="8967" max="8967" width="9" style="221"/>
    <col min="8968" max="8968" width="19.125" style="221" customWidth="1"/>
    <col min="8969" max="8969" width="12.125" style="221" customWidth="1"/>
    <col min="8970" max="8970" width="19.125" style="221" customWidth="1"/>
    <col min="8971" max="8971" width="19.875" style="221" customWidth="1"/>
    <col min="8972" max="8972" width="20" style="221" bestFit="1" customWidth="1"/>
    <col min="8973" max="8974" width="14.125" style="221" customWidth="1"/>
    <col min="8975" max="8975" width="18.875" style="221" customWidth="1"/>
    <col min="8976" max="8976" width="21.5" style="221" customWidth="1"/>
    <col min="8977" max="8981" width="12.875" style="221" customWidth="1"/>
    <col min="8982" max="8985" width="9" style="221"/>
    <col min="8986" max="8986" width="10.125" style="221" customWidth="1"/>
    <col min="8987" max="8990" width="9" style="221"/>
    <col min="8991" max="8991" width="10.875" style="221" customWidth="1"/>
    <col min="8992" max="9216" width="9" style="221"/>
    <col min="9217" max="9217" width="3.375" style="221" customWidth="1"/>
    <col min="9218" max="9218" width="11.625" style="221" customWidth="1"/>
    <col min="9219" max="9219" width="11.5" style="221" bestFit="1" customWidth="1"/>
    <col min="9220" max="9220" width="14.125" style="221" customWidth="1"/>
    <col min="9221" max="9221" width="12.875" style="221" customWidth="1"/>
    <col min="9222" max="9222" width="17.5" style="221" customWidth="1"/>
    <col min="9223" max="9223" width="9" style="221"/>
    <col min="9224" max="9224" width="19.125" style="221" customWidth="1"/>
    <col min="9225" max="9225" width="12.125" style="221" customWidth="1"/>
    <col min="9226" max="9226" width="19.125" style="221" customWidth="1"/>
    <col min="9227" max="9227" width="19.875" style="221" customWidth="1"/>
    <col min="9228" max="9228" width="20" style="221" bestFit="1" customWidth="1"/>
    <col min="9229" max="9230" width="14.125" style="221" customWidth="1"/>
    <col min="9231" max="9231" width="18.875" style="221" customWidth="1"/>
    <col min="9232" max="9232" width="21.5" style="221" customWidth="1"/>
    <col min="9233" max="9237" width="12.875" style="221" customWidth="1"/>
    <col min="9238" max="9241" width="9" style="221"/>
    <col min="9242" max="9242" width="10.125" style="221" customWidth="1"/>
    <col min="9243" max="9246" width="9" style="221"/>
    <col min="9247" max="9247" width="10.875" style="221" customWidth="1"/>
    <col min="9248" max="9472" width="9" style="221"/>
    <col min="9473" max="9473" width="3.375" style="221" customWidth="1"/>
    <col min="9474" max="9474" width="11.625" style="221" customWidth="1"/>
    <col min="9475" max="9475" width="11.5" style="221" bestFit="1" customWidth="1"/>
    <col min="9476" max="9476" width="14.125" style="221" customWidth="1"/>
    <col min="9477" max="9477" width="12.875" style="221" customWidth="1"/>
    <col min="9478" max="9478" width="17.5" style="221" customWidth="1"/>
    <col min="9479" max="9479" width="9" style="221"/>
    <col min="9480" max="9480" width="19.125" style="221" customWidth="1"/>
    <col min="9481" max="9481" width="12.125" style="221" customWidth="1"/>
    <col min="9482" max="9482" width="19.125" style="221" customWidth="1"/>
    <col min="9483" max="9483" width="19.875" style="221" customWidth="1"/>
    <col min="9484" max="9484" width="20" style="221" bestFit="1" customWidth="1"/>
    <col min="9485" max="9486" width="14.125" style="221" customWidth="1"/>
    <col min="9487" max="9487" width="18.875" style="221" customWidth="1"/>
    <col min="9488" max="9488" width="21.5" style="221" customWidth="1"/>
    <col min="9489" max="9493" width="12.875" style="221" customWidth="1"/>
    <col min="9494" max="9497" width="9" style="221"/>
    <col min="9498" max="9498" width="10.125" style="221" customWidth="1"/>
    <col min="9499" max="9502" width="9" style="221"/>
    <col min="9503" max="9503" width="10.875" style="221" customWidth="1"/>
    <col min="9504" max="9728" width="9" style="221"/>
    <col min="9729" max="9729" width="3.375" style="221" customWidth="1"/>
    <col min="9730" max="9730" width="11.625" style="221" customWidth="1"/>
    <col min="9731" max="9731" width="11.5" style="221" bestFit="1" customWidth="1"/>
    <col min="9732" max="9732" width="14.125" style="221" customWidth="1"/>
    <col min="9733" max="9733" width="12.875" style="221" customWidth="1"/>
    <col min="9734" max="9734" width="17.5" style="221" customWidth="1"/>
    <col min="9735" max="9735" width="9" style="221"/>
    <col min="9736" max="9736" width="19.125" style="221" customWidth="1"/>
    <col min="9737" max="9737" width="12.125" style="221" customWidth="1"/>
    <col min="9738" max="9738" width="19.125" style="221" customWidth="1"/>
    <col min="9739" max="9739" width="19.875" style="221" customWidth="1"/>
    <col min="9740" max="9740" width="20" style="221" bestFit="1" customWidth="1"/>
    <col min="9741" max="9742" width="14.125" style="221" customWidth="1"/>
    <col min="9743" max="9743" width="18.875" style="221" customWidth="1"/>
    <col min="9744" max="9744" width="21.5" style="221" customWidth="1"/>
    <col min="9745" max="9749" width="12.875" style="221" customWidth="1"/>
    <col min="9750" max="9753" width="9" style="221"/>
    <col min="9754" max="9754" width="10.125" style="221" customWidth="1"/>
    <col min="9755" max="9758" width="9" style="221"/>
    <col min="9759" max="9759" width="10.875" style="221" customWidth="1"/>
    <col min="9760" max="9984" width="9" style="221"/>
    <col min="9985" max="9985" width="3.375" style="221" customWidth="1"/>
    <col min="9986" max="9986" width="11.625" style="221" customWidth="1"/>
    <col min="9987" max="9987" width="11.5" style="221" bestFit="1" customWidth="1"/>
    <col min="9988" max="9988" width="14.125" style="221" customWidth="1"/>
    <col min="9989" max="9989" width="12.875" style="221" customWidth="1"/>
    <col min="9990" max="9990" width="17.5" style="221" customWidth="1"/>
    <col min="9991" max="9991" width="9" style="221"/>
    <col min="9992" max="9992" width="19.125" style="221" customWidth="1"/>
    <col min="9993" max="9993" width="12.125" style="221" customWidth="1"/>
    <col min="9994" max="9994" width="19.125" style="221" customWidth="1"/>
    <col min="9995" max="9995" width="19.875" style="221" customWidth="1"/>
    <col min="9996" max="9996" width="20" style="221" bestFit="1" customWidth="1"/>
    <col min="9997" max="9998" width="14.125" style="221" customWidth="1"/>
    <col min="9999" max="9999" width="18.875" style="221" customWidth="1"/>
    <col min="10000" max="10000" width="21.5" style="221" customWidth="1"/>
    <col min="10001" max="10005" width="12.875" style="221" customWidth="1"/>
    <col min="10006" max="10009" width="9" style="221"/>
    <col min="10010" max="10010" width="10.125" style="221" customWidth="1"/>
    <col min="10011" max="10014" width="9" style="221"/>
    <col min="10015" max="10015" width="10.875" style="221" customWidth="1"/>
    <col min="10016" max="10240" width="9" style="221"/>
    <col min="10241" max="10241" width="3.375" style="221" customWidth="1"/>
    <col min="10242" max="10242" width="11.625" style="221" customWidth="1"/>
    <col min="10243" max="10243" width="11.5" style="221" bestFit="1" customWidth="1"/>
    <col min="10244" max="10244" width="14.125" style="221" customWidth="1"/>
    <col min="10245" max="10245" width="12.875" style="221" customWidth="1"/>
    <col min="10246" max="10246" width="17.5" style="221" customWidth="1"/>
    <col min="10247" max="10247" width="9" style="221"/>
    <col min="10248" max="10248" width="19.125" style="221" customWidth="1"/>
    <col min="10249" max="10249" width="12.125" style="221" customWidth="1"/>
    <col min="10250" max="10250" width="19.125" style="221" customWidth="1"/>
    <col min="10251" max="10251" width="19.875" style="221" customWidth="1"/>
    <col min="10252" max="10252" width="20" style="221" bestFit="1" customWidth="1"/>
    <col min="10253" max="10254" width="14.125" style="221" customWidth="1"/>
    <col min="10255" max="10255" width="18.875" style="221" customWidth="1"/>
    <col min="10256" max="10256" width="21.5" style="221" customWidth="1"/>
    <col min="10257" max="10261" width="12.875" style="221" customWidth="1"/>
    <col min="10262" max="10265" width="9" style="221"/>
    <col min="10266" max="10266" width="10.125" style="221" customWidth="1"/>
    <col min="10267" max="10270" width="9" style="221"/>
    <col min="10271" max="10271" width="10.875" style="221" customWidth="1"/>
    <col min="10272" max="10496" width="9" style="221"/>
    <col min="10497" max="10497" width="3.375" style="221" customWidth="1"/>
    <col min="10498" max="10498" width="11.625" style="221" customWidth="1"/>
    <col min="10499" max="10499" width="11.5" style="221" bestFit="1" customWidth="1"/>
    <col min="10500" max="10500" width="14.125" style="221" customWidth="1"/>
    <col min="10501" max="10501" width="12.875" style="221" customWidth="1"/>
    <col min="10502" max="10502" width="17.5" style="221" customWidth="1"/>
    <col min="10503" max="10503" width="9" style="221"/>
    <col min="10504" max="10504" width="19.125" style="221" customWidth="1"/>
    <col min="10505" max="10505" width="12.125" style="221" customWidth="1"/>
    <col min="10506" max="10506" width="19.125" style="221" customWidth="1"/>
    <col min="10507" max="10507" width="19.875" style="221" customWidth="1"/>
    <col min="10508" max="10508" width="20" style="221" bestFit="1" customWidth="1"/>
    <col min="10509" max="10510" width="14.125" style="221" customWidth="1"/>
    <col min="10511" max="10511" width="18.875" style="221" customWidth="1"/>
    <col min="10512" max="10512" width="21.5" style="221" customWidth="1"/>
    <col min="10513" max="10517" width="12.875" style="221" customWidth="1"/>
    <col min="10518" max="10521" width="9" style="221"/>
    <col min="10522" max="10522" width="10.125" style="221" customWidth="1"/>
    <col min="10523" max="10526" width="9" style="221"/>
    <col min="10527" max="10527" width="10.875" style="221" customWidth="1"/>
    <col min="10528" max="10752" width="9" style="221"/>
    <col min="10753" max="10753" width="3.375" style="221" customWidth="1"/>
    <col min="10754" max="10754" width="11.625" style="221" customWidth="1"/>
    <col min="10755" max="10755" width="11.5" style="221" bestFit="1" customWidth="1"/>
    <col min="10756" max="10756" width="14.125" style="221" customWidth="1"/>
    <col min="10757" max="10757" width="12.875" style="221" customWidth="1"/>
    <col min="10758" max="10758" width="17.5" style="221" customWidth="1"/>
    <col min="10759" max="10759" width="9" style="221"/>
    <col min="10760" max="10760" width="19.125" style="221" customWidth="1"/>
    <col min="10761" max="10761" width="12.125" style="221" customWidth="1"/>
    <col min="10762" max="10762" width="19.125" style="221" customWidth="1"/>
    <col min="10763" max="10763" width="19.875" style="221" customWidth="1"/>
    <col min="10764" max="10764" width="20" style="221" bestFit="1" customWidth="1"/>
    <col min="10765" max="10766" width="14.125" style="221" customWidth="1"/>
    <col min="10767" max="10767" width="18.875" style="221" customWidth="1"/>
    <col min="10768" max="10768" width="21.5" style="221" customWidth="1"/>
    <col min="10769" max="10773" width="12.875" style="221" customWidth="1"/>
    <col min="10774" max="10777" width="9" style="221"/>
    <col min="10778" max="10778" width="10.125" style="221" customWidth="1"/>
    <col min="10779" max="10782" width="9" style="221"/>
    <col min="10783" max="10783" width="10.875" style="221" customWidth="1"/>
    <col min="10784" max="11008" width="9" style="221"/>
    <col min="11009" max="11009" width="3.375" style="221" customWidth="1"/>
    <col min="11010" max="11010" width="11.625" style="221" customWidth="1"/>
    <col min="11011" max="11011" width="11.5" style="221" bestFit="1" customWidth="1"/>
    <col min="11012" max="11012" width="14.125" style="221" customWidth="1"/>
    <col min="11013" max="11013" width="12.875" style="221" customWidth="1"/>
    <col min="11014" max="11014" width="17.5" style="221" customWidth="1"/>
    <col min="11015" max="11015" width="9" style="221"/>
    <col min="11016" max="11016" width="19.125" style="221" customWidth="1"/>
    <col min="11017" max="11017" width="12.125" style="221" customWidth="1"/>
    <col min="11018" max="11018" width="19.125" style="221" customWidth="1"/>
    <col min="11019" max="11019" width="19.875" style="221" customWidth="1"/>
    <col min="11020" max="11020" width="20" style="221" bestFit="1" customWidth="1"/>
    <col min="11021" max="11022" width="14.125" style="221" customWidth="1"/>
    <col min="11023" max="11023" width="18.875" style="221" customWidth="1"/>
    <col min="11024" max="11024" width="21.5" style="221" customWidth="1"/>
    <col min="11025" max="11029" width="12.875" style="221" customWidth="1"/>
    <col min="11030" max="11033" width="9" style="221"/>
    <col min="11034" max="11034" width="10.125" style="221" customWidth="1"/>
    <col min="11035" max="11038" width="9" style="221"/>
    <col min="11039" max="11039" width="10.875" style="221" customWidth="1"/>
    <col min="11040" max="11264" width="9" style="221"/>
    <col min="11265" max="11265" width="3.375" style="221" customWidth="1"/>
    <col min="11266" max="11266" width="11.625" style="221" customWidth="1"/>
    <col min="11267" max="11267" width="11.5" style="221" bestFit="1" customWidth="1"/>
    <col min="11268" max="11268" width="14.125" style="221" customWidth="1"/>
    <col min="11269" max="11269" width="12.875" style="221" customWidth="1"/>
    <col min="11270" max="11270" width="17.5" style="221" customWidth="1"/>
    <col min="11271" max="11271" width="9" style="221"/>
    <col min="11272" max="11272" width="19.125" style="221" customWidth="1"/>
    <col min="11273" max="11273" width="12.125" style="221" customWidth="1"/>
    <col min="11274" max="11274" width="19.125" style="221" customWidth="1"/>
    <col min="11275" max="11275" width="19.875" style="221" customWidth="1"/>
    <col min="11276" max="11276" width="20" style="221" bestFit="1" customWidth="1"/>
    <col min="11277" max="11278" width="14.125" style="221" customWidth="1"/>
    <col min="11279" max="11279" width="18.875" style="221" customWidth="1"/>
    <col min="11280" max="11280" width="21.5" style="221" customWidth="1"/>
    <col min="11281" max="11285" width="12.875" style="221" customWidth="1"/>
    <col min="11286" max="11289" width="9" style="221"/>
    <col min="11290" max="11290" width="10.125" style="221" customWidth="1"/>
    <col min="11291" max="11294" width="9" style="221"/>
    <col min="11295" max="11295" width="10.875" style="221" customWidth="1"/>
    <col min="11296" max="11520" width="9" style="221"/>
    <col min="11521" max="11521" width="3.375" style="221" customWidth="1"/>
    <col min="11522" max="11522" width="11.625" style="221" customWidth="1"/>
    <col min="11523" max="11523" width="11.5" style="221" bestFit="1" customWidth="1"/>
    <col min="11524" max="11524" width="14.125" style="221" customWidth="1"/>
    <col min="11525" max="11525" width="12.875" style="221" customWidth="1"/>
    <col min="11526" max="11526" width="17.5" style="221" customWidth="1"/>
    <col min="11527" max="11527" width="9" style="221"/>
    <col min="11528" max="11528" width="19.125" style="221" customWidth="1"/>
    <col min="11529" max="11529" width="12.125" style="221" customWidth="1"/>
    <col min="11530" max="11530" width="19.125" style="221" customWidth="1"/>
    <col min="11531" max="11531" width="19.875" style="221" customWidth="1"/>
    <col min="11532" max="11532" width="20" style="221" bestFit="1" customWidth="1"/>
    <col min="11533" max="11534" width="14.125" style="221" customWidth="1"/>
    <col min="11535" max="11535" width="18.875" style="221" customWidth="1"/>
    <col min="11536" max="11536" width="21.5" style="221" customWidth="1"/>
    <col min="11537" max="11541" width="12.875" style="221" customWidth="1"/>
    <col min="11542" max="11545" width="9" style="221"/>
    <col min="11546" max="11546" width="10.125" style="221" customWidth="1"/>
    <col min="11547" max="11550" width="9" style="221"/>
    <col min="11551" max="11551" width="10.875" style="221" customWidth="1"/>
    <col min="11552" max="11776" width="9" style="221"/>
    <col min="11777" max="11777" width="3.375" style="221" customWidth="1"/>
    <col min="11778" max="11778" width="11.625" style="221" customWidth="1"/>
    <col min="11779" max="11779" width="11.5" style="221" bestFit="1" customWidth="1"/>
    <col min="11780" max="11780" width="14.125" style="221" customWidth="1"/>
    <col min="11781" max="11781" width="12.875" style="221" customWidth="1"/>
    <col min="11782" max="11782" width="17.5" style="221" customWidth="1"/>
    <col min="11783" max="11783" width="9" style="221"/>
    <col min="11784" max="11784" width="19.125" style="221" customWidth="1"/>
    <col min="11785" max="11785" width="12.125" style="221" customWidth="1"/>
    <col min="11786" max="11786" width="19.125" style="221" customWidth="1"/>
    <col min="11787" max="11787" width="19.875" style="221" customWidth="1"/>
    <col min="11788" max="11788" width="20" style="221" bestFit="1" customWidth="1"/>
    <col min="11789" max="11790" width="14.125" style="221" customWidth="1"/>
    <col min="11791" max="11791" width="18.875" style="221" customWidth="1"/>
    <col min="11792" max="11792" width="21.5" style="221" customWidth="1"/>
    <col min="11793" max="11797" width="12.875" style="221" customWidth="1"/>
    <col min="11798" max="11801" width="9" style="221"/>
    <col min="11802" max="11802" width="10.125" style="221" customWidth="1"/>
    <col min="11803" max="11806" width="9" style="221"/>
    <col min="11807" max="11807" width="10.875" style="221" customWidth="1"/>
    <col min="11808" max="12032" width="9" style="221"/>
    <col min="12033" max="12033" width="3.375" style="221" customWidth="1"/>
    <col min="12034" max="12034" width="11.625" style="221" customWidth="1"/>
    <col min="12035" max="12035" width="11.5" style="221" bestFit="1" customWidth="1"/>
    <col min="12036" max="12036" width="14.125" style="221" customWidth="1"/>
    <col min="12037" max="12037" width="12.875" style="221" customWidth="1"/>
    <col min="12038" max="12038" width="17.5" style="221" customWidth="1"/>
    <col min="12039" max="12039" width="9" style="221"/>
    <col min="12040" max="12040" width="19.125" style="221" customWidth="1"/>
    <col min="12041" max="12041" width="12.125" style="221" customWidth="1"/>
    <col min="12042" max="12042" width="19.125" style="221" customWidth="1"/>
    <col min="12043" max="12043" width="19.875" style="221" customWidth="1"/>
    <col min="12044" max="12044" width="20" style="221" bestFit="1" customWidth="1"/>
    <col min="12045" max="12046" width="14.125" style="221" customWidth="1"/>
    <col min="12047" max="12047" width="18.875" style="221" customWidth="1"/>
    <col min="12048" max="12048" width="21.5" style="221" customWidth="1"/>
    <col min="12049" max="12053" width="12.875" style="221" customWidth="1"/>
    <col min="12054" max="12057" width="9" style="221"/>
    <col min="12058" max="12058" width="10.125" style="221" customWidth="1"/>
    <col min="12059" max="12062" width="9" style="221"/>
    <col min="12063" max="12063" width="10.875" style="221" customWidth="1"/>
    <col min="12064" max="12288" width="9" style="221"/>
    <col min="12289" max="12289" width="3.375" style="221" customWidth="1"/>
    <col min="12290" max="12290" width="11.625" style="221" customWidth="1"/>
    <col min="12291" max="12291" width="11.5" style="221" bestFit="1" customWidth="1"/>
    <col min="12292" max="12292" width="14.125" style="221" customWidth="1"/>
    <col min="12293" max="12293" width="12.875" style="221" customWidth="1"/>
    <col min="12294" max="12294" width="17.5" style="221" customWidth="1"/>
    <col min="12295" max="12295" width="9" style="221"/>
    <col min="12296" max="12296" width="19.125" style="221" customWidth="1"/>
    <col min="12297" max="12297" width="12.125" style="221" customWidth="1"/>
    <col min="12298" max="12298" width="19.125" style="221" customWidth="1"/>
    <col min="12299" max="12299" width="19.875" style="221" customWidth="1"/>
    <col min="12300" max="12300" width="20" style="221" bestFit="1" customWidth="1"/>
    <col min="12301" max="12302" width="14.125" style="221" customWidth="1"/>
    <col min="12303" max="12303" width="18.875" style="221" customWidth="1"/>
    <col min="12304" max="12304" width="21.5" style="221" customWidth="1"/>
    <col min="12305" max="12309" width="12.875" style="221" customWidth="1"/>
    <col min="12310" max="12313" width="9" style="221"/>
    <col min="12314" max="12314" width="10.125" style="221" customWidth="1"/>
    <col min="12315" max="12318" width="9" style="221"/>
    <col min="12319" max="12319" width="10.875" style="221" customWidth="1"/>
    <col min="12320" max="12544" width="9" style="221"/>
    <col min="12545" max="12545" width="3.375" style="221" customWidth="1"/>
    <col min="12546" max="12546" width="11.625" style="221" customWidth="1"/>
    <col min="12547" max="12547" width="11.5" style="221" bestFit="1" customWidth="1"/>
    <col min="12548" max="12548" width="14.125" style="221" customWidth="1"/>
    <col min="12549" max="12549" width="12.875" style="221" customWidth="1"/>
    <col min="12550" max="12550" width="17.5" style="221" customWidth="1"/>
    <col min="12551" max="12551" width="9" style="221"/>
    <col min="12552" max="12552" width="19.125" style="221" customWidth="1"/>
    <col min="12553" max="12553" width="12.125" style="221" customWidth="1"/>
    <col min="12554" max="12554" width="19.125" style="221" customWidth="1"/>
    <col min="12555" max="12555" width="19.875" style="221" customWidth="1"/>
    <col min="12556" max="12556" width="20" style="221" bestFit="1" customWidth="1"/>
    <col min="12557" max="12558" width="14.125" style="221" customWidth="1"/>
    <col min="12559" max="12559" width="18.875" style="221" customWidth="1"/>
    <col min="12560" max="12560" width="21.5" style="221" customWidth="1"/>
    <col min="12561" max="12565" width="12.875" style="221" customWidth="1"/>
    <col min="12566" max="12569" width="9" style="221"/>
    <col min="12570" max="12570" width="10.125" style="221" customWidth="1"/>
    <col min="12571" max="12574" width="9" style="221"/>
    <col min="12575" max="12575" width="10.875" style="221" customWidth="1"/>
    <col min="12576" max="12800" width="9" style="221"/>
    <col min="12801" max="12801" width="3.375" style="221" customWidth="1"/>
    <col min="12802" max="12802" width="11.625" style="221" customWidth="1"/>
    <col min="12803" max="12803" width="11.5" style="221" bestFit="1" customWidth="1"/>
    <col min="12804" max="12804" width="14.125" style="221" customWidth="1"/>
    <col min="12805" max="12805" width="12.875" style="221" customWidth="1"/>
    <col min="12806" max="12806" width="17.5" style="221" customWidth="1"/>
    <col min="12807" max="12807" width="9" style="221"/>
    <col min="12808" max="12808" width="19.125" style="221" customWidth="1"/>
    <col min="12809" max="12809" width="12.125" style="221" customWidth="1"/>
    <col min="12810" max="12810" width="19.125" style="221" customWidth="1"/>
    <col min="12811" max="12811" width="19.875" style="221" customWidth="1"/>
    <col min="12812" max="12812" width="20" style="221" bestFit="1" customWidth="1"/>
    <col min="12813" max="12814" width="14.125" style="221" customWidth="1"/>
    <col min="12815" max="12815" width="18.875" style="221" customWidth="1"/>
    <col min="12816" max="12816" width="21.5" style="221" customWidth="1"/>
    <col min="12817" max="12821" width="12.875" style="221" customWidth="1"/>
    <col min="12822" max="12825" width="9" style="221"/>
    <col min="12826" max="12826" width="10.125" style="221" customWidth="1"/>
    <col min="12827" max="12830" width="9" style="221"/>
    <col min="12831" max="12831" width="10.875" style="221" customWidth="1"/>
    <col min="12832" max="13056" width="9" style="221"/>
    <col min="13057" max="13057" width="3.375" style="221" customWidth="1"/>
    <col min="13058" max="13058" width="11.625" style="221" customWidth="1"/>
    <col min="13059" max="13059" width="11.5" style="221" bestFit="1" customWidth="1"/>
    <col min="13060" max="13060" width="14.125" style="221" customWidth="1"/>
    <col min="13061" max="13061" width="12.875" style="221" customWidth="1"/>
    <col min="13062" max="13062" width="17.5" style="221" customWidth="1"/>
    <col min="13063" max="13063" width="9" style="221"/>
    <col min="13064" max="13064" width="19.125" style="221" customWidth="1"/>
    <col min="13065" max="13065" width="12.125" style="221" customWidth="1"/>
    <col min="13066" max="13066" width="19.125" style="221" customWidth="1"/>
    <col min="13067" max="13067" width="19.875" style="221" customWidth="1"/>
    <col min="13068" max="13068" width="20" style="221" bestFit="1" customWidth="1"/>
    <col min="13069" max="13070" width="14.125" style="221" customWidth="1"/>
    <col min="13071" max="13071" width="18.875" style="221" customWidth="1"/>
    <col min="13072" max="13072" width="21.5" style="221" customWidth="1"/>
    <col min="13073" max="13077" width="12.875" style="221" customWidth="1"/>
    <col min="13078" max="13081" width="9" style="221"/>
    <col min="13082" max="13082" width="10.125" style="221" customWidth="1"/>
    <col min="13083" max="13086" width="9" style="221"/>
    <col min="13087" max="13087" width="10.875" style="221" customWidth="1"/>
    <col min="13088" max="13312" width="9" style="221"/>
    <col min="13313" max="13313" width="3.375" style="221" customWidth="1"/>
    <col min="13314" max="13314" width="11.625" style="221" customWidth="1"/>
    <col min="13315" max="13315" width="11.5" style="221" bestFit="1" customWidth="1"/>
    <col min="13316" max="13316" width="14.125" style="221" customWidth="1"/>
    <col min="13317" max="13317" width="12.875" style="221" customWidth="1"/>
    <col min="13318" max="13318" width="17.5" style="221" customWidth="1"/>
    <col min="13319" max="13319" width="9" style="221"/>
    <col min="13320" max="13320" width="19.125" style="221" customWidth="1"/>
    <col min="13321" max="13321" width="12.125" style="221" customWidth="1"/>
    <col min="13322" max="13322" width="19.125" style="221" customWidth="1"/>
    <col min="13323" max="13323" width="19.875" style="221" customWidth="1"/>
    <col min="13324" max="13324" width="20" style="221" bestFit="1" customWidth="1"/>
    <col min="13325" max="13326" width="14.125" style="221" customWidth="1"/>
    <col min="13327" max="13327" width="18.875" style="221" customWidth="1"/>
    <col min="13328" max="13328" width="21.5" style="221" customWidth="1"/>
    <col min="13329" max="13333" width="12.875" style="221" customWidth="1"/>
    <col min="13334" max="13337" width="9" style="221"/>
    <col min="13338" max="13338" width="10.125" style="221" customWidth="1"/>
    <col min="13339" max="13342" width="9" style="221"/>
    <col min="13343" max="13343" width="10.875" style="221" customWidth="1"/>
    <col min="13344" max="13568" width="9" style="221"/>
    <col min="13569" max="13569" width="3.375" style="221" customWidth="1"/>
    <col min="13570" max="13570" width="11.625" style="221" customWidth="1"/>
    <col min="13571" max="13571" width="11.5" style="221" bestFit="1" customWidth="1"/>
    <col min="13572" max="13572" width="14.125" style="221" customWidth="1"/>
    <col min="13573" max="13573" width="12.875" style="221" customWidth="1"/>
    <col min="13574" max="13574" width="17.5" style="221" customWidth="1"/>
    <col min="13575" max="13575" width="9" style="221"/>
    <col min="13576" max="13576" width="19.125" style="221" customWidth="1"/>
    <col min="13577" max="13577" width="12.125" style="221" customWidth="1"/>
    <col min="13578" max="13578" width="19.125" style="221" customWidth="1"/>
    <col min="13579" max="13579" width="19.875" style="221" customWidth="1"/>
    <col min="13580" max="13580" width="20" style="221" bestFit="1" customWidth="1"/>
    <col min="13581" max="13582" width="14.125" style="221" customWidth="1"/>
    <col min="13583" max="13583" width="18.875" style="221" customWidth="1"/>
    <col min="13584" max="13584" width="21.5" style="221" customWidth="1"/>
    <col min="13585" max="13589" width="12.875" style="221" customWidth="1"/>
    <col min="13590" max="13593" width="9" style="221"/>
    <col min="13594" max="13594" width="10.125" style="221" customWidth="1"/>
    <col min="13595" max="13598" width="9" style="221"/>
    <col min="13599" max="13599" width="10.875" style="221" customWidth="1"/>
    <col min="13600" max="13824" width="9" style="221"/>
    <col min="13825" max="13825" width="3.375" style="221" customWidth="1"/>
    <col min="13826" max="13826" width="11.625" style="221" customWidth="1"/>
    <col min="13827" max="13827" width="11.5" style="221" bestFit="1" customWidth="1"/>
    <col min="13828" max="13828" width="14.125" style="221" customWidth="1"/>
    <col min="13829" max="13829" width="12.875" style="221" customWidth="1"/>
    <col min="13830" max="13830" width="17.5" style="221" customWidth="1"/>
    <col min="13831" max="13831" width="9" style="221"/>
    <col min="13832" max="13832" width="19.125" style="221" customWidth="1"/>
    <col min="13833" max="13833" width="12.125" style="221" customWidth="1"/>
    <col min="13834" max="13834" width="19.125" style="221" customWidth="1"/>
    <col min="13835" max="13835" width="19.875" style="221" customWidth="1"/>
    <col min="13836" max="13836" width="20" style="221" bestFit="1" customWidth="1"/>
    <col min="13837" max="13838" width="14.125" style="221" customWidth="1"/>
    <col min="13839" max="13839" width="18.875" style="221" customWidth="1"/>
    <col min="13840" max="13840" width="21.5" style="221" customWidth="1"/>
    <col min="13841" max="13845" width="12.875" style="221" customWidth="1"/>
    <col min="13846" max="13849" width="9" style="221"/>
    <col min="13850" max="13850" width="10.125" style="221" customWidth="1"/>
    <col min="13851" max="13854" width="9" style="221"/>
    <col min="13855" max="13855" width="10.875" style="221" customWidth="1"/>
    <col min="13856" max="14080" width="9" style="221"/>
    <col min="14081" max="14081" width="3.375" style="221" customWidth="1"/>
    <col min="14082" max="14082" width="11.625" style="221" customWidth="1"/>
    <col min="14083" max="14083" width="11.5" style="221" bestFit="1" customWidth="1"/>
    <col min="14084" max="14084" width="14.125" style="221" customWidth="1"/>
    <col min="14085" max="14085" width="12.875" style="221" customWidth="1"/>
    <col min="14086" max="14086" width="17.5" style="221" customWidth="1"/>
    <col min="14087" max="14087" width="9" style="221"/>
    <col min="14088" max="14088" width="19.125" style="221" customWidth="1"/>
    <col min="14089" max="14089" width="12.125" style="221" customWidth="1"/>
    <col min="14090" max="14090" width="19.125" style="221" customWidth="1"/>
    <col min="14091" max="14091" width="19.875" style="221" customWidth="1"/>
    <col min="14092" max="14092" width="20" style="221" bestFit="1" customWidth="1"/>
    <col min="14093" max="14094" width="14.125" style="221" customWidth="1"/>
    <col min="14095" max="14095" width="18.875" style="221" customWidth="1"/>
    <col min="14096" max="14096" width="21.5" style="221" customWidth="1"/>
    <col min="14097" max="14101" width="12.875" style="221" customWidth="1"/>
    <col min="14102" max="14105" width="9" style="221"/>
    <col min="14106" max="14106" width="10.125" style="221" customWidth="1"/>
    <col min="14107" max="14110" width="9" style="221"/>
    <col min="14111" max="14111" width="10.875" style="221" customWidth="1"/>
    <col min="14112" max="14336" width="9" style="221"/>
    <col min="14337" max="14337" width="3.375" style="221" customWidth="1"/>
    <col min="14338" max="14338" width="11.625" style="221" customWidth="1"/>
    <col min="14339" max="14339" width="11.5" style="221" bestFit="1" customWidth="1"/>
    <col min="14340" max="14340" width="14.125" style="221" customWidth="1"/>
    <col min="14341" max="14341" width="12.875" style="221" customWidth="1"/>
    <col min="14342" max="14342" width="17.5" style="221" customWidth="1"/>
    <col min="14343" max="14343" width="9" style="221"/>
    <col min="14344" max="14344" width="19.125" style="221" customWidth="1"/>
    <col min="14345" max="14345" width="12.125" style="221" customWidth="1"/>
    <col min="14346" max="14346" width="19.125" style="221" customWidth="1"/>
    <col min="14347" max="14347" width="19.875" style="221" customWidth="1"/>
    <col min="14348" max="14348" width="20" style="221" bestFit="1" customWidth="1"/>
    <col min="14349" max="14350" width="14.125" style="221" customWidth="1"/>
    <col min="14351" max="14351" width="18.875" style="221" customWidth="1"/>
    <col min="14352" max="14352" width="21.5" style="221" customWidth="1"/>
    <col min="14353" max="14357" width="12.875" style="221" customWidth="1"/>
    <col min="14358" max="14361" width="9" style="221"/>
    <col min="14362" max="14362" width="10.125" style="221" customWidth="1"/>
    <col min="14363" max="14366" width="9" style="221"/>
    <col min="14367" max="14367" width="10.875" style="221" customWidth="1"/>
    <col min="14368" max="14592" width="9" style="221"/>
    <col min="14593" max="14593" width="3.375" style="221" customWidth="1"/>
    <col min="14594" max="14594" width="11.625" style="221" customWidth="1"/>
    <col min="14595" max="14595" width="11.5" style="221" bestFit="1" customWidth="1"/>
    <col min="14596" max="14596" width="14.125" style="221" customWidth="1"/>
    <col min="14597" max="14597" width="12.875" style="221" customWidth="1"/>
    <col min="14598" max="14598" width="17.5" style="221" customWidth="1"/>
    <col min="14599" max="14599" width="9" style="221"/>
    <col min="14600" max="14600" width="19.125" style="221" customWidth="1"/>
    <col min="14601" max="14601" width="12.125" style="221" customWidth="1"/>
    <col min="14602" max="14602" width="19.125" style="221" customWidth="1"/>
    <col min="14603" max="14603" width="19.875" style="221" customWidth="1"/>
    <col min="14604" max="14604" width="20" style="221" bestFit="1" customWidth="1"/>
    <col min="14605" max="14606" width="14.125" style="221" customWidth="1"/>
    <col min="14607" max="14607" width="18.875" style="221" customWidth="1"/>
    <col min="14608" max="14608" width="21.5" style="221" customWidth="1"/>
    <col min="14609" max="14613" width="12.875" style="221" customWidth="1"/>
    <col min="14614" max="14617" width="9" style="221"/>
    <col min="14618" max="14618" width="10.125" style="221" customWidth="1"/>
    <col min="14619" max="14622" width="9" style="221"/>
    <col min="14623" max="14623" width="10.875" style="221" customWidth="1"/>
    <col min="14624" max="14848" width="9" style="221"/>
    <col min="14849" max="14849" width="3.375" style="221" customWidth="1"/>
    <col min="14850" max="14850" width="11.625" style="221" customWidth="1"/>
    <col min="14851" max="14851" width="11.5" style="221" bestFit="1" customWidth="1"/>
    <col min="14852" max="14852" width="14.125" style="221" customWidth="1"/>
    <col min="14853" max="14853" width="12.875" style="221" customWidth="1"/>
    <col min="14854" max="14854" width="17.5" style="221" customWidth="1"/>
    <col min="14855" max="14855" width="9" style="221"/>
    <col min="14856" max="14856" width="19.125" style="221" customWidth="1"/>
    <col min="14857" max="14857" width="12.125" style="221" customWidth="1"/>
    <col min="14858" max="14858" width="19.125" style="221" customWidth="1"/>
    <col min="14859" max="14859" width="19.875" style="221" customWidth="1"/>
    <col min="14860" max="14860" width="20" style="221" bestFit="1" customWidth="1"/>
    <col min="14861" max="14862" width="14.125" style="221" customWidth="1"/>
    <col min="14863" max="14863" width="18.875" style="221" customWidth="1"/>
    <col min="14864" max="14864" width="21.5" style="221" customWidth="1"/>
    <col min="14865" max="14869" width="12.875" style="221" customWidth="1"/>
    <col min="14870" max="14873" width="9" style="221"/>
    <col min="14874" max="14874" width="10.125" style="221" customWidth="1"/>
    <col min="14875" max="14878" width="9" style="221"/>
    <col min="14879" max="14879" width="10.875" style="221" customWidth="1"/>
    <col min="14880" max="15104" width="9" style="221"/>
    <col min="15105" max="15105" width="3.375" style="221" customWidth="1"/>
    <col min="15106" max="15106" width="11.625" style="221" customWidth="1"/>
    <col min="15107" max="15107" width="11.5" style="221" bestFit="1" customWidth="1"/>
    <col min="15108" max="15108" width="14.125" style="221" customWidth="1"/>
    <col min="15109" max="15109" width="12.875" style="221" customWidth="1"/>
    <col min="15110" max="15110" width="17.5" style="221" customWidth="1"/>
    <col min="15111" max="15111" width="9" style="221"/>
    <col min="15112" max="15112" width="19.125" style="221" customWidth="1"/>
    <col min="15113" max="15113" width="12.125" style="221" customWidth="1"/>
    <col min="15114" max="15114" width="19.125" style="221" customWidth="1"/>
    <col min="15115" max="15115" width="19.875" style="221" customWidth="1"/>
    <col min="15116" max="15116" width="20" style="221" bestFit="1" customWidth="1"/>
    <col min="15117" max="15118" width="14.125" style="221" customWidth="1"/>
    <col min="15119" max="15119" width="18.875" style="221" customWidth="1"/>
    <col min="15120" max="15120" width="21.5" style="221" customWidth="1"/>
    <col min="15121" max="15125" width="12.875" style="221" customWidth="1"/>
    <col min="15126" max="15129" width="9" style="221"/>
    <col min="15130" max="15130" width="10.125" style="221" customWidth="1"/>
    <col min="15131" max="15134" width="9" style="221"/>
    <col min="15135" max="15135" width="10.875" style="221" customWidth="1"/>
    <col min="15136" max="15360" width="9" style="221"/>
    <col min="15361" max="15361" width="3.375" style="221" customWidth="1"/>
    <col min="15362" max="15362" width="11.625" style="221" customWidth="1"/>
    <col min="15363" max="15363" width="11.5" style="221" bestFit="1" customWidth="1"/>
    <col min="15364" max="15364" width="14.125" style="221" customWidth="1"/>
    <col min="15365" max="15365" width="12.875" style="221" customWidth="1"/>
    <col min="15366" max="15366" width="17.5" style="221" customWidth="1"/>
    <col min="15367" max="15367" width="9" style="221"/>
    <col min="15368" max="15368" width="19.125" style="221" customWidth="1"/>
    <col min="15369" max="15369" width="12.125" style="221" customWidth="1"/>
    <col min="15370" max="15370" width="19.125" style="221" customWidth="1"/>
    <col min="15371" max="15371" width="19.875" style="221" customWidth="1"/>
    <col min="15372" max="15372" width="20" style="221" bestFit="1" customWidth="1"/>
    <col min="15373" max="15374" width="14.125" style="221" customWidth="1"/>
    <col min="15375" max="15375" width="18.875" style="221" customWidth="1"/>
    <col min="15376" max="15376" width="21.5" style="221" customWidth="1"/>
    <col min="15377" max="15381" width="12.875" style="221" customWidth="1"/>
    <col min="15382" max="15385" width="9" style="221"/>
    <col min="15386" max="15386" width="10.125" style="221" customWidth="1"/>
    <col min="15387" max="15390" width="9" style="221"/>
    <col min="15391" max="15391" width="10.875" style="221" customWidth="1"/>
    <col min="15392" max="15616" width="9" style="221"/>
    <col min="15617" max="15617" width="3.375" style="221" customWidth="1"/>
    <col min="15618" max="15618" width="11.625" style="221" customWidth="1"/>
    <col min="15619" max="15619" width="11.5" style="221" bestFit="1" customWidth="1"/>
    <col min="15620" max="15620" width="14.125" style="221" customWidth="1"/>
    <col min="15621" max="15621" width="12.875" style="221" customWidth="1"/>
    <col min="15622" max="15622" width="17.5" style="221" customWidth="1"/>
    <col min="15623" max="15623" width="9" style="221"/>
    <col min="15624" max="15624" width="19.125" style="221" customWidth="1"/>
    <col min="15625" max="15625" width="12.125" style="221" customWidth="1"/>
    <col min="15626" max="15626" width="19.125" style="221" customWidth="1"/>
    <col min="15627" max="15627" width="19.875" style="221" customWidth="1"/>
    <col min="15628" max="15628" width="20" style="221" bestFit="1" customWidth="1"/>
    <col min="15629" max="15630" width="14.125" style="221" customWidth="1"/>
    <col min="15631" max="15631" width="18.875" style="221" customWidth="1"/>
    <col min="15632" max="15632" width="21.5" style="221" customWidth="1"/>
    <col min="15633" max="15637" width="12.875" style="221" customWidth="1"/>
    <col min="15638" max="15641" width="9" style="221"/>
    <col min="15642" max="15642" width="10.125" style="221" customWidth="1"/>
    <col min="15643" max="15646" width="9" style="221"/>
    <col min="15647" max="15647" width="10.875" style="221" customWidth="1"/>
    <col min="15648" max="15872" width="9" style="221"/>
    <col min="15873" max="15873" width="3.375" style="221" customWidth="1"/>
    <col min="15874" max="15874" width="11.625" style="221" customWidth="1"/>
    <col min="15875" max="15875" width="11.5" style="221" bestFit="1" customWidth="1"/>
    <col min="15876" max="15876" width="14.125" style="221" customWidth="1"/>
    <col min="15877" max="15877" width="12.875" style="221" customWidth="1"/>
    <col min="15878" max="15878" width="17.5" style="221" customWidth="1"/>
    <col min="15879" max="15879" width="9" style="221"/>
    <col min="15880" max="15880" width="19.125" style="221" customWidth="1"/>
    <col min="15881" max="15881" width="12.125" style="221" customWidth="1"/>
    <col min="15882" max="15882" width="19.125" style="221" customWidth="1"/>
    <col min="15883" max="15883" width="19.875" style="221" customWidth="1"/>
    <col min="15884" max="15884" width="20" style="221" bestFit="1" customWidth="1"/>
    <col min="15885" max="15886" width="14.125" style="221" customWidth="1"/>
    <col min="15887" max="15887" width="18.875" style="221" customWidth="1"/>
    <col min="15888" max="15888" width="21.5" style="221" customWidth="1"/>
    <col min="15889" max="15893" width="12.875" style="221" customWidth="1"/>
    <col min="15894" max="15897" width="9" style="221"/>
    <col min="15898" max="15898" width="10.125" style="221" customWidth="1"/>
    <col min="15899" max="15902" width="9" style="221"/>
    <col min="15903" max="15903" width="10.875" style="221" customWidth="1"/>
    <col min="15904" max="16128" width="9" style="221"/>
    <col min="16129" max="16129" width="3.375" style="221" customWidth="1"/>
    <col min="16130" max="16130" width="11.625" style="221" customWidth="1"/>
    <col min="16131" max="16131" width="11.5" style="221" bestFit="1" customWidth="1"/>
    <col min="16132" max="16132" width="14.125" style="221" customWidth="1"/>
    <col min="16133" max="16133" width="12.875" style="221" customWidth="1"/>
    <col min="16134" max="16134" width="17.5" style="221" customWidth="1"/>
    <col min="16135" max="16135" width="9" style="221"/>
    <col min="16136" max="16136" width="19.125" style="221" customWidth="1"/>
    <col min="16137" max="16137" width="12.125" style="221" customWidth="1"/>
    <col min="16138" max="16138" width="19.125" style="221" customWidth="1"/>
    <col min="16139" max="16139" width="19.875" style="221" customWidth="1"/>
    <col min="16140" max="16140" width="20" style="221" bestFit="1" customWidth="1"/>
    <col min="16141" max="16142" width="14.125" style="221" customWidth="1"/>
    <col min="16143" max="16143" width="18.875" style="221" customWidth="1"/>
    <col min="16144" max="16144" width="21.5" style="221" customWidth="1"/>
    <col min="16145" max="16149" width="12.875" style="221" customWidth="1"/>
    <col min="16150" max="16153" width="9" style="221"/>
    <col min="16154" max="16154" width="10.125" style="221" customWidth="1"/>
    <col min="16155" max="16158" width="9" style="221"/>
    <col min="16159" max="16159" width="10.875" style="221" customWidth="1"/>
    <col min="16160" max="16384" width="9" style="221"/>
  </cols>
  <sheetData>
    <row r="2" spans="2:21" ht="19.5" thickBot="1">
      <c r="B2" s="221" t="s">
        <v>277</v>
      </c>
    </row>
    <row r="3" spans="2:21" ht="19.5" thickBot="1">
      <c r="B3" s="222"/>
      <c r="C3" s="223" t="s">
        <v>278</v>
      </c>
      <c r="D3" s="223" t="s">
        <v>279</v>
      </c>
      <c r="E3" s="224" t="s">
        <v>280</v>
      </c>
      <c r="F3" s="224" t="s">
        <v>281</v>
      </c>
    </row>
    <row r="4" spans="2:21">
      <c r="B4" s="225" t="s">
        <v>282</v>
      </c>
      <c r="C4" s="226">
        <f>10*8000</f>
        <v>80000</v>
      </c>
      <c r="D4" s="226">
        <f>10*3100</f>
        <v>31000</v>
      </c>
      <c r="E4" s="227">
        <f>15000+15000</f>
        <v>30000</v>
      </c>
      <c r="F4" s="228" t="s">
        <v>283</v>
      </c>
    </row>
    <row r="5" spans="2:21">
      <c r="B5" s="229" t="s">
        <v>284</v>
      </c>
      <c r="C5" s="230">
        <v>35000</v>
      </c>
      <c r="D5" s="230">
        <v>80000</v>
      </c>
      <c r="E5" s="231">
        <v>0</v>
      </c>
      <c r="F5" s="231"/>
    </row>
    <row r="6" spans="2:21" ht="19.5" thickBot="1">
      <c r="B6" s="232" t="s">
        <v>285</v>
      </c>
      <c r="C6" s="233">
        <v>10000</v>
      </c>
      <c r="D6" s="233">
        <v>3500</v>
      </c>
      <c r="E6" s="234">
        <v>0</v>
      </c>
      <c r="F6" s="234" t="s">
        <v>284</v>
      </c>
    </row>
    <row r="7" spans="2:21" ht="19.5" thickBot="1">
      <c r="B7" s="222" t="s">
        <v>286</v>
      </c>
      <c r="C7" s="235">
        <f>SUM(C4:C6)</f>
        <v>125000</v>
      </c>
      <c r="D7" s="235">
        <f>SUM(D4:D6)</f>
        <v>114500</v>
      </c>
      <c r="E7" s="236">
        <f>SUM(E4:E6)</f>
        <v>30000</v>
      </c>
      <c r="F7" s="236"/>
    </row>
    <row r="8" spans="2:21">
      <c r="B8" s="237" t="s">
        <v>287</v>
      </c>
      <c r="C8" s="230">
        <v>4337</v>
      </c>
      <c r="D8" s="230">
        <v>1540</v>
      </c>
      <c r="E8" s="231"/>
      <c r="F8" s="231"/>
    </row>
    <row r="9" spans="2:21">
      <c r="B9" s="237" t="s">
        <v>288</v>
      </c>
      <c r="C9" s="230">
        <v>19663</v>
      </c>
      <c r="D9" s="230">
        <v>10605</v>
      </c>
      <c r="E9" s="231"/>
      <c r="F9" s="231"/>
    </row>
    <row r="10" spans="2:21">
      <c r="B10" s="237" t="s">
        <v>289</v>
      </c>
      <c r="C10" s="230">
        <v>1000</v>
      </c>
      <c r="D10" s="230">
        <v>1000</v>
      </c>
      <c r="E10" s="231"/>
      <c r="F10" s="231"/>
    </row>
    <row r="11" spans="2:21">
      <c r="B11" s="237" t="s">
        <v>290</v>
      </c>
      <c r="C11" s="230">
        <v>7000</v>
      </c>
      <c r="D11" s="230">
        <v>6731</v>
      </c>
      <c r="E11" s="231"/>
      <c r="F11" s="231"/>
    </row>
    <row r="12" spans="2:21">
      <c r="B12" s="237" t="s">
        <v>291</v>
      </c>
      <c r="C12" s="230">
        <v>7500</v>
      </c>
      <c r="D12" s="230">
        <v>10000</v>
      </c>
      <c r="E12" s="231"/>
      <c r="F12" s="231"/>
    </row>
    <row r="13" spans="2:21">
      <c r="B13" s="237" t="s">
        <v>292</v>
      </c>
      <c r="C13" s="230">
        <v>12000</v>
      </c>
      <c r="D13" s="230">
        <v>8000</v>
      </c>
      <c r="E13" s="231">
        <v>4130</v>
      </c>
      <c r="F13" s="231" t="s">
        <v>293</v>
      </c>
    </row>
    <row r="14" spans="2:21">
      <c r="B14" s="237" t="s">
        <v>294</v>
      </c>
      <c r="C14" s="230"/>
      <c r="D14" s="230"/>
      <c r="E14" s="231"/>
      <c r="F14" s="231" t="s">
        <v>295</v>
      </c>
    </row>
    <row r="15" spans="2:21" ht="19.5" thickBot="1">
      <c r="B15" s="237" t="s">
        <v>296</v>
      </c>
      <c r="C15" s="230"/>
      <c r="D15" s="230"/>
      <c r="E15" s="231"/>
      <c r="F15" s="231" t="s">
        <v>297</v>
      </c>
      <c r="P15" s="238" t="s">
        <v>298</v>
      </c>
      <c r="U15" s="239" t="s">
        <v>299</v>
      </c>
    </row>
    <row r="16" spans="2:21" ht="19.5" thickBot="1">
      <c r="B16" s="222" t="s">
        <v>286</v>
      </c>
      <c r="C16" s="235">
        <f>SUM(C8:C15)</f>
        <v>51500</v>
      </c>
      <c r="D16" s="235">
        <f>SUM(D8:D15)</f>
        <v>37876</v>
      </c>
      <c r="E16" s="236">
        <f>SUM(E8:E15)</f>
        <v>4130</v>
      </c>
      <c r="F16" s="236"/>
      <c r="P16" s="222" t="s">
        <v>300</v>
      </c>
      <c r="Q16" s="223" t="s">
        <v>301</v>
      </c>
      <c r="R16" s="223" t="s">
        <v>302</v>
      </c>
      <c r="S16" s="223" t="s">
        <v>303</v>
      </c>
      <c r="T16" s="223" t="s">
        <v>304</v>
      </c>
      <c r="U16" s="224" t="s">
        <v>305</v>
      </c>
    </row>
    <row r="17" spans="2:21" ht="19.5" thickBot="1">
      <c r="B17" s="232" t="s">
        <v>306</v>
      </c>
      <c r="C17" s="240">
        <f>C7-C16</f>
        <v>73500</v>
      </c>
      <c r="D17" s="240">
        <f>D7-D16</f>
        <v>76624</v>
      </c>
      <c r="E17" s="241">
        <f>E7-E16</f>
        <v>25870</v>
      </c>
      <c r="F17" s="241"/>
      <c r="H17" s="221" t="s">
        <v>307</v>
      </c>
      <c r="J17" s="242"/>
      <c r="O17" s="239"/>
      <c r="P17" s="225" t="s">
        <v>308</v>
      </c>
      <c r="Q17" s="221">
        <v>25.63</v>
      </c>
      <c r="R17" s="221">
        <v>25</v>
      </c>
      <c r="S17" s="221">
        <f t="shared" ref="S17:U20" si="0">R17</f>
        <v>25</v>
      </c>
      <c r="T17" s="221">
        <f t="shared" si="0"/>
        <v>25</v>
      </c>
      <c r="U17" s="243">
        <f t="shared" si="0"/>
        <v>25</v>
      </c>
    </row>
    <row r="18" spans="2:21" ht="19.5" thickBot="1">
      <c r="B18" s="238" t="s">
        <v>309</v>
      </c>
      <c r="E18" s="239"/>
      <c r="F18" s="239" t="s">
        <v>310</v>
      </c>
      <c r="H18" s="239" t="s">
        <v>311</v>
      </c>
      <c r="I18" s="239"/>
      <c r="J18" s="239"/>
      <c r="L18" s="239"/>
      <c r="M18" s="239" t="s">
        <v>312</v>
      </c>
      <c r="O18" s="239"/>
      <c r="P18" s="229" t="s">
        <v>313</v>
      </c>
      <c r="Q18" s="221">
        <v>29.69</v>
      </c>
      <c r="R18" s="221">
        <v>30</v>
      </c>
      <c r="S18" s="221">
        <f t="shared" si="0"/>
        <v>30</v>
      </c>
      <c r="T18" s="221">
        <f t="shared" si="0"/>
        <v>30</v>
      </c>
      <c r="U18" s="243">
        <f t="shared" si="0"/>
        <v>30</v>
      </c>
    </row>
    <row r="19" spans="2:21" ht="19.5" thickBot="1">
      <c r="B19" s="221" t="s">
        <v>314</v>
      </c>
      <c r="H19" s="222" t="s">
        <v>300</v>
      </c>
      <c r="I19" s="223" t="s">
        <v>315</v>
      </c>
      <c r="J19" s="223" t="s">
        <v>316</v>
      </c>
      <c r="K19" s="223" t="s">
        <v>317</v>
      </c>
      <c r="L19" s="223" t="s">
        <v>286</v>
      </c>
      <c r="M19" s="224" t="s">
        <v>281</v>
      </c>
      <c r="N19" s="239"/>
      <c r="O19" s="239"/>
      <c r="P19" s="229" t="s">
        <v>318</v>
      </c>
      <c r="Q19" s="221">
        <v>23.25</v>
      </c>
      <c r="R19" s="221">
        <v>25</v>
      </c>
      <c r="S19" s="221">
        <f t="shared" si="0"/>
        <v>25</v>
      </c>
      <c r="T19" s="221">
        <f t="shared" si="0"/>
        <v>25</v>
      </c>
      <c r="U19" s="243">
        <f t="shared" si="0"/>
        <v>25</v>
      </c>
    </row>
    <row r="20" spans="2:21">
      <c r="C20" s="244"/>
      <c r="H20" s="229" t="s">
        <v>308</v>
      </c>
      <c r="I20" s="239">
        <f>Q17</f>
        <v>25.63</v>
      </c>
      <c r="J20" s="239">
        <f t="shared" ref="J20:J25" si="1">U17</f>
        <v>25</v>
      </c>
      <c r="K20" s="239">
        <v>0</v>
      </c>
      <c r="L20" s="239">
        <f t="shared" ref="L20:L25" si="2">SUM(J20:K20)</f>
        <v>25</v>
      </c>
      <c r="M20" s="245"/>
      <c r="N20" s="239"/>
      <c r="O20" s="239"/>
      <c r="P20" s="229" t="s">
        <v>319</v>
      </c>
      <c r="Q20" s="221">
        <v>0.31</v>
      </c>
      <c r="R20" s="221">
        <v>0.3</v>
      </c>
      <c r="S20" s="221">
        <f t="shared" si="0"/>
        <v>0.3</v>
      </c>
      <c r="T20" s="221">
        <f t="shared" si="0"/>
        <v>0.3</v>
      </c>
      <c r="U20" s="243">
        <f t="shared" si="0"/>
        <v>0.3</v>
      </c>
    </row>
    <row r="21" spans="2:21">
      <c r="B21" s="246"/>
      <c r="C21" s="244"/>
      <c r="H21" s="229" t="s">
        <v>313</v>
      </c>
      <c r="I21" s="239">
        <f>Q18</f>
        <v>29.69</v>
      </c>
      <c r="J21" s="239">
        <f t="shared" si="1"/>
        <v>30</v>
      </c>
      <c r="K21" s="239">
        <v>0</v>
      </c>
      <c r="L21" s="239">
        <f t="shared" si="2"/>
        <v>30</v>
      </c>
      <c r="M21" s="245"/>
      <c r="N21" s="239"/>
      <c r="O21" s="239"/>
      <c r="P21" s="229" t="s">
        <v>279</v>
      </c>
      <c r="Q21" s="247">
        <v>6.52</v>
      </c>
      <c r="R21" s="247">
        <v>3.4</v>
      </c>
      <c r="S21" s="247">
        <v>4.4000000000000004</v>
      </c>
      <c r="T21" s="247">
        <v>5.5</v>
      </c>
      <c r="U21" s="248">
        <v>6.52</v>
      </c>
    </row>
    <row r="22" spans="2:21" ht="19.5" thickBot="1">
      <c r="H22" s="229" t="s">
        <v>318</v>
      </c>
      <c r="I22" s="239">
        <f>Q19</f>
        <v>23.25</v>
      </c>
      <c r="J22" s="239">
        <f t="shared" si="1"/>
        <v>25</v>
      </c>
      <c r="K22" s="239">
        <v>0</v>
      </c>
      <c r="L22" s="239">
        <f t="shared" si="2"/>
        <v>25</v>
      </c>
      <c r="M22" s="245"/>
      <c r="N22" s="239"/>
      <c r="O22" s="239"/>
      <c r="P22" s="229" t="s">
        <v>244</v>
      </c>
      <c r="Q22" s="221">
        <v>0.4</v>
      </c>
      <c r="R22" s="221">
        <v>5</v>
      </c>
      <c r="S22" s="221">
        <v>5</v>
      </c>
      <c r="T22" s="221">
        <v>5</v>
      </c>
      <c r="U22" s="243">
        <v>5</v>
      </c>
    </row>
    <row r="23" spans="2:21" ht="19.5" thickBot="1">
      <c r="H23" s="229" t="s">
        <v>319</v>
      </c>
      <c r="I23" s="239">
        <f>Q20</f>
        <v>0.31</v>
      </c>
      <c r="J23" s="239">
        <f t="shared" si="1"/>
        <v>0.3</v>
      </c>
      <c r="K23" s="239">
        <v>0</v>
      </c>
      <c r="L23" s="239">
        <f t="shared" si="2"/>
        <v>0.3</v>
      </c>
      <c r="M23" s="245"/>
      <c r="N23" s="239"/>
      <c r="O23" s="239"/>
      <c r="P23" s="222" t="s">
        <v>320</v>
      </c>
      <c r="Q23" s="249">
        <f>SUM(Q17:Q22)</f>
        <v>85.8</v>
      </c>
      <c r="R23" s="249">
        <f>SUM(R17:R22)</f>
        <v>88.7</v>
      </c>
      <c r="S23" s="249">
        <f>SUM(S17:S22)</f>
        <v>89.7</v>
      </c>
      <c r="T23" s="249">
        <f>SUM(T17:T22)</f>
        <v>90.8</v>
      </c>
      <c r="U23" s="250">
        <f>SUM(U17:U22)</f>
        <v>91.82</v>
      </c>
    </row>
    <row r="24" spans="2:21">
      <c r="H24" s="229" t="s">
        <v>321</v>
      </c>
      <c r="I24" s="239">
        <v>6.5</v>
      </c>
      <c r="J24" s="251">
        <f t="shared" si="1"/>
        <v>6.52</v>
      </c>
      <c r="K24" s="239">
        <v>20</v>
      </c>
      <c r="L24" s="252">
        <f t="shared" si="2"/>
        <v>26.52</v>
      </c>
      <c r="M24" s="245"/>
      <c r="N24" s="239"/>
      <c r="O24" s="239"/>
      <c r="P24" s="229" t="s">
        <v>322</v>
      </c>
      <c r="Q24" s="221">
        <v>0</v>
      </c>
      <c r="R24" s="221">
        <v>0</v>
      </c>
      <c r="S24" s="221">
        <v>0</v>
      </c>
      <c r="T24" s="221">
        <v>0</v>
      </c>
      <c r="U24" s="243">
        <v>0</v>
      </c>
    </row>
    <row r="25" spans="2:21" ht="19.5" thickBot="1">
      <c r="H25" s="229" t="s">
        <v>278</v>
      </c>
      <c r="I25" s="239">
        <f>Q22</f>
        <v>0.4</v>
      </c>
      <c r="J25" s="239">
        <f t="shared" si="1"/>
        <v>5</v>
      </c>
      <c r="K25" s="239">
        <v>0</v>
      </c>
      <c r="L25" s="239">
        <f t="shared" si="2"/>
        <v>5</v>
      </c>
      <c r="M25" s="245"/>
      <c r="N25" s="239"/>
      <c r="O25" s="239"/>
      <c r="P25" s="232" t="s">
        <v>323</v>
      </c>
      <c r="Q25" s="253">
        <v>0</v>
      </c>
      <c r="R25" s="253">
        <v>10</v>
      </c>
      <c r="S25" s="253">
        <v>13</v>
      </c>
      <c r="T25" s="253">
        <v>15</v>
      </c>
      <c r="U25" s="254">
        <v>20</v>
      </c>
    </row>
    <row r="26" spans="2:21" ht="19.5" thickBot="1">
      <c r="H26" s="225" t="s">
        <v>286</v>
      </c>
      <c r="I26" s="255">
        <f>SUM(I20:I25)</f>
        <v>85.78</v>
      </c>
      <c r="J26" s="255">
        <f>SUM(J20:J25)</f>
        <v>91.82</v>
      </c>
      <c r="K26" s="255">
        <f>SUM(K20:K25)</f>
        <v>20</v>
      </c>
      <c r="L26" s="255">
        <f>SUM(L20:L25)</f>
        <v>111.82</v>
      </c>
      <c r="M26" s="256"/>
      <c r="N26" s="239"/>
      <c r="O26" s="239"/>
      <c r="P26" s="232" t="s">
        <v>324</v>
      </c>
      <c r="Q26" s="257">
        <f>SUM(Q24:Q25)</f>
        <v>0</v>
      </c>
      <c r="R26" s="257">
        <f>SUM(R24:R25)</f>
        <v>10</v>
      </c>
      <c r="S26" s="257">
        <f>SUM(S24:S25)</f>
        <v>13</v>
      </c>
      <c r="T26" s="257">
        <f>SUM(T24:T25)</f>
        <v>15</v>
      </c>
      <c r="U26" s="258">
        <f>SUM(U24:U25)</f>
        <v>20</v>
      </c>
    </row>
    <row r="27" spans="2:21" ht="19.5" thickBot="1">
      <c r="B27" s="246"/>
      <c r="C27" s="244"/>
      <c r="H27" s="232" t="s">
        <v>325</v>
      </c>
      <c r="I27" s="259">
        <f>SUM(I24:I25)</f>
        <v>6.9</v>
      </c>
      <c r="J27" s="259">
        <f>SUM(J24:J25)</f>
        <v>11.52</v>
      </c>
      <c r="K27" s="259">
        <f>SUM(K24:K25)</f>
        <v>20</v>
      </c>
      <c r="L27" s="259">
        <f>SUM(L24:L25)</f>
        <v>31.52</v>
      </c>
      <c r="M27" s="260"/>
      <c r="P27" s="222" t="s">
        <v>326</v>
      </c>
      <c r="Q27" s="261">
        <f>Q26+Q23</f>
        <v>85.8</v>
      </c>
      <c r="R27" s="249">
        <f>R26+R23</f>
        <v>98.7</v>
      </c>
      <c r="S27" s="249">
        <f>S26+S23</f>
        <v>102.7</v>
      </c>
      <c r="T27" s="249">
        <f>T26+T23</f>
        <v>105.8</v>
      </c>
      <c r="U27" s="250">
        <f>U26+U23</f>
        <v>111.82</v>
      </c>
    </row>
    <row r="28" spans="2:21" ht="19.5" thickBot="1">
      <c r="H28" s="239"/>
      <c r="I28" s="239"/>
      <c r="J28" s="239"/>
      <c r="K28" s="239"/>
      <c r="L28" s="239"/>
      <c r="M28" s="239"/>
      <c r="P28" s="232" t="s">
        <v>327</v>
      </c>
      <c r="Q28" s="257">
        <f>SUM(Q21:Q22)</f>
        <v>6.92</v>
      </c>
      <c r="R28" s="257">
        <f>SUM(R21:R22)</f>
        <v>8.4</v>
      </c>
      <c r="S28" s="257">
        <f>SUM(S21:S22)</f>
        <v>9.4</v>
      </c>
      <c r="T28" s="257">
        <f>SUM(T21:T22)</f>
        <v>10.5</v>
      </c>
      <c r="U28" s="258">
        <f>SUM(U21:U22)</f>
        <v>11.52</v>
      </c>
    </row>
    <row r="29" spans="2:21" ht="19.5" thickBot="1">
      <c r="O29" s="262"/>
      <c r="P29" s="263" t="s">
        <v>328</v>
      </c>
      <c r="Q29" s="264">
        <f>Q28+Q26</f>
        <v>6.92</v>
      </c>
      <c r="R29" s="265">
        <f>R28+R26</f>
        <v>18.399999999999999</v>
      </c>
      <c r="S29" s="265">
        <f>S28+S26</f>
        <v>22.4</v>
      </c>
      <c r="T29" s="265">
        <f>T28+T26</f>
        <v>25.5</v>
      </c>
      <c r="U29" s="266">
        <f>U28+U26</f>
        <v>31.52</v>
      </c>
    </row>
    <row r="30" spans="2:21">
      <c r="H30" s="238" t="s">
        <v>329</v>
      </c>
      <c r="I30" s="221" t="s">
        <v>330</v>
      </c>
    </row>
    <row r="31" spans="2:21" ht="19.5" thickBot="1">
      <c r="P31" s="238" t="s">
        <v>331</v>
      </c>
      <c r="U31" s="221" t="s">
        <v>330</v>
      </c>
    </row>
    <row r="32" spans="2:21" ht="19.5" thickBot="1">
      <c r="H32" s="222" t="s">
        <v>332</v>
      </c>
      <c r="I32" s="223" t="s">
        <v>333</v>
      </c>
      <c r="J32" s="223" t="s">
        <v>334</v>
      </c>
      <c r="K32" s="224" t="s">
        <v>335</v>
      </c>
      <c r="N32" s="239"/>
      <c r="P32" s="267" t="s">
        <v>336</v>
      </c>
      <c r="Q32" s="223" t="s">
        <v>301</v>
      </c>
      <c r="R32" s="223" t="s">
        <v>302</v>
      </c>
      <c r="S32" s="223" t="s">
        <v>303</v>
      </c>
      <c r="T32" s="223" t="s">
        <v>304</v>
      </c>
      <c r="U32" s="224" t="s">
        <v>305</v>
      </c>
    </row>
    <row r="33" spans="6:23" ht="19.5" thickBot="1">
      <c r="H33" s="239" t="s">
        <v>337</v>
      </c>
      <c r="I33" s="268">
        <v>28126</v>
      </c>
      <c r="J33" s="269">
        <f t="shared" ref="J33:J39" si="3">I33/7</f>
        <v>4018</v>
      </c>
      <c r="K33" s="239" t="s">
        <v>338</v>
      </c>
      <c r="P33" s="270" t="s">
        <v>339</v>
      </c>
      <c r="Q33" s="271">
        <f>Q29/Q27</f>
        <v>8.065268065268065E-2</v>
      </c>
      <c r="R33" s="271">
        <f>R29/R27</f>
        <v>0.18642350557244172</v>
      </c>
      <c r="S33" s="271">
        <f>S29/S27</f>
        <v>0.21811100292112948</v>
      </c>
      <c r="T33" s="271">
        <f>T29/T27</f>
        <v>0.24102079395085066</v>
      </c>
      <c r="U33" s="272">
        <f>U29/U27</f>
        <v>0.28188159542121266</v>
      </c>
    </row>
    <row r="34" spans="6:23" ht="19.5" thickBot="1">
      <c r="H34" s="273" t="s">
        <v>340</v>
      </c>
      <c r="I34" s="274"/>
      <c r="J34" s="269">
        <f t="shared" si="3"/>
        <v>0</v>
      </c>
      <c r="K34" s="239" t="s">
        <v>341</v>
      </c>
      <c r="P34" s="270" t="s">
        <v>342</v>
      </c>
      <c r="Q34" s="271">
        <f>Q28/Q23</f>
        <v>8.065268065268065E-2</v>
      </c>
      <c r="R34" s="271">
        <f>R28/R23</f>
        <v>9.4701240135287482E-2</v>
      </c>
      <c r="S34" s="271">
        <f>S28/S23</f>
        <v>0.10479375696767002</v>
      </c>
      <c r="T34" s="271">
        <f>T28/T23</f>
        <v>0.1156387665198238</v>
      </c>
      <c r="U34" s="272">
        <f>U28/U23</f>
        <v>0.12546286212154215</v>
      </c>
      <c r="V34" s="221" t="s">
        <v>343</v>
      </c>
    </row>
    <row r="35" spans="6:23">
      <c r="H35" s="273" t="s">
        <v>344</v>
      </c>
      <c r="I35" s="274"/>
      <c r="J35" s="269">
        <f t="shared" si="3"/>
        <v>0</v>
      </c>
      <c r="K35" s="239" t="s">
        <v>341</v>
      </c>
      <c r="P35" s="275" t="s">
        <v>345</v>
      </c>
      <c r="Q35" s="276"/>
      <c r="R35" s="276"/>
      <c r="S35" s="276"/>
      <c r="T35" s="276"/>
      <c r="U35" s="277"/>
    </row>
    <row r="36" spans="6:23">
      <c r="H36" s="273" t="s">
        <v>346</v>
      </c>
      <c r="I36" s="274"/>
      <c r="J36" s="269">
        <f t="shared" si="3"/>
        <v>0</v>
      </c>
      <c r="K36" s="239" t="s">
        <v>341</v>
      </c>
      <c r="P36" s="278" t="str">
        <f>H47</f>
        <v>飼料のみ</v>
      </c>
      <c r="Q36" s="279">
        <v>1</v>
      </c>
      <c r="R36" s="279">
        <v>1</v>
      </c>
      <c r="S36" s="279">
        <v>1</v>
      </c>
      <c r="T36" s="279">
        <v>1</v>
      </c>
      <c r="U36" s="280">
        <v>1</v>
      </c>
    </row>
    <row r="37" spans="6:23">
      <c r="H37" s="273" t="s">
        <v>347</v>
      </c>
      <c r="I37" s="274">
        <v>4121</v>
      </c>
      <c r="J37" s="269">
        <f t="shared" si="3"/>
        <v>588.71428571428567</v>
      </c>
      <c r="K37" s="239" t="s">
        <v>348</v>
      </c>
      <c r="O37" s="246"/>
      <c r="P37" s="278" t="str">
        <f>H48</f>
        <v>自稲</v>
      </c>
      <c r="Q37" s="281">
        <f>Q21/(Q17+Q21)</f>
        <v>0.20279937791601865</v>
      </c>
      <c r="R37" s="281">
        <f>R21/(R17+R21)</f>
        <v>0.11971830985915494</v>
      </c>
      <c r="S37" s="281">
        <f>S21/(S17+S21)</f>
        <v>0.14965986394557826</v>
      </c>
      <c r="T37" s="281">
        <f>T21/(T17+T21)</f>
        <v>0.18032786885245902</v>
      </c>
      <c r="U37" s="282">
        <f>U21/(U17+U21)</f>
        <v>0.20685279187817257</v>
      </c>
    </row>
    <row r="38" spans="6:23">
      <c r="F38" s="283"/>
      <c r="H38" s="273" t="s">
        <v>349</v>
      </c>
      <c r="I38" s="274">
        <v>636</v>
      </c>
      <c r="J38" s="269">
        <f t="shared" si="3"/>
        <v>90.857142857142861</v>
      </c>
      <c r="K38" s="239" t="s">
        <v>350</v>
      </c>
      <c r="O38" s="246"/>
      <c r="P38" s="278" t="str">
        <f>H49</f>
        <v>自汎用</v>
      </c>
      <c r="Q38" s="279">
        <f>Q34</f>
        <v>8.065268065268065E-2</v>
      </c>
      <c r="R38" s="279">
        <f>R34</f>
        <v>9.4701240135287482E-2</v>
      </c>
      <c r="S38" s="279">
        <f>S34</f>
        <v>0.10479375696767002</v>
      </c>
      <c r="T38" s="279">
        <f>T34</f>
        <v>0.1156387665198238</v>
      </c>
      <c r="U38" s="280">
        <f>U34</f>
        <v>0.12546286212154215</v>
      </c>
    </row>
    <row r="39" spans="6:23" ht="19.5" thickBot="1">
      <c r="F39" s="283"/>
      <c r="H39" s="273" t="s">
        <v>351</v>
      </c>
      <c r="I39" s="221">
        <v>1059</v>
      </c>
      <c r="J39" s="269">
        <f t="shared" si="3"/>
        <v>151.28571428571428</v>
      </c>
      <c r="K39" s="239" t="s">
        <v>350</v>
      </c>
      <c r="O39" s="246"/>
      <c r="P39" s="284" t="str">
        <f>H50</f>
        <v>自受汎用</v>
      </c>
      <c r="Q39" s="285">
        <f>Q33</f>
        <v>8.065268065268065E-2</v>
      </c>
      <c r="R39" s="285">
        <f>R33</f>
        <v>0.18642350557244172</v>
      </c>
      <c r="S39" s="285">
        <f>S33</f>
        <v>0.21811100292112948</v>
      </c>
      <c r="T39" s="285">
        <f>T33</f>
        <v>0.24102079395085066</v>
      </c>
      <c r="U39" s="286">
        <f>U33</f>
        <v>0.28188159542121266</v>
      </c>
    </row>
    <row r="40" spans="6:23">
      <c r="H40" s="273" t="s">
        <v>352</v>
      </c>
      <c r="I40" s="274">
        <v>2200</v>
      </c>
      <c r="J40" s="269">
        <v>1008</v>
      </c>
      <c r="K40" s="273" t="s">
        <v>353</v>
      </c>
    </row>
    <row r="41" spans="6:23">
      <c r="H41" s="273" t="s">
        <v>354</v>
      </c>
      <c r="I41" s="287"/>
      <c r="J41" s="269">
        <f>30+13+50</f>
        <v>93</v>
      </c>
      <c r="K41" s="239" t="s">
        <v>355</v>
      </c>
    </row>
    <row r="42" spans="6:23" ht="19.5" thickBot="1">
      <c r="P42" s="221" t="s">
        <v>356</v>
      </c>
    </row>
    <row r="43" spans="6:23" ht="19.5" thickBot="1">
      <c r="H43" s="246"/>
      <c r="I43" s="287"/>
      <c r="J43" s="287"/>
      <c r="K43" s="287"/>
      <c r="P43" s="288" t="s">
        <v>357</v>
      </c>
      <c r="Q43" s="289" t="s">
        <v>358</v>
      </c>
      <c r="R43" s="223" t="s">
        <v>301</v>
      </c>
      <c r="S43" s="223" t="s">
        <v>302</v>
      </c>
      <c r="T43" s="223" t="s">
        <v>303</v>
      </c>
      <c r="U43" s="223" t="s">
        <v>304</v>
      </c>
      <c r="V43" s="223" t="s">
        <v>305</v>
      </c>
      <c r="W43" s="290" t="s">
        <v>359</v>
      </c>
    </row>
    <row r="44" spans="6:23">
      <c r="H44" s="246"/>
      <c r="J44" s="262"/>
      <c r="P44" s="291" t="s">
        <v>176</v>
      </c>
      <c r="Q44" s="292">
        <v>9600</v>
      </c>
      <c r="R44" s="293">
        <f>$Q44*Q$33*$X$46</f>
        <v>0</v>
      </c>
      <c r="S44" s="293">
        <f>$Q44*R$33*$X$46</f>
        <v>0</v>
      </c>
      <c r="T44" s="293">
        <f>$Q44*S$33*$X$46</f>
        <v>0</v>
      </c>
      <c r="U44" s="293">
        <f>$Q44*T$33*$X$46</f>
        <v>0</v>
      </c>
      <c r="V44" s="294">
        <f>$Q44*U$33*$X$46</f>
        <v>0</v>
      </c>
      <c r="W44" s="295" t="s">
        <v>360</v>
      </c>
    </row>
    <row r="45" spans="6:23" ht="19.5" thickBot="1">
      <c r="H45" s="221" t="s">
        <v>361</v>
      </c>
      <c r="M45" s="262"/>
      <c r="P45" s="296" t="s">
        <v>177</v>
      </c>
      <c r="Q45" s="297" t="s">
        <v>362</v>
      </c>
      <c r="R45" s="298">
        <f>(Q21*9474+Q22*32862+Q29*4000)/1000</f>
        <v>102.59528</v>
      </c>
      <c r="S45" s="298">
        <f>(R21*9474+R22*32862+R29*4000)/1000</f>
        <v>270.1216</v>
      </c>
      <c r="T45" s="298">
        <f>(S21*9474+S22*32862+S29*4000)/1000</f>
        <v>295.59559999999999</v>
      </c>
      <c r="U45" s="298">
        <f>(T21*9474+T22*32862+T29*4000)/1000</f>
        <v>318.41699999999997</v>
      </c>
      <c r="V45" s="299">
        <f>(U21*9474+U22*32862+U29*4000)/1000</f>
        <v>352.16048000000001</v>
      </c>
      <c r="W45" s="295"/>
    </row>
    <row r="46" spans="6:23">
      <c r="H46" s="275" t="s">
        <v>363</v>
      </c>
      <c r="I46" s="276" t="s">
        <v>364</v>
      </c>
      <c r="J46" s="300"/>
      <c r="M46" s="262"/>
      <c r="P46" s="296" t="s">
        <v>178</v>
      </c>
      <c r="Q46" s="301">
        <v>494</v>
      </c>
      <c r="R46" s="298">
        <f>$Q$46*Q$34</f>
        <v>39.842424242424244</v>
      </c>
      <c r="S46" s="298">
        <f>$Q$46*R$34</f>
        <v>46.782412626832013</v>
      </c>
      <c r="T46" s="298">
        <f>$Q$46*S$34</f>
        <v>51.768115942028984</v>
      </c>
      <c r="U46" s="298">
        <f>$Q$46*T$34</f>
        <v>57.125550660792953</v>
      </c>
      <c r="V46" s="299">
        <f>$Q$46*U$34</f>
        <v>61.978653888041819</v>
      </c>
      <c r="W46" s="295" t="s">
        <v>365</v>
      </c>
    </row>
    <row r="47" spans="6:23">
      <c r="H47" s="278" t="s">
        <v>338</v>
      </c>
      <c r="I47" s="279">
        <v>1</v>
      </c>
      <c r="J47" s="243"/>
      <c r="P47" s="296" t="s">
        <v>179</v>
      </c>
      <c r="Q47" s="302" t="s">
        <v>366</v>
      </c>
      <c r="R47" s="274">
        <f>Q$36*($J$40)+Q$37*$J$37+Q$38*($J$38+$J$39)+Q$39*$J$41</f>
        <v>1154.4210607433001</v>
      </c>
      <c r="S47" s="274">
        <f>R$36*($J$33+$J$40)+R$37*$J$37+R$38*($J$38+$J$39)+R$39*$J$41</f>
        <v>5136.7484941552211</v>
      </c>
      <c r="T47" s="274">
        <f>S$36*($J$33)+S$37*$J$37+S$38*($J$38+$J$39)+S$39*$J$41+S$36*($I$40-$J$40*2-0.001)</f>
        <v>4335.7652828973687</v>
      </c>
      <c r="U47" s="274">
        <f>T$36*($J$33)+T$37*$J$37+T$38*($J$38+$J$39)+T$39*$J$41</f>
        <v>4174.5776276648703</v>
      </c>
      <c r="V47" s="274">
        <f>U$36*($J$33)+U$37*$J$37+U$38*($J$38+$J$39)+U$39*$J$41</f>
        <v>4196.3721178921678</v>
      </c>
      <c r="W47" s="295"/>
    </row>
    <row r="48" spans="6:23">
      <c r="H48" s="296" t="s">
        <v>348</v>
      </c>
      <c r="I48" s="303" t="s">
        <v>367</v>
      </c>
      <c r="J48" s="243"/>
      <c r="P48" s="296" t="s">
        <v>180</v>
      </c>
      <c r="Q48" s="301">
        <f>4257/1.1</f>
        <v>3869.9999999999995</v>
      </c>
      <c r="R48" s="298">
        <f t="shared" ref="R48:V49" si="4">$Q48*Q$33</f>
        <v>312.12587412587408</v>
      </c>
      <c r="S48" s="298">
        <f t="shared" si="4"/>
        <v>721.45896656534933</v>
      </c>
      <c r="T48" s="298">
        <f t="shared" si="4"/>
        <v>844.08958130477095</v>
      </c>
      <c r="U48" s="298">
        <f t="shared" si="4"/>
        <v>932.75047258979191</v>
      </c>
      <c r="V48" s="299">
        <f t="shared" si="4"/>
        <v>1090.8817742800929</v>
      </c>
      <c r="W48" s="295"/>
    </row>
    <row r="49" spans="8:32">
      <c r="H49" s="296" t="s">
        <v>350</v>
      </c>
      <c r="I49" s="221" t="s">
        <v>368</v>
      </c>
      <c r="J49" s="243"/>
      <c r="P49" s="296" t="s">
        <v>181</v>
      </c>
      <c r="Q49" s="301">
        <v>0</v>
      </c>
      <c r="R49" s="298">
        <f t="shared" si="4"/>
        <v>0</v>
      </c>
      <c r="S49" s="298">
        <f t="shared" si="4"/>
        <v>0</v>
      </c>
      <c r="T49" s="298">
        <f t="shared" si="4"/>
        <v>0</v>
      </c>
      <c r="U49" s="298">
        <f t="shared" si="4"/>
        <v>0</v>
      </c>
      <c r="V49" s="299">
        <f t="shared" si="4"/>
        <v>0</v>
      </c>
      <c r="W49" s="295"/>
    </row>
    <row r="50" spans="8:32" ht="19.5" thickBot="1">
      <c r="H50" s="304" t="s">
        <v>369</v>
      </c>
      <c r="I50" s="305" t="s">
        <v>370</v>
      </c>
      <c r="J50" s="254"/>
      <c r="P50" s="296" t="s">
        <v>182</v>
      </c>
      <c r="Q50" s="301">
        <v>3272</v>
      </c>
      <c r="R50" s="298">
        <f>$Q50*Q$34</f>
        <v>263.89557109557109</v>
      </c>
      <c r="S50" s="298">
        <f>$Q50*R$34</f>
        <v>309.86245772266062</v>
      </c>
      <c r="T50" s="298">
        <f>$Q50*S$34</f>
        <v>342.88517279821627</v>
      </c>
      <c r="U50" s="298">
        <f>$Q50*T$34</f>
        <v>378.37004405286348</v>
      </c>
      <c r="V50" s="299">
        <f>$Q50*U$34</f>
        <v>410.5144848616859</v>
      </c>
      <c r="W50" s="295" t="s">
        <v>371</v>
      </c>
    </row>
    <row r="51" spans="8:32">
      <c r="P51" s="296" t="s">
        <v>183</v>
      </c>
      <c r="Q51" s="301">
        <v>1157</v>
      </c>
      <c r="R51" s="298">
        <f t="shared" ref="R51:V52" si="5">$Q51*Q$33</f>
        <v>93.315151515151513</v>
      </c>
      <c r="S51" s="298">
        <f t="shared" si="5"/>
        <v>215.69199594731506</v>
      </c>
      <c r="T51" s="298">
        <f t="shared" si="5"/>
        <v>252.35443037974682</v>
      </c>
      <c r="U51" s="298">
        <f t="shared" si="5"/>
        <v>278.86105860113423</v>
      </c>
      <c r="V51" s="299">
        <f t="shared" si="5"/>
        <v>326.13700590234305</v>
      </c>
      <c r="W51" s="295"/>
    </row>
    <row r="52" spans="8:32">
      <c r="P52" s="296" t="s">
        <v>422</v>
      </c>
      <c r="Q52" s="301">
        <v>34</v>
      </c>
      <c r="R52" s="298">
        <f t="shared" si="5"/>
        <v>2.742191142191142</v>
      </c>
      <c r="S52" s="298">
        <f t="shared" si="5"/>
        <v>6.3383991894630185</v>
      </c>
      <c r="T52" s="298">
        <f t="shared" si="5"/>
        <v>7.4157740993184023</v>
      </c>
      <c r="U52" s="298">
        <f t="shared" si="5"/>
        <v>8.1947069943289232</v>
      </c>
      <c r="V52" s="299">
        <f t="shared" si="5"/>
        <v>9.5839742443212312</v>
      </c>
      <c r="W52" s="295"/>
    </row>
    <row r="53" spans="8:32" ht="19.5" thickBot="1">
      <c r="P53" s="304" t="s">
        <v>423</v>
      </c>
      <c r="Q53" s="306">
        <v>8406</v>
      </c>
      <c r="R53" s="307">
        <v>1774</v>
      </c>
      <c r="S53" s="307">
        <v>0</v>
      </c>
      <c r="T53" s="307">
        <v>0</v>
      </c>
      <c r="U53" s="307">
        <v>0</v>
      </c>
      <c r="V53" s="259">
        <v>0</v>
      </c>
      <c r="W53" s="308" t="s">
        <v>372</v>
      </c>
    </row>
    <row r="54" spans="8:32">
      <c r="P54" s="291" t="s">
        <v>373</v>
      </c>
      <c r="Q54" s="292">
        <f>$Z$79</f>
        <v>236.36363636363635</v>
      </c>
      <c r="R54" s="293">
        <f>$Q$54*Q34</f>
        <v>19.063360881542696</v>
      </c>
      <c r="S54" s="293">
        <f>$Q$54*R34</f>
        <v>22.383929486522494</v>
      </c>
      <c r="T54" s="293">
        <f t="shared" ref="T54:V54" si="6">$Q$54*S34</f>
        <v>24.769433465085637</v>
      </c>
      <c r="U54" s="293">
        <f t="shared" si="6"/>
        <v>27.332799359231078</v>
      </c>
      <c r="V54" s="226">
        <f t="shared" si="6"/>
        <v>29.654858319637231</v>
      </c>
      <c r="W54" s="309"/>
    </row>
    <row r="55" spans="8:32" ht="19.5" thickBot="1">
      <c r="P55" s="296" t="s">
        <v>374</v>
      </c>
      <c r="Q55" s="301">
        <f>$AE$84</f>
        <v>7830.7454545454539</v>
      </c>
      <c r="R55" s="298">
        <f>$Q$55*Q34</f>
        <v>631.57061241788506</v>
      </c>
      <c r="S55" s="298">
        <f>$Q$55*R34</f>
        <v>741.58130572921993</v>
      </c>
      <c r="T55" s="298">
        <f t="shared" ref="T55:V55" si="7">$Q$55*S34</f>
        <v>820.61323603932294</v>
      </c>
      <c r="U55" s="298">
        <f t="shared" si="7"/>
        <v>905.53774529435327</v>
      </c>
      <c r="V55" s="298">
        <f t="shared" si="7"/>
        <v>982.46773727252912</v>
      </c>
      <c r="W55" s="310"/>
    </row>
    <row r="56" spans="8:32" ht="19.5" thickBot="1">
      <c r="P56" s="270" t="s">
        <v>266</v>
      </c>
      <c r="Q56" s="311">
        <f t="shared" ref="Q56:V56" si="8">Q54+Q55</f>
        <v>8067.1090909090899</v>
      </c>
      <c r="R56" s="312">
        <f t="shared" si="8"/>
        <v>650.63397329942779</v>
      </c>
      <c r="S56" s="312">
        <f>S54+S55</f>
        <v>763.96523521574238</v>
      </c>
      <c r="T56" s="312">
        <f t="shared" si="8"/>
        <v>845.38266950440857</v>
      </c>
      <c r="U56" s="312">
        <f t="shared" si="8"/>
        <v>932.87054465358437</v>
      </c>
      <c r="V56" s="312">
        <f t="shared" si="8"/>
        <v>1012.1225955921664</v>
      </c>
      <c r="W56" s="313"/>
    </row>
    <row r="57" spans="8:32">
      <c r="P57" s="246"/>
    </row>
    <row r="58" spans="8:32">
      <c r="P58" s="262"/>
    </row>
    <row r="59" spans="8:32">
      <c r="X59" s="221" t="s">
        <v>375</v>
      </c>
      <c r="AB59" s="221" t="s">
        <v>376</v>
      </c>
    </row>
    <row r="61" spans="8:32">
      <c r="X61" s="314" t="s">
        <v>377</v>
      </c>
      <c r="Y61" s="315" t="s">
        <v>378</v>
      </c>
      <c r="Z61" s="314" t="s">
        <v>379</v>
      </c>
      <c r="AA61" s="316" t="s">
        <v>281</v>
      </c>
      <c r="AC61" s="314" t="s">
        <v>380</v>
      </c>
      <c r="AD61" s="315" t="s">
        <v>378</v>
      </c>
      <c r="AE61" s="314" t="s">
        <v>381</v>
      </c>
      <c r="AF61" s="316" t="s">
        <v>281</v>
      </c>
    </row>
    <row r="62" spans="8:32">
      <c r="X62" s="246" t="s">
        <v>287</v>
      </c>
      <c r="Y62" s="274">
        <v>3317</v>
      </c>
      <c r="Z62" s="221">
        <v>0</v>
      </c>
      <c r="AA62" s="246" t="s">
        <v>382</v>
      </c>
      <c r="AC62" s="246" t="s">
        <v>383</v>
      </c>
      <c r="AD62" s="274">
        <v>9600</v>
      </c>
      <c r="AE62" s="262">
        <v>0</v>
      </c>
      <c r="AF62" s="246" t="s">
        <v>360</v>
      </c>
    </row>
    <row r="63" spans="8:32">
      <c r="X63" s="246" t="s">
        <v>384</v>
      </c>
      <c r="Y63" s="274">
        <v>6592</v>
      </c>
      <c r="Z63" s="221">
        <v>0</v>
      </c>
      <c r="AA63" s="246" t="s">
        <v>382</v>
      </c>
      <c r="AC63" s="246" t="s">
        <v>385</v>
      </c>
      <c r="AD63" s="274">
        <v>10694</v>
      </c>
      <c r="AE63" s="221">
        <v>0</v>
      </c>
      <c r="AF63" s="246" t="s">
        <v>382</v>
      </c>
    </row>
    <row r="64" spans="8:32">
      <c r="X64" s="246" t="s">
        <v>386</v>
      </c>
      <c r="Y64" s="274">
        <v>3688</v>
      </c>
      <c r="Z64" s="221">
        <v>0</v>
      </c>
      <c r="AA64" s="246" t="s">
        <v>382</v>
      </c>
      <c r="AC64" s="246" t="s">
        <v>387</v>
      </c>
      <c r="AD64" s="274">
        <v>1511</v>
      </c>
      <c r="AE64" s="221">
        <v>0</v>
      </c>
      <c r="AF64" s="246" t="s">
        <v>382</v>
      </c>
    </row>
    <row r="65" spans="16:32">
      <c r="X65" s="246" t="s">
        <v>388</v>
      </c>
      <c r="Y65" s="274">
        <v>811</v>
      </c>
      <c r="Z65" s="221">
        <v>0</v>
      </c>
      <c r="AA65" s="246" t="s">
        <v>382</v>
      </c>
      <c r="AC65" s="246" t="s">
        <v>389</v>
      </c>
      <c r="AD65" s="274">
        <v>3710</v>
      </c>
      <c r="AE65" s="262">
        <f t="shared" ref="AE65:AE70" si="9">AD65</f>
        <v>3710</v>
      </c>
      <c r="AF65" s="246" t="s">
        <v>390</v>
      </c>
    </row>
    <row r="66" spans="16:32">
      <c r="X66" s="246" t="s">
        <v>391</v>
      </c>
      <c r="Y66" s="274">
        <v>113</v>
      </c>
      <c r="Z66" s="221">
        <v>0</v>
      </c>
      <c r="AA66" s="246" t="s">
        <v>382</v>
      </c>
      <c r="AC66" s="246" t="s">
        <v>392</v>
      </c>
      <c r="AD66" s="274">
        <v>990</v>
      </c>
      <c r="AE66" s="262">
        <f t="shared" si="9"/>
        <v>990</v>
      </c>
      <c r="AF66" s="246"/>
    </row>
    <row r="67" spans="16:32">
      <c r="X67" s="246" t="s">
        <v>393</v>
      </c>
      <c r="Y67" s="274">
        <v>8406</v>
      </c>
      <c r="Z67" s="221">
        <v>0</v>
      </c>
      <c r="AA67" s="246" t="s">
        <v>382</v>
      </c>
      <c r="AC67" s="246" t="s">
        <v>394</v>
      </c>
      <c r="AD67" s="274">
        <v>192</v>
      </c>
      <c r="AE67" s="262">
        <v>0</v>
      </c>
      <c r="AF67" s="317" t="s">
        <v>395</v>
      </c>
    </row>
    <row r="68" spans="16:32">
      <c r="X68" s="246" t="s">
        <v>291</v>
      </c>
      <c r="Y68" s="274">
        <v>2352</v>
      </c>
      <c r="Z68" s="221">
        <v>0</v>
      </c>
      <c r="AA68" s="246" t="s">
        <v>382</v>
      </c>
      <c r="AC68" s="246" t="s">
        <v>396</v>
      </c>
      <c r="AD68" s="274">
        <v>9</v>
      </c>
      <c r="AE68" s="262">
        <f t="shared" si="9"/>
        <v>9</v>
      </c>
      <c r="AF68" s="246"/>
    </row>
    <row r="69" spans="16:32">
      <c r="X69" s="246" t="s">
        <v>397</v>
      </c>
      <c r="Y69" s="274">
        <v>91</v>
      </c>
      <c r="Z69" s="262">
        <f>Y69</f>
        <v>91</v>
      </c>
      <c r="AA69" s="246"/>
      <c r="AC69" s="246" t="s">
        <v>398</v>
      </c>
      <c r="AD69" s="274">
        <v>72</v>
      </c>
      <c r="AE69" s="262">
        <f t="shared" si="9"/>
        <v>72</v>
      </c>
      <c r="AF69" s="246"/>
    </row>
    <row r="70" spans="16:32">
      <c r="X70" s="246" t="s">
        <v>399</v>
      </c>
      <c r="Y70" s="274">
        <v>1109</v>
      </c>
      <c r="Z70" s="262">
        <v>0</v>
      </c>
      <c r="AA70" s="317" t="s">
        <v>395</v>
      </c>
      <c r="AC70" s="246" t="s">
        <v>400</v>
      </c>
      <c r="AD70" s="274">
        <v>138</v>
      </c>
      <c r="AE70" s="262">
        <f t="shared" si="9"/>
        <v>138</v>
      </c>
      <c r="AF70" s="246"/>
    </row>
    <row r="71" spans="16:32">
      <c r="X71" s="246" t="s">
        <v>401</v>
      </c>
      <c r="Y71" s="274">
        <v>4257</v>
      </c>
      <c r="Z71" s="221">
        <v>0</v>
      </c>
      <c r="AA71" s="246" t="s">
        <v>382</v>
      </c>
      <c r="AC71" s="246" t="s">
        <v>402</v>
      </c>
      <c r="AD71" s="274">
        <v>1157</v>
      </c>
      <c r="AE71" s="221">
        <v>0</v>
      </c>
      <c r="AF71" s="246" t="s">
        <v>382</v>
      </c>
    </row>
    <row r="72" spans="16:32">
      <c r="X72" s="246" t="s">
        <v>403</v>
      </c>
      <c r="Y72" s="274">
        <v>8100</v>
      </c>
      <c r="Z72" s="262">
        <v>0</v>
      </c>
      <c r="AA72" s="317" t="s">
        <v>404</v>
      </c>
      <c r="AC72" s="246" t="s">
        <v>405</v>
      </c>
      <c r="AD72" s="274">
        <v>292</v>
      </c>
      <c r="AE72" s="262">
        <f>AD72</f>
        <v>292</v>
      </c>
      <c r="AF72" s="246"/>
    </row>
    <row r="73" spans="16:32">
      <c r="X73" s="246" t="s">
        <v>406</v>
      </c>
      <c r="Y73" s="274">
        <v>494</v>
      </c>
      <c r="Z73" s="221">
        <v>0</v>
      </c>
      <c r="AA73" s="246" t="s">
        <v>382</v>
      </c>
      <c r="AC73" s="246" t="s">
        <v>407</v>
      </c>
      <c r="AD73" s="274">
        <v>93</v>
      </c>
      <c r="AE73" s="221">
        <v>0</v>
      </c>
      <c r="AF73" s="317" t="s">
        <v>395</v>
      </c>
    </row>
    <row r="74" spans="16:32">
      <c r="X74" s="246" t="s">
        <v>334</v>
      </c>
      <c r="Y74" s="318">
        <v>5022</v>
      </c>
      <c r="Z74" s="221">
        <v>0</v>
      </c>
      <c r="AA74" s="246" t="s">
        <v>382</v>
      </c>
      <c r="AC74" s="246" t="s">
        <v>408</v>
      </c>
      <c r="AD74" s="274">
        <v>1535</v>
      </c>
      <c r="AE74" s="262">
        <f t="shared" ref="AE74:AE82" si="10">AD74</f>
        <v>1535</v>
      </c>
      <c r="AF74" s="246"/>
    </row>
    <row r="75" spans="16:32">
      <c r="X75" s="246" t="s">
        <v>409</v>
      </c>
      <c r="Y75" s="274">
        <v>3272</v>
      </c>
      <c r="Z75" s="221">
        <v>0</v>
      </c>
      <c r="AA75" s="246" t="s">
        <v>382</v>
      </c>
      <c r="AC75" s="246" t="s">
        <v>410</v>
      </c>
      <c r="AD75" s="274">
        <v>1382</v>
      </c>
      <c r="AE75" s="262">
        <v>0</v>
      </c>
      <c r="AF75" s="317" t="s">
        <v>395</v>
      </c>
    </row>
    <row r="76" spans="16:32">
      <c r="X76" s="246" t="s">
        <v>411</v>
      </c>
      <c r="Y76" s="274">
        <v>82</v>
      </c>
      <c r="Z76" s="262">
        <f>Y76</f>
        <v>82</v>
      </c>
      <c r="AA76" s="246"/>
      <c r="AC76" s="246" t="s">
        <v>412</v>
      </c>
      <c r="AD76" s="274">
        <v>493</v>
      </c>
      <c r="AE76" s="262">
        <v>0</v>
      </c>
      <c r="AF76" s="317" t="s">
        <v>395</v>
      </c>
    </row>
    <row r="77" spans="16:32">
      <c r="X77" s="314" t="s">
        <v>413</v>
      </c>
      <c r="Y77" s="319">
        <v>87</v>
      </c>
      <c r="Z77" s="320">
        <f>Y77</f>
        <v>87</v>
      </c>
      <c r="AA77" s="314"/>
      <c r="AC77" s="246" t="s">
        <v>414</v>
      </c>
      <c r="AD77" s="274">
        <v>773</v>
      </c>
      <c r="AE77" s="262">
        <f t="shared" si="10"/>
        <v>773</v>
      </c>
      <c r="AF77" s="246"/>
    </row>
    <row r="78" spans="16:32">
      <c r="P78" s="274"/>
      <c r="X78" s="321" t="s">
        <v>373</v>
      </c>
      <c r="Y78" s="322">
        <f>SUM(Y62:Y77)</f>
        <v>47793</v>
      </c>
      <c r="Z78" s="322">
        <f>SUM(Z62:Z77)</f>
        <v>260</v>
      </c>
      <c r="AA78" s="323"/>
      <c r="AC78" s="246" t="s">
        <v>415</v>
      </c>
      <c r="AD78" s="274">
        <v>2385</v>
      </c>
      <c r="AE78" s="262">
        <f>(211+229)*#REF!/1000</f>
        <v>254.32</v>
      </c>
      <c r="AF78" s="246" t="s">
        <v>416</v>
      </c>
    </row>
    <row r="79" spans="16:32">
      <c r="P79" s="274"/>
      <c r="X79" s="246" t="s">
        <v>417</v>
      </c>
      <c r="Y79" s="324"/>
      <c r="Z79" s="274">
        <f>Z78/1.1</f>
        <v>236.36363636363635</v>
      </c>
      <c r="AC79" s="246" t="s">
        <v>418</v>
      </c>
      <c r="AD79" s="274">
        <v>67</v>
      </c>
      <c r="AE79" s="262">
        <f t="shared" si="10"/>
        <v>67</v>
      </c>
      <c r="AF79" s="246"/>
    </row>
    <row r="80" spans="16:32">
      <c r="P80" s="274"/>
      <c r="AC80" s="246" t="s">
        <v>419</v>
      </c>
      <c r="AD80" s="274">
        <v>91</v>
      </c>
      <c r="AE80" s="262">
        <f t="shared" si="10"/>
        <v>91</v>
      </c>
      <c r="AF80" s="246"/>
    </row>
    <row r="81" spans="16:32">
      <c r="P81" s="274"/>
      <c r="AC81" s="246" t="s">
        <v>420</v>
      </c>
      <c r="AD81" s="274">
        <v>56</v>
      </c>
      <c r="AE81" s="262">
        <f t="shared" si="10"/>
        <v>56</v>
      </c>
      <c r="AF81" s="246"/>
    </row>
    <row r="82" spans="16:32">
      <c r="P82" s="274"/>
      <c r="AC82" s="314" t="s">
        <v>421</v>
      </c>
      <c r="AD82" s="319">
        <v>102</v>
      </c>
      <c r="AE82" s="320">
        <f t="shared" si="10"/>
        <v>102</v>
      </c>
      <c r="AF82" s="314"/>
    </row>
    <row r="83" spans="16:32">
      <c r="P83" s="274"/>
      <c r="AC83" s="321" t="s">
        <v>374</v>
      </c>
      <c r="AD83" s="322">
        <f>SUM(AD62:AD82)</f>
        <v>35342</v>
      </c>
      <c r="AE83" s="322">
        <f>SUM(AE62:AE82)</f>
        <v>8089.32</v>
      </c>
      <c r="AF83" s="323"/>
    </row>
    <row r="84" spans="16:32">
      <c r="P84" s="274"/>
      <c r="AC84" s="246" t="s">
        <v>417</v>
      </c>
      <c r="AD84" s="324"/>
      <c r="AE84" s="274">
        <f>(AE83-AE74-AE65)/1.1+(AE74+AE65)</f>
        <v>7830.7454545454539</v>
      </c>
    </row>
    <row r="85" spans="16:32">
      <c r="P85" s="274"/>
      <c r="AC85" s="246"/>
    </row>
    <row r="86" spans="16:32">
      <c r="P86" s="274"/>
      <c r="AC86" s="246"/>
    </row>
    <row r="87" spans="16:32">
      <c r="P87" s="274"/>
    </row>
    <row r="88" spans="16:32">
      <c r="P88" s="274"/>
    </row>
    <row r="89" spans="16:32">
      <c r="P89" s="274"/>
    </row>
    <row r="90" spans="16:32">
      <c r="P90" s="274"/>
    </row>
    <row r="91" spans="16:32">
      <c r="P91" s="274"/>
    </row>
  </sheetData>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FF8A-4F4E-4D6D-BD38-BD3B2E1B57FA}">
  <sheetPr>
    <pageSetUpPr fitToPage="1"/>
  </sheetPr>
  <dimension ref="A1:AQ90"/>
  <sheetViews>
    <sheetView topLeftCell="A22" zoomScaleNormal="100" zoomScaleSheetLayoutView="100" workbookViewId="0">
      <selection activeCell="C27" sqref="C27"/>
    </sheetView>
  </sheetViews>
  <sheetFormatPr defaultColWidth="7.875" defaultRowHeight="21" customHeight="1"/>
  <cols>
    <col min="1" max="1" width="5.375" style="127" customWidth="1"/>
    <col min="2" max="2" width="20.75" style="70" customWidth="1"/>
    <col min="3" max="6" width="10.875" style="72" customWidth="1"/>
    <col min="7" max="22" width="10.875" style="2" customWidth="1"/>
    <col min="23" max="16384" width="7.875" style="2"/>
  </cols>
  <sheetData>
    <row r="1" spans="1:43" ht="21.6" customHeight="1">
      <c r="B1" s="69" t="s">
        <v>32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spans="1:43" ht="13.5">
      <c r="B2" s="69" t="s">
        <v>33</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row>
    <row r="3" spans="1:43" s="1" customFormat="1" ht="14.25" thickBot="1">
      <c r="A3" s="128"/>
    </row>
    <row r="4" spans="1:43" ht="17.25" customHeight="1">
      <c r="B4" s="81"/>
      <c r="C4" s="99" t="s">
        <v>18</v>
      </c>
      <c r="D4" s="82"/>
      <c r="E4" s="82"/>
      <c r="F4" s="126"/>
      <c r="G4" s="83"/>
      <c r="H4" s="98" t="s">
        <v>48</v>
      </c>
      <c r="I4" s="82"/>
      <c r="J4" s="82"/>
      <c r="K4" s="82"/>
      <c r="L4" s="106"/>
      <c r="M4" s="99" t="s">
        <v>49</v>
      </c>
      <c r="N4" s="82"/>
      <c r="O4" s="82"/>
      <c r="P4" s="82"/>
      <c r="Q4" s="83"/>
      <c r="R4" s="99" t="s">
        <v>250</v>
      </c>
      <c r="S4" s="82"/>
      <c r="T4" s="82"/>
      <c r="U4" s="82"/>
      <c r="V4" s="83"/>
    </row>
    <row r="5" spans="1:43" ht="19.5" customHeight="1">
      <c r="B5" s="84"/>
      <c r="C5" s="100" t="s">
        <v>52</v>
      </c>
      <c r="D5" s="74"/>
      <c r="E5" s="74"/>
      <c r="F5" s="74"/>
      <c r="G5" s="113"/>
      <c r="H5" s="74" t="s">
        <v>53</v>
      </c>
      <c r="I5" s="74"/>
      <c r="J5" s="74"/>
      <c r="K5" s="74"/>
      <c r="L5" s="107"/>
      <c r="M5" s="100" t="s">
        <v>63</v>
      </c>
      <c r="N5" s="74"/>
      <c r="O5" s="74"/>
      <c r="P5" s="74"/>
      <c r="Q5" s="85"/>
      <c r="R5" s="100" t="s">
        <v>251</v>
      </c>
      <c r="S5" s="74"/>
      <c r="T5" s="74"/>
      <c r="U5" s="74"/>
      <c r="V5" s="85"/>
    </row>
    <row r="6" spans="1:43" s="70" customFormat="1" ht="25.5" customHeight="1">
      <c r="A6" s="129"/>
      <c r="B6" s="86"/>
      <c r="C6" s="122" t="s">
        <v>90</v>
      </c>
      <c r="D6" s="123" t="s">
        <v>89</v>
      </c>
      <c r="E6" s="123" t="s">
        <v>243</v>
      </c>
      <c r="F6" s="124" t="s">
        <v>242</v>
      </c>
      <c r="G6" s="125"/>
      <c r="H6" s="122" t="s">
        <v>244</v>
      </c>
      <c r="I6" s="123" t="s">
        <v>89</v>
      </c>
      <c r="J6" s="123" t="s">
        <v>243</v>
      </c>
      <c r="K6" s="124" t="s">
        <v>242</v>
      </c>
      <c r="L6" s="125"/>
      <c r="M6" s="122" t="s">
        <v>244</v>
      </c>
      <c r="N6" s="123" t="s">
        <v>89</v>
      </c>
      <c r="O6" s="123" t="s">
        <v>243</v>
      </c>
      <c r="P6" s="124" t="s">
        <v>242</v>
      </c>
      <c r="Q6" s="125"/>
      <c r="R6" s="122" t="s">
        <v>244</v>
      </c>
      <c r="S6" s="123" t="s">
        <v>89</v>
      </c>
      <c r="T6" s="123" t="s">
        <v>243</v>
      </c>
      <c r="U6" s="124" t="s">
        <v>242</v>
      </c>
      <c r="V6" s="125"/>
    </row>
    <row r="7" spans="1:43" ht="25.5" customHeight="1">
      <c r="B7" s="87" t="s">
        <v>213</v>
      </c>
      <c r="C7" s="135">
        <v>3878050</v>
      </c>
      <c r="D7" s="136">
        <v>1255500</v>
      </c>
      <c r="E7" s="136">
        <v>145739</v>
      </c>
      <c r="F7" s="136">
        <v>3400014</v>
      </c>
      <c r="G7" s="137"/>
      <c r="H7" s="101"/>
      <c r="I7" s="79"/>
      <c r="J7" s="79"/>
      <c r="K7" s="79"/>
      <c r="L7" s="119"/>
      <c r="M7" s="101"/>
      <c r="N7" s="79"/>
      <c r="O7" s="79"/>
      <c r="P7" s="79"/>
      <c r="Q7" s="119"/>
      <c r="R7" s="101"/>
      <c r="S7" s="79"/>
      <c r="T7" s="79"/>
      <c r="U7" s="79"/>
      <c r="V7" s="119"/>
    </row>
    <row r="8" spans="1:43" ht="25.5" customHeight="1">
      <c r="B8" s="86" t="s">
        <v>162</v>
      </c>
      <c r="C8" s="138">
        <v>1788500</v>
      </c>
      <c r="D8" s="139">
        <v>2696000</v>
      </c>
      <c r="E8" s="139">
        <v>0</v>
      </c>
      <c r="F8" s="139">
        <v>729520</v>
      </c>
      <c r="G8" s="140"/>
      <c r="H8" s="102"/>
      <c r="I8" s="80"/>
      <c r="J8" s="80"/>
      <c r="K8" s="80"/>
      <c r="L8" s="88"/>
      <c r="M8" s="102"/>
      <c r="N8" s="80"/>
      <c r="O8" s="80"/>
      <c r="P8" s="80"/>
      <c r="Q8" s="88"/>
      <c r="R8" s="102"/>
      <c r="S8" s="80"/>
      <c r="T8" s="80"/>
      <c r="U8" s="80"/>
      <c r="V8" s="88"/>
    </row>
    <row r="9" spans="1:43" ht="25.5" customHeight="1">
      <c r="B9" s="89" t="s">
        <v>214</v>
      </c>
      <c r="C9" s="141" t="s">
        <v>216</v>
      </c>
      <c r="D9" s="142"/>
      <c r="E9" s="142"/>
      <c r="F9" s="142"/>
      <c r="G9" s="143" t="s">
        <v>217</v>
      </c>
      <c r="H9" s="116" t="s">
        <v>216</v>
      </c>
      <c r="I9" s="117"/>
      <c r="J9" s="117"/>
      <c r="K9" s="117"/>
      <c r="L9" s="118" t="s">
        <v>217</v>
      </c>
      <c r="M9" s="116" t="s">
        <v>216</v>
      </c>
      <c r="N9" s="117"/>
      <c r="O9" s="117"/>
      <c r="P9" s="117"/>
      <c r="Q9" s="118" t="s">
        <v>217</v>
      </c>
      <c r="R9" s="116" t="s">
        <v>216</v>
      </c>
      <c r="S9" s="117"/>
      <c r="T9" s="117"/>
      <c r="U9" s="117"/>
      <c r="V9" s="118" t="s">
        <v>217</v>
      </c>
    </row>
    <row r="10" spans="1:43" ht="25.5" customHeight="1">
      <c r="B10" s="84" t="s">
        <v>95</v>
      </c>
      <c r="C10" s="144">
        <f>入力する経費!K3</f>
        <v>389799.99999999994</v>
      </c>
      <c r="D10" s="145">
        <f>入力する経費!L3</f>
        <v>54572.727272727265</v>
      </c>
      <c r="E10" s="145">
        <f>入力する経費!M3</f>
        <v>0</v>
      </c>
      <c r="F10" s="145">
        <f>入力する経費!N3</f>
        <v>0</v>
      </c>
      <c r="G10" s="146"/>
      <c r="H10" s="73"/>
      <c r="I10" s="73"/>
      <c r="J10" s="73"/>
      <c r="K10" s="73"/>
      <c r="L10" s="108"/>
      <c r="M10" s="103"/>
      <c r="N10" s="73"/>
      <c r="O10" s="73"/>
      <c r="P10" s="73"/>
      <c r="Q10" s="90"/>
      <c r="R10" s="103"/>
      <c r="S10" s="73"/>
      <c r="T10" s="73"/>
      <c r="U10" s="73"/>
      <c r="V10" s="90"/>
    </row>
    <row r="11" spans="1:43" ht="25.5" customHeight="1">
      <c r="B11" s="84" t="s">
        <v>93</v>
      </c>
      <c r="C11" s="144">
        <f>入力する経費!K4</f>
        <v>445818.18181818177</v>
      </c>
      <c r="D11" s="145">
        <f>入力する経費!L4</f>
        <v>253915.45454545453</v>
      </c>
      <c r="E11" s="145">
        <f>入力する経費!M4</f>
        <v>0</v>
      </c>
      <c r="F11" s="145">
        <f>入力する経費!N4</f>
        <v>0</v>
      </c>
      <c r="G11" s="146"/>
      <c r="H11" s="73"/>
      <c r="I11" s="73"/>
      <c r="J11" s="73"/>
      <c r="K11" s="73"/>
      <c r="L11" s="108"/>
      <c r="M11" s="103"/>
      <c r="N11" s="73"/>
      <c r="O11" s="73"/>
      <c r="P11" s="73"/>
      <c r="Q11" s="90"/>
      <c r="R11" s="103"/>
      <c r="S11" s="73"/>
      <c r="T11" s="73"/>
      <c r="U11" s="73"/>
      <c r="V11" s="90"/>
    </row>
    <row r="12" spans="1:43" ht="25.5" customHeight="1">
      <c r="B12" s="84" t="s">
        <v>149</v>
      </c>
      <c r="C12" s="144">
        <f>入力する経費!K5</f>
        <v>210393.63636363635</v>
      </c>
      <c r="D12" s="145">
        <f>入力する経費!L5</f>
        <v>153560</v>
      </c>
      <c r="E12" s="145">
        <f>入力する経費!M5</f>
        <v>0</v>
      </c>
      <c r="F12" s="145">
        <f>入力する経費!N5</f>
        <v>0</v>
      </c>
      <c r="G12" s="146"/>
      <c r="H12" s="73"/>
      <c r="I12" s="73"/>
      <c r="J12" s="73"/>
      <c r="K12" s="73"/>
      <c r="L12" s="108"/>
      <c r="M12" s="103"/>
      <c r="N12" s="73"/>
      <c r="O12" s="73"/>
      <c r="P12" s="73"/>
      <c r="Q12" s="90"/>
      <c r="R12" s="103"/>
      <c r="S12" s="73"/>
      <c r="T12" s="73"/>
      <c r="U12" s="73"/>
      <c r="V12" s="90"/>
    </row>
    <row r="13" spans="1:43" ht="25.5" customHeight="1">
      <c r="B13" s="84" t="s">
        <v>150</v>
      </c>
      <c r="C13" s="144">
        <f>入力する経費!K6</f>
        <v>278500</v>
      </c>
      <c r="D13" s="145">
        <f>入力する経費!L6</f>
        <v>922799.99999999988</v>
      </c>
      <c r="E13" s="145">
        <f>入力する経費!M6</f>
        <v>0</v>
      </c>
      <c r="F13" s="145">
        <f>入力する経費!N6</f>
        <v>0</v>
      </c>
      <c r="G13" s="146"/>
      <c r="H13" s="73"/>
      <c r="I13" s="73"/>
      <c r="J13" s="73"/>
      <c r="K13" s="73"/>
      <c r="L13" s="108"/>
      <c r="M13" s="103"/>
      <c r="N13" s="73"/>
      <c r="O13" s="73"/>
      <c r="P13" s="73"/>
      <c r="Q13" s="90"/>
      <c r="R13" s="103"/>
      <c r="S13" s="73"/>
      <c r="T13" s="73"/>
      <c r="U13" s="73"/>
      <c r="V13" s="90"/>
    </row>
    <row r="14" spans="1:43" ht="25.5" customHeight="1">
      <c r="B14" s="84" t="s">
        <v>151</v>
      </c>
      <c r="C14" s="144">
        <f>入力する経費!K9</f>
        <v>233290.13854548484</v>
      </c>
      <c r="D14" s="145">
        <f>入力する経費!L9</f>
        <v>154165.10495668108</v>
      </c>
      <c r="E14" s="145">
        <f>入力する経費!M9</f>
        <v>34231.526991002997</v>
      </c>
      <c r="F14" s="145">
        <f>入力する経費!N9</f>
        <v>543140.2282572476</v>
      </c>
      <c r="G14" s="146"/>
      <c r="H14" s="73"/>
      <c r="I14" s="73"/>
      <c r="J14" s="73"/>
      <c r="K14" s="73"/>
      <c r="L14" s="108"/>
      <c r="M14" s="103"/>
      <c r="N14" s="73"/>
      <c r="O14" s="73"/>
      <c r="P14" s="73"/>
      <c r="Q14" s="90"/>
      <c r="R14" s="103"/>
      <c r="S14" s="73"/>
      <c r="T14" s="73"/>
      <c r="U14" s="73"/>
      <c r="V14" s="90"/>
    </row>
    <row r="15" spans="1:43" ht="25.5" customHeight="1">
      <c r="B15" s="84" t="s">
        <v>119</v>
      </c>
      <c r="C15" s="144"/>
      <c r="D15" s="145"/>
      <c r="E15" s="145"/>
      <c r="F15" s="145"/>
      <c r="G15" s="147">
        <f>入力する経費!O14</f>
        <v>277476.31824391871</v>
      </c>
      <c r="H15" s="73"/>
      <c r="I15" s="73"/>
      <c r="J15" s="73"/>
      <c r="K15" s="73"/>
      <c r="L15" s="108"/>
      <c r="M15" s="103"/>
      <c r="N15" s="73"/>
      <c r="O15" s="73"/>
      <c r="P15" s="73"/>
      <c r="Q15" s="90"/>
      <c r="R15" s="103"/>
      <c r="S15" s="73"/>
      <c r="T15" s="73"/>
      <c r="U15" s="73"/>
      <c r="V15" s="90"/>
    </row>
    <row r="16" spans="1:43" ht="25.5" customHeight="1">
      <c r="B16" s="84" t="s">
        <v>117</v>
      </c>
      <c r="C16" s="144"/>
      <c r="D16" s="145"/>
      <c r="E16" s="145"/>
      <c r="F16" s="145"/>
      <c r="G16" s="147">
        <f>入力する経費!O12</f>
        <v>1499363.3481339552</v>
      </c>
      <c r="H16" s="73"/>
      <c r="I16" s="73"/>
      <c r="J16" s="73"/>
      <c r="K16" s="73"/>
      <c r="L16" s="108"/>
      <c r="M16" s="103"/>
      <c r="N16" s="73"/>
      <c r="O16" s="73"/>
      <c r="P16" s="73"/>
      <c r="Q16" s="90"/>
      <c r="R16" s="103"/>
      <c r="S16" s="73"/>
      <c r="T16" s="73"/>
      <c r="U16" s="73"/>
      <c r="V16" s="90"/>
    </row>
    <row r="17" spans="2:22" ht="25.5" customHeight="1">
      <c r="B17" s="84" t="s">
        <v>153</v>
      </c>
      <c r="C17" s="144"/>
      <c r="D17" s="145"/>
      <c r="E17" s="145"/>
      <c r="F17" s="145"/>
      <c r="G17" s="147">
        <f>入力する経費!O16</f>
        <v>1152178.342185938</v>
      </c>
      <c r="H17" s="73"/>
      <c r="I17" s="73"/>
      <c r="J17" s="73"/>
      <c r="K17" s="73"/>
      <c r="L17" s="108"/>
      <c r="M17" s="103"/>
      <c r="N17" s="73"/>
      <c r="O17" s="73"/>
      <c r="P17" s="73"/>
      <c r="Q17" s="90"/>
      <c r="R17" s="103"/>
      <c r="S17" s="73"/>
      <c r="T17" s="73"/>
      <c r="U17" s="73"/>
      <c r="V17" s="90"/>
    </row>
    <row r="18" spans="2:22" ht="25.5" customHeight="1">
      <c r="B18" s="84" t="s">
        <v>120</v>
      </c>
      <c r="C18" s="144"/>
      <c r="D18" s="145"/>
      <c r="E18" s="145"/>
      <c r="F18" s="145"/>
      <c r="G18" s="148">
        <f>入力する経費!O15</f>
        <v>5137000</v>
      </c>
      <c r="H18" s="73"/>
      <c r="I18" s="73"/>
      <c r="J18" s="73"/>
      <c r="K18" s="73"/>
      <c r="L18" s="75"/>
      <c r="M18" s="103"/>
      <c r="N18" s="73"/>
      <c r="O18" s="73"/>
      <c r="P18" s="73"/>
      <c r="Q18" s="91"/>
      <c r="R18" s="103"/>
      <c r="S18" s="73"/>
      <c r="T18" s="73"/>
      <c r="U18" s="73"/>
      <c r="V18" s="91"/>
    </row>
    <row r="19" spans="2:22" ht="25.5" customHeight="1">
      <c r="B19" s="84" t="s">
        <v>160</v>
      </c>
      <c r="C19" s="144"/>
      <c r="D19" s="145"/>
      <c r="E19" s="145"/>
      <c r="F19" s="145"/>
      <c r="G19" s="147">
        <f>入力する経費!O10+入力する経費!O17+入力する経費!O18</f>
        <v>106034.32436157644</v>
      </c>
      <c r="H19" s="73"/>
      <c r="I19" s="73"/>
      <c r="J19" s="73"/>
      <c r="K19" s="73"/>
      <c r="L19" s="108"/>
      <c r="M19" s="103"/>
      <c r="N19" s="73"/>
      <c r="O19" s="73"/>
      <c r="P19" s="73"/>
      <c r="Q19" s="90"/>
      <c r="R19" s="103"/>
      <c r="S19" s="73"/>
      <c r="T19" s="73"/>
      <c r="U19" s="73"/>
      <c r="V19" s="90"/>
    </row>
    <row r="20" spans="2:22" ht="25.5" customHeight="1">
      <c r="B20" s="84"/>
      <c r="C20" s="144"/>
      <c r="D20" s="145"/>
      <c r="E20" s="145"/>
      <c r="F20" s="145"/>
      <c r="G20" s="146"/>
      <c r="H20" s="73"/>
      <c r="I20" s="73"/>
      <c r="J20" s="73"/>
      <c r="K20" s="73"/>
      <c r="L20" s="108"/>
      <c r="M20" s="103"/>
      <c r="N20" s="73"/>
      <c r="O20" s="73"/>
      <c r="P20" s="73"/>
      <c r="Q20" s="90"/>
      <c r="R20" s="103"/>
      <c r="S20" s="73"/>
      <c r="T20" s="73"/>
      <c r="U20" s="73"/>
      <c r="V20" s="90"/>
    </row>
    <row r="21" spans="2:22" ht="25.5" customHeight="1">
      <c r="B21" s="92" t="s">
        <v>215</v>
      </c>
      <c r="C21" s="149"/>
      <c r="D21" s="150"/>
      <c r="E21" s="150"/>
      <c r="F21" s="150"/>
      <c r="G21" s="151"/>
      <c r="H21" s="76"/>
      <c r="I21" s="76"/>
      <c r="J21" s="76"/>
      <c r="K21" s="76"/>
      <c r="L21" s="109"/>
      <c r="M21" s="104"/>
      <c r="N21" s="76"/>
      <c r="O21" s="76"/>
      <c r="P21" s="76"/>
      <c r="Q21" s="93"/>
      <c r="R21" s="104"/>
      <c r="S21" s="76"/>
      <c r="T21" s="76"/>
      <c r="U21" s="76"/>
      <c r="V21" s="93"/>
    </row>
    <row r="22" spans="2:22" ht="25.5" customHeight="1">
      <c r="B22" s="84" t="s">
        <v>152</v>
      </c>
      <c r="C22" s="144">
        <f>入力する経費!C4/100*36862</f>
        <v>188412.74059999999</v>
      </c>
      <c r="D22" s="145">
        <f>入力する経費!C5/100*13474</f>
        <v>45511.129800000002</v>
      </c>
      <c r="E22" s="145">
        <f>入力する経費!C6/100*4000</f>
        <v>3000</v>
      </c>
      <c r="F22" s="145">
        <f>入力する経費!C7/100*4000</f>
        <v>47600</v>
      </c>
      <c r="G22" s="148">
        <f>SUM(C22:F22)</f>
        <v>284523.87040000001</v>
      </c>
      <c r="H22" s="73"/>
      <c r="I22" s="73"/>
      <c r="J22" s="73"/>
      <c r="K22" s="73"/>
      <c r="L22" s="75"/>
      <c r="M22" s="103"/>
      <c r="N22" s="73"/>
      <c r="O22" s="73"/>
      <c r="P22" s="73"/>
      <c r="Q22" s="91"/>
      <c r="R22" s="103"/>
      <c r="S22" s="73"/>
      <c r="T22" s="73"/>
      <c r="U22" s="73"/>
      <c r="V22" s="91"/>
    </row>
    <row r="23" spans="2:22" ht="25.5" customHeight="1">
      <c r="B23" s="84" t="s">
        <v>137</v>
      </c>
      <c r="C23" s="144"/>
      <c r="D23" s="145"/>
      <c r="E23" s="145"/>
      <c r="F23" s="145"/>
      <c r="G23" s="148">
        <f>入力する経費!O28</f>
        <v>515462.08737404796</v>
      </c>
      <c r="H23" s="73"/>
      <c r="I23" s="73"/>
      <c r="J23" s="73"/>
      <c r="K23" s="73"/>
      <c r="L23" s="75"/>
      <c r="M23" s="103"/>
      <c r="N23" s="73"/>
      <c r="O23" s="73"/>
      <c r="P23" s="73"/>
      <c r="Q23" s="91"/>
      <c r="R23" s="103"/>
      <c r="S23" s="73"/>
      <c r="T23" s="73"/>
      <c r="U23" s="73"/>
      <c r="V23" s="91"/>
    </row>
    <row r="24" spans="2:22" ht="25.5" customHeight="1">
      <c r="B24" s="84" t="s">
        <v>154</v>
      </c>
      <c r="C24" s="144"/>
      <c r="D24" s="145"/>
      <c r="E24" s="145"/>
      <c r="F24" s="145"/>
      <c r="G24" s="148">
        <f>入力する経費!O40</f>
        <v>14862.456864378541</v>
      </c>
      <c r="H24" s="73"/>
      <c r="I24" s="73"/>
      <c r="J24" s="73"/>
      <c r="K24" s="73"/>
      <c r="L24" s="75"/>
      <c r="M24" s="103"/>
      <c r="N24" s="73"/>
      <c r="O24" s="73"/>
      <c r="P24" s="73"/>
      <c r="Q24" s="91"/>
      <c r="R24" s="103"/>
      <c r="S24" s="73"/>
      <c r="T24" s="73"/>
      <c r="U24" s="73"/>
      <c r="V24" s="91"/>
    </row>
    <row r="25" spans="2:22" ht="25.5" customHeight="1" thickBot="1">
      <c r="B25" s="94" t="s">
        <v>161</v>
      </c>
      <c r="C25" s="152"/>
      <c r="D25" s="153"/>
      <c r="E25" s="153"/>
      <c r="F25" s="153"/>
      <c r="G25" s="154">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25" s="96"/>
      <c r="I25" s="96"/>
      <c r="J25" s="96"/>
      <c r="K25" s="96"/>
      <c r="L25" s="95"/>
      <c r="M25" s="105"/>
      <c r="N25" s="96"/>
      <c r="O25" s="96"/>
      <c r="P25" s="96"/>
      <c r="Q25" s="97"/>
      <c r="R25" s="105"/>
      <c r="S25" s="96"/>
      <c r="T25" s="96"/>
      <c r="U25" s="96"/>
      <c r="V25" s="97"/>
    </row>
    <row r="26" spans="2:22" ht="25.5" customHeight="1" thickBot="1">
      <c r="B26" s="2" t="s">
        <v>226</v>
      </c>
      <c r="C26" s="155"/>
      <c r="D26" s="155"/>
      <c r="E26" s="155"/>
      <c r="F26" s="155"/>
      <c r="G26" s="178">
        <f>SUM(入力する経費!O3:O40)-SUM(C10:G24)</f>
        <v>3762196.857441498</v>
      </c>
      <c r="H26" s="72"/>
      <c r="I26" s="72"/>
      <c r="J26" s="72"/>
      <c r="K26" s="72"/>
      <c r="M26" s="72"/>
      <c r="N26" s="72"/>
      <c r="O26" s="72"/>
      <c r="P26" s="72"/>
      <c r="R26" s="72"/>
      <c r="S26" s="72"/>
      <c r="T26" s="72"/>
      <c r="U26" s="72"/>
    </row>
    <row r="27" spans="2:22" ht="25.5" customHeight="1">
      <c r="B27" s="120" t="s">
        <v>229</v>
      </c>
      <c r="C27" s="157">
        <f>入力する経費!C4</f>
        <v>511.13</v>
      </c>
      <c r="D27" s="158">
        <f>入力する経費!C5</f>
        <v>337.77</v>
      </c>
      <c r="E27" s="158">
        <f>入力する経費!C6</f>
        <v>75</v>
      </c>
      <c r="F27" s="158">
        <f>入力する経費!C7</f>
        <v>1190</v>
      </c>
      <c r="G27" s="174">
        <f>SUM(C27:F27)</f>
        <v>2113.9</v>
      </c>
      <c r="H27" s="110"/>
      <c r="I27" s="111"/>
      <c r="J27" s="111"/>
      <c r="K27" s="111"/>
      <c r="L27" s="174">
        <f>SUM(H27:K27)</f>
        <v>0</v>
      </c>
      <c r="M27" s="110"/>
      <c r="N27" s="111"/>
      <c r="O27" s="111"/>
      <c r="P27" s="111"/>
      <c r="Q27" s="174">
        <f>SUM(M27:P27)</f>
        <v>0</v>
      </c>
      <c r="R27" s="110"/>
      <c r="S27" s="111"/>
      <c r="T27" s="111"/>
      <c r="U27" s="111"/>
      <c r="V27" s="174">
        <f>SUM(R27:U27)</f>
        <v>0</v>
      </c>
    </row>
    <row r="28" spans="2:22" ht="25.5" customHeight="1">
      <c r="B28" s="84" t="s">
        <v>235</v>
      </c>
      <c r="C28" s="144">
        <f>C7/C30</f>
        <v>171595.13274336283</v>
      </c>
      <c r="D28" s="145">
        <f>D7/D30</f>
        <v>93000</v>
      </c>
      <c r="E28" s="145">
        <v>1</v>
      </c>
      <c r="F28" s="145">
        <v>1</v>
      </c>
      <c r="G28" s="137"/>
      <c r="H28" s="103"/>
      <c r="I28" s="73"/>
      <c r="J28" s="73"/>
      <c r="K28" s="73"/>
      <c r="L28" s="137"/>
      <c r="M28" s="103"/>
      <c r="N28" s="73"/>
      <c r="O28" s="73"/>
      <c r="P28" s="73"/>
      <c r="Q28" s="137"/>
      <c r="R28" s="103"/>
      <c r="S28" s="73"/>
      <c r="T28" s="73"/>
      <c r="U28" s="73"/>
      <c r="V28" s="137"/>
    </row>
    <row r="29" spans="2:22" ht="25.5" customHeight="1">
      <c r="B29" s="84" t="s">
        <v>230</v>
      </c>
      <c r="C29" s="144">
        <f>(C28/C27)*10</f>
        <v>3357.1720060133985</v>
      </c>
      <c r="D29" s="145">
        <f>(D28/D27)*10</f>
        <v>2753.3528732569498</v>
      </c>
      <c r="E29" s="145" t="s">
        <v>233</v>
      </c>
      <c r="F29" s="145" t="s">
        <v>233</v>
      </c>
      <c r="G29" s="137"/>
      <c r="H29" s="103"/>
      <c r="I29" s="73"/>
      <c r="J29" s="73"/>
      <c r="K29" s="73"/>
      <c r="L29" s="137"/>
      <c r="M29" s="103"/>
      <c r="N29" s="73"/>
      <c r="O29" s="73"/>
      <c r="P29" s="73"/>
      <c r="Q29" s="137"/>
      <c r="R29" s="103"/>
      <c r="S29" s="73"/>
      <c r="T29" s="73"/>
      <c r="U29" s="73"/>
      <c r="V29" s="137"/>
    </row>
    <row r="30" spans="2:22" ht="25.5" customHeight="1">
      <c r="B30" s="84" t="s">
        <v>234</v>
      </c>
      <c r="C30" s="161">
        <v>22.6</v>
      </c>
      <c r="D30" s="162">
        <v>13.5</v>
      </c>
      <c r="E30" s="162"/>
      <c r="F30" s="145">
        <v>18000</v>
      </c>
      <c r="G30" s="137"/>
      <c r="H30" s="103"/>
      <c r="I30" s="73"/>
      <c r="J30" s="73"/>
      <c r="K30" s="73"/>
      <c r="L30" s="137"/>
      <c r="M30" s="103"/>
      <c r="N30" s="73"/>
      <c r="O30" s="73"/>
      <c r="P30" s="73"/>
      <c r="Q30" s="137"/>
      <c r="R30" s="103"/>
      <c r="S30" s="73"/>
      <c r="T30" s="73"/>
      <c r="U30" s="73"/>
      <c r="V30" s="137"/>
    </row>
    <row r="31" spans="2:22" ht="25.5" customHeight="1">
      <c r="B31" s="84" t="s">
        <v>236</v>
      </c>
      <c r="C31" s="144">
        <f>SUM(C7:C8)</f>
        <v>5666550</v>
      </c>
      <c r="D31" s="145">
        <f>SUM(D7:D8)</f>
        <v>3951500</v>
      </c>
      <c r="E31" s="145">
        <f>SUM(E7:E8)</f>
        <v>145739</v>
      </c>
      <c r="F31" s="145">
        <f>SUM(F7:F8)</f>
        <v>4129534</v>
      </c>
      <c r="G31" s="175">
        <f>SUM(C31:F31)</f>
        <v>13893323</v>
      </c>
      <c r="H31" s="103"/>
      <c r="I31" s="73"/>
      <c r="J31" s="73"/>
      <c r="K31" s="73"/>
      <c r="L31" s="175">
        <f>SUM(H31:K31)</f>
        <v>0</v>
      </c>
      <c r="M31" s="103"/>
      <c r="N31" s="73"/>
      <c r="O31" s="73"/>
      <c r="P31" s="73"/>
      <c r="Q31" s="175">
        <f>SUM(M31:P31)</f>
        <v>0</v>
      </c>
      <c r="R31" s="103"/>
      <c r="S31" s="73"/>
      <c r="T31" s="73"/>
      <c r="U31" s="73"/>
      <c r="V31" s="175">
        <f>SUM(R31:U31)</f>
        <v>0</v>
      </c>
    </row>
    <row r="32" spans="2:22" ht="25.5" customHeight="1">
      <c r="B32" s="84" t="s">
        <v>237</v>
      </c>
      <c r="C32" s="144">
        <f>SUM(C10:C25)</f>
        <v>1746214.6973273025</v>
      </c>
      <c r="D32" s="145">
        <f>SUM(D10:D25)</f>
        <v>1584524.4165748628</v>
      </c>
      <c r="E32" s="145">
        <f>SUM(E10:E25)</f>
        <v>37231.526991002997</v>
      </c>
      <c r="F32" s="145">
        <f>SUM(F10:F25)</f>
        <v>590740.2282572476</v>
      </c>
      <c r="G32" s="175">
        <f>SUM(C32:F32)</f>
        <v>3958710.8691504165</v>
      </c>
      <c r="H32" s="103"/>
      <c r="I32" s="73"/>
      <c r="J32" s="73"/>
      <c r="K32" s="73"/>
      <c r="L32" s="175">
        <f>SUM(H32:K32)</f>
        <v>0</v>
      </c>
      <c r="M32" s="103"/>
      <c r="N32" s="73"/>
      <c r="O32" s="73"/>
      <c r="P32" s="73"/>
      <c r="Q32" s="175">
        <f>SUM(M32:P32)</f>
        <v>0</v>
      </c>
      <c r="R32" s="103"/>
      <c r="S32" s="73"/>
      <c r="T32" s="73"/>
      <c r="U32" s="73"/>
      <c r="V32" s="175">
        <f>SUM(R32:U32)</f>
        <v>0</v>
      </c>
    </row>
    <row r="33" spans="2:22" ht="25.5" customHeight="1">
      <c r="B33" s="84" t="s">
        <v>228</v>
      </c>
      <c r="C33" s="163">
        <f>C32/C31</f>
        <v>0.30816187933174549</v>
      </c>
      <c r="D33" s="164">
        <f t="shared" ref="D33:F33" si="0">D32/D31</f>
        <v>0.40099314603944397</v>
      </c>
      <c r="E33" s="164">
        <f t="shared" si="0"/>
        <v>0.25546715011769666</v>
      </c>
      <c r="F33" s="164">
        <f t="shared" si="0"/>
        <v>0.1430525159151729</v>
      </c>
      <c r="G33" s="137"/>
      <c r="H33" s="103"/>
      <c r="I33" s="73"/>
      <c r="J33" s="73"/>
      <c r="K33" s="73"/>
      <c r="L33" s="137"/>
      <c r="M33" s="103"/>
      <c r="N33" s="73"/>
      <c r="O33" s="73"/>
      <c r="P33" s="73"/>
      <c r="Q33" s="137"/>
      <c r="R33" s="103"/>
      <c r="S33" s="73"/>
      <c r="T33" s="73"/>
      <c r="U33" s="73"/>
      <c r="V33" s="137"/>
    </row>
    <row r="34" spans="2:22" ht="25.5" customHeight="1">
      <c r="B34" s="84" t="s">
        <v>238</v>
      </c>
      <c r="C34" s="144">
        <f>C31-C32</f>
        <v>3920335.3026726972</v>
      </c>
      <c r="D34" s="145">
        <f t="shared" ref="D34:F34" si="1">D31-D32</f>
        <v>2366975.5834251372</v>
      </c>
      <c r="E34" s="145">
        <f t="shared" si="1"/>
        <v>108507.47300899701</v>
      </c>
      <c r="F34" s="145">
        <f t="shared" si="1"/>
        <v>3538793.7717427523</v>
      </c>
      <c r="G34" s="175">
        <f>SUM(C34:F34)</f>
        <v>9934612.1308495831</v>
      </c>
      <c r="H34" s="114"/>
      <c r="I34" s="73"/>
      <c r="J34" s="73"/>
      <c r="K34" s="73"/>
      <c r="L34" s="175">
        <f>SUM(H34:K34)</f>
        <v>0</v>
      </c>
      <c r="M34" s="114"/>
      <c r="N34" s="73"/>
      <c r="O34" s="73"/>
      <c r="P34" s="73"/>
      <c r="Q34" s="175">
        <f>SUM(M34:P34)</f>
        <v>0</v>
      </c>
      <c r="R34" s="114"/>
      <c r="S34" s="73"/>
      <c r="T34" s="73"/>
      <c r="U34" s="73"/>
      <c r="V34" s="175">
        <f>SUM(R34:U34)</f>
        <v>0</v>
      </c>
    </row>
    <row r="35" spans="2:22" ht="25.5" customHeight="1">
      <c r="B35" s="84" t="s">
        <v>222</v>
      </c>
      <c r="C35" s="163">
        <f>C34/C31</f>
        <v>0.69183812066825445</v>
      </c>
      <c r="D35" s="164">
        <f t="shared" ref="D35:F35" si="2">D34/D31</f>
        <v>0.59900685396055608</v>
      </c>
      <c r="E35" s="164">
        <f t="shared" si="2"/>
        <v>0.74453284988230339</v>
      </c>
      <c r="F35" s="164">
        <f t="shared" si="2"/>
        <v>0.85694748408482713</v>
      </c>
      <c r="G35" s="176">
        <f>G34/G31</f>
        <v>0.71506378501742041</v>
      </c>
      <c r="H35" s="103"/>
      <c r="I35" s="73"/>
      <c r="J35" s="73"/>
      <c r="K35" s="73"/>
      <c r="L35" s="176" t="e">
        <f>L34/L31</f>
        <v>#DIV/0!</v>
      </c>
      <c r="M35" s="103"/>
      <c r="N35" s="73"/>
      <c r="O35" s="73"/>
      <c r="P35" s="73"/>
      <c r="Q35" s="176" t="e">
        <f>Q34/Q31</f>
        <v>#DIV/0!</v>
      </c>
      <c r="R35" s="103"/>
      <c r="S35" s="73"/>
      <c r="T35" s="73"/>
      <c r="U35" s="73"/>
      <c r="V35" s="176" t="e">
        <f>V34/V31</f>
        <v>#DIV/0!</v>
      </c>
    </row>
    <row r="36" spans="2:22" ht="25.5" customHeight="1" thickBot="1">
      <c r="B36" s="94"/>
      <c r="C36" s="166"/>
      <c r="D36" s="167"/>
      <c r="E36" s="167"/>
      <c r="F36" s="167"/>
      <c r="G36" s="173"/>
      <c r="H36" s="105"/>
      <c r="I36" s="96"/>
      <c r="J36" s="96"/>
      <c r="K36" s="96"/>
      <c r="L36" s="173"/>
      <c r="M36" s="105"/>
      <c r="N36" s="96"/>
      <c r="O36" s="96"/>
      <c r="P36" s="96"/>
      <c r="Q36" s="173"/>
      <c r="R36" s="105"/>
      <c r="S36" s="96"/>
      <c r="T36" s="96"/>
      <c r="U36" s="96"/>
      <c r="V36" s="173"/>
    </row>
    <row r="37" spans="2:22" ht="25.5" customHeight="1">
      <c r="B37" s="2" t="s">
        <v>231</v>
      </c>
      <c r="C37" s="145"/>
      <c r="D37" s="145"/>
      <c r="E37" s="145"/>
      <c r="F37" s="145"/>
      <c r="G37" s="156"/>
      <c r="H37" s="73"/>
      <c r="I37" s="73"/>
      <c r="J37" s="73"/>
      <c r="K37" s="73"/>
      <c r="M37" s="73"/>
      <c r="N37" s="73"/>
      <c r="O37" s="73"/>
      <c r="P37" s="73"/>
      <c r="R37" s="73"/>
      <c r="S37" s="73"/>
      <c r="T37" s="73"/>
      <c r="U37" s="73"/>
    </row>
    <row r="38" spans="2:22" ht="25.5" customHeight="1" thickBot="1">
      <c r="B38" s="2" t="s">
        <v>232</v>
      </c>
      <c r="C38" s="155"/>
      <c r="D38" s="155"/>
      <c r="E38" s="155"/>
      <c r="F38" s="155"/>
      <c r="G38" s="156"/>
      <c r="H38" s="72"/>
      <c r="I38" s="72"/>
      <c r="J38" s="72"/>
      <c r="K38" s="72"/>
      <c r="M38" s="72"/>
      <c r="N38" s="72"/>
      <c r="O38" s="72"/>
      <c r="P38" s="72"/>
      <c r="R38" s="72"/>
      <c r="S38" s="72"/>
      <c r="T38" s="72"/>
      <c r="U38" s="72"/>
    </row>
    <row r="39" spans="2:22" ht="25.5" customHeight="1">
      <c r="B39" s="120" t="s">
        <v>219</v>
      </c>
      <c r="C39" s="157">
        <f>SUM(C7:F8)</f>
        <v>13893323</v>
      </c>
      <c r="D39" s="158"/>
      <c r="E39" s="158"/>
      <c r="F39" s="158"/>
      <c r="G39" s="159"/>
      <c r="H39" s="110">
        <f>SUM(H7:K8)</f>
        <v>0</v>
      </c>
      <c r="I39" s="111"/>
      <c r="J39" s="111"/>
      <c r="K39" s="111"/>
      <c r="L39" s="112"/>
      <c r="M39" s="110">
        <f>SUM(M7:P8)</f>
        <v>0</v>
      </c>
      <c r="N39" s="111"/>
      <c r="O39" s="111"/>
      <c r="P39" s="111"/>
      <c r="Q39" s="112"/>
      <c r="R39" s="110">
        <f>SUM(R7:U8)</f>
        <v>0</v>
      </c>
      <c r="S39" s="111"/>
      <c r="T39" s="111"/>
      <c r="U39" s="111"/>
      <c r="V39" s="112"/>
    </row>
    <row r="40" spans="2:22" ht="25.5" customHeight="1">
      <c r="B40" s="84" t="s">
        <v>224</v>
      </c>
      <c r="C40" s="144">
        <f>SUM(C10:G20)</f>
        <v>11846239.331675803</v>
      </c>
      <c r="D40" s="145"/>
      <c r="E40" s="145"/>
      <c r="F40" s="145"/>
      <c r="G40" s="160"/>
      <c r="H40" s="103">
        <f>SUM(H10:L20)</f>
        <v>0</v>
      </c>
      <c r="I40" s="73"/>
      <c r="J40" s="73"/>
      <c r="K40" s="73"/>
      <c r="L40" s="113"/>
      <c r="M40" s="103">
        <f>SUM(M10:Q20)</f>
        <v>0</v>
      </c>
      <c r="N40" s="73"/>
      <c r="O40" s="73"/>
      <c r="P40" s="73"/>
      <c r="Q40" s="113"/>
      <c r="R40" s="103">
        <f>SUM(R10:V20)</f>
        <v>0</v>
      </c>
      <c r="S40" s="73"/>
      <c r="T40" s="73"/>
      <c r="U40" s="73"/>
      <c r="V40" s="113"/>
    </row>
    <row r="41" spans="2:22" ht="25.5" customHeight="1">
      <c r="B41" s="84" t="s">
        <v>225</v>
      </c>
      <c r="C41" s="144">
        <f>SUM(C22:G25)</f>
        <v>2467209.6432962804</v>
      </c>
      <c r="D41" s="145"/>
      <c r="E41" s="145"/>
      <c r="F41" s="145"/>
      <c r="G41" s="160"/>
      <c r="H41" s="103">
        <f>SUM(H22:L25)</f>
        <v>0</v>
      </c>
      <c r="I41" s="73"/>
      <c r="J41" s="73"/>
      <c r="K41" s="73"/>
      <c r="L41" s="113"/>
      <c r="M41" s="103">
        <f>SUM(M22:Q25)</f>
        <v>0</v>
      </c>
      <c r="N41" s="73"/>
      <c r="O41" s="73"/>
      <c r="P41" s="73"/>
      <c r="Q41" s="113"/>
      <c r="R41" s="103">
        <f>SUM(R22:V25)</f>
        <v>0</v>
      </c>
      <c r="S41" s="73"/>
      <c r="T41" s="73"/>
      <c r="U41" s="73"/>
      <c r="V41" s="113"/>
    </row>
    <row r="42" spans="2:22" ht="25.5" customHeight="1">
      <c r="B42" s="84" t="s">
        <v>249</v>
      </c>
      <c r="C42" s="144">
        <f>SUM(C10:G25)</f>
        <v>14313448.974972084</v>
      </c>
      <c r="D42" s="145"/>
      <c r="E42" s="145"/>
      <c r="F42" s="145"/>
      <c r="G42" s="160"/>
      <c r="H42" s="144">
        <f>SUM(H10:L25)</f>
        <v>0</v>
      </c>
      <c r="I42" s="73"/>
      <c r="J42" s="73"/>
      <c r="K42" s="73"/>
      <c r="L42" s="113"/>
      <c r="M42" s="144">
        <f>SUM(M10:Q25)</f>
        <v>0</v>
      </c>
      <c r="N42" s="73"/>
      <c r="O42" s="73"/>
      <c r="P42" s="73"/>
      <c r="Q42" s="113"/>
      <c r="R42" s="144">
        <f>SUM(R10:V25)</f>
        <v>0</v>
      </c>
      <c r="S42" s="73"/>
      <c r="T42" s="73"/>
      <c r="U42" s="73"/>
      <c r="V42" s="113"/>
    </row>
    <row r="43" spans="2:22" ht="25.5" customHeight="1">
      <c r="B43" s="84" t="s">
        <v>220</v>
      </c>
      <c r="C43" s="144">
        <f>SUM(C10:F25)</f>
        <v>3958710.8691504169</v>
      </c>
      <c r="D43" s="145"/>
      <c r="E43" s="145"/>
      <c r="F43" s="145"/>
      <c r="G43" s="160"/>
      <c r="H43" s="103">
        <f>SUM(H10:K25)</f>
        <v>0</v>
      </c>
      <c r="I43" s="73"/>
      <c r="J43" s="73"/>
      <c r="K43" s="73"/>
      <c r="L43" s="113"/>
      <c r="M43" s="103">
        <f>SUM(M10:P25)</f>
        <v>0</v>
      </c>
      <c r="N43" s="73"/>
      <c r="O43" s="73"/>
      <c r="P43" s="73"/>
      <c r="Q43" s="113"/>
      <c r="R43" s="103">
        <f>SUM(R10:U25)</f>
        <v>0</v>
      </c>
      <c r="S43" s="73"/>
      <c r="T43" s="73"/>
      <c r="U43" s="73"/>
      <c r="V43" s="113"/>
    </row>
    <row r="44" spans="2:22" ht="25.5" customHeight="1">
      <c r="B44" s="84" t="s">
        <v>252</v>
      </c>
      <c r="C44" s="163">
        <f>C43/C39</f>
        <v>0.28493621498257954</v>
      </c>
      <c r="D44" s="145"/>
      <c r="E44" s="145"/>
      <c r="F44" s="145"/>
      <c r="G44" s="160"/>
      <c r="H44" s="103"/>
      <c r="I44" s="73"/>
      <c r="J44" s="73"/>
      <c r="K44" s="73"/>
      <c r="L44" s="113"/>
      <c r="M44" s="103"/>
      <c r="N44" s="73"/>
      <c r="O44" s="73"/>
      <c r="P44" s="73"/>
      <c r="Q44" s="113"/>
      <c r="R44" s="103"/>
      <c r="S44" s="73"/>
      <c r="T44" s="73"/>
      <c r="U44" s="73"/>
      <c r="V44" s="113"/>
    </row>
    <row r="45" spans="2:22" ht="25.5" customHeight="1">
      <c r="B45" s="84" t="s">
        <v>221</v>
      </c>
      <c r="C45" s="144">
        <f>SUM(G10:G25)</f>
        <v>10354738.105821671</v>
      </c>
      <c r="D45" s="145"/>
      <c r="E45" s="145"/>
      <c r="F45" s="145"/>
      <c r="G45" s="160"/>
      <c r="H45" s="103">
        <f>SUM(L10:L25)</f>
        <v>0</v>
      </c>
      <c r="I45" s="73"/>
      <c r="J45" s="73"/>
      <c r="K45" s="73"/>
      <c r="L45" s="113"/>
      <c r="M45" s="103">
        <f>SUM(Q10:Q25)</f>
        <v>0</v>
      </c>
      <c r="N45" s="73"/>
      <c r="O45" s="73"/>
      <c r="P45" s="73"/>
      <c r="Q45" s="113"/>
      <c r="R45" s="103">
        <f>SUM(V10:V25)</f>
        <v>0</v>
      </c>
      <c r="S45" s="73"/>
      <c r="T45" s="73"/>
      <c r="U45" s="73"/>
      <c r="V45" s="113"/>
    </row>
    <row r="46" spans="2:22" ht="25.5" customHeight="1">
      <c r="B46" s="84" t="s">
        <v>218</v>
      </c>
      <c r="C46" s="144">
        <f>C39-C43</f>
        <v>9934612.1308495831</v>
      </c>
      <c r="D46" s="145"/>
      <c r="E46" s="145"/>
      <c r="F46" s="145"/>
      <c r="G46" s="160"/>
      <c r="H46" s="103">
        <f>H39-H43</f>
        <v>0</v>
      </c>
      <c r="I46" s="73"/>
      <c r="J46" s="73"/>
      <c r="K46" s="73"/>
      <c r="L46" s="113"/>
      <c r="M46" s="103">
        <f>M39-M43</f>
        <v>0</v>
      </c>
      <c r="N46" s="73"/>
      <c r="O46" s="73"/>
      <c r="P46" s="73"/>
      <c r="Q46" s="113"/>
      <c r="R46" s="103">
        <f>R39-R43</f>
        <v>0</v>
      </c>
      <c r="S46" s="73"/>
      <c r="T46" s="73"/>
      <c r="U46" s="73"/>
      <c r="V46" s="113"/>
    </row>
    <row r="47" spans="2:22" ht="25.5" customHeight="1">
      <c r="B47" s="84" t="s">
        <v>222</v>
      </c>
      <c r="C47" s="163">
        <f>C46/C39</f>
        <v>0.71506378501742041</v>
      </c>
      <c r="D47" s="145"/>
      <c r="E47" s="145"/>
      <c r="F47" s="145"/>
      <c r="G47" s="160"/>
      <c r="H47" s="114" t="e">
        <f>H46/H39</f>
        <v>#DIV/0!</v>
      </c>
      <c r="I47" s="73"/>
      <c r="J47" s="73"/>
      <c r="K47" s="73"/>
      <c r="L47" s="113"/>
      <c r="M47" s="114" t="e">
        <f>M46/M39</f>
        <v>#DIV/0!</v>
      </c>
      <c r="N47" s="73"/>
      <c r="O47" s="73"/>
      <c r="P47" s="73"/>
      <c r="Q47" s="113"/>
      <c r="R47" s="114" t="e">
        <f>R46/R39</f>
        <v>#DIV/0!</v>
      </c>
      <c r="S47" s="73"/>
      <c r="T47" s="73"/>
      <c r="U47" s="73"/>
      <c r="V47" s="113"/>
    </row>
    <row r="48" spans="2:22" ht="25.5" customHeight="1" thickBot="1">
      <c r="B48" s="94" t="s">
        <v>223</v>
      </c>
      <c r="C48" s="152">
        <f>C45/C47</f>
        <v>14480859.362174815</v>
      </c>
      <c r="D48" s="153"/>
      <c r="E48" s="153"/>
      <c r="F48" s="153"/>
      <c r="G48" s="165"/>
      <c r="H48" s="105" t="e">
        <f>H45/H47</f>
        <v>#DIV/0!</v>
      </c>
      <c r="I48" s="96"/>
      <c r="J48" s="96"/>
      <c r="K48" s="96"/>
      <c r="L48" s="115"/>
      <c r="M48" s="105" t="e">
        <f>M45/M47</f>
        <v>#DIV/0!</v>
      </c>
      <c r="N48" s="96"/>
      <c r="O48" s="96"/>
      <c r="P48" s="96"/>
      <c r="Q48" s="115"/>
      <c r="R48" s="105" t="e">
        <f>R45/R47</f>
        <v>#DIV/0!</v>
      </c>
      <c r="S48" s="96"/>
      <c r="T48" s="96"/>
      <c r="U48" s="96"/>
      <c r="V48" s="115"/>
    </row>
    <row r="49" spans="1:16" ht="21.6" customHeight="1"/>
    <row r="50" spans="1:16" ht="21" customHeight="1" thickBot="1">
      <c r="B50" s="70" t="s">
        <v>256</v>
      </c>
    </row>
    <row r="51" spans="1:16" ht="17.25" customHeight="1" thickBot="1">
      <c r="B51" s="182" t="s">
        <v>213</v>
      </c>
      <c r="C51" s="183" t="s">
        <v>216</v>
      </c>
      <c r="D51" s="183" t="s">
        <v>217</v>
      </c>
      <c r="E51" s="183" t="s">
        <v>249</v>
      </c>
      <c r="F51" s="184" t="s">
        <v>253</v>
      </c>
    </row>
    <row r="52" spans="1:16" ht="17.25" customHeight="1">
      <c r="B52" s="185">
        <v>10000000</v>
      </c>
      <c r="C52" s="73">
        <f>B52*$C$44</f>
        <v>2849362.1498257956</v>
      </c>
      <c r="D52" s="73">
        <f>$C$45</f>
        <v>10354738.105821671</v>
      </c>
      <c r="E52" s="73">
        <f>C52+D52</f>
        <v>13204100.255647466</v>
      </c>
      <c r="F52" s="169">
        <f>B52-E52</f>
        <v>-3204100.2556474656</v>
      </c>
    </row>
    <row r="53" spans="1:16" ht="17.25" customHeight="1">
      <c r="B53" s="179">
        <f>C39</f>
        <v>13893323</v>
      </c>
      <c r="C53" s="73">
        <f>B53*$C$44</f>
        <v>3958710.8691504169</v>
      </c>
      <c r="D53" s="73">
        <f>$C$45</f>
        <v>10354738.105821671</v>
      </c>
      <c r="E53" s="73">
        <f>C53+D53</f>
        <v>14313448.974972088</v>
      </c>
      <c r="F53" s="169">
        <f>B53-E53</f>
        <v>-420125.97497208789</v>
      </c>
    </row>
    <row r="54" spans="1:16" ht="17.25" customHeight="1">
      <c r="B54" s="180">
        <v>15000000</v>
      </c>
      <c r="C54" s="73">
        <f>B54*$C$44</f>
        <v>4274043.2247386929</v>
      </c>
      <c r="D54" s="73">
        <f>$C$45</f>
        <v>10354738.105821671</v>
      </c>
      <c r="E54" s="73">
        <f>C54+D54</f>
        <v>14628781.330560364</v>
      </c>
      <c r="F54" s="169">
        <f>B54-E54</f>
        <v>371218.66943963617</v>
      </c>
    </row>
    <row r="55" spans="1:16" ht="17.25" customHeight="1">
      <c r="B55" s="180">
        <v>18000000</v>
      </c>
      <c r="C55" s="73">
        <f t="shared" ref="C55:C61" si="3">B55*$C$44</f>
        <v>5128851.8696864313</v>
      </c>
      <c r="D55" s="73">
        <f t="shared" ref="D55:D61" si="4">$C$45</f>
        <v>10354738.105821671</v>
      </c>
      <c r="E55" s="73">
        <f t="shared" ref="E55:E59" si="5">C55+D55</f>
        <v>15483589.975508101</v>
      </c>
      <c r="F55" s="169">
        <f t="shared" ref="F55:F59" si="6">B55-E55</f>
        <v>2516410.0244918987</v>
      </c>
    </row>
    <row r="56" spans="1:16" ht="17.25" customHeight="1">
      <c r="B56" s="180">
        <v>21000000</v>
      </c>
      <c r="C56" s="73">
        <f t="shared" si="3"/>
        <v>5983660.5146341706</v>
      </c>
      <c r="D56" s="73">
        <f t="shared" si="4"/>
        <v>10354738.105821671</v>
      </c>
      <c r="E56" s="73">
        <f t="shared" si="5"/>
        <v>16338398.620455842</v>
      </c>
      <c r="F56" s="169">
        <f t="shared" si="6"/>
        <v>4661601.3795441575</v>
      </c>
    </row>
    <row r="57" spans="1:16" ht="17.25" customHeight="1">
      <c r="B57" s="180">
        <v>24000000</v>
      </c>
      <c r="C57" s="73">
        <f t="shared" si="3"/>
        <v>6838469.159581909</v>
      </c>
      <c r="D57" s="73">
        <f t="shared" si="4"/>
        <v>10354738.105821671</v>
      </c>
      <c r="E57" s="73">
        <f t="shared" si="5"/>
        <v>17193207.26540358</v>
      </c>
      <c r="F57" s="169">
        <f t="shared" si="6"/>
        <v>6806792.7345964201</v>
      </c>
    </row>
    <row r="58" spans="1:16" ht="17.25" customHeight="1">
      <c r="B58" s="180">
        <v>27000000</v>
      </c>
      <c r="C58" s="73">
        <f t="shared" si="3"/>
        <v>7693277.8045296473</v>
      </c>
      <c r="D58" s="73">
        <f t="shared" si="4"/>
        <v>10354738.105821671</v>
      </c>
      <c r="E58" s="73">
        <f t="shared" si="5"/>
        <v>18048015.910351317</v>
      </c>
      <c r="F58" s="169">
        <f t="shared" si="6"/>
        <v>8951984.0896486826</v>
      </c>
    </row>
    <row r="59" spans="1:16" ht="17.25" customHeight="1">
      <c r="A59" s="2"/>
      <c r="B59" s="180">
        <v>30000000</v>
      </c>
      <c r="C59" s="73">
        <f t="shared" si="3"/>
        <v>8548086.4494773857</v>
      </c>
      <c r="D59" s="73">
        <f t="shared" si="4"/>
        <v>10354738.105821671</v>
      </c>
      <c r="E59" s="73">
        <f t="shared" si="5"/>
        <v>18902824.555299059</v>
      </c>
      <c r="F59" s="169">
        <f t="shared" si="6"/>
        <v>11097175.444700941</v>
      </c>
    </row>
    <row r="60" spans="1:16" ht="17.25" customHeight="1">
      <c r="A60" s="2"/>
      <c r="B60" s="180">
        <v>33000000</v>
      </c>
      <c r="C60" s="73">
        <f t="shared" si="3"/>
        <v>9402895.094425125</v>
      </c>
      <c r="D60" s="73">
        <f t="shared" si="4"/>
        <v>10354738.105821671</v>
      </c>
      <c r="E60" s="73">
        <f t="shared" ref="E60:E61" si="7">C60+D60</f>
        <v>19757633.200246796</v>
      </c>
      <c r="F60" s="169">
        <f t="shared" ref="F60:F61" si="8">B60-E60</f>
        <v>13242366.799753204</v>
      </c>
    </row>
    <row r="61" spans="1:16" ht="17.25" customHeight="1" thickBot="1">
      <c r="A61" s="2"/>
      <c r="B61" s="181">
        <v>36000000</v>
      </c>
      <c r="C61" s="96">
        <f t="shared" si="3"/>
        <v>10257703.739372863</v>
      </c>
      <c r="D61" s="96">
        <f t="shared" si="4"/>
        <v>10354738.105821671</v>
      </c>
      <c r="E61" s="96">
        <f t="shared" si="7"/>
        <v>20612441.845194533</v>
      </c>
      <c r="F61" s="170">
        <f t="shared" si="8"/>
        <v>15387558.154805467</v>
      </c>
    </row>
    <row r="62" spans="1:16" ht="16.5" customHeight="1">
      <c r="A62" s="2"/>
      <c r="B62" s="177"/>
      <c r="J62" s="127"/>
      <c r="K62" s="70"/>
      <c r="L62" s="72"/>
      <c r="M62" s="72"/>
      <c r="N62" s="72"/>
      <c r="O62" s="72"/>
    </row>
    <row r="63" spans="1:16" ht="16.5" customHeight="1">
      <c r="A63" s="2"/>
      <c r="B63" s="177"/>
      <c r="C63" s="177"/>
      <c r="D63" s="177"/>
      <c r="E63" s="177"/>
      <c r="F63" s="177"/>
      <c r="J63" s="127"/>
      <c r="K63" s="70"/>
      <c r="L63" s="73"/>
      <c r="M63" s="73"/>
      <c r="N63" s="73"/>
      <c r="O63" s="73"/>
    </row>
    <row r="64" spans="1:16" ht="16.5" customHeight="1">
      <c r="A64" s="2"/>
      <c r="B64" s="177"/>
      <c r="J64" s="127"/>
      <c r="K64" s="70"/>
      <c r="L64" s="73"/>
      <c r="M64" s="73"/>
      <c r="N64" s="168"/>
      <c r="O64" s="73"/>
      <c r="P64" s="127"/>
    </row>
    <row r="65" spans="1:16" ht="16.5" customHeight="1">
      <c r="A65" s="2"/>
      <c r="B65" s="177"/>
      <c r="C65" s="177"/>
      <c r="D65" s="177"/>
      <c r="E65" s="177"/>
      <c r="F65" s="177"/>
      <c r="J65" s="127"/>
      <c r="K65" s="70"/>
      <c r="L65" s="73"/>
      <c r="M65" s="73"/>
      <c r="N65" s="73"/>
      <c r="O65" s="73"/>
      <c r="P65" s="127"/>
    </row>
    <row r="66" spans="1:16" ht="16.5" customHeight="1">
      <c r="A66" s="2"/>
      <c r="B66" s="177"/>
      <c r="C66" s="177"/>
      <c r="D66" s="177"/>
      <c r="E66" s="177"/>
      <c r="F66" s="177"/>
      <c r="J66" s="127"/>
      <c r="K66" s="70"/>
      <c r="L66" s="73"/>
      <c r="M66" s="73"/>
      <c r="N66" s="73"/>
      <c r="O66" s="73"/>
      <c r="P66" s="127"/>
    </row>
    <row r="67" spans="1:16" ht="16.5" customHeight="1">
      <c r="A67" s="2"/>
      <c r="B67" s="2"/>
      <c r="C67" s="2"/>
      <c r="D67" s="2"/>
      <c r="E67" s="2"/>
      <c r="F67" s="2"/>
      <c r="J67" s="127"/>
      <c r="K67" s="70"/>
      <c r="L67" s="168"/>
      <c r="M67" s="168"/>
      <c r="N67" s="73"/>
      <c r="O67" s="73"/>
      <c r="P67" s="127"/>
    </row>
    <row r="68" spans="1:16" ht="16.5" customHeight="1">
      <c r="A68" s="2"/>
      <c r="B68" s="2"/>
      <c r="C68" s="2"/>
      <c r="D68" s="2"/>
      <c r="E68" s="2"/>
      <c r="F68" s="2"/>
      <c r="J68" s="127"/>
      <c r="K68" s="70"/>
      <c r="L68" s="73"/>
      <c r="M68" s="73"/>
      <c r="N68" s="73"/>
      <c r="O68" s="73"/>
      <c r="P68" s="127"/>
    </row>
    <row r="69" spans="1:16" ht="16.5" customHeight="1">
      <c r="A69" s="2"/>
      <c r="B69" s="2"/>
      <c r="C69" s="2"/>
      <c r="D69" s="2"/>
      <c r="E69" s="2"/>
      <c r="F69" s="2"/>
      <c r="J69" s="127"/>
      <c r="K69" s="70"/>
      <c r="L69" s="73"/>
      <c r="M69" s="73"/>
      <c r="N69" s="73"/>
      <c r="O69" s="73"/>
      <c r="P69" s="127"/>
    </row>
    <row r="70" spans="1:16" ht="16.5" customHeight="1">
      <c r="A70" s="2"/>
      <c r="B70" s="2"/>
      <c r="C70" s="2"/>
      <c r="D70" s="2"/>
      <c r="E70" s="2"/>
      <c r="F70" s="2"/>
      <c r="J70" s="127"/>
      <c r="K70" s="70"/>
      <c r="L70" s="73"/>
      <c r="M70" s="73"/>
      <c r="N70" s="73"/>
      <c r="O70" s="73"/>
      <c r="P70" s="127"/>
    </row>
    <row r="71" spans="1:16" ht="16.5" customHeight="1">
      <c r="A71" s="2"/>
      <c r="B71" s="2"/>
      <c r="C71" s="2"/>
      <c r="D71" s="2"/>
      <c r="E71" s="2"/>
      <c r="F71" s="2"/>
      <c r="J71" s="127"/>
      <c r="K71" s="70"/>
      <c r="L71" s="73"/>
      <c r="M71" s="73"/>
      <c r="N71" s="73"/>
      <c r="O71" s="73"/>
    </row>
    <row r="72" spans="1:16" ht="16.5" customHeight="1">
      <c r="A72" s="2"/>
      <c r="B72" s="2"/>
      <c r="C72" s="2"/>
      <c r="D72" s="2"/>
      <c r="E72" s="2"/>
      <c r="F72" s="2"/>
      <c r="J72" s="127"/>
      <c r="K72" s="70"/>
      <c r="L72" s="186"/>
      <c r="M72" s="73"/>
      <c r="N72" s="73"/>
      <c r="O72" s="73"/>
    </row>
    <row r="73" spans="1:16" ht="16.5" customHeight="1">
      <c r="A73" s="2"/>
      <c r="B73" s="2"/>
      <c r="C73" s="2"/>
      <c r="D73" s="2"/>
      <c r="E73" s="2"/>
      <c r="F73" s="2"/>
      <c r="J73" s="127"/>
      <c r="K73" s="70"/>
      <c r="L73" s="73"/>
      <c r="M73" s="73"/>
      <c r="N73" s="73"/>
      <c r="O73" s="73"/>
    </row>
    <row r="74" spans="1:16" ht="16.5" customHeight="1">
      <c r="A74" s="2"/>
      <c r="B74" s="2"/>
      <c r="C74" s="2"/>
      <c r="D74" s="2"/>
      <c r="E74" s="2"/>
      <c r="F74" s="2"/>
      <c r="J74" s="127"/>
      <c r="K74" s="70"/>
      <c r="L74" s="73"/>
      <c r="M74" s="73"/>
      <c r="N74" s="73"/>
      <c r="O74" s="73"/>
    </row>
    <row r="75" spans="1:16" ht="21" customHeight="1">
      <c r="A75" s="2"/>
      <c r="B75" s="2"/>
      <c r="C75" s="2"/>
      <c r="D75" s="2"/>
      <c r="E75" s="2"/>
      <c r="F75" s="2"/>
      <c r="J75" s="127"/>
      <c r="K75" s="70"/>
      <c r="L75" s="187"/>
      <c r="M75" s="73"/>
      <c r="N75" s="73"/>
      <c r="O75" s="73"/>
    </row>
    <row r="76" spans="1:16" ht="21" customHeight="1">
      <c r="A76" s="2"/>
      <c r="B76" s="2"/>
      <c r="C76" s="2"/>
      <c r="D76" s="2"/>
      <c r="E76" s="2"/>
      <c r="F76" s="2"/>
      <c r="J76" s="127"/>
      <c r="K76" s="70"/>
      <c r="L76" s="73"/>
      <c r="M76" s="73"/>
      <c r="N76" s="73"/>
      <c r="O76" s="73"/>
    </row>
    <row r="77" spans="1:16" ht="21" customHeight="1">
      <c r="J77" s="127"/>
      <c r="K77" s="70"/>
      <c r="L77" s="73"/>
      <c r="M77" s="73"/>
      <c r="N77" s="73"/>
    </row>
    <row r="78" spans="1:16" ht="21" customHeight="1">
      <c r="J78" s="127"/>
      <c r="K78" s="188"/>
      <c r="L78" s="187"/>
      <c r="M78" s="73"/>
      <c r="N78" s="73"/>
    </row>
    <row r="79" spans="1:16" ht="21" customHeight="1">
      <c r="J79" s="127"/>
      <c r="K79" s="188"/>
      <c r="L79" s="73"/>
      <c r="M79" s="73"/>
      <c r="N79" s="73"/>
    </row>
    <row r="80" spans="1:16" ht="21" customHeight="1">
      <c r="A80" s="2"/>
      <c r="B80" s="2"/>
      <c r="C80" s="2"/>
      <c r="D80" s="2"/>
      <c r="E80" s="2"/>
      <c r="F80" s="2"/>
      <c r="J80" s="127"/>
      <c r="K80" s="70"/>
      <c r="L80" s="73"/>
      <c r="M80" s="73"/>
      <c r="N80" s="73"/>
      <c r="O80" s="73"/>
    </row>
    <row r="81" spans="1:15" ht="21" customHeight="1" thickBot="1">
      <c r="A81" s="2"/>
      <c r="B81" s="2" t="s">
        <v>255</v>
      </c>
      <c r="C81" s="2"/>
      <c r="D81" s="2"/>
      <c r="E81" s="2"/>
      <c r="F81" s="2"/>
      <c r="J81" s="127"/>
      <c r="K81" s="70"/>
      <c r="L81" s="72"/>
      <c r="M81" s="72"/>
      <c r="N81" s="72"/>
      <c r="O81" s="72"/>
    </row>
    <row r="82" spans="1:15" ht="21" customHeight="1" thickBot="1">
      <c r="A82" s="2"/>
      <c r="B82" s="190" t="s">
        <v>216</v>
      </c>
      <c r="C82" s="183" t="s">
        <v>217</v>
      </c>
      <c r="D82" s="183" t="s">
        <v>254</v>
      </c>
      <c r="E82" s="183" t="s">
        <v>245</v>
      </c>
      <c r="F82" s="183" t="s">
        <v>247</v>
      </c>
      <c r="G82" s="184" t="s">
        <v>246</v>
      </c>
      <c r="J82" s="127"/>
      <c r="K82" s="70"/>
      <c r="L82" s="72"/>
      <c r="M82" s="72"/>
      <c r="N82" s="72"/>
      <c r="O82" s="72"/>
    </row>
    <row r="83" spans="1:15" ht="21" customHeight="1">
      <c r="A83" s="2"/>
      <c r="B83" s="103">
        <f>C43</f>
        <v>3958710.8691504169</v>
      </c>
      <c r="C83" s="73">
        <f>SUM($C$40:$C$41)-B83</f>
        <v>10354738.105821667</v>
      </c>
      <c r="D83" s="73">
        <f>B83+C83</f>
        <v>14313448.974972084</v>
      </c>
      <c r="E83" s="73">
        <f t="shared" ref="E83:E88" si="9">$C$39-B83</f>
        <v>9934612.1308495831</v>
      </c>
      <c r="F83" s="187">
        <f t="shared" ref="F83:F88" si="10">E83/$C$39</f>
        <v>0.71506378501742041</v>
      </c>
      <c r="G83" s="169">
        <f t="shared" ref="G83:G88" si="11">C83/F83</f>
        <v>14480859.362174809</v>
      </c>
      <c r="J83" s="127"/>
    </row>
    <row r="84" spans="1:15" ht="21" customHeight="1">
      <c r="A84" s="2"/>
      <c r="B84" s="103">
        <v>0</v>
      </c>
      <c r="C84" s="73">
        <f t="shared" ref="C84:C88" si="12">SUM($C$40:$C$41)-B84</f>
        <v>14313448.974972084</v>
      </c>
      <c r="D84" s="73">
        <f t="shared" ref="D84:D88" si="13">B84+C84</f>
        <v>14313448.974972084</v>
      </c>
      <c r="E84" s="73">
        <f t="shared" si="9"/>
        <v>13893323</v>
      </c>
      <c r="F84" s="187">
        <f t="shared" si="10"/>
        <v>1</v>
      </c>
      <c r="G84" s="169">
        <f t="shared" si="11"/>
        <v>14313448.974972084</v>
      </c>
      <c r="J84" s="127"/>
    </row>
    <row r="85" spans="1:15" ht="21" customHeight="1">
      <c r="A85" s="2"/>
      <c r="B85" s="103">
        <v>1000000</v>
      </c>
      <c r="C85" s="73">
        <f t="shared" si="12"/>
        <v>13313448.974972084</v>
      </c>
      <c r="D85" s="73">
        <f t="shared" si="13"/>
        <v>14313448.974972084</v>
      </c>
      <c r="E85" s="73">
        <f t="shared" si="9"/>
        <v>12893323</v>
      </c>
      <c r="F85" s="187">
        <f t="shared" si="10"/>
        <v>0.92802297909578579</v>
      </c>
      <c r="G85" s="169">
        <f t="shared" si="11"/>
        <v>14346033.745785015</v>
      </c>
      <c r="J85" s="127"/>
    </row>
    <row r="86" spans="1:15" ht="21" customHeight="1">
      <c r="A86" s="2"/>
      <c r="B86" s="103">
        <v>2000000</v>
      </c>
      <c r="C86" s="73">
        <f t="shared" si="12"/>
        <v>12313448.974972084</v>
      </c>
      <c r="D86" s="73">
        <f t="shared" si="13"/>
        <v>14313448.974972084</v>
      </c>
      <c r="E86" s="73">
        <f t="shared" si="9"/>
        <v>11893323</v>
      </c>
      <c r="F86" s="187">
        <f t="shared" si="10"/>
        <v>0.85604595819157159</v>
      </c>
      <c r="G86" s="169">
        <f t="shared" si="11"/>
        <v>14384098.023177044</v>
      </c>
      <c r="J86" s="127"/>
    </row>
    <row r="87" spans="1:15" ht="21" customHeight="1">
      <c r="B87" s="103">
        <v>3000000</v>
      </c>
      <c r="C87" s="73">
        <f t="shared" si="12"/>
        <v>11313448.974972084</v>
      </c>
      <c r="D87" s="73">
        <f t="shared" si="13"/>
        <v>14313448.974972084</v>
      </c>
      <c r="E87" s="73">
        <f t="shared" si="9"/>
        <v>10893323</v>
      </c>
      <c r="F87" s="187">
        <f t="shared" si="10"/>
        <v>0.78406893728735738</v>
      </c>
      <c r="G87" s="169">
        <f t="shared" si="11"/>
        <v>14429150.852619177</v>
      </c>
      <c r="J87" s="127"/>
    </row>
    <row r="88" spans="1:15" ht="21" customHeight="1" thickBot="1">
      <c r="B88" s="105">
        <v>4000000</v>
      </c>
      <c r="C88" s="96">
        <f t="shared" si="12"/>
        <v>10313448.974972084</v>
      </c>
      <c r="D88" s="96">
        <f t="shared" si="13"/>
        <v>14313448.974972084</v>
      </c>
      <c r="E88" s="96">
        <f t="shared" si="9"/>
        <v>9893323</v>
      </c>
      <c r="F88" s="189">
        <f t="shared" si="10"/>
        <v>0.71209191638314318</v>
      </c>
      <c r="G88" s="170">
        <f t="shared" si="11"/>
        <v>14483311.406420885</v>
      </c>
      <c r="J88" s="127"/>
    </row>
    <row r="89" spans="1:15" ht="21" customHeight="1">
      <c r="J89" s="127"/>
    </row>
    <row r="90" spans="1:15" ht="21" customHeight="1">
      <c r="J90" s="127"/>
      <c r="K90" s="70"/>
      <c r="L90" s="72"/>
      <c r="M90" s="72"/>
      <c r="N90" s="72"/>
      <c r="O90" s="72"/>
    </row>
  </sheetData>
  <phoneticPr fontId="21"/>
  <pageMargins left="0.74803149606299213" right="0.74803149606299213" top="0.98425196850393704" bottom="0.43307086614173229" header="0.51181102362204722" footer="0.5118110236220472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2AA84FCD862FC41B047E98489BC9CA6" ma:contentTypeVersion="16" ma:contentTypeDescription="新しいドキュメントを作成します。" ma:contentTypeScope="" ma:versionID="4e433ba53d8e641bdcace69108658e47">
  <xsd:schema xmlns:xsd="http://www.w3.org/2001/XMLSchema" xmlns:xs="http://www.w3.org/2001/XMLSchema" xmlns:p="http://schemas.microsoft.com/office/2006/metadata/properties" xmlns:ns2="2299a388-bd21-4770-bef4-e8c87f37b259" xmlns:ns3="e3e09e67-d7cc-4e47-828f-5f2cf354dd97" targetNamespace="http://schemas.microsoft.com/office/2006/metadata/properties" ma:root="true" ma:fieldsID="f7d191364cfc2c215009f848f132813d" ns2:_="" ns3:_="">
    <xsd:import namespace="2299a388-bd21-4770-bef4-e8c87f37b259"/>
    <xsd:import namespace="e3e09e67-d7cc-4e47-828f-5f2cf354dd97"/>
    <xsd:element name="properties">
      <xsd:complexType>
        <xsd:sequence>
          <xsd:element name="documentManagement">
            <xsd:complexType>
              <xsd:all>
                <xsd:element ref="ns2:_x4f5c__x6210__x65e5__x6642_"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99a388-bd21-4770-bef4-e8c87f37b259" elementFormDefault="qualified">
    <xsd:import namespace="http://schemas.microsoft.com/office/2006/documentManagement/types"/>
    <xsd:import namespace="http://schemas.microsoft.com/office/infopath/2007/PartnerControls"/>
    <xsd:element name="_x4f5c__x6210__x65e5__x6642_" ma:index="8" nillable="true" ma:displayName="作成日時" ma:default="" ma:description="" ma:format="DateTime" ma:internalName="_x4f5c__x6210__x65e5__x6642_">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e09e67-d7cc-4e47-828f-5f2cf354dd9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477694d-bc41-400b-9c02-279de9d69307}" ma:internalName="TaxCatchAll" ma:showField="CatchAllData" ma:web="e3e09e67-d7cc-4e47-828f-5f2cf354dd9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4f5c__x6210__x65e5__x6642_ xmlns="2299a388-bd21-4770-bef4-e8c87f37b259" xsi:nil="true"/>
    <lcf76f155ced4ddcb4097134ff3c332f xmlns="2299a388-bd21-4770-bef4-e8c87f37b259">
      <Terms xmlns="http://schemas.microsoft.com/office/infopath/2007/PartnerControls"/>
    </lcf76f155ced4ddcb4097134ff3c332f>
    <TaxCatchAll xmlns="e3e09e67-d7cc-4e47-828f-5f2cf354dd9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6BB257-1903-40BA-A78F-8E88550EB3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99a388-bd21-4770-bef4-e8c87f37b259"/>
    <ds:schemaRef ds:uri="e3e09e67-d7cc-4e47-828f-5f2cf354dd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5F9EA7-6F42-455D-A78E-38FB3538E6AF}">
  <ds:schemaRefs>
    <ds:schemaRef ds:uri="http://schemas.microsoft.com/office/2006/documentManagement/types"/>
    <ds:schemaRef ds:uri="2299a388-bd21-4770-bef4-e8c87f37b259"/>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schemas.microsoft.com/office/infopath/2007/PartnerControls"/>
    <ds:schemaRef ds:uri="e3e09e67-d7cc-4e47-828f-5f2cf354dd97"/>
    <ds:schemaRef ds:uri="http://purl.org/dc/terms/"/>
  </ds:schemaRefs>
</ds:datastoreItem>
</file>

<file path=customXml/itemProps3.xml><?xml version="1.0" encoding="utf-8"?>
<ds:datastoreItem xmlns:ds="http://schemas.openxmlformats.org/officeDocument/2006/customXml" ds:itemID="{0F488096-E65D-4316-9708-996F930199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237</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01　別紙２様式第３－１号</vt:lpstr>
      <vt:lpstr>別紙２様式第３－１号の７</vt:lpstr>
      <vt:lpstr>入力する経費</vt:lpstr>
      <vt:lpstr>参考＿経営収支計画</vt:lpstr>
      <vt:lpstr>参考＿経営収支計画根拠</vt:lpstr>
      <vt:lpstr>別紙２様式第３－１号の７ (品目別)</vt:lpstr>
      <vt:lpstr>'01　別紙２様式第３－１号'!Print_Area</vt:lpstr>
      <vt:lpstr>参考＿経営収支計画!Print_Area</vt:lpstr>
      <vt:lpstr>'別紙２様式第３－１号の７'!Print_Area</vt:lpstr>
    </vt:vector>
  </TitlesOfParts>
  <Company>農林水産省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農林水産省</dc:creator>
  <cp:lastModifiedBy>島根県澤田　泰人</cp:lastModifiedBy>
  <cp:revision>2</cp:revision>
  <cp:lastPrinted>2025-07-14T06:46:08Z</cp:lastPrinted>
  <dcterms:created xsi:type="dcterms:W3CDTF">2024-04-17T06:39:00Z</dcterms:created>
  <dcterms:modified xsi:type="dcterms:W3CDTF">2025-07-14T06:48:12Z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0x010100F2AA84FCD862FC41B047E98489BC9CA6</vt:lpwstr>
  </property>
  <property fmtid="{D5CDD505-2E9C-101B-9397-08002B2CF9AE}" pid="3" name="MediaServiceImageTags">
    <vt:lpwstr/>
  </property>
</Properties>
</file>