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SweeYean\LSY\Investment\"/>
    </mc:Choice>
  </mc:AlternateContent>
  <xr:revisionPtr revIDLastSave="0" documentId="13_ncr:1_{3E78EDB2-0862-4502-AF07-D37986ABB1EF}" xr6:coauthVersionLast="36" xr6:coauthVersionMax="36" xr10:uidLastSave="{00000000-0000-0000-0000-000000000000}"/>
  <bookViews>
    <workbookView xWindow="0" yWindow="0" windowWidth="15345" windowHeight="6705" tabRatio="708" xr2:uid="{00000000-000D-0000-FFFF-FFFF00000000}"/>
  </bookViews>
  <sheets>
    <sheet name="In" sheetId="1" r:id="rId1"/>
    <sheet name="Sellable List" sheetId="3" r:id="rId2"/>
    <sheet name="Dividend" sheetId="10" r:id="rId3"/>
    <sheet name="Buy" sheetId="7" r:id="rId4"/>
    <sheet name="Sell" sheetId="8" r:id="rId5"/>
    <sheet name="Global Txn" sheetId="11" r:id="rId6"/>
    <sheet name="Global Buy" sheetId="12" r:id="rId7"/>
    <sheet name="Sheet1" sheetId="14" r:id="rId8"/>
    <sheet name="MBB Transaction" sheetId="13" r:id="rId9"/>
    <sheet name="Sheet2" sheetId="15" r:id="rId10"/>
  </sheets>
  <definedNames>
    <definedName name="_xlnm._FilterDatabase" localSheetId="3" hidden="1">Buy!$A$1:$O$51</definedName>
    <definedName name="_xlnm._FilterDatabase" localSheetId="6" hidden="1">'Global Buy'!$A$1:$W$16</definedName>
    <definedName name="_xlnm._FilterDatabase" localSheetId="4" hidden="1">Sell!$A$1:$P$31</definedName>
    <definedName name="_xlnm._FilterDatabase" localSheetId="1" hidden="1">'Sellable List'!$A$2:$Q$28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7" i="12" l="1"/>
  <c r="Q8" i="12"/>
  <c r="Q9" i="12"/>
  <c r="Q10" i="12"/>
  <c r="R11" i="12"/>
  <c r="R12" i="12"/>
  <c r="P12" i="12"/>
  <c r="P11" i="12"/>
  <c r="M9" i="12"/>
  <c r="M8" i="12"/>
  <c r="M10" i="12"/>
  <c r="N23" i="3"/>
  <c r="M23" i="3"/>
  <c r="E1" i="3" l="1"/>
  <c r="H10" i="11"/>
  <c r="G10" i="11"/>
  <c r="H8" i="11"/>
  <c r="H9" i="11"/>
  <c r="H13" i="12" l="1"/>
  <c r="G23" i="12"/>
  <c r="F23" i="12"/>
  <c r="E23" i="12"/>
  <c r="G20" i="12"/>
  <c r="E27" i="3" l="1"/>
  <c r="F27" i="3"/>
  <c r="F26" i="3"/>
  <c r="F49" i="7"/>
  <c r="H49" i="7" s="1"/>
  <c r="G49" i="7" l="1"/>
  <c r="I14" i="3"/>
  <c r="K49" i="7" l="1"/>
  <c r="J49" i="7"/>
  <c r="L49" i="7" s="1"/>
  <c r="D27" i="3"/>
  <c r="N27" i="3" s="1"/>
  <c r="C27" i="3"/>
  <c r="E26" i="3"/>
  <c r="L45" i="7" l="1"/>
  <c r="G46" i="7"/>
  <c r="G45" i="7"/>
  <c r="F48" i="7" l="1"/>
  <c r="F47" i="7"/>
  <c r="G48" i="7" l="1"/>
  <c r="H48" i="7"/>
  <c r="G47" i="7"/>
  <c r="H47" i="7"/>
  <c r="J48" i="7" l="1"/>
  <c r="K48" i="7"/>
  <c r="K47" i="7"/>
  <c r="J47" i="7"/>
  <c r="L47" i="7" s="1"/>
  <c r="L48" i="7" l="1"/>
  <c r="G44" i="7"/>
  <c r="D26" i="3" l="1"/>
  <c r="N26" i="3" s="1"/>
  <c r="J46" i="7"/>
  <c r="L46" i="7" s="1"/>
  <c r="H46" i="7"/>
  <c r="K46" i="7"/>
  <c r="F46" i="7"/>
  <c r="C26" i="3" l="1"/>
  <c r="G8" i="11"/>
  <c r="F18" i="8"/>
  <c r="H18" i="8" s="1"/>
  <c r="G18" i="8" l="1"/>
  <c r="F3" i="8"/>
  <c r="F2" i="8"/>
  <c r="G2" i="8" s="1"/>
  <c r="F5" i="3"/>
  <c r="D5" i="3" s="1"/>
  <c r="K18" i="8" l="1"/>
  <c r="J18" i="8"/>
  <c r="N20" i="12"/>
  <c r="L18" i="8" l="1"/>
  <c r="M18" i="8" s="1"/>
  <c r="F45" i="7"/>
  <c r="I45" i="7" s="1"/>
  <c r="K45" i="7" l="1"/>
  <c r="H45" i="7"/>
  <c r="J45" i="7" l="1"/>
  <c r="E57" i="7"/>
  <c r="F51" i="7"/>
  <c r="H51" i="7" s="1"/>
  <c r="G51" i="7"/>
  <c r="K51" i="7" s="1"/>
  <c r="K44" i="7"/>
  <c r="F44" i="7"/>
  <c r="H44" i="7"/>
  <c r="J44" i="7"/>
  <c r="I51" i="7" l="1"/>
  <c r="J51" i="7" s="1"/>
  <c r="F21" i="3"/>
  <c r="E58" i="7" l="1"/>
  <c r="F50" i="7"/>
  <c r="I50" i="7" l="1"/>
  <c r="G50" i="7"/>
  <c r="K50" i="7" s="1"/>
  <c r="H50" i="7"/>
  <c r="J50" i="7" l="1"/>
  <c r="K42" i="7"/>
  <c r="I7" i="3" l="1"/>
  <c r="M14" i="3"/>
  <c r="M16" i="3"/>
  <c r="E22" i="8"/>
  <c r="F23" i="3" l="1"/>
  <c r="D23" i="3" s="1"/>
  <c r="L44" i="7" l="1"/>
  <c r="C14" i="1" l="1"/>
  <c r="H11" i="12"/>
  <c r="H12" i="12"/>
  <c r="A1" i="1" l="1"/>
  <c r="P28" i="3" l="1"/>
  <c r="P27" i="3"/>
  <c r="P26" i="3"/>
  <c r="P23" i="3"/>
  <c r="P22" i="3"/>
  <c r="P21" i="3"/>
  <c r="P18" i="3"/>
  <c r="P16" i="3"/>
  <c r="P14" i="3"/>
  <c r="P5" i="3"/>
  <c r="O28" i="3"/>
  <c r="O27" i="3"/>
  <c r="O26" i="3"/>
  <c r="O23" i="3"/>
  <c r="O22" i="3"/>
  <c r="O21" i="3"/>
  <c r="O18" i="3"/>
  <c r="O16" i="3"/>
  <c r="O14" i="3"/>
  <c r="O5" i="3"/>
  <c r="F40" i="7" l="1"/>
  <c r="J25" i="3" l="1"/>
  <c r="F25" i="3"/>
  <c r="D25" i="3" s="1"/>
  <c r="F38" i="7"/>
  <c r="J40" i="7" l="1"/>
  <c r="K40" i="7"/>
  <c r="K38" i="7"/>
  <c r="H7" i="11"/>
  <c r="J38" i="7" l="1"/>
  <c r="F37" i="7"/>
  <c r="H37" i="7" l="1"/>
  <c r="I37" i="7"/>
  <c r="G37" i="7"/>
  <c r="W9" i="12"/>
  <c r="W8" i="12"/>
  <c r="J37" i="7" l="1"/>
  <c r="K37" i="7"/>
  <c r="U22" i="12"/>
  <c r="V22" i="12" s="1"/>
  <c r="K28" i="3"/>
  <c r="C7" i="11" l="1"/>
  <c r="V16" i="12"/>
  <c r="V15" i="12"/>
  <c r="S3" i="12" l="1"/>
  <c r="T1" i="12" l="1"/>
  <c r="T8" i="12"/>
  <c r="T9" i="12" s="1"/>
  <c r="T10" i="12" s="1"/>
  <c r="H8" i="12" l="1"/>
  <c r="F20" i="3" l="1"/>
  <c r="D20" i="3" s="1"/>
  <c r="F24" i="3"/>
  <c r="D24" i="3" s="1"/>
  <c r="K24" i="3" l="1"/>
  <c r="W14" i="12" l="1"/>
  <c r="V10" i="12" l="1"/>
  <c r="U10" i="12"/>
  <c r="H10" i="12" l="1"/>
  <c r="H9" i="12"/>
  <c r="P13" i="12"/>
  <c r="P14" i="12"/>
  <c r="P15" i="12"/>
  <c r="P16" i="12"/>
  <c r="R4" i="12"/>
  <c r="R5" i="12"/>
  <c r="R6" i="12"/>
  <c r="R3" i="12"/>
  <c r="H23" i="12" l="1"/>
  <c r="H20" i="12"/>
  <c r="V8" i="12"/>
  <c r="V11" i="12" s="1"/>
  <c r="U8" i="12"/>
  <c r="I20" i="12" l="1"/>
  <c r="O20" i="12"/>
  <c r="P20" i="12" s="1"/>
  <c r="K14" i="3"/>
  <c r="K4" i="3"/>
  <c r="K5" i="3"/>
  <c r="K6" i="3"/>
  <c r="K8" i="3"/>
  <c r="K9" i="3"/>
  <c r="K10" i="3"/>
  <c r="K16" i="3"/>
  <c r="K23" i="3"/>
  <c r="K25" i="3"/>
  <c r="K26" i="3"/>
  <c r="K27" i="3"/>
  <c r="K3" i="3"/>
  <c r="D22" i="3"/>
  <c r="K22" i="3" s="1"/>
  <c r="D21" i="3"/>
  <c r="K20" i="3"/>
  <c r="K21" i="3" l="1"/>
  <c r="H7" i="12"/>
  <c r="C18" i="3" l="1"/>
  <c r="F21" i="8"/>
  <c r="G21" i="8" l="1"/>
  <c r="K21" i="8" s="1"/>
  <c r="H21" i="8"/>
  <c r="F1" i="12"/>
  <c r="G1" i="12"/>
  <c r="J21" i="8" l="1"/>
  <c r="L21" i="8" s="1"/>
  <c r="H6" i="12"/>
  <c r="P6" i="12" s="1"/>
  <c r="Q6" i="12" s="1"/>
  <c r="H5" i="12" l="1"/>
  <c r="P5" i="12" s="1"/>
  <c r="Q5" i="12" s="1"/>
  <c r="H4" i="12"/>
  <c r="P4" i="12" s="1"/>
  <c r="Q4" i="12" s="1"/>
  <c r="D7" i="3" l="1"/>
  <c r="K7" i="3" s="1"/>
  <c r="H3" i="12" l="1"/>
  <c r="B1" i="11"/>
  <c r="P3" i="12" l="1"/>
  <c r="F39" i="7"/>
  <c r="L40" i="7"/>
  <c r="F41" i="7"/>
  <c r="F42" i="7"/>
  <c r="F43" i="7"/>
  <c r="F30" i="7"/>
  <c r="F31" i="7"/>
  <c r="F32" i="7"/>
  <c r="F33" i="7"/>
  <c r="F34" i="7"/>
  <c r="G34" i="7" s="1"/>
  <c r="F35" i="7"/>
  <c r="G35" i="7" s="1"/>
  <c r="K35" i="7" s="1"/>
  <c r="F36" i="7"/>
  <c r="H36" i="7" s="1"/>
  <c r="D19" i="3"/>
  <c r="F57" i="7" l="1"/>
  <c r="I43" i="7"/>
  <c r="H43" i="7"/>
  <c r="G43" i="7"/>
  <c r="K43" i="7" s="1"/>
  <c r="H39" i="7"/>
  <c r="I39" i="7"/>
  <c r="G39" i="7"/>
  <c r="K39" i="7" s="1"/>
  <c r="I32" i="7"/>
  <c r="H32" i="7"/>
  <c r="I41" i="7"/>
  <c r="H41" i="7"/>
  <c r="H34" i="7"/>
  <c r="J34" i="7" s="1"/>
  <c r="G57" i="7"/>
  <c r="G41" i="7"/>
  <c r="J42" i="7"/>
  <c r="L42" i="7" s="1"/>
  <c r="Q3" i="12"/>
  <c r="K34" i="7"/>
  <c r="G31" i="7"/>
  <c r="K31" i="7" s="1"/>
  <c r="I31" i="7"/>
  <c r="G32" i="7"/>
  <c r="K32" i="7" s="1"/>
  <c r="G36" i="7"/>
  <c r="K36" i="7" s="1"/>
  <c r="H30" i="7"/>
  <c r="G30" i="7"/>
  <c r="L37" i="7"/>
  <c r="L38" i="7"/>
  <c r="H35" i="7"/>
  <c r="J35" i="7" s="1"/>
  <c r="H31" i="7"/>
  <c r="F27" i="7"/>
  <c r="G27" i="7" s="1"/>
  <c r="M37" i="7" l="1"/>
  <c r="J39" i="7"/>
  <c r="L39" i="7" s="1"/>
  <c r="M39" i="7" s="1"/>
  <c r="J41" i="7"/>
  <c r="K41" i="7"/>
  <c r="L34" i="7"/>
  <c r="E24" i="3" s="1"/>
  <c r="C24" i="3" s="1"/>
  <c r="J43" i="7"/>
  <c r="J32" i="7"/>
  <c r="L32" i="7" s="1"/>
  <c r="J36" i="7"/>
  <c r="L36" i="7" s="1"/>
  <c r="E25" i="3" s="1"/>
  <c r="C25" i="3" s="1"/>
  <c r="J31" i="7"/>
  <c r="L31" i="7" s="1"/>
  <c r="J33" i="7"/>
  <c r="K33" i="7"/>
  <c r="J30" i="7"/>
  <c r="K30" i="7"/>
  <c r="L35" i="7"/>
  <c r="F58" i="7" s="1"/>
  <c r="H27" i="7"/>
  <c r="K27" i="7" s="1"/>
  <c r="I27" i="7"/>
  <c r="L41" i="7" l="1"/>
  <c r="M41" i="7" s="1"/>
  <c r="L33" i="7"/>
  <c r="M32" i="7" s="1"/>
  <c r="G58" i="7"/>
  <c r="E23" i="3"/>
  <c r="C23" i="3" s="1"/>
  <c r="L43" i="7"/>
  <c r="L30" i="7"/>
  <c r="J27" i="7"/>
  <c r="I2" i="8"/>
  <c r="I4" i="3"/>
  <c r="I3" i="3"/>
  <c r="E21" i="3" l="1"/>
  <c r="M21" i="8"/>
  <c r="N21" i="8" s="1"/>
  <c r="E22" i="3"/>
  <c r="H2" i="8"/>
  <c r="N21" i="3" l="1"/>
  <c r="Q21" i="3" s="1"/>
  <c r="C21" i="3"/>
  <c r="C22" i="3"/>
  <c r="N22" i="3"/>
  <c r="K2" i="8"/>
  <c r="J2" i="8"/>
  <c r="L2" i="8" l="1"/>
  <c r="D18" i="3"/>
  <c r="D17" i="3"/>
  <c r="K17" i="3" s="1"/>
  <c r="N18" i="3" l="1"/>
  <c r="K18" i="3"/>
  <c r="M3" i="3"/>
  <c r="K2" i="10" l="1"/>
  <c r="P10" i="8"/>
  <c r="P13" i="8"/>
  <c r="P12" i="8"/>
  <c r="P14" i="8"/>
  <c r="C9" i="3"/>
  <c r="F13" i="7"/>
  <c r="I13" i="7" s="1"/>
  <c r="F14" i="7"/>
  <c r="H14" i="7" s="1"/>
  <c r="F15" i="7"/>
  <c r="I15" i="7" s="1"/>
  <c r="F16" i="7"/>
  <c r="G16" i="7" s="1"/>
  <c r="F17" i="7"/>
  <c r="G17" i="7" s="1"/>
  <c r="F18" i="7"/>
  <c r="I18" i="7" s="1"/>
  <c r="F19" i="7"/>
  <c r="G19" i="7" s="1"/>
  <c r="F20" i="7"/>
  <c r="I20" i="7" s="1"/>
  <c r="F21" i="7"/>
  <c r="I21" i="7" s="1"/>
  <c r="F22" i="7"/>
  <c r="G22" i="7" s="1"/>
  <c r="F23" i="7"/>
  <c r="H23" i="7" s="1"/>
  <c r="F24" i="7"/>
  <c r="G24" i="7" s="1"/>
  <c r="F25" i="7"/>
  <c r="I25" i="7" s="1"/>
  <c r="F26" i="7"/>
  <c r="H26" i="7" s="1"/>
  <c r="L27" i="7"/>
  <c r="F28" i="7"/>
  <c r="I28" i="7" s="1"/>
  <c r="F29" i="7"/>
  <c r="G29" i="7" s="1"/>
  <c r="F11" i="7"/>
  <c r="H11" i="7" s="1"/>
  <c r="L27" i="8"/>
  <c r="L28" i="8"/>
  <c r="L29" i="8"/>
  <c r="L30" i="8"/>
  <c r="L31" i="8"/>
  <c r="G27" i="8"/>
  <c r="G28" i="8"/>
  <c r="G29" i="8"/>
  <c r="G30" i="8"/>
  <c r="G31" i="8"/>
  <c r="F10" i="7"/>
  <c r="I10" i="7" s="1"/>
  <c r="F3" i="7"/>
  <c r="G3" i="7" s="1"/>
  <c r="F4" i="7"/>
  <c r="G4" i="7" s="1"/>
  <c r="F5" i="7"/>
  <c r="H5" i="7" s="1"/>
  <c r="F6" i="7"/>
  <c r="H6" i="7" s="1"/>
  <c r="F7" i="7"/>
  <c r="G7" i="7" s="1"/>
  <c r="F8" i="7"/>
  <c r="G8" i="7" s="1"/>
  <c r="F9" i="7"/>
  <c r="G9" i="7" s="1"/>
  <c r="F12" i="7"/>
  <c r="H3" i="7"/>
  <c r="H4" i="7"/>
  <c r="K31" i="8"/>
  <c r="J31" i="8"/>
  <c r="I31" i="8"/>
  <c r="H31" i="8"/>
  <c r="F31" i="8"/>
  <c r="K30" i="8"/>
  <c r="J30" i="8"/>
  <c r="I30" i="8"/>
  <c r="H30" i="8"/>
  <c r="F30" i="8"/>
  <c r="K29" i="8"/>
  <c r="J29" i="8"/>
  <c r="I29" i="8"/>
  <c r="H29" i="8"/>
  <c r="F29" i="8"/>
  <c r="K28" i="8"/>
  <c r="J28" i="8"/>
  <c r="I28" i="8"/>
  <c r="H28" i="8"/>
  <c r="F28" i="8"/>
  <c r="K27" i="8"/>
  <c r="J27" i="8"/>
  <c r="I27" i="8"/>
  <c r="H27" i="8"/>
  <c r="F27" i="8"/>
  <c r="F26" i="8"/>
  <c r="G26" i="8" s="1"/>
  <c r="F25" i="8"/>
  <c r="H25" i="8" s="1"/>
  <c r="F24" i="8"/>
  <c r="F23" i="8"/>
  <c r="F22" i="8"/>
  <c r="G22" i="8" s="1"/>
  <c r="F20" i="8"/>
  <c r="F19" i="8"/>
  <c r="F17" i="8"/>
  <c r="I17" i="8" s="1"/>
  <c r="F16" i="8"/>
  <c r="G16" i="8" s="1"/>
  <c r="F15" i="8"/>
  <c r="F14" i="8"/>
  <c r="G14" i="8" s="1"/>
  <c r="F13" i="8"/>
  <c r="F12" i="8"/>
  <c r="F11" i="8"/>
  <c r="F10" i="8"/>
  <c r="G10" i="8" s="1"/>
  <c r="K10" i="8" s="1"/>
  <c r="F9" i="8"/>
  <c r="H9" i="8" s="1"/>
  <c r="F8" i="8"/>
  <c r="I8" i="8" s="1"/>
  <c r="F7" i="8"/>
  <c r="I7" i="8" s="1"/>
  <c r="F6" i="8"/>
  <c r="F5" i="8"/>
  <c r="I5" i="8" s="1"/>
  <c r="F4" i="8"/>
  <c r="I4" i="8" s="1"/>
  <c r="H3" i="8"/>
  <c r="I26" i="8" l="1"/>
  <c r="H26" i="8"/>
  <c r="K26" i="8" s="1"/>
  <c r="I24" i="8"/>
  <c r="G25" i="8"/>
  <c r="K25" i="8" s="1"/>
  <c r="H24" i="8"/>
  <c r="G24" i="8"/>
  <c r="G23" i="8"/>
  <c r="K23" i="8" s="1"/>
  <c r="H23" i="8"/>
  <c r="I7" i="7"/>
  <c r="G23" i="7"/>
  <c r="K23" i="7" s="1"/>
  <c r="I19" i="7"/>
  <c r="H28" i="7"/>
  <c r="H22" i="8"/>
  <c r="J22" i="8" s="1"/>
  <c r="K16" i="8"/>
  <c r="G28" i="7"/>
  <c r="I22" i="7"/>
  <c r="G20" i="8"/>
  <c r="K20" i="8" s="1"/>
  <c r="H20" i="8"/>
  <c r="G17" i="8"/>
  <c r="K17" i="8" s="1"/>
  <c r="H19" i="8"/>
  <c r="G19" i="8"/>
  <c r="K19" i="8" s="1"/>
  <c r="I29" i="7"/>
  <c r="H29" i="7"/>
  <c r="K29" i="7" s="1"/>
  <c r="H17" i="8"/>
  <c r="G26" i="7"/>
  <c r="K26" i="7" s="1"/>
  <c r="I26" i="7"/>
  <c r="H25" i="7"/>
  <c r="G25" i="7"/>
  <c r="I24" i="7"/>
  <c r="H24" i="7"/>
  <c r="K24" i="7" s="1"/>
  <c r="I23" i="7"/>
  <c r="H22" i="7"/>
  <c r="K22" i="7" s="1"/>
  <c r="H13" i="8"/>
  <c r="H15" i="8"/>
  <c r="H7" i="7"/>
  <c r="G13" i="8"/>
  <c r="K13" i="8" s="1"/>
  <c r="I3" i="7"/>
  <c r="G15" i="8"/>
  <c r="K15" i="8" s="1"/>
  <c r="H16" i="8"/>
  <c r="G21" i="7"/>
  <c r="H21" i="7"/>
  <c r="G3" i="8"/>
  <c r="H20" i="7"/>
  <c r="G20" i="7"/>
  <c r="I14" i="8"/>
  <c r="H14" i="8"/>
  <c r="H19" i="7"/>
  <c r="K19" i="7" s="1"/>
  <c r="I12" i="8"/>
  <c r="H12" i="8"/>
  <c r="G12" i="8"/>
  <c r="G18" i="7"/>
  <c r="H18" i="7"/>
  <c r="H17" i="7"/>
  <c r="K17" i="7" s="1"/>
  <c r="I17" i="7"/>
  <c r="G7" i="8"/>
  <c r="I11" i="7"/>
  <c r="G14" i="7"/>
  <c r="K14" i="7" s="1"/>
  <c r="I14" i="7"/>
  <c r="H16" i="7"/>
  <c r="K16" i="7" s="1"/>
  <c r="H8" i="7"/>
  <c r="I11" i="8"/>
  <c r="G11" i="8"/>
  <c r="H11" i="8"/>
  <c r="H10" i="8"/>
  <c r="I16" i="7"/>
  <c r="G15" i="7"/>
  <c r="G13" i="7"/>
  <c r="H15" i="7"/>
  <c r="H13" i="7"/>
  <c r="G6" i="7"/>
  <c r="K6" i="7" s="1"/>
  <c r="I6" i="7"/>
  <c r="G5" i="7"/>
  <c r="I12" i="7"/>
  <c r="H12" i="7"/>
  <c r="G12" i="7"/>
  <c r="G9" i="8"/>
  <c r="I9" i="8"/>
  <c r="G5" i="8"/>
  <c r="G4" i="8"/>
  <c r="G11" i="7"/>
  <c r="G8" i="8"/>
  <c r="G10" i="7"/>
  <c r="H9" i="7"/>
  <c r="K9" i="7" s="1"/>
  <c r="G6" i="8"/>
  <c r="H10" i="7"/>
  <c r="I9" i="7"/>
  <c r="I5" i="7"/>
  <c r="I8" i="7"/>
  <c r="I4" i="7"/>
  <c r="H8" i="8"/>
  <c r="H7" i="8"/>
  <c r="I3" i="8"/>
  <c r="H4" i="8"/>
  <c r="H5" i="8"/>
  <c r="H6" i="8"/>
  <c r="F2" i="7"/>
  <c r="J26" i="8" l="1"/>
  <c r="L26" i="8" s="1"/>
  <c r="J25" i="8"/>
  <c r="K24" i="8"/>
  <c r="J24" i="8"/>
  <c r="J23" i="8"/>
  <c r="K22" i="8"/>
  <c r="L22" i="8" s="1"/>
  <c r="K18" i="7"/>
  <c r="J23" i="7"/>
  <c r="L23" i="7" s="1"/>
  <c r="K28" i="7"/>
  <c r="J28" i="7"/>
  <c r="J22" i="7"/>
  <c r="L22" i="7" s="1"/>
  <c r="J20" i="8"/>
  <c r="L20" i="8" s="1"/>
  <c r="M20" i="3" s="1"/>
  <c r="N20" i="3" s="1"/>
  <c r="K6" i="8"/>
  <c r="K20" i="7"/>
  <c r="K21" i="7"/>
  <c r="J25" i="7"/>
  <c r="K25" i="7"/>
  <c r="J19" i="8"/>
  <c r="J29" i="7"/>
  <c r="L29" i="7" s="1"/>
  <c r="J17" i="8"/>
  <c r="L17" i="8" s="1"/>
  <c r="M17" i="3" s="1"/>
  <c r="N17" i="3" s="1"/>
  <c r="J26" i="7"/>
  <c r="J15" i="8"/>
  <c r="J16" i="8"/>
  <c r="J13" i="8"/>
  <c r="L13" i="8" s="1"/>
  <c r="J24" i="7"/>
  <c r="L24" i="7" s="1"/>
  <c r="G2" i="7"/>
  <c r="I2" i="7"/>
  <c r="H2" i="7"/>
  <c r="K8" i="8"/>
  <c r="J21" i="7"/>
  <c r="J20" i="7"/>
  <c r="J8" i="8"/>
  <c r="K9" i="8"/>
  <c r="J14" i="8"/>
  <c r="J19" i="7"/>
  <c r="L19" i="7" s="1"/>
  <c r="E15" i="3" s="1"/>
  <c r="J17" i="7"/>
  <c r="L17" i="7" s="1"/>
  <c r="K12" i="8"/>
  <c r="J12" i="8"/>
  <c r="J18" i="7"/>
  <c r="J16" i="7"/>
  <c r="L16" i="7" s="1"/>
  <c r="M16" i="7" s="1"/>
  <c r="K12" i="7"/>
  <c r="J14" i="7"/>
  <c r="L14" i="7" s="1"/>
  <c r="M14" i="7" s="1"/>
  <c r="K5" i="8"/>
  <c r="K11" i="8"/>
  <c r="J11" i="8"/>
  <c r="J10" i="8"/>
  <c r="J4" i="8"/>
  <c r="K15" i="7"/>
  <c r="J15" i="7"/>
  <c r="K13" i="7"/>
  <c r="J13" i="7"/>
  <c r="J12" i="7"/>
  <c r="J9" i="8"/>
  <c r="K11" i="7"/>
  <c r="J11" i="7"/>
  <c r="J7" i="8"/>
  <c r="K7" i="8"/>
  <c r="J6" i="8"/>
  <c r="J5" i="8"/>
  <c r="J3" i="8"/>
  <c r="K3" i="8"/>
  <c r="K4" i="8"/>
  <c r="K8" i="7"/>
  <c r="K5" i="7"/>
  <c r="J6" i="7"/>
  <c r="L6" i="7" s="1"/>
  <c r="E6" i="3" s="1"/>
  <c r="K4" i="7"/>
  <c r="K7" i="7"/>
  <c r="K3" i="7"/>
  <c r="B3" i="1"/>
  <c r="E1" i="1" s="1"/>
  <c r="N26" i="8" l="1"/>
  <c r="M26" i="8"/>
  <c r="M22" i="8"/>
  <c r="N22" i="8"/>
  <c r="L25" i="8"/>
  <c r="M25" i="3" s="1"/>
  <c r="N25" i="3" s="1"/>
  <c r="L24" i="8"/>
  <c r="L23" i="8"/>
  <c r="M24" i="3" s="1"/>
  <c r="N24" i="3" s="1"/>
  <c r="L28" i="7"/>
  <c r="E19" i="3" s="1"/>
  <c r="C19" i="3" s="1"/>
  <c r="L25" i="7"/>
  <c r="J2" i="7"/>
  <c r="E13" i="3"/>
  <c r="M17" i="7"/>
  <c r="L14" i="8"/>
  <c r="M14" i="8" s="1"/>
  <c r="L15" i="8"/>
  <c r="L16" i="8"/>
  <c r="M19" i="3" s="1"/>
  <c r="N19" i="3" s="1"/>
  <c r="L10" i="8"/>
  <c r="M7" i="3" s="1"/>
  <c r="N7" i="3" s="1"/>
  <c r="L19" i="8"/>
  <c r="M19" i="8" s="1"/>
  <c r="L26" i="7"/>
  <c r="E20" i="3" s="1"/>
  <c r="L8" i="8"/>
  <c r="K2" i="7"/>
  <c r="L9" i="8"/>
  <c r="M8" i="3" s="1"/>
  <c r="L5" i="8"/>
  <c r="M6" i="3" s="1"/>
  <c r="N6" i="3" s="1"/>
  <c r="L21" i="7"/>
  <c r="E17" i="3" s="1"/>
  <c r="L20" i="7"/>
  <c r="L12" i="8"/>
  <c r="L18" i="7"/>
  <c r="M13" i="8" s="1"/>
  <c r="L12" i="7"/>
  <c r="L15" i="7"/>
  <c r="L3" i="8"/>
  <c r="L11" i="8"/>
  <c r="L4" i="8"/>
  <c r="L7" i="8"/>
  <c r="L13" i="7"/>
  <c r="L6" i="8"/>
  <c r="L11" i="7"/>
  <c r="J9" i="7"/>
  <c r="L9" i="7" s="1"/>
  <c r="J8" i="7"/>
  <c r="L8" i="7" s="1"/>
  <c r="J5" i="7"/>
  <c r="L5" i="7" s="1"/>
  <c r="J3" i="7"/>
  <c r="L3" i="7" s="1"/>
  <c r="J4" i="7"/>
  <c r="L4" i="7" s="1"/>
  <c r="J7" i="7"/>
  <c r="L7" i="7" s="1"/>
  <c r="M6" i="8" l="1"/>
  <c r="N6" i="8"/>
  <c r="O17" i="3"/>
  <c r="P17" i="3"/>
  <c r="E5" i="3"/>
  <c r="O7" i="3"/>
  <c r="N24" i="8"/>
  <c r="M24" i="8"/>
  <c r="M10" i="8"/>
  <c r="N10" i="8"/>
  <c r="P19" i="3"/>
  <c r="O19" i="3"/>
  <c r="P25" i="3"/>
  <c r="O25" i="3"/>
  <c r="M20" i="8"/>
  <c r="N20" i="8" s="1"/>
  <c r="M23" i="8"/>
  <c r="M25" i="8"/>
  <c r="N25" i="8"/>
  <c r="E7" i="3"/>
  <c r="L2" i="7"/>
  <c r="M2" i="8" s="1"/>
  <c r="M15" i="8"/>
  <c r="E10" i="3"/>
  <c r="M8" i="8"/>
  <c r="P6" i="3"/>
  <c r="O6" i="3"/>
  <c r="C20" i="3"/>
  <c r="M16" i="8"/>
  <c r="P16" i="8"/>
  <c r="C17" i="3"/>
  <c r="E9" i="3"/>
  <c r="M15" i="7"/>
  <c r="M7" i="8"/>
  <c r="M10" i="3"/>
  <c r="N14" i="8"/>
  <c r="O14" i="8" s="1"/>
  <c r="M15" i="3"/>
  <c r="N15" i="3"/>
  <c r="M4" i="3"/>
  <c r="M17" i="8"/>
  <c r="N17" i="8" s="1"/>
  <c r="N8" i="8"/>
  <c r="N11" i="8"/>
  <c r="M9" i="3"/>
  <c r="M11" i="8"/>
  <c r="N12" i="8"/>
  <c r="O12" i="8" s="1"/>
  <c r="M12" i="8"/>
  <c r="N13" i="3"/>
  <c r="M13" i="3"/>
  <c r="N5" i="8"/>
  <c r="M5" i="8"/>
  <c r="E11" i="3"/>
  <c r="M7" i="7"/>
  <c r="N13" i="8"/>
  <c r="E14" i="3"/>
  <c r="M12" i="3"/>
  <c r="E12" i="3"/>
  <c r="M9" i="7"/>
  <c r="E16" i="3"/>
  <c r="N15" i="8"/>
  <c r="N4" i="8"/>
  <c r="M11" i="3"/>
  <c r="M4" i="8"/>
  <c r="N7" i="8"/>
  <c r="O1" i="8"/>
  <c r="K10" i="7"/>
  <c r="J10" i="7"/>
  <c r="M1" i="3" l="1"/>
  <c r="M1" i="1" s="1"/>
  <c r="N16" i="3"/>
  <c r="C16" i="3"/>
  <c r="N14" i="3"/>
  <c r="C14" i="3"/>
  <c r="E4" i="3"/>
  <c r="N2" i="8"/>
  <c r="C5" i="3"/>
  <c r="N5" i="3"/>
  <c r="P7" i="3"/>
  <c r="C7" i="3"/>
  <c r="P24" i="3"/>
  <c r="O24" i="3"/>
  <c r="P20" i="3"/>
  <c r="O20" i="3"/>
  <c r="Q20" i="3"/>
  <c r="O20" i="8"/>
  <c r="N23" i="8"/>
  <c r="M3" i="8"/>
  <c r="E3" i="3"/>
  <c r="N3" i="3" s="1"/>
  <c r="N3" i="8"/>
  <c r="N10" i="3"/>
  <c r="P10" i="3" s="1"/>
  <c r="O15" i="3"/>
  <c r="P15" i="3"/>
  <c r="P13" i="3"/>
  <c r="O13" i="3"/>
  <c r="N9" i="3"/>
  <c r="N4" i="3"/>
  <c r="N11" i="3"/>
  <c r="N12" i="3"/>
  <c r="L10" i="7"/>
  <c r="P3" i="3" l="1"/>
  <c r="O3" i="3"/>
  <c r="O10" i="3"/>
  <c r="P4" i="3"/>
  <c r="O4" i="3"/>
  <c r="P12" i="3"/>
  <c r="O12" i="3"/>
  <c r="P9" i="3"/>
  <c r="O9" i="3"/>
  <c r="O11" i="3"/>
  <c r="P11" i="3"/>
  <c r="M10" i="7"/>
  <c r="E8" i="3"/>
  <c r="N9" i="8"/>
  <c r="N1" i="8" s="1"/>
  <c r="M9" i="8"/>
  <c r="M1" i="8" s="1"/>
  <c r="M1" i="7" l="1"/>
  <c r="G1" i="1" s="1"/>
  <c r="N8" i="3"/>
  <c r="N1" i="3" s="1"/>
  <c r="P8" i="3" l="1"/>
  <c r="O8" i="3"/>
  <c r="I1" i="1"/>
  <c r="P23" i="12"/>
  <c r="R7" i="12"/>
  <c r="M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1242255</author>
  </authors>
  <commentList>
    <comment ref="K31" authorId="0" shapeId="0" xr:uid="{D453E93E-3AB7-4C84-801D-84EAD07C6DAB}">
      <text>
        <r>
          <rPr>
            <b/>
            <sz val="9"/>
            <color indexed="81"/>
            <rFont val="Tahoma"/>
            <family val="2"/>
          </rPr>
          <t>1242255:</t>
        </r>
        <r>
          <rPr>
            <sz val="9"/>
            <color indexed="81"/>
            <rFont val="Tahoma"/>
            <family val="2"/>
          </rPr>
          <t xml:space="preserve">
Service Tax only on Brokerage Fees</t>
        </r>
      </text>
    </comment>
  </commentList>
</comments>
</file>

<file path=xl/sharedStrings.xml><?xml version="1.0" encoding="utf-8"?>
<sst xmlns="http://schemas.openxmlformats.org/spreadsheetml/2006/main" count="335" uniqueCount="168">
  <si>
    <t>Date</t>
  </si>
  <si>
    <t>Invested $$</t>
  </si>
  <si>
    <t>No</t>
  </si>
  <si>
    <t>Weighted Average Price</t>
  </si>
  <si>
    <t>Free Quantity (unit)</t>
  </si>
  <si>
    <t>EDGENTA</t>
  </si>
  <si>
    <t>IHH</t>
  </si>
  <si>
    <t>WPRTS</t>
  </si>
  <si>
    <t>EDGENTA-1368</t>
  </si>
  <si>
    <t>SENERGY-5218</t>
  </si>
  <si>
    <t>WPRTS-5246</t>
  </si>
  <si>
    <t>Trx Date</t>
  </si>
  <si>
    <t>Clearing Fees (0.03%)</t>
  </si>
  <si>
    <t>Stampduty 0.1%</t>
  </si>
  <si>
    <t>Brokerage Charges 
0.1% Min RM8</t>
  </si>
  <si>
    <t>Transaction Amount</t>
  </si>
  <si>
    <t>total charges</t>
  </si>
  <si>
    <t>GST (6%)</t>
  </si>
  <si>
    <t>Share price</t>
  </si>
  <si>
    <t>Unit (lot)</t>
  </si>
  <si>
    <t>stock</t>
  </si>
  <si>
    <t>Amount Due</t>
  </si>
  <si>
    <t>Vivocom</t>
  </si>
  <si>
    <t>vivicom</t>
  </si>
  <si>
    <t>Penta</t>
  </si>
  <si>
    <t>magnum</t>
  </si>
  <si>
    <t>Magnum</t>
  </si>
  <si>
    <t>JHM</t>
  </si>
  <si>
    <t>MYEG</t>
  </si>
  <si>
    <t>MAGNUM-3859</t>
  </si>
  <si>
    <t>JHM-0127</t>
  </si>
  <si>
    <t>MYEG-0138</t>
  </si>
  <si>
    <t>VIVOCOM-0069</t>
  </si>
  <si>
    <t> IHH-5225</t>
  </si>
  <si>
    <t>PENTA</t>
  </si>
  <si>
    <t>buying Price</t>
  </si>
  <si>
    <t>Sold Date</t>
  </si>
  <si>
    <t>Dividend</t>
  </si>
  <si>
    <t>Stock Name (Stock Code)</t>
  </si>
  <si>
    <t>AEMULUS</t>
  </si>
  <si>
    <t>FRONTKN</t>
  </si>
  <si>
    <t>Dividend (Cents)</t>
  </si>
  <si>
    <t>Expiry Date</t>
  </si>
  <si>
    <t>Payment Date</t>
  </si>
  <si>
    <t>Entitlement Date</t>
  </si>
  <si>
    <t>Annoucement Date</t>
  </si>
  <si>
    <t>Capital reduction and repayment of RM0.32</t>
  </si>
  <si>
    <t>Remarks</t>
  </si>
  <si>
    <t>Alcom-2674</t>
  </si>
  <si>
    <t>Final Single Tier dividend of 7.0 cent</t>
  </si>
  <si>
    <t>Single Tier interim dividend of 8.0 cent</t>
  </si>
  <si>
    <t>First Interim Single Tier dividend of 6.372 cent</t>
  </si>
  <si>
    <t>Gain/Loss</t>
  </si>
  <si>
    <t>Gain/Loss %</t>
  </si>
  <si>
    <t>VIS-0120</t>
  </si>
  <si>
    <t>PENTA-7160</t>
  </si>
  <si>
    <t>ALCOM-2674</t>
  </si>
  <si>
    <t>FrontKN-0128</t>
  </si>
  <si>
    <t>GKENT-3204</t>
  </si>
  <si>
    <t>Bonus (unit)</t>
  </si>
  <si>
    <t>buying (Unit)</t>
  </si>
  <si>
    <t>Single Tier Interim dividend of 1.5 cents</t>
  </si>
  <si>
    <t>Interim Single Tier dividend of 0.5 cents</t>
  </si>
  <si>
    <t>Interim Single Tier dividend of 2.5 cents</t>
  </si>
  <si>
    <t>Second Interim Single Tier dividend of 2.0 cents</t>
  </si>
  <si>
    <t>KRONO</t>
  </si>
  <si>
    <t>1665.HK PentaMaster</t>
  </si>
  <si>
    <t>Stock Exchange</t>
  </si>
  <si>
    <t>HKEX</t>
  </si>
  <si>
    <t>Currency</t>
  </si>
  <si>
    <t>HKD</t>
  </si>
  <si>
    <t xml:space="preserve">Brokerage Charges 
</t>
  </si>
  <si>
    <t>Clearing Fees</t>
  </si>
  <si>
    <t>Stampduty</t>
  </si>
  <si>
    <t>Split (unit)</t>
  </si>
  <si>
    <t>1:2</t>
  </si>
  <si>
    <t>UCREST</t>
  </si>
  <si>
    <t>Action</t>
  </si>
  <si>
    <t>BUY</t>
  </si>
  <si>
    <t>SELL</t>
  </si>
  <si>
    <t>Profit/LOSS (HKD)</t>
  </si>
  <si>
    <t>Profit/LOSS (RM)</t>
  </si>
  <si>
    <t>IDEAL</t>
  </si>
  <si>
    <t>SOLD Date</t>
  </si>
  <si>
    <t>VIS-0120 WB</t>
  </si>
  <si>
    <t>SOLD Quantity (unit)</t>
  </si>
  <si>
    <t>SOLD DATE</t>
  </si>
  <si>
    <t>Amount Due
(HKD)</t>
  </si>
  <si>
    <t>Trust Balance
HKD</t>
  </si>
  <si>
    <t>PENTA 7160</t>
  </si>
  <si>
    <t>TOTAL SOLD SHARES</t>
  </si>
  <si>
    <t>TOTAL UNSOLD SHARES</t>
  </si>
  <si>
    <t>TOTAL SOLD</t>
  </si>
  <si>
    <t>Transaction date</t>
  </si>
  <si>
    <t>Description</t>
  </si>
  <si>
    <t>Debit</t>
  </si>
  <si>
    <t>Credit</t>
  </si>
  <si>
    <t>INTEREST PAYMENT</t>
  </si>
  <si>
    <t>RM5.46</t>
  </si>
  <si>
    <t>TPE0026662627000 9687 1000@1.240000</t>
  </si>
  <si>
    <t>RM1,250.86</t>
  </si>
  <si>
    <t>TSE0026486895000 7160 6000@3.520000</t>
  </si>
  <si>
    <t>RM21,091.27</t>
  </si>
  <si>
    <t>Transfer to Global Trading Account to buy Penta HK 1665.HK</t>
  </si>
  <si>
    <t>Reinvested</t>
  </si>
  <si>
    <t>RM</t>
  </si>
  <si>
    <t>Remaining HKD</t>
  </si>
  <si>
    <t>3769.06(HKD)</t>
  </si>
  <si>
    <t>4 Sep 2019 at 10:00:06 AM</t>
  </si>
  <si>
    <t>Delete</t>
  </si>
  <si>
    <t>Date  </t>
  </si>
  <si>
    <t>Market</t>
  </si>
  <si>
    <t>Mode</t>
  </si>
  <si>
    <t>Account</t>
  </si>
  <si>
    <t>Name</t>
  </si>
  <si>
    <t>Contract</t>
  </si>
  <si>
    <t>Trade Ccy</t>
  </si>
  <si>
    <t>Price</t>
  </si>
  <si>
    <t>Qty</t>
  </si>
  <si>
    <t>Amount</t>
  </si>
  <si>
    <t>HKG</t>
  </si>
  <si>
    <t>Cash</t>
  </si>
  <si>
    <t>SP123553</t>
  </si>
  <si>
    <t>PENTAMASTER</t>
  </si>
  <si>
    <t>Buy</t>
  </si>
  <si>
    <t>30/08/2019</t>
  </si>
  <si>
    <t>29/08/2019</t>
  </si>
  <si>
    <t>Sell</t>
  </si>
  <si>
    <t>28/09/2018</t>
  </si>
  <si>
    <t>DCON00000009525</t>
  </si>
  <si>
    <t>Balance (RM)</t>
  </si>
  <si>
    <t>Invested (RM)</t>
  </si>
  <si>
    <t>New Fund</t>
  </si>
  <si>
    <t>Txf from Maybank Trading Account</t>
  </si>
  <si>
    <t>Balance (HKD)
Estimated</t>
  </si>
  <si>
    <t>Balance</t>
  </si>
  <si>
    <t>JAKS</t>
  </si>
  <si>
    <t>From Sep2019 SCB Pay</t>
  </si>
  <si>
    <t>From UOB Saving Account</t>
  </si>
  <si>
    <t>Balance (RM) (Updated by Connie)</t>
  </si>
  <si>
    <t>PRICE</t>
  </si>
  <si>
    <t>TOTAL</t>
  </si>
  <si>
    <t>PRICE/UNIT</t>
  </si>
  <si>
    <t>Unit On Hand</t>
  </si>
  <si>
    <t>IF Add</t>
  </si>
  <si>
    <t>UNIT</t>
  </si>
  <si>
    <t>LOTS</t>
  </si>
  <si>
    <t>Buying Price</t>
  </si>
  <si>
    <t>UNIT Price</t>
  </si>
  <si>
    <t>Order Queue</t>
  </si>
  <si>
    <t>Estimated Profit (HKD)</t>
  </si>
  <si>
    <t>Market Price (HKD)</t>
  </si>
  <si>
    <t>PRICE/UNIT (HKD)</t>
  </si>
  <si>
    <t>From UOB Saving Account. Loan RM17,144.58 From Father Account</t>
  </si>
  <si>
    <t>SOLD Unit Price</t>
  </si>
  <si>
    <t>Estimated Profit (RM)</t>
  </si>
  <si>
    <t>From UOB Saving Account. Loan RM27,144.58 From Father Account</t>
  </si>
  <si>
    <t>Categories</t>
  </si>
  <si>
    <t>SAPNRG</t>
  </si>
  <si>
    <t>PRICE (HKD)</t>
  </si>
  <si>
    <t>Estimated market Value (HKD)</t>
  </si>
  <si>
    <t>LOT</t>
  </si>
  <si>
    <t>Selling  Price</t>
  </si>
  <si>
    <t>TXN  Date</t>
  </si>
  <si>
    <t>Stock</t>
  </si>
  <si>
    <t>MAGNI</t>
  </si>
  <si>
    <t>Amount
(RM)</t>
  </si>
  <si>
    <t>Txf back to UOB to clear the loans from Father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</si>
</sst>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000"/>
    <numFmt numFmtId="165" formatCode="0.000000"/>
    <numFmt numFmtId="166" formatCode="[$-409]d\-mmm\-yyyy;@"/>
    <numFmt numFmtId="167" formatCode="_(* #,##0_);_(* \(#,##0\);_(* &quot;-&quot;??_);_(@_)"/>
    <numFmt numFmtId="168" formatCode="#,##0.0000"/>
    <numFmt numFmtId="169" formatCode="dd\-mmm\-yyyy\ h:mm\ AM/PM"/>
    <numFmt numFmtId="170" formatCode="#,##0.000"/>
    <numFmt numFmtId="171" formatCode="dd\-mmm\-yyyy"/>
    <numFmt numFmtId="172" formatCode="0.000"/>
    <numFmt numFmtId="173" formatCode="0.0000%"/>
    <numFmt numFmtId="174" formatCode="_(* #,##0.0000_);_(* \(#,##0.0000\);_(* &quot;-&quot;??_);_(@_)"/>
    <numFmt numFmtId="175" formatCode="_(* #,##0.00_);_(* \(#,##0.00\);_(* &quot;-&quot;????_);_(@_)"/>
  </numFmts>
  <fonts count="2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8"/>
      <color rgb="FFEEEEEE"/>
      <name val="Arial"/>
      <family val="2"/>
      <scheme val="minor"/>
    </font>
    <font>
      <sz val="8"/>
      <color rgb="FF000000"/>
      <name val="Arial"/>
      <family val="2"/>
    </font>
    <font>
      <b/>
      <sz val="11"/>
      <color theme="0"/>
      <name val="Arial"/>
      <family val="2"/>
      <scheme val="minor"/>
    </font>
    <font>
      <sz val="8"/>
      <name val="Arial"/>
      <family val="2"/>
      <scheme val="minor"/>
    </font>
    <font>
      <sz val="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name val="Arial"/>
      <family val="2"/>
      <scheme val="minor"/>
    </font>
    <font>
      <sz val="8"/>
      <name val="Arial"/>
      <family val="2"/>
    </font>
    <font>
      <sz val="11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FF0000"/>
      <name val="Arial"/>
      <family val="2"/>
      <scheme val="minor"/>
    </font>
    <font>
      <b/>
      <sz val="8"/>
      <name val="Arial"/>
      <family val="2"/>
      <scheme val="minor"/>
    </font>
    <font>
      <sz val="8"/>
      <color theme="0"/>
      <name val="Arial"/>
      <family val="2"/>
    </font>
    <font>
      <sz val="8"/>
      <color rgb="FF2E2E2E"/>
      <name val="Arial"/>
      <family val="2"/>
      <scheme val="minor"/>
    </font>
    <font>
      <sz val="8"/>
      <color rgb="FFFFFFFF"/>
      <name val="Trebuchet MS"/>
      <family val="2"/>
    </font>
    <font>
      <u/>
      <sz val="8"/>
      <color rgb="FFFFFFFF"/>
      <name val="Trebuchet MS"/>
      <family val="2"/>
    </font>
    <font>
      <sz val="8"/>
      <color rgb="FF000000"/>
      <name val="Trebuchet MS"/>
      <family val="2"/>
    </font>
    <font>
      <b/>
      <sz val="8"/>
      <color rgb="FF009F62"/>
      <name val="Trebuchet MS"/>
      <family val="2"/>
    </font>
    <font>
      <b/>
      <sz val="8"/>
      <color rgb="FFFF0000"/>
      <name val="Trebuchet MS"/>
      <family val="2"/>
    </font>
    <font>
      <sz val="8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rgb="FF000000"/>
      <name val="Trebuchet MS"/>
      <family val="2"/>
    </font>
    <font>
      <sz val="8"/>
      <color rgb="FFFF0000"/>
      <name val="Aria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tted">
        <color rgb="FF666666"/>
      </top>
      <bottom/>
      <diagonal/>
    </border>
    <border>
      <left/>
      <right/>
      <top/>
      <bottom style="dotted">
        <color rgb="FF66666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2">
    <xf numFmtId="0" fontId="0" fillId="0" borderId="0" xfId="0"/>
    <xf numFmtId="15" fontId="0" fillId="0" borderId="0" xfId="0" applyNumberFormat="1"/>
    <xf numFmtId="43" fontId="0" fillId="0" borderId="0" xfId="1" applyFont="1"/>
    <xf numFmtId="0" fontId="2" fillId="0" borderId="0" xfId="0" applyFont="1"/>
    <xf numFmtId="4" fontId="0" fillId="0" borderId="0" xfId="0" applyNumberFormat="1"/>
    <xf numFmtId="0" fontId="4" fillId="3" borderId="1" xfId="0" applyFont="1" applyFill="1" applyBorder="1" applyAlignment="1">
      <alignment horizontal="left" wrapText="1"/>
    </xf>
    <xf numFmtId="166" fontId="4" fillId="3" borderId="1" xfId="0" applyNumberFormat="1" applyFont="1" applyFill="1" applyBorder="1" applyAlignment="1">
      <alignment horizontal="center" wrapText="1"/>
    </xf>
    <xf numFmtId="43" fontId="5" fillId="5" borderId="1" xfId="1" applyFont="1" applyFill="1" applyBorder="1"/>
    <xf numFmtId="165" fontId="6" fillId="0" borderId="1" xfId="0" applyNumberFormat="1" applyFont="1" applyBorder="1"/>
    <xf numFmtId="2" fontId="6" fillId="0" borderId="1" xfId="0" applyNumberFormat="1" applyFont="1" applyBorder="1"/>
    <xf numFmtId="164" fontId="6" fillId="0" borderId="1" xfId="0" applyNumberFormat="1" applyFont="1" applyBorder="1"/>
    <xf numFmtId="164" fontId="7" fillId="0" borderId="1" xfId="0" applyNumberFormat="1" applyFont="1" applyBorder="1"/>
    <xf numFmtId="0" fontId="3" fillId="4" borderId="0" xfId="0" applyFont="1" applyFill="1" applyAlignment="1">
      <alignment horizontal="center" vertical="top" wrapText="1"/>
    </xf>
    <xf numFmtId="0" fontId="3" fillId="5" borderId="0" xfId="0" applyFont="1" applyFill="1" applyAlignment="1">
      <alignment horizontal="center" vertical="top" wrapText="1"/>
    </xf>
    <xf numFmtId="0" fontId="4" fillId="3" borderId="1" xfId="0" applyFont="1" applyFill="1" applyBorder="1" applyAlignment="1">
      <alignment wrapText="1"/>
    </xf>
    <xf numFmtId="43" fontId="0" fillId="0" borderId="0" xfId="0" applyNumberFormat="1"/>
    <xf numFmtId="0" fontId="4" fillId="6" borderId="1" xfId="0" applyFont="1" applyFill="1" applyBorder="1" applyAlignment="1">
      <alignment wrapText="1"/>
    </xf>
    <xf numFmtId="166" fontId="4" fillId="6" borderId="1" xfId="0" applyNumberFormat="1" applyFont="1" applyFill="1" applyBorder="1" applyAlignment="1">
      <alignment horizontal="center" wrapText="1"/>
    </xf>
    <xf numFmtId="165" fontId="6" fillId="6" borderId="1" xfId="0" applyNumberFormat="1" applyFont="1" applyFill="1" applyBorder="1"/>
    <xf numFmtId="2" fontId="6" fillId="6" borderId="1" xfId="0" applyNumberFormat="1" applyFont="1" applyFill="1" applyBorder="1"/>
    <xf numFmtId="164" fontId="6" fillId="6" borderId="1" xfId="0" applyNumberFormat="1" applyFont="1" applyFill="1" applyBorder="1"/>
    <xf numFmtId="0" fontId="4" fillId="6" borderId="1" xfId="0" applyFont="1" applyFill="1" applyBorder="1" applyAlignment="1">
      <alignment horizontal="left" wrapText="1"/>
    </xf>
    <xf numFmtId="165" fontId="7" fillId="6" borderId="1" xfId="0" applyNumberFormat="1" applyFont="1" applyFill="1" applyBorder="1"/>
    <xf numFmtId="2" fontId="7" fillId="6" borderId="1" xfId="0" applyNumberFormat="1" applyFont="1" applyFill="1" applyBorder="1"/>
    <xf numFmtId="164" fontId="7" fillId="6" borderId="1" xfId="0" applyNumberFormat="1" applyFont="1" applyFill="1" applyBorder="1"/>
    <xf numFmtId="0" fontId="0" fillId="0" borderId="1" xfId="0" applyBorder="1"/>
    <xf numFmtId="3" fontId="9" fillId="0" borderId="0" xfId="0" applyNumberFormat="1" applyFont="1"/>
    <xf numFmtId="0" fontId="4" fillId="9" borderId="1" xfId="0" applyFont="1" applyFill="1" applyBorder="1" applyAlignment="1">
      <alignment wrapText="1"/>
    </xf>
    <xf numFmtId="43" fontId="5" fillId="10" borderId="1" xfId="1" applyFont="1" applyFill="1" applyBorder="1"/>
    <xf numFmtId="43" fontId="5" fillId="8" borderId="1" xfId="1" applyFont="1" applyFill="1" applyBorder="1"/>
    <xf numFmtId="43" fontId="2" fillId="8" borderId="1" xfId="0" applyNumberFormat="1" applyFont="1" applyFill="1" applyBorder="1"/>
    <xf numFmtId="43" fontId="5" fillId="6" borderId="1" xfId="1" applyFont="1" applyFill="1" applyBorder="1"/>
    <xf numFmtId="168" fontId="0" fillId="0" borderId="0" xfId="0" applyNumberFormat="1"/>
    <xf numFmtId="0" fontId="8" fillId="7" borderId="1" xfId="0" applyFont="1" applyFill="1" applyBorder="1" applyAlignment="1">
      <alignment vertical="top"/>
    </xf>
    <xf numFmtId="168" fontId="8" fillId="7" borderId="1" xfId="0" applyNumberFormat="1" applyFont="1" applyFill="1" applyBorder="1" applyAlignment="1">
      <alignment vertical="top" wrapText="1"/>
    </xf>
    <xf numFmtId="0" fontId="8" fillId="7" borderId="1" xfId="0" applyFont="1" applyFill="1" applyBorder="1" applyAlignment="1">
      <alignment vertical="top" wrapText="1"/>
    </xf>
    <xf numFmtId="168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4" fontId="0" fillId="9" borderId="1" xfId="0" applyNumberFormat="1" applyFill="1" applyBorder="1"/>
    <xf numFmtId="0" fontId="7" fillId="0" borderId="1" xfId="0" applyFont="1" applyBorder="1"/>
    <xf numFmtId="0" fontId="7" fillId="6" borderId="1" xfId="0" applyFont="1" applyFill="1" applyBorder="1"/>
    <xf numFmtId="2" fontId="0" fillId="0" borderId="1" xfId="0" applyNumberFormat="1" applyBorder="1"/>
    <xf numFmtId="43" fontId="0" fillId="10" borderId="1" xfId="0" applyNumberFormat="1" applyFill="1" applyBorder="1"/>
    <xf numFmtId="43" fontId="0" fillId="6" borderId="1" xfId="0" applyNumberFormat="1" applyFill="1" applyBorder="1"/>
    <xf numFmtId="43" fontId="0" fillId="0" borderId="1" xfId="0" applyNumberFormat="1" applyBorder="1"/>
    <xf numFmtId="43" fontId="10" fillId="8" borderId="3" xfId="0" applyNumberFormat="1" applyFont="1" applyFill="1" applyBorder="1" applyAlignment="1">
      <alignment horizontal="center" vertical="top" wrapText="1"/>
    </xf>
    <xf numFmtId="0" fontId="6" fillId="6" borderId="1" xfId="0" applyFont="1" applyFill="1" applyBorder="1"/>
    <xf numFmtId="0" fontId="6" fillId="0" borderId="1" xfId="0" applyFont="1" applyBorder="1"/>
    <xf numFmtId="0" fontId="11" fillId="3" borderId="1" xfId="0" applyFont="1" applyFill="1" applyBorder="1" applyAlignment="1">
      <alignment horizontal="left" wrapText="1"/>
    </xf>
    <xf numFmtId="166" fontId="11" fillId="3" borderId="1" xfId="0" applyNumberFormat="1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left" wrapText="1"/>
    </xf>
    <xf numFmtId="9" fontId="0" fillId="0" borderId="0" xfId="0" applyNumberFormat="1"/>
    <xf numFmtId="166" fontId="0" fillId="0" borderId="1" xfId="0" applyNumberFormat="1" applyBorder="1"/>
    <xf numFmtId="4" fontId="9" fillId="0" borderId="0" xfId="0" applyNumberFormat="1" applyFont="1"/>
    <xf numFmtId="169" fontId="0" fillId="0" borderId="1" xfId="0" applyNumberFormat="1" applyBorder="1"/>
    <xf numFmtId="170" fontId="0" fillId="0" borderId="1" xfId="0" applyNumberFormat="1" applyBorder="1"/>
    <xf numFmtId="14" fontId="0" fillId="0" borderId="0" xfId="0" applyNumberFormat="1"/>
    <xf numFmtId="10" fontId="0" fillId="0" borderId="1" xfId="2" applyNumberFormat="1" applyFont="1" applyBorder="1"/>
    <xf numFmtId="0" fontId="0" fillId="0" borderId="1" xfId="0" applyFill="1" applyBorder="1"/>
    <xf numFmtId="3" fontId="0" fillId="0" borderId="1" xfId="0" applyNumberFormat="1" applyFill="1" applyBorder="1"/>
    <xf numFmtId="170" fontId="0" fillId="0" borderId="1" xfId="0" applyNumberFormat="1" applyFill="1" applyBorder="1"/>
    <xf numFmtId="166" fontId="0" fillId="0" borderId="1" xfId="0" applyNumberFormat="1" applyFill="1" applyBorder="1"/>
    <xf numFmtId="169" fontId="0" fillId="0" borderId="1" xfId="0" applyNumberFormat="1" applyFill="1" applyBorder="1"/>
    <xf numFmtId="15" fontId="12" fillId="0" borderId="0" xfId="0" applyNumberFormat="1" applyFont="1"/>
    <xf numFmtId="43" fontId="12" fillId="0" borderId="0" xfId="1" applyFont="1"/>
    <xf numFmtId="0" fontId="6" fillId="11" borderId="1" xfId="0" applyFont="1" applyFill="1" applyBorder="1"/>
    <xf numFmtId="0" fontId="11" fillId="11" borderId="1" xfId="0" applyFont="1" applyFill="1" applyBorder="1" applyAlignment="1">
      <alignment horizontal="left" wrapText="1"/>
    </xf>
    <xf numFmtId="166" fontId="11" fillId="11" borderId="1" xfId="0" applyNumberFormat="1" applyFont="1" applyFill="1" applyBorder="1" applyAlignment="1">
      <alignment horizontal="center" wrapText="1"/>
    </xf>
    <xf numFmtId="165" fontId="6" fillId="11" borderId="1" xfId="0" applyNumberFormat="1" applyFont="1" applyFill="1" applyBorder="1"/>
    <xf numFmtId="2" fontId="6" fillId="11" borderId="1" xfId="0" applyNumberFormat="1" applyFont="1" applyFill="1" applyBorder="1"/>
    <xf numFmtId="164" fontId="6" fillId="11" borderId="1" xfId="0" applyNumberFormat="1" applyFont="1" applyFill="1" applyBorder="1"/>
    <xf numFmtId="43" fontId="5" fillId="11" borderId="1" xfId="1" applyFont="1" applyFill="1" applyBorder="1"/>
    <xf numFmtId="43" fontId="0" fillId="11" borderId="1" xfId="0" applyNumberFormat="1" applyFill="1" applyBorder="1"/>
    <xf numFmtId="167" fontId="0" fillId="0" borderId="1" xfId="0" applyNumberFormat="1" applyBorder="1"/>
    <xf numFmtId="166" fontId="4" fillId="9" borderId="1" xfId="0" applyNumberFormat="1" applyFont="1" applyFill="1" applyBorder="1" applyAlignment="1">
      <alignment horizontal="center" wrapText="1"/>
    </xf>
    <xf numFmtId="165" fontId="6" fillId="9" borderId="1" xfId="0" applyNumberFormat="1" applyFont="1" applyFill="1" applyBorder="1"/>
    <xf numFmtId="2" fontId="6" fillId="9" borderId="1" xfId="0" applyNumberFormat="1" applyFont="1" applyFill="1" applyBorder="1"/>
    <xf numFmtId="164" fontId="6" fillId="9" borderId="1" xfId="0" applyNumberFormat="1" applyFont="1" applyFill="1" applyBorder="1"/>
    <xf numFmtId="170" fontId="0" fillId="0" borderId="2" xfId="0" applyNumberFormat="1" applyFill="1" applyBorder="1"/>
    <xf numFmtId="165" fontId="0" fillId="0" borderId="0" xfId="0" applyNumberFormat="1"/>
    <xf numFmtId="3" fontId="0" fillId="0" borderId="1" xfId="0" quotePrefix="1" applyNumberFormat="1" applyBorder="1"/>
    <xf numFmtId="0" fontId="0" fillId="9" borderId="0" xfId="0" applyFill="1"/>
    <xf numFmtId="43" fontId="5" fillId="9" borderId="1" xfId="1" applyFont="1" applyFill="1" applyBorder="1"/>
    <xf numFmtId="43" fontId="2" fillId="9" borderId="1" xfId="0" applyNumberFormat="1" applyFont="1" applyFill="1" applyBorder="1"/>
    <xf numFmtId="171" fontId="0" fillId="0" borderId="0" xfId="0" applyNumberFormat="1"/>
    <xf numFmtId="1" fontId="0" fillId="0" borderId="0" xfId="0" applyNumberFormat="1"/>
    <xf numFmtId="43" fontId="0" fillId="0" borderId="1" xfId="1" applyFont="1" applyBorder="1"/>
    <xf numFmtId="1" fontId="0" fillId="0" borderId="2" xfId="0" applyNumberFormat="1" applyFill="1" applyBorder="1"/>
    <xf numFmtId="43" fontId="0" fillId="12" borderId="1" xfId="0" applyNumberFormat="1" applyFill="1" applyBorder="1"/>
    <xf numFmtId="0" fontId="0" fillId="12" borderId="1" xfId="0" applyFill="1" applyBorder="1"/>
    <xf numFmtId="4" fontId="0" fillId="12" borderId="1" xfId="0" applyNumberFormat="1" applyFill="1" applyBorder="1"/>
    <xf numFmtId="168" fontId="0" fillId="12" borderId="1" xfId="0" applyNumberFormat="1" applyFill="1" applyBorder="1"/>
    <xf numFmtId="3" fontId="0" fillId="12" borderId="1" xfId="0" applyNumberFormat="1" applyFill="1" applyBorder="1"/>
    <xf numFmtId="4" fontId="0" fillId="13" borderId="1" xfId="0" applyNumberFormat="1" applyFill="1" applyBorder="1"/>
    <xf numFmtId="0" fontId="0" fillId="13" borderId="1" xfId="0" applyFill="1" applyBorder="1"/>
    <xf numFmtId="168" fontId="0" fillId="13" borderId="1" xfId="0" applyNumberFormat="1" applyFill="1" applyBorder="1"/>
    <xf numFmtId="3" fontId="0" fillId="13" borderId="1" xfId="0" applyNumberFormat="1" applyFill="1" applyBorder="1"/>
    <xf numFmtId="43" fontId="0" fillId="13" borderId="1" xfId="0" applyNumberFormat="1" applyFill="1" applyBorder="1"/>
    <xf numFmtId="43" fontId="0" fillId="13" borderId="1" xfId="1" applyFont="1" applyFill="1" applyBorder="1"/>
    <xf numFmtId="171" fontId="8" fillId="7" borderId="1" xfId="0" applyNumberFormat="1" applyFont="1" applyFill="1" applyBorder="1" applyAlignment="1">
      <alignment vertical="top"/>
    </xf>
    <xf numFmtId="171" fontId="0" fillId="12" borderId="1" xfId="0" applyNumberFormat="1" applyFill="1" applyBorder="1"/>
    <xf numFmtId="171" fontId="0" fillId="0" borderId="1" xfId="0" applyNumberFormat="1" applyBorder="1"/>
    <xf numFmtId="171" fontId="0" fillId="13" borderId="1" xfId="0" applyNumberFormat="1" applyFill="1" applyBorder="1"/>
    <xf numFmtId="39" fontId="12" fillId="0" borderId="0" xfId="0" applyNumberFormat="1" applyFont="1"/>
    <xf numFmtId="167" fontId="0" fillId="12" borderId="1" xfId="0" applyNumberFormat="1" applyFill="1" applyBorder="1"/>
    <xf numFmtId="167" fontId="0" fillId="13" borderId="1" xfId="0" applyNumberFormat="1" applyFill="1" applyBorder="1"/>
    <xf numFmtId="43" fontId="2" fillId="0" borderId="0" xfId="1" applyFont="1"/>
    <xf numFmtId="166" fontId="17" fillId="15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16" fillId="14" borderId="1" xfId="0" applyFont="1" applyFill="1" applyBorder="1" applyAlignment="1">
      <alignment horizontal="center" vertical="top" wrapText="1"/>
    </xf>
    <xf numFmtId="43" fontId="2" fillId="10" borderId="0" xfId="1" applyFont="1" applyFill="1"/>
    <xf numFmtId="15" fontId="18" fillId="16" borderId="0" xfId="0" applyNumberFormat="1" applyFont="1" applyFill="1" applyAlignment="1">
      <alignment vertical="top" wrapText="1"/>
    </xf>
    <xf numFmtId="0" fontId="18" fillId="16" borderId="0" xfId="0" applyFont="1" applyFill="1" applyAlignment="1">
      <alignment vertical="top" wrapText="1"/>
    </xf>
    <xf numFmtId="15" fontId="18" fillId="17" borderId="0" xfId="0" applyNumberFormat="1" applyFont="1" applyFill="1" applyAlignment="1">
      <alignment vertical="top" wrapText="1"/>
    </xf>
    <xf numFmtId="0" fontId="18" fillId="17" borderId="0" xfId="0" applyFont="1" applyFill="1" applyAlignment="1">
      <alignment vertical="top" wrapText="1"/>
    </xf>
    <xf numFmtId="0" fontId="3" fillId="4" borderId="4" xfId="0" applyFont="1" applyFill="1" applyBorder="1" applyAlignment="1">
      <alignment horizontal="center" vertical="center" wrapText="1"/>
    </xf>
    <xf numFmtId="15" fontId="18" fillId="16" borderId="5" xfId="0" applyNumberFormat="1" applyFont="1" applyFill="1" applyBorder="1" applyAlignment="1">
      <alignment vertical="top" wrapText="1"/>
    </xf>
    <xf numFmtId="0" fontId="18" fillId="16" borderId="5" xfId="0" applyFont="1" applyFill="1" applyBorder="1" applyAlignment="1">
      <alignment vertical="top" wrapText="1"/>
    </xf>
    <xf numFmtId="166" fontId="17" fillId="15" borderId="1" xfId="0" applyNumberFormat="1" applyFont="1" applyFill="1" applyBorder="1" applyAlignment="1">
      <alignment horizontal="left" wrapText="1"/>
    </xf>
    <xf numFmtId="0" fontId="19" fillId="18" borderId="0" xfId="0" applyFont="1" applyFill="1" applyAlignment="1">
      <alignment horizontal="center" vertical="center" wrapText="1"/>
    </xf>
    <xf numFmtId="0" fontId="20" fillId="18" borderId="0" xfId="0" applyFont="1" applyFill="1" applyAlignment="1">
      <alignment horizontal="center" vertical="center" wrapText="1"/>
    </xf>
    <xf numFmtId="0" fontId="21" fillId="19" borderId="0" xfId="0" applyFont="1" applyFill="1" applyAlignment="1">
      <alignment horizontal="center" vertical="center" wrapText="1"/>
    </xf>
    <xf numFmtId="14" fontId="21" fillId="19" borderId="0" xfId="0" applyNumberFormat="1" applyFont="1" applyFill="1" applyAlignment="1">
      <alignment horizontal="center" vertical="center" wrapText="1"/>
    </xf>
    <xf numFmtId="0" fontId="21" fillId="19" borderId="0" xfId="0" applyFont="1" applyFill="1" applyAlignment="1">
      <alignment horizontal="left" vertical="center" wrapText="1"/>
    </xf>
    <xf numFmtId="0" fontId="21" fillId="19" borderId="0" xfId="0" applyFont="1" applyFill="1" applyAlignment="1">
      <alignment horizontal="right" vertical="center" wrapText="1"/>
    </xf>
    <xf numFmtId="3" fontId="21" fillId="19" borderId="0" xfId="0" applyNumberFormat="1" applyFont="1" applyFill="1" applyAlignment="1">
      <alignment horizontal="right" vertical="center" wrapText="1"/>
    </xf>
    <xf numFmtId="0" fontId="22" fillId="19" borderId="0" xfId="0" applyFont="1" applyFill="1" applyAlignment="1">
      <alignment horizontal="center" vertical="center" wrapText="1"/>
    </xf>
    <xf numFmtId="4" fontId="21" fillId="19" borderId="0" xfId="0" applyNumberFormat="1" applyFont="1" applyFill="1" applyAlignment="1">
      <alignment horizontal="right" vertical="center" wrapText="1"/>
    </xf>
    <xf numFmtId="0" fontId="21" fillId="17" borderId="0" xfId="0" applyFont="1" applyFill="1" applyAlignment="1">
      <alignment horizontal="center" vertical="center" wrapText="1"/>
    </xf>
    <xf numFmtId="0" fontId="21" fillId="17" borderId="0" xfId="0" applyFont="1" applyFill="1" applyAlignment="1">
      <alignment horizontal="left" vertical="center" wrapText="1"/>
    </xf>
    <xf numFmtId="0" fontId="21" fillId="17" borderId="0" xfId="0" applyFont="1" applyFill="1" applyAlignment="1">
      <alignment horizontal="right" vertical="center" wrapText="1"/>
    </xf>
    <xf numFmtId="3" fontId="21" fillId="17" borderId="0" xfId="0" applyNumberFormat="1" applyFont="1" applyFill="1" applyAlignment="1">
      <alignment horizontal="right" vertical="center" wrapText="1"/>
    </xf>
    <xf numFmtId="0" fontId="22" fillId="17" borderId="0" xfId="0" applyFont="1" applyFill="1" applyAlignment="1">
      <alignment horizontal="center" vertical="center" wrapText="1"/>
    </xf>
    <xf numFmtId="4" fontId="21" fillId="17" borderId="0" xfId="0" applyNumberFormat="1" applyFont="1" applyFill="1" applyAlignment="1">
      <alignment horizontal="right" vertical="center" wrapText="1"/>
    </xf>
    <xf numFmtId="14" fontId="21" fillId="17" borderId="0" xfId="0" applyNumberFormat="1" applyFont="1" applyFill="1" applyAlignment="1">
      <alignment horizontal="center" vertical="center" wrapText="1"/>
    </xf>
    <xf numFmtId="0" fontId="23" fillId="17" borderId="0" xfId="0" applyFont="1" applyFill="1" applyAlignment="1">
      <alignment horizontal="center" vertical="center" wrapText="1"/>
    </xf>
    <xf numFmtId="43" fontId="5" fillId="15" borderId="1" xfId="1" applyFont="1" applyFill="1" applyBorder="1"/>
    <xf numFmtId="0" fontId="24" fillId="15" borderId="1" xfId="0" applyFont="1" applyFill="1" applyBorder="1"/>
    <xf numFmtId="0" fontId="17" fillId="15" borderId="1" xfId="0" applyFont="1" applyFill="1" applyBorder="1" applyAlignment="1">
      <alignment wrapText="1"/>
    </xf>
    <xf numFmtId="164" fontId="24" fillId="15" borderId="1" xfId="0" applyNumberFormat="1" applyFont="1" applyFill="1" applyBorder="1"/>
    <xf numFmtId="0" fontId="25" fillId="15" borderId="1" xfId="0" applyFont="1" applyFill="1" applyBorder="1"/>
    <xf numFmtId="43" fontId="25" fillId="15" borderId="1" xfId="0" applyNumberFormat="1" applyFont="1" applyFill="1" applyBorder="1"/>
    <xf numFmtId="4" fontId="26" fillId="3" borderId="0" xfId="0" applyNumberFormat="1" applyFont="1" applyFill="1" applyAlignment="1">
      <alignment horizontal="right" vertical="center" wrapText="1"/>
    </xf>
    <xf numFmtId="0" fontId="2" fillId="0" borderId="0" xfId="0" applyFont="1" applyAlignment="1">
      <alignment wrapText="1"/>
    </xf>
    <xf numFmtId="167" fontId="0" fillId="0" borderId="1" xfId="1" applyNumberFormat="1" applyFont="1" applyBorder="1"/>
    <xf numFmtId="167" fontId="0" fillId="13" borderId="1" xfId="1" applyNumberFormat="1" applyFont="1" applyFill="1" applyBorder="1"/>
    <xf numFmtId="167" fontId="0" fillId="0" borderId="1" xfId="1" applyNumberFormat="1" applyFont="1" applyFill="1" applyBorder="1"/>
    <xf numFmtId="167" fontId="0" fillId="0" borderId="1" xfId="1" applyNumberFormat="1" applyFont="1" applyBorder="1" applyAlignment="1">
      <alignment horizontal="right" vertical="top"/>
    </xf>
    <xf numFmtId="167" fontId="0" fillId="13" borderId="1" xfId="1" applyNumberFormat="1" applyFont="1" applyFill="1" applyBorder="1" applyAlignment="1">
      <alignment horizontal="right" vertical="top"/>
    </xf>
    <xf numFmtId="172" fontId="0" fillId="0" borderId="1" xfId="0" applyNumberFormat="1" applyBorder="1"/>
    <xf numFmtId="166" fontId="11" fillId="9" borderId="1" xfId="0" applyNumberFormat="1" applyFont="1" applyFill="1" applyBorder="1" applyAlignment="1">
      <alignment horizontal="center" wrapText="1"/>
    </xf>
    <xf numFmtId="172" fontId="6" fillId="0" borderId="1" xfId="0" applyNumberFormat="1" applyFont="1" applyBorder="1"/>
    <xf numFmtId="172" fontId="6" fillId="6" borderId="1" xfId="0" applyNumberFormat="1" applyFont="1" applyFill="1" applyBorder="1"/>
    <xf numFmtId="43" fontId="2" fillId="0" borderId="0" xfId="0" applyNumberFormat="1" applyFont="1"/>
    <xf numFmtId="4" fontId="2" fillId="2" borderId="0" xfId="0" applyNumberFormat="1" applyFont="1" applyFill="1" applyAlignment="1">
      <alignment horizontal="right"/>
    </xf>
    <xf numFmtId="173" fontId="0" fillId="0" borderId="0" xfId="2" applyNumberFormat="1" applyFont="1"/>
    <xf numFmtId="164" fontId="0" fillId="0" borderId="0" xfId="0" applyNumberFormat="1"/>
    <xf numFmtId="167" fontId="6" fillId="0" borderId="1" xfId="1" applyNumberFormat="1" applyFont="1" applyBorder="1"/>
    <xf numFmtId="167" fontId="24" fillId="15" borderId="1" xfId="1" applyNumberFormat="1" applyFont="1" applyFill="1" applyBorder="1"/>
    <xf numFmtId="167" fontId="0" fillId="0" borderId="0" xfId="1" applyNumberFormat="1" applyFont="1"/>
    <xf numFmtId="0" fontId="7" fillId="0" borderId="0" xfId="0" applyFont="1" applyBorder="1"/>
    <xf numFmtId="0" fontId="0" fillId="0" borderId="0" xfId="0" applyBorder="1"/>
    <xf numFmtId="174" fontId="0" fillId="0" borderId="0" xfId="0" applyNumberFormat="1"/>
    <xf numFmtId="174" fontId="6" fillId="0" borderId="1" xfId="1" applyNumberFormat="1" applyFont="1" applyBorder="1"/>
    <xf numFmtId="164" fontId="0" fillId="0" borderId="0" xfId="0" applyNumberFormat="1" applyBorder="1"/>
    <xf numFmtId="167" fontId="0" fillId="0" borderId="0" xfId="1" applyNumberFormat="1" applyFont="1" applyBorder="1"/>
    <xf numFmtId="167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5" fontId="0" fillId="0" borderId="0" xfId="0" applyNumberFormat="1" applyBorder="1"/>
    <xf numFmtId="0" fontId="2" fillId="20" borderId="0" xfId="0" applyFont="1" applyFill="1" applyAlignment="1">
      <alignment vertical="top" wrapText="1"/>
    </xf>
    <xf numFmtId="0" fontId="2" fillId="11" borderId="0" xfId="0" applyFont="1" applyFill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2" fillId="20" borderId="0" xfId="0" applyFont="1" applyFill="1" applyBorder="1" applyAlignment="1">
      <alignment vertical="top" wrapText="1"/>
    </xf>
    <xf numFmtId="0" fontId="6" fillId="0" borderId="0" xfId="0" applyFont="1" applyBorder="1"/>
    <xf numFmtId="0" fontId="4" fillId="3" borderId="0" xfId="0" applyFont="1" applyFill="1" applyBorder="1" applyAlignment="1">
      <alignment horizontal="left" wrapText="1"/>
    </xf>
    <xf numFmtId="166" fontId="11" fillId="3" borderId="0" xfId="0" applyNumberFormat="1" applyFont="1" applyFill="1" applyBorder="1" applyAlignment="1">
      <alignment horizontal="center" wrapText="1"/>
    </xf>
    <xf numFmtId="172" fontId="6" fillId="0" borderId="0" xfId="0" applyNumberFormat="1" applyFont="1" applyBorder="1"/>
    <xf numFmtId="2" fontId="6" fillId="0" borderId="0" xfId="0" applyNumberFormat="1" applyFont="1" applyBorder="1"/>
    <xf numFmtId="164" fontId="6" fillId="0" borderId="0" xfId="0" applyNumberFormat="1" applyFont="1" applyBorder="1"/>
    <xf numFmtId="43" fontId="5" fillId="5" borderId="0" xfId="1" applyFont="1" applyFill="1" applyBorder="1"/>
    <xf numFmtId="43" fontId="6" fillId="0" borderId="1" xfId="1" applyFont="1" applyBorder="1"/>
    <xf numFmtId="43" fontId="6" fillId="6" borderId="1" xfId="1" applyFont="1" applyFill="1" applyBorder="1"/>
    <xf numFmtId="10" fontId="5" fillId="6" borderId="1" xfId="2" applyNumberFormat="1" applyFont="1" applyFill="1" applyBorder="1"/>
    <xf numFmtId="2" fontId="27" fillId="0" borderId="1" xfId="0" applyNumberFormat="1" applyFont="1" applyBorder="1"/>
    <xf numFmtId="0" fontId="6" fillId="0" borderId="1" xfId="0" applyFont="1" applyFill="1" applyBorder="1"/>
    <xf numFmtId="0" fontId="4" fillId="0" borderId="1" xfId="0" applyFont="1" applyFill="1" applyBorder="1" applyAlignment="1">
      <alignment horizontal="left" wrapText="1"/>
    </xf>
    <xf numFmtId="172" fontId="6" fillId="0" borderId="1" xfId="0" applyNumberFormat="1" applyFont="1" applyFill="1" applyBorder="1"/>
    <xf numFmtId="2" fontId="6" fillId="0" borderId="1" xfId="0" applyNumberFormat="1" applyFont="1" applyFill="1" applyBorder="1"/>
    <xf numFmtId="43" fontId="6" fillId="0" borderId="1" xfId="1" applyFont="1" applyFill="1" applyBorder="1"/>
    <xf numFmtId="164" fontId="6" fillId="0" borderId="1" xfId="0" applyNumberFormat="1" applyFont="1" applyFill="1" applyBorder="1"/>
    <xf numFmtId="2" fontId="27" fillId="0" borderId="1" xfId="0" applyNumberFormat="1" applyFont="1" applyFill="1" applyBorder="1"/>
    <xf numFmtId="166" fontId="11" fillId="21" borderId="1" xfId="0" applyNumberFormat="1" applyFont="1" applyFill="1" applyBorder="1" applyAlignment="1">
      <alignment horizontal="center" wrapText="1"/>
    </xf>
    <xf numFmtId="166" fontId="11" fillId="10" borderId="1" xfId="0" applyNumberFormat="1" applyFont="1" applyFill="1" applyBorder="1" applyAlignment="1">
      <alignment horizontal="center" wrapText="1"/>
    </xf>
    <xf numFmtId="166" fontId="11" fillId="22" borderId="1" xfId="0" applyNumberFormat="1" applyFont="1" applyFill="1" applyBorder="1" applyAlignment="1">
      <alignment horizontal="center" wrapText="1"/>
    </xf>
    <xf numFmtId="166" fontId="11" fillId="23" borderId="1" xfId="0" applyNumberFormat="1" applyFont="1" applyFill="1" applyBorder="1" applyAlignment="1">
      <alignment horizontal="center" wrapText="1"/>
    </xf>
    <xf numFmtId="43" fontId="0" fillId="0" borderId="0" xfId="0" applyNumberFormat="1" applyBorder="1"/>
    <xf numFmtId="166" fontId="11" fillId="0" borderId="1" xfId="0" applyNumberFormat="1" applyFont="1" applyFill="1" applyBorder="1" applyAlignment="1">
      <alignment horizontal="center" wrapText="1"/>
    </xf>
    <xf numFmtId="0" fontId="6" fillId="9" borderId="1" xfId="0" applyFont="1" applyFill="1" applyBorder="1"/>
    <xf numFmtId="0" fontId="4" fillId="9" borderId="1" xfId="0" applyFont="1" applyFill="1" applyBorder="1" applyAlignment="1">
      <alignment horizontal="left" wrapText="1"/>
    </xf>
    <xf numFmtId="172" fontId="6" fillId="9" borderId="1" xfId="0" applyNumberFormat="1" applyFont="1" applyFill="1" applyBorder="1"/>
    <xf numFmtId="43" fontId="6" fillId="9" borderId="1" xfId="1" applyFont="1" applyFill="1" applyBorder="1"/>
    <xf numFmtId="10" fontId="5" fillId="9" borderId="1" xfId="2" applyNumberFormat="1" applyFont="1" applyFill="1" applyBorder="1"/>
    <xf numFmtId="4" fontId="2" fillId="2" borderId="0" xfId="0" applyNumberFormat="1" applyFont="1" applyFill="1" applyAlignment="1">
      <alignment horizontal="right"/>
    </xf>
    <xf numFmtId="43" fontId="2" fillId="0" borderId="1" xfId="1" applyFont="1" applyBorder="1" applyAlignment="1">
      <alignment horizontal="center" vertical="center"/>
    </xf>
    <xf numFmtId="43" fontId="0" fillId="0" borderId="3" xfId="1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43" fontId="0" fillId="0" borderId="6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A3A3"/>
      <color rgb="FFFFBDBD"/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57150</xdr:rowOff>
    </xdr:to>
    <xdr:pic>
      <xdr:nvPicPr>
        <xdr:cNvPr id="2" name="Picture 1" descr="https://www.ketradewl.com/mib/image/red-arrow.gif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0"/>
          <a:ext cx="762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85725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7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85725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7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85725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7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85725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7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85725</xdr:rowOff>
        </xdr:to>
        <xdr:sp macro="" textlink="">
          <xdr:nvSpPr>
            <xdr:cNvPr id="6150" name="Control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7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13</xdr:col>
      <xdr:colOff>0</xdr:colOff>
      <xdr:row>0</xdr:row>
      <xdr:rowOff>0</xdr:rowOff>
    </xdr:from>
    <xdr:to>
      <xdr:col>18</xdr:col>
      <xdr:colOff>1855756</xdr:colOff>
      <xdr:row>15</xdr:row>
      <xdr:rowOff>171008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0" y="0"/>
          <a:ext cx="12952381" cy="3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1933575</xdr:colOff>
      <xdr:row>0</xdr:row>
      <xdr:rowOff>0</xdr:rowOff>
    </xdr:from>
    <xdr:to>
      <xdr:col>11</xdr:col>
      <xdr:colOff>1837365</xdr:colOff>
      <xdr:row>15</xdr:row>
      <xdr:rowOff>9158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0" y="0"/>
          <a:ext cx="7676190" cy="29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0</xdr:row>
      <xdr:rowOff>0</xdr:rowOff>
    </xdr:from>
    <xdr:to>
      <xdr:col>7</xdr:col>
      <xdr:colOff>1713558</xdr:colOff>
      <xdr:row>21</xdr:row>
      <xdr:rowOff>94737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0"/>
          <a:ext cx="7533333" cy="41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57150</xdr:rowOff>
    </xdr:from>
    <xdr:to>
      <xdr:col>16</xdr:col>
      <xdr:colOff>503390</xdr:colOff>
      <xdr:row>45</xdr:row>
      <xdr:rowOff>104249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38600"/>
          <a:ext cx="11476190" cy="4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eme1">
  <a:themeElements>
    <a:clrScheme name="Standard Chartered Template">
      <a:dk1>
        <a:srgbClr val="005C84"/>
      </a:dk1>
      <a:lt1>
        <a:sysClr val="window" lastClr="FFFFFF"/>
      </a:lt1>
      <a:dk2>
        <a:srgbClr val="000F46"/>
      </a:dk2>
      <a:lt2>
        <a:srgbClr val="E6E7E8"/>
      </a:lt2>
      <a:accent1>
        <a:srgbClr val="0075B0"/>
      </a:accent1>
      <a:accent2>
        <a:srgbClr val="009FDA"/>
      </a:accent2>
      <a:accent3>
        <a:srgbClr val="3F9C35"/>
      </a:accent3>
      <a:accent4>
        <a:srgbClr val="69BE28"/>
      </a:accent4>
      <a:accent5>
        <a:srgbClr val="6D6E71"/>
      </a:accent5>
      <a:accent6>
        <a:srgbClr val="939598"/>
      </a:accent6>
      <a:hlink>
        <a:srgbClr val="6D6E71"/>
      </a:hlink>
      <a:folHlink>
        <a:srgbClr val="2890C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tandardChartered_GlobalTemplate" id="{8AA814C4-A578-42A8-85A9-298523698715}" vid="{F837474E-8CD5-4CDA-B6A2-5B081F46A0D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2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E18" sqref="E18"/>
    </sheetView>
  </sheetViews>
  <sheetFormatPr defaultRowHeight="14.25" x14ac:dyDescent="0.2"/>
  <cols>
    <col min="1" max="1" width="9.375" bestFit="1" customWidth="1"/>
    <col min="2" max="2" width="11.125" bestFit="1" customWidth="1"/>
    <col min="3" max="3" width="10.125" bestFit="1" customWidth="1"/>
    <col min="4" max="4" width="9.875" bestFit="1" customWidth="1"/>
    <col min="5" max="5" width="26.125" customWidth="1"/>
    <col min="7" max="7" width="10.75" bestFit="1" customWidth="1"/>
    <col min="12" max="12" width="23.375" bestFit="1" customWidth="1"/>
    <col min="13" max="13" width="10.125" bestFit="1" customWidth="1"/>
  </cols>
  <sheetData>
    <row r="1" spans="1:13" ht="15" x14ac:dyDescent="0.25">
      <c r="A1" s="207">
        <f>SUM(B3:B25)</f>
        <v>48200</v>
      </c>
      <c r="B1" s="207"/>
      <c r="C1" s="157"/>
      <c r="D1" s="157"/>
      <c r="E1" s="15">
        <f>SUM(B3:B20)</f>
        <v>48200</v>
      </c>
      <c r="G1" s="15">
        <f>A1-Buy!M1</f>
        <v>-16637.658199999976</v>
      </c>
      <c r="I1" s="4">
        <f>A1-'Sellable List'!E1</f>
        <v>-1270.4197999999888</v>
      </c>
      <c r="L1" t="s">
        <v>90</v>
      </c>
      <c r="M1" s="15">
        <f>'Sellable List'!M1</f>
        <v>8.6300000000000008</v>
      </c>
    </row>
    <row r="2" spans="1:13" ht="30" x14ac:dyDescent="0.2">
      <c r="A2" s="171" t="s">
        <v>0</v>
      </c>
      <c r="B2" s="171" t="s">
        <v>1</v>
      </c>
      <c r="C2" s="171" t="s">
        <v>135</v>
      </c>
      <c r="D2" s="172" t="s">
        <v>149</v>
      </c>
      <c r="E2" s="171" t="s">
        <v>47</v>
      </c>
      <c r="L2" t="s">
        <v>91</v>
      </c>
    </row>
    <row r="3" spans="1:13" x14ac:dyDescent="0.2">
      <c r="A3" s="1">
        <v>42859</v>
      </c>
      <c r="B3" s="2">
        <f>10700</f>
        <v>10700</v>
      </c>
      <c r="C3" s="2"/>
      <c r="D3" s="2"/>
    </row>
    <row r="4" spans="1:13" x14ac:dyDescent="0.2">
      <c r="A4" s="1">
        <v>42857</v>
      </c>
      <c r="B4" s="2">
        <v>5000</v>
      </c>
      <c r="C4" s="2"/>
      <c r="D4" s="2"/>
    </row>
    <row r="5" spans="1:13" x14ac:dyDescent="0.2">
      <c r="A5" s="1">
        <v>42860</v>
      </c>
      <c r="B5" s="2">
        <v>5500</v>
      </c>
      <c r="C5" s="2"/>
      <c r="D5" s="2"/>
    </row>
    <row r="6" spans="1:13" x14ac:dyDescent="0.2">
      <c r="A6" s="1">
        <v>42864</v>
      </c>
      <c r="B6" s="2">
        <v>10000</v>
      </c>
      <c r="C6" s="2"/>
      <c r="D6" s="2"/>
    </row>
    <row r="7" spans="1:13" x14ac:dyDescent="0.2">
      <c r="A7" s="1">
        <v>42880</v>
      </c>
      <c r="B7" s="2">
        <v>500</v>
      </c>
      <c r="C7" s="2"/>
      <c r="D7" s="2"/>
    </row>
    <row r="8" spans="1:13" x14ac:dyDescent="0.2">
      <c r="A8" s="1">
        <v>42909</v>
      </c>
      <c r="B8" s="2">
        <v>2250</v>
      </c>
      <c r="C8" s="2"/>
      <c r="D8" s="2"/>
    </row>
    <row r="9" spans="1:13" x14ac:dyDescent="0.2">
      <c r="A9" s="1">
        <v>42944</v>
      </c>
      <c r="B9" s="2">
        <v>1000</v>
      </c>
      <c r="C9" s="2"/>
      <c r="D9" s="2"/>
    </row>
    <row r="10" spans="1:13" x14ac:dyDescent="0.2">
      <c r="A10" s="64">
        <v>43017</v>
      </c>
      <c r="B10" s="65">
        <v>-650</v>
      </c>
      <c r="C10" s="65"/>
      <c r="D10" s="65"/>
    </row>
    <row r="11" spans="1:13" x14ac:dyDescent="0.2">
      <c r="A11" s="64">
        <v>43711</v>
      </c>
      <c r="B11" s="65">
        <v>-3500</v>
      </c>
      <c r="C11" s="65"/>
      <c r="D11" s="65"/>
      <c r="E11" t="s">
        <v>103</v>
      </c>
    </row>
    <row r="12" spans="1:13" x14ac:dyDescent="0.2">
      <c r="A12" s="1">
        <v>43738</v>
      </c>
      <c r="B12" s="2">
        <v>1400</v>
      </c>
      <c r="C12" s="2"/>
      <c r="D12" s="2"/>
      <c r="E12" t="s">
        <v>137</v>
      </c>
    </row>
    <row r="13" spans="1:13" x14ac:dyDescent="0.2">
      <c r="A13" s="1">
        <v>43739</v>
      </c>
      <c r="B13" s="2">
        <v>5000</v>
      </c>
      <c r="C13" s="2"/>
      <c r="D13" s="2"/>
      <c r="E13" t="s">
        <v>138</v>
      </c>
    </row>
    <row r="14" spans="1:13" x14ac:dyDescent="0.2">
      <c r="A14" s="1">
        <v>43742</v>
      </c>
      <c r="B14" s="2">
        <v>6000</v>
      </c>
      <c r="C14" s="2">
        <f>248</f>
        <v>248</v>
      </c>
      <c r="D14" s="2"/>
      <c r="E14" t="s">
        <v>138</v>
      </c>
    </row>
    <row r="15" spans="1:13" x14ac:dyDescent="0.2">
      <c r="A15" s="1">
        <v>43745</v>
      </c>
      <c r="B15" s="2">
        <v>15000</v>
      </c>
      <c r="C15" s="2">
        <v>848.89</v>
      </c>
      <c r="D15" s="2"/>
      <c r="E15" t="s">
        <v>153</v>
      </c>
    </row>
    <row r="16" spans="1:13" x14ac:dyDescent="0.2">
      <c r="A16" s="1">
        <v>43748</v>
      </c>
      <c r="B16" s="2">
        <v>10000</v>
      </c>
      <c r="C16" s="2"/>
      <c r="D16" s="2"/>
      <c r="E16" t="s">
        <v>156</v>
      </c>
    </row>
    <row r="17" spans="1:5" x14ac:dyDescent="0.2">
      <c r="A17" s="1">
        <v>43803</v>
      </c>
      <c r="B17" s="65">
        <v>-20000</v>
      </c>
      <c r="C17" s="2"/>
      <c r="D17" s="2"/>
      <c r="E17" t="s">
        <v>167</v>
      </c>
    </row>
    <row r="18" spans="1:5" x14ac:dyDescent="0.2">
      <c r="B18" s="2"/>
      <c r="C18" s="2"/>
      <c r="D18" s="2"/>
    </row>
    <row r="19" spans="1:5" x14ac:dyDescent="0.2">
      <c r="B19" s="2"/>
      <c r="C19" s="2"/>
      <c r="D19" s="2"/>
    </row>
    <row r="20" spans="1:5" x14ac:dyDescent="0.2">
      <c r="B20" s="2"/>
      <c r="C20" s="2"/>
      <c r="D20" s="2"/>
    </row>
    <row r="21" spans="1:5" x14ac:dyDescent="0.2">
      <c r="B21" s="2"/>
      <c r="C21" s="2"/>
      <c r="D21" s="2"/>
    </row>
    <row r="22" spans="1:5" x14ac:dyDescent="0.2">
      <c r="B22" s="2"/>
      <c r="C22" s="2"/>
      <c r="D22" s="2"/>
    </row>
    <row r="23" spans="1:5" x14ac:dyDescent="0.2">
      <c r="B23" s="2"/>
      <c r="C23" s="2"/>
      <c r="D23" s="2"/>
    </row>
    <row r="24" spans="1:5" x14ac:dyDescent="0.2">
      <c r="B24" s="2"/>
      <c r="C24" s="2"/>
      <c r="D24" s="2"/>
    </row>
    <row r="25" spans="1:5" x14ac:dyDescent="0.2">
      <c r="B25" s="2"/>
      <c r="C25" s="2"/>
      <c r="D25" s="2"/>
    </row>
  </sheetData>
  <mergeCells count="1">
    <mergeCell ref="A1:B1"/>
  </mergeCells>
  <conditionalFormatting sqref="A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FF4A-C54E-4C65-9963-64A4B137A3DF}">
  <dimension ref="A1"/>
  <sheetViews>
    <sheetView topLeftCell="A7"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28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L26" sqref="L26"/>
    </sheetView>
  </sheetViews>
  <sheetFormatPr defaultRowHeight="14.25" x14ac:dyDescent="0.2"/>
  <cols>
    <col min="1" max="1" width="5.125" bestFit="1" customWidth="1"/>
    <col min="2" max="2" width="20.875" bestFit="1" customWidth="1"/>
    <col min="3" max="3" width="9.375" style="32" customWidth="1"/>
    <col min="4" max="4" width="10" bestFit="1" customWidth="1"/>
    <col min="5" max="5" width="9.125" bestFit="1" customWidth="1"/>
    <col min="6" max="6" width="10.125" bestFit="1" customWidth="1"/>
    <col min="7" max="7" width="5.5" customWidth="1"/>
    <col min="8" max="8" width="7.75" bestFit="1" customWidth="1"/>
    <col min="9" max="9" width="8.5" customWidth="1"/>
    <col min="10" max="10" width="8.25" customWidth="1"/>
    <col min="11" max="11" width="8.375" bestFit="1" customWidth="1"/>
    <col min="12" max="12" width="12.375" style="85" bestFit="1" customWidth="1"/>
    <col min="13" max="13" width="10.125" bestFit="1" customWidth="1"/>
    <col min="14" max="14" width="18.375" bestFit="1" customWidth="1"/>
    <col min="15" max="15" width="10.625" bestFit="1" customWidth="1"/>
    <col min="16" max="16" width="10.375" bestFit="1" customWidth="1"/>
    <col min="17" max="17" width="9" bestFit="1" customWidth="1"/>
    <col min="18" max="18" width="11.25" bestFit="1" customWidth="1"/>
    <col min="19" max="19" width="10" bestFit="1" customWidth="1"/>
  </cols>
  <sheetData>
    <row r="1" spans="1:17" ht="18" x14ac:dyDescent="0.25">
      <c r="E1" s="26">
        <f>SUBTOTAL(9,E2:E99)</f>
        <v>49470.419799999989</v>
      </c>
      <c r="F1" s="26"/>
      <c r="G1" s="26"/>
      <c r="H1" s="26"/>
      <c r="I1" s="26"/>
      <c r="L1" s="85" t="s">
        <v>92</v>
      </c>
      <c r="M1" s="113">
        <f>SUBTOTAL(9,M2:M99)</f>
        <v>8.6300000000000008</v>
      </c>
      <c r="N1" s="54">
        <f>SUBTOTAL(9,N2:N99)</f>
        <v>7057.1402000000016</v>
      </c>
      <c r="O1" s="54"/>
    </row>
    <row r="2" spans="1:17" ht="38.25" x14ac:dyDescent="0.2">
      <c r="A2" s="33" t="s">
        <v>2</v>
      </c>
      <c r="B2" s="35" t="s">
        <v>38</v>
      </c>
      <c r="C2" s="34" t="s">
        <v>3</v>
      </c>
      <c r="D2" s="35" t="s">
        <v>4</v>
      </c>
      <c r="E2" s="35" t="s">
        <v>35</v>
      </c>
      <c r="F2" s="35" t="s">
        <v>60</v>
      </c>
      <c r="G2" s="35" t="s">
        <v>74</v>
      </c>
      <c r="H2" s="35" t="s">
        <v>59</v>
      </c>
      <c r="I2" s="33" t="s">
        <v>37</v>
      </c>
      <c r="J2" s="35" t="s">
        <v>85</v>
      </c>
      <c r="K2" s="35" t="s">
        <v>135</v>
      </c>
      <c r="L2" s="100" t="s">
        <v>36</v>
      </c>
      <c r="M2" s="35" t="s">
        <v>154</v>
      </c>
      <c r="N2" s="33" t="s">
        <v>52</v>
      </c>
      <c r="O2" s="33" t="s">
        <v>52</v>
      </c>
      <c r="P2" s="33" t="s">
        <v>53</v>
      </c>
    </row>
    <row r="3" spans="1:17" hidden="1" x14ac:dyDescent="0.2">
      <c r="A3" s="90">
        <v>1</v>
      </c>
      <c r="B3" s="91" t="s">
        <v>8</v>
      </c>
      <c r="C3" s="92">
        <v>3.1309999999999998</v>
      </c>
      <c r="D3" s="93">
        <v>1000</v>
      </c>
      <c r="E3" s="93">
        <f>(Buy!L2+Buy!L3+Buy!L5)/2</f>
        <v>3148.7400000000002</v>
      </c>
      <c r="F3" s="93">
        <v>1000</v>
      </c>
      <c r="G3" s="105">
        <v>0</v>
      </c>
      <c r="H3" s="105">
        <v>0</v>
      </c>
      <c r="I3" s="91">
        <f>(140+160)/2</f>
        <v>150</v>
      </c>
      <c r="J3" s="93">
        <v>1000</v>
      </c>
      <c r="K3" s="105">
        <f>IF(J3-D3&gt;0,"FALSE",J3-D3)</f>
        <v>0</v>
      </c>
      <c r="L3" s="101">
        <v>43103</v>
      </c>
      <c r="M3" s="89">
        <f>Sell!L2</f>
        <v>2517.71</v>
      </c>
      <c r="N3" s="39">
        <f>M3-E3+I3</f>
        <v>-481.0300000000002</v>
      </c>
      <c r="O3" s="87" t="str">
        <f t="shared" ref="O3:O28" si="0">IF(ISBLANK(L3), "", IF(N3&gt;0, "Gain", "Loss") )</f>
        <v>Loss</v>
      </c>
      <c r="P3" s="58">
        <f t="shared" ref="P3:P28" si="1">IF(ISBLANK(L3), "", N3/E3)</f>
        <v>-0.15276904412558678</v>
      </c>
      <c r="Q3" s="4"/>
    </row>
    <row r="4" spans="1:17" hidden="1" x14ac:dyDescent="0.2">
      <c r="A4" s="90">
        <v>2</v>
      </c>
      <c r="B4" s="90" t="s">
        <v>8</v>
      </c>
      <c r="C4" s="92">
        <v>3.1309999999999998</v>
      </c>
      <c r="D4" s="93">
        <v>1000</v>
      </c>
      <c r="E4" s="93">
        <f>(Buy!L2+Buy!L3+Buy!L5)/2</f>
        <v>3148.7400000000002</v>
      </c>
      <c r="F4" s="93">
        <v>1000</v>
      </c>
      <c r="G4" s="105">
        <v>0</v>
      </c>
      <c r="H4" s="105">
        <v>0</v>
      </c>
      <c r="I4" s="91">
        <f>(140+160)/2</f>
        <v>150</v>
      </c>
      <c r="J4" s="93">
        <v>1000</v>
      </c>
      <c r="K4" s="105">
        <f t="shared" ref="K4:K27" si="2">IF(J4-D4&gt;0,"FALSE",J4-D4)</f>
        <v>0</v>
      </c>
      <c r="L4" s="101">
        <v>43119</v>
      </c>
      <c r="M4" s="89">
        <f>Sell!L3</f>
        <v>2517.71</v>
      </c>
      <c r="N4" s="39">
        <f>M4-E4+I4</f>
        <v>-481.0300000000002</v>
      </c>
      <c r="O4" s="87" t="str">
        <f t="shared" si="0"/>
        <v>Loss</v>
      </c>
      <c r="P4" s="58">
        <f t="shared" si="1"/>
        <v>-0.15276904412558678</v>
      </c>
      <c r="Q4" s="4"/>
    </row>
    <row r="5" spans="1:17" x14ac:dyDescent="0.2">
      <c r="A5" s="25">
        <v>3</v>
      </c>
      <c r="B5" s="25" t="s">
        <v>9</v>
      </c>
      <c r="C5" s="36">
        <f>IF( E5=0, 0, E5/D5)</f>
        <v>0.5208122615384615</v>
      </c>
      <c r="D5" s="37">
        <f>F5+G5+H5</f>
        <v>13000</v>
      </c>
      <c r="E5" s="38">
        <f>Buy!L4+Buy!L25+Buy!L45</f>
        <v>6770.5594000000001</v>
      </c>
      <c r="F5" s="147">
        <f>(Buy!E25+Buy!E4+Buy!E45) * 1000</f>
        <v>13000</v>
      </c>
      <c r="G5" s="74">
        <v>0</v>
      </c>
      <c r="H5" s="74">
        <v>0</v>
      </c>
      <c r="I5" s="38"/>
      <c r="J5" s="150"/>
      <c r="K5" s="74">
        <f t="shared" si="2"/>
        <v>-13000</v>
      </c>
      <c r="L5" s="102"/>
      <c r="M5" s="152">
        <v>0.33</v>
      </c>
      <c r="N5" s="87">
        <f>(M5*D5)-E5</f>
        <v>-2480.5594000000001</v>
      </c>
      <c r="O5" s="87" t="str">
        <f t="shared" si="0"/>
        <v/>
      </c>
      <c r="P5" s="58" t="str">
        <f t="shared" si="1"/>
        <v/>
      </c>
      <c r="Q5" s="4"/>
    </row>
    <row r="6" spans="1:17" hidden="1" x14ac:dyDescent="0.2">
      <c r="A6" s="90">
        <v>4</v>
      </c>
      <c r="B6" s="90" t="s">
        <v>10</v>
      </c>
      <c r="C6" s="92">
        <v>3.84</v>
      </c>
      <c r="D6" s="93">
        <v>1000</v>
      </c>
      <c r="E6" s="93">
        <f>Buy!L6</f>
        <v>3853.71</v>
      </c>
      <c r="F6" s="93">
        <v>1000</v>
      </c>
      <c r="G6" s="105">
        <v>0</v>
      </c>
      <c r="H6" s="105">
        <v>0</v>
      </c>
      <c r="I6" s="91">
        <v>63.72</v>
      </c>
      <c r="J6" s="93">
        <v>1000</v>
      </c>
      <c r="K6" s="105">
        <f t="shared" si="2"/>
        <v>0</v>
      </c>
      <c r="L6" s="101">
        <v>43091</v>
      </c>
      <c r="M6" s="89">
        <f>Sell!L5</f>
        <v>3636.35</v>
      </c>
      <c r="N6" s="39">
        <f>M6-E6+I6</f>
        <v>-153.64000000000013</v>
      </c>
      <c r="O6" s="87" t="str">
        <f t="shared" si="0"/>
        <v>Loss</v>
      </c>
      <c r="P6" s="58">
        <f t="shared" si="1"/>
        <v>-3.9868075179502381E-2</v>
      </c>
      <c r="Q6" s="4"/>
    </row>
    <row r="7" spans="1:17" hidden="1" x14ac:dyDescent="0.2">
      <c r="A7" s="25">
        <v>5</v>
      </c>
      <c r="B7" s="25" t="s">
        <v>30</v>
      </c>
      <c r="C7" s="36">
        <f>IF( E7=0, 0, E7/D7)</f>
        <v>1.2936525000000001</v>
      </c>
      <c r="D7" s="37">
        <f>2000*2</f>
        <v>4000</v>
      </c>
      <c r="E7" s="38">
        <f>Buy!L12+Buy!L13</f>
        <v>5174.6100000000006</v>
      </c>
      <c r="F7" s="147">
        <v>2000</v>
      </c>
      <c r="G7" s="81" t="s">
        <v>75</v>
      </c>
      <c r="H7" s="74">
        <v>0</v>
      </c>
      <c r="I7" s="38">
        <f>30+20</f>
        <v>50</v>
      </c>
      <c r="J7" s="150">
        <v>4000</v>
      </c>
      <c r="K7" s="74">
        <f t="shared" si="2"/>
        <v>0</v>
      </c>
      <c r="L7" s="102">
        <v>43749</v>
      </c>
      <c r="M7" s="152">
        <f>Sell!L10</f>
        <v>5589.84</v>
      </c>
      <c r="N7" s="94">
        <f>M7-E7</f>
        <v>415.22999999999956</v>
      </c>
      <c r="O7" s="87" t="str">
        <f t="shared" si="0"/>
        <v>Gain</v>
      </c>
      <c r="P7" s="58">
        <f>IF(ISBLANK(L7), "", N7/E7)</f>
        <v>8.0243728512873341E-2</v>
      </c>
    </row>
    <row r="8" spans="1:17" hidden="1" x14ac:dyDescent="0.2">
      <c r="A8" s="90">
        <v>6</v>
      </c>
      <c r="B8" s="90" t="s">
        <v>29</v>
      </c>
      <c r="C8" s="92">
        <v>1.87</v>
      </c>
      <c r="D8" s="93">
        <v>1000</v>
      </c>
      <c r="E8" s="93">
        <f>Buy!L10</f>
        <v>1881.09</v>
      </c>
      <c r="F8" s="93">
        <v>1000</v>
      </c>
      <c r="G8" s="105">
        <v>0</v>
      </c>
      <c r="H8" s="105">
        <v>0</v>
      </c>
      <c r="I8" s="91">
        <v>0</v>
      </c>
      <c r="J8" s="93">
        <v>1000</v>
      </c>
      <c r="K8" s="105">
        <f t="shared" si="2"/>
        <v>0</v>
      </c>
      <c r="L8" s="101">
        <v>42958</v>
      </c>
      <c r="M8" s="89">
        <f>Sell!L9</f>
        <v>1688.85</v>
      </c>
      <c r="N8" s="39">
        <f>M8-E8</f>
        <v>-192.24</v>
      </c>
      <c r="O8" s="87" t="str">
        <f t="shared" si="0"/>
        <v>Loss</v>
      </c>
      <c r="P8" s="58">
        <f t="shared" si="1"/>
        <v>-0.10219606717381945</v>
      </c>
    </row>
    <row r="9" spans="1:17" hidden="1" x14ac:dyDescent="0.2">
      <c r="A9" s="95">
        <v>7</v>
      </c>
      <c r="B9" s="95" t="s">
        <v>31</v>
      </c>
      <c r="C9" s="96">
        <f>ROUND((2.17+2.11+2.1)/3, 4)</f>
        <v>2.1267</v>
      </c>
      <c r="D9" s="97">
        <v>3000</v>
      </c>
      <c r="E9" s="97">
        <f>Buy!L14+Buy!L15+Buy!L16</f>
        <v>6416.49</v>
      </c>
      <c r="F9" s="97">
        <v>3000</v>
      </c>
      <c r="G9" s="106">
        <v>0</v>
      </c>
      <c r="H9" s="106">
        <v>0</v>
      </c>
      <c r="I9" s="106">
        <v>0</v>
      </c>
      <c r="J9" s="74">
        <v>3000</v>
      </c>
      <c r="K9" s="74">
        <f t="shared" si="2"/>
        <v>0</v>
      </c>
      <c r="L9" s="103">
        <v>43038</v>
      </c>
      <c r="M9" s="98">
        <f>Sell!L11</f>
        <v>6432.04</v>
      </c>
      <c r="N9" s="94">
        <f>M9-E9</f>
        <v>15.550000000000182</v>
      </c>
      <c r="O9" s="87" t="str">
        <f t="shared" si="0"/>
        <v>Gain</v>
      </c>
      <c r="P9" s="58">
        <f t="shared" si="1"/>
        <v>2.4234433467519132E-3</v>
      </c>
    </row>
    <row r="10" spans="1:17" s="82" customFormat="1" hidden="1" x14ac:dyDescent="0.2">
      <c r="A10" s="90">
        <v>8</v>
      </c>
      <c r="B10" s="90" t="s">
        <v>32</v>
      </c>
      <c r="C10" s="92">
        <v>0.13800000000000001</v>
      </c>
      <c r="D10" s="93">
        <v>20000</v>
      </c>
      <c r="E10" s="93">
        <f>Buy!L11+Buy!L8</f>
        <v>2771.8500000000004</v>
      </c>
      <c r="F10" s="93">
        <v>20000</v>
      </c>
      <c r="G10" s="105">
        <v>0</v>
      </c>
      <c r="H10" s="105">
        <v>0</v>
      </c>
      <c r="I10" s="91">
        <v>0</v>
      </c>
      <c r="J10" s="93">
        <v>20000</v>
      </c>
      <c r="K10" s="105">
        <f t="shared" si="2"/>
        <v>0</v>
      </c>
      <c r="L10" s="101">
        <v>43191</v>
      </c>
      <c r="M10" s="89">
        <f>Sell!L7</f>
        <v>1289.0999999999999</v>
      </c>
      <c r="N10" s="39">
        <f>M10-E10</f>
        <v>-1482.7500000000005</v>
      </c>
      <c r="O10" s="87" t="str">
        <f t="shared" si="0"/>
        <v>Loss</v>
      </c>
      <c r="P10" s="58">
        <f t="shared" si="1"/>
        <v>-0.53493154391471409</v>
      </c>
    </row>
    <row r="11" spans="1:17" hidden="1" x14ac:dyDescent="0.2">
      <c r="A11" s="95">
        <v>9</v>
      </c>
      <c r="B11" s="95" t="s">
        <v>33</v>
      </c>
      <c r="C11" s="96">
        <v>5.9</v>
      </c>
      <c r="D11" s="97">
        <v>1000</v>
      </c>
      <c r="E11" s="97">
        <f>Buy!L7</f>
        <v>5916.3600000000006</v>
      </c>
      <c r="F11" s="97">
        <v>1000</v>
      </c>
      <c r="G11" s="106">
        <v>0</v>
      </c>
      <c r="H11" s="106">
        <v>0</v>
      </c>
      <c r="I11" s="94">
        <v>30</v>
      </c>
      <c r="J11" s="97">
        <v>1000</v>
      </c>
      <c r="K11" s="106">
        <v>0</v>
      </c>
      <c r="L11" s="103">
        <v>42955</v>
      </c>
      <c r="M11" s="98">
        <f>Sell!L4</f>
        <v>5963.61</v>
      </c>
      <c r="N11" s="94">
        <f>M11-E11+I11</f>
        <v>77.249999999999091</v>
      </c>
      <c r="O11" s="87" t="str">
        <f t="shared" si="0"/>
        <v>Gain</v>
      </c>
      <c r="P11" s="58">
        <f t="shared" si="1"/>
        <v>1.3057014786118338E-2</v>
      </c>
    </row>
    <row r="12" spans="1:17" hidden="1" x14ac:dyDescent="0.2">
      <c r="A12" s="95">
        <v>10</v>
      </c>
      <c r="B12" s="95" t="s">
        <v>55</v>
      </c>
      <c r="C12" s="96">
        <v>3.2</v>
      </c>
      <c r="D12" s="97">
        <v>1000</v>
      </c>
      <c r="E12" s="97">
        <f>Buy!L9</f>
        <v>3213.5</v>
      </c>
      <c r="F12" s="97">
        <v>1000</v>
      </c>
      <c r="G12" s="106">
        <v>0</v>
      </c>
      <c r="H12" s="106">
        <v>0</v>
      </c>
      <c r="I12" s="106">
        <v>0</v>
      </c>
      <c r="J12" s="97">
        <v>1000</v>
      </c>
      <c r="K12" s="106">
        <v>0</v>
      </c>
      <c r="L12" s="103">
        <v>42891</v>
      </c>
      <c r="M12" s="98">
        <f>Sell!L8</f>
        <v>3536.38</v>
      </c>
      <c r="N12" s="94">
        <f>M12-E12</f>
        <v>322.88000000000011</v>
      </c>
      <c r="O12" s="87" t="str">
        <f t="shared" si="0"/>
        <v>Gain</v>
      </c>
      <c r="P12" s="58">
        <f t="shared" si="1"/>
        <v>0.10047611638400501</v>
      </c>
    </row>
    <row r="13" spans="1:17" hidden="1" x14ac:dyDescent="0.2">
      <c r="A13" s="95">
        <v>11</v>
      </c>
      <c r="B13" s="95" t="s">
        <v>39</v>
      </c>
      <c r="C13" s="96">
        <v>0.57999999999999996</v>
      </c>
      <c r="D13" s="97">
        <v>2000</v>
      </c>
      <c r="E13" s="98">
        <f>Buy!L17</f>
        <v>1170.8599999999999</v>
      </c>
      <c r="F13" s="97">
        <v>2000</v>
      </c>
      <c r="G13" s="106">
        <v>0</v>
      </c>
      <c r="H13" s="106">
        <v>0</v>
      </c>
      <c r="I13" s="106">
        <v>0</v>
      </c>
      <c r="J13" s="97">
        <v>2000</v>
      </c>
      <c r="K13" s="106">
        <v>0</v>
      </c>
      <c r="L13" s="103">
        <v>43053</v>
      </c>
      <c r="M13" s="98">
        <f>Sell!L12</f>
        <v>1388.95</v>
      </c>
      <c r="N13" s="94">
        <f>Sell!L12-Buy!L17</f>
        <v>218.09000000000015</v>
      </c>
      <c r="O13" s="87" t="str">
        <f t="shared" si="0"/>
        <v>Gain</v>
      </c>
      <c r="P13" s="58">
        <f t="shared" si="1"/>
        <v>0.18626479681601571</v>
      </c>
    </row>
    <row r="14" spans="1:17" x14ac:dyDescent="0.2">
      <c r="A14" s="25">
        <v>12</v>
      </c>
      <c r="B14" s="25" t="s">
        <v>58</v>
      </c>
      <c r="C14" s="36">
        <f>IF( E14=0, 0, (E14-I14)/D14)</f>
        <v>2.6523386000000002</v>
      </c>
      <c r="D14" s="37">
        <v>1000</v>
      </c>
      <c r="E14" s="38">
        <f>Buy!L18</f>
        <v>2712.3386</v>
      </c>
      <c r="F14" s="147">
        <v>1000</v>
      </c>
      <c r="G14" s="74">
        <v>0</v>
      </c>
      <c r="H14" s="74">
        <v>0</v>
      </c>
      <c r="I14" s="38">
        <f>25+20+15</f>
        <v>60</v>
      </c>
      <c r="J14" s="150"/>
      <c r="K14" s="74">
        <f t="shared" si="2"/>
        <v>-1000</v>
      </c>
      <c r="L14" s="102"/>
      <c r="M14" s="152">
        <f>Sell!D13</f>
        <v>1.1000000000000001</v>
      </c>
      <c r="N14" s="87">
        <f>Sell!L13-E14+I14</f>
        <v>-1561.1486</v>
      </c>
      <c r="O14" s="87" t="str">
        <f t="shared" si="0"/>
        <v/>
      </c>
      <c r="P14" s="58" t="str">
        <f t="shared" si="1"/>
        <v/>
      </c>
    </row>
    <row r="15" spans="1:17" hidden="1" x14ac:dyDescent="0.2">
      <c r="A15" s="95">
        <v>13</v>
      </c>
      <c r="B15" s="95" t="s">
        <v>57</v>
      </c>
      <c r="C15" s="96">
        <v>0.33</v>
      </c>
      <c r="D15" s="97">
        <v>2000</v>
      </c>
      <c r="E15" s="98">
        <f>Buy!L19</f>
        <v>669.69200000000001</v>
      </c>
      <c r="F15" s="97">
        <v>2000</v>
      </c>
      <c r="G15" s="106">
        <v>0</v>
      </c>
      <c r="H15" s="106">
        <v>0</v>
      </c>
      <c r="I15" s="94">
        <v>10</v>
      </c>
      <c r="J15" s="97">
        <v>2000</v>
      </c>
      <c r="K15" s="106">
        <v>0</v>
      </c>
      <c r="L15" s="103">
        <v>43110</v>
      </c>
      <c r="M15" s="87">
        <f>Sell!L14</f>
        <v>990.2</v>
      </c>
      <c r="N15" s="94">
        <f>Sell!L14-Buy!L19</f>
        <v>320.50800000000004</v>
      </c>
      <c r="O15" s="87" t="str">
        <f t="shared" si="0"/>
        <v>Gain</v>
      </c>
      <c r="P15" s="58">
        <f t="shared" si="1"/>
        <v>0.47859015786361497</v>
      </c>
    </row>
    <row r="16" spans="1:17" x14ac:dyDescent="0.2">
      <c r="A16" s="25">
        <v>14</v>
      </c>
      <c r="B16" s="25" t="s">
        <v>56</v>
      </c>
      <c r="C16" s="36">
        <f>IF( E16=0, 0, (E16-I16) /D16)</f>
        <v>1.4410418</v>
      </c>
      <c r="D16" s="37">
        <v>1000</v>
      </c>
      <c r="E16" s="38">
        <f>Buy!L20</f>
        <v>1761.0418</v>
      </c>
      <c r="F16" s="147">
        <v>1000</v>
      </c>
      <c r="G16" s="74">
        <v>0</v>
      </c>
      <c r="H16" s="74">
        <v>0</v>
      </c>
      <c r="I16" s="38">
        <v>320</v>
      </c>
      <c r="J16" s="150"/>
      <c r="K16" s="74">
        <f t="shared" si="2"/>
        <v>-1000</v>
      </c>
      <c r="L16" s="102"/>
      <c r="M16" s="152">
        <f>Sell!D15</f>
        <v>0.5</v>
      </c>
      <c r="N16" s="87">
        <f>Sell!L15-E16+I16</f>
        <v>-949.67180000000008</v>
      </c>
      <c r="O16" s="87" t="str">
        <f t="shared" si="0"/>
        <v/>
      </c>
      <c r="P16" s="58" t="str">
        <f t="shared" si="1"/>
        <v/>
      </c>
    </row>
    <row r="17" spans="1:17" hidden="1" x14ac:dyDescent="0.2">
      <c r="A17" s="25">
        <v>15</v>
      </c>
      <c r="B17" s="25" t="s">
        <v>54</v>
      </c>
      <c r="C17" s="36">
        <f>IF( E17=0, 0, E17/D17)</f>
        <v>0.85900030000000005</v>
      </c>
      <c r="D17" s="37">
        <f>F17+H17</f>
        <v>2000</v>
      </c>
      <c r="E17" s="38">
        <f>Buy!L21 + Buy!L29</f>
        <v>1718.0006000000001</v>
      </c>
      <c r="F17" s="147">
        <v>1500</v>
      </c>
      <c r="G17" s="74">
        <v>0</v>
      </c>
      <c r="H17" s="74">
        <v>500</v>
      </c>
      <c r="I17" s="38"/>
      <c r="J17" s="150">
        <v>2000</v>
      </c>
      <c r="K17" s="74">
        <f t="shared" si="2"/>
        <v>0</v>
      </c>
      <c r="L17" s="102">
        <v>43753</v>
      </c>
      <c r="M17" s="87">
        <f>Sell!L17</f>
        <v>940.23</v>
      </c>
      <c r="N17" s="99">
        <f>(M17)-E17</f>
        <v>-777.77060000000006</v>
      </c>
      <c r="O17" s="87" t="str">
        <f t="shared" si="0"/>
        <v>Loss</v>
      </c>
      <c r="P17" s="58">
        <f t="shared" si="1"/>
        <v>-0.45271846820076783</v>
      </c>
    </row>
    <row r="18" spans="1:17" x14ac:dyDescent="0.2">
      <c r="A18" s="25">
        <v>16</v>
      </c>
      <c r="B18" s="25" t="s">
        <v>84</v>
      </c>
      <c r="C18" s="36">
        <f>IF( E18=0, 0, E18/D18)</f>
        <v>0</v>
      </c>
      <c r="D18" s="37">
        <f t="shared" ref="D18:D22" si="3">F18+H18</f>
        <v>375</v>
      </c>
      <c r="E18" s="38">
        <v>0</v>
      </c>
      <c r="F18" s="147"/>
      <c r="G18" s="74">
        <v>0</v>
      </c>
      <c r="H18" s="74">
        <v>375</v>
      </c>
      <c r="I18" s="25"/>
      <c r="J18" s="150"/>
      <c r="K18" s="74">
        <f t="shared" si="2"/>
        <v>-375</v>
      </c>
      <c r="L18" s="102"/>
      <c r="M18" s="152">
        <v>0.2</v>
      </c>
      <c r="N18" s="87">
        <f>M18*D18</f>
        <v>75</v>
      </c>
      <c r="O18" s="87" t="str">
        <f t="shared" si="0"/>
        <v/>
      </c>
      <c r="P18" s="58" t="str">
        <f t="shared" si="1"/>
        <v/>
      </c>
    </row>
    <row r="19" spans="1:17" hidden="1" x14ac:dyDescent="0.2">
      <c r="A19" s="95">
        <v>17</v>
      </c>
      <c r="B19" s="95" t="s">
        <v>55</v>
      </c>
      <c r="C19" s="96">
        <f>IF( E19=0, 0, (E19-I19)/J19)</f>
        <v>1.611499</v>
      </c>
      <c r="D19" s="97">
        <f>F19+H19</f>
        <v>6000</v>
      </c>
      <c r="E19" s="94">
        <f>Buy!L22+Buy!L23+Buy!L24+Buy!L28</f>
        <v>9668.9940000000006</v>
      </c>
      <c r="F19" s="148">
        <v>4000</v>
      </c>
      <c r="G19" s="106">
        <v>0</v>
      </c>
      <c r="H19" s="97">
        <v>2000</v>
      </c>
      <c r="I19" s="106">
        <v>0</v>
      </c>
      <c r="J19" s="151">
        <v>6000</v>
      </c>
      <c r="K19" s="106">
        <v>0</v>
      </c>
      <c r="L19" s="103">
        <v>43685</v>
      </c>
      <c r="M19" s="87">
        <f>Sell!L16</f>
        <v>21091.27</v>
      </c>
      <c r="N19" s="99">
        <f>(M19)-E19</f>
        <v>11422.276</v>
      </c>
      <c r="O19" s="87" t="str">
        <f t="shared" si="0"/>
        <v>Gain</v>
      </c>
      <c r="P19" s="58">
        <f t="shared" si="1"/>
        <v>1.1813303431566924</v>
      </c>
    </row>
    <row r="20" spans="1:17" hidden="1" x14ac:dyDescent="0.2">
      <c r="A20" s="59">
        <v>18</v>
      </c>
      <c r="B20" s="59" t="s">
        <v>65</v>
      </c>
      <c r="C20" s="36">
        <f>IF( E20=0, 0, (E20-I20)/D20)</f>
        <v>0.88726090000000002</v>
      </c>
      <c r="D20" s="37">
        <f t="shared" si="3"/>
        <v>2000</v>
      </c>
      <c r="E20" s="38">
        <f>Buy!L26+Buy!L27</f>
        <v>1774.5218</v>
      </c>
      <c r="F20" s="149">
        <f>(Buy!E26+Buy!E27)*1000</f>
        <v>2000</v>
      </c>
      <c r="G20" s="74">
        <v>0</v>
      </c>
      <c r="H20" s="74">
        <v>0</v>
      </c>
      <c r="I20" s="25"/>
      <c r="J20" s="150">
        <v>2000</v>
      </c>
      <c r="K20" s="74">
        <f t="shared" si="2"/>
        <v>0</v>
      </c>
      <c r="L20" s="103">
        <v>43726</v>
      </c>
      <c r="M20" s="87">
        <f>Sell!L20</f>
        <v>1261.1300000000001</v>
      </c>
      <c r="N20" s="99">
        <f>(M20)-E20</f>
        <v>-513.39179999999988</v>
      </c>
      <c r="O20" s="87" t="str">
        <f t="shared" si="0"/>
        <v>Loss</v>
      </c>
      <c r="P20" s="58">
        <f t="shared" si="1"/>
        <v>-0.2893127602039039</v>
      </c>
      <c r="Q20" s="15">
        <f>N20+N24</f>
        <v>-332.13180000000011</v>
      </c>
    </row>
    <row r="21" spans="1:17" x14ac:dyDescent="0.2">
      <c r="A21" s="59">
        <v>19</v>
      </c>
      <c r="B21" s="59" t="s">
        <v>82</v>
      </c>
      <c r="C21" s="36">
        <f>IF( E21=0, 0, (E21-I21)/D21)</f>
        <v>1.3167114285714285</v>
      </c>
      <c r="D21" s="37">
        <f t="shared" si="3"/>
        <v>21000</v>
      </c>
      <c r="E21" s="38">
        <f>Buy!L31+Buy!L32+Buy!L33+Buy!L37+Buy!L38+Buy!L39+Buy!L40+Buy!L41+Buy!L42+Buy!L43</f>
        <v>27860.94</v>
      </c>
      <c r="F21" s="147">
        <f>(Buy!E31+Buy!E32+Buy!E33+Buy!E37+Buy!E38+Buy!E39+Buy!E40+Buy!E41+Buy!E42+Buy!E43)*1000</f>
        <v>21000</v>
      </c>
      <c r="G21" s="74">
        <v>0</v>
      </c>
      <c r="H21" s="74">
        <v>0</v>
      </c>
      <c r="I21" s="25">
        <v>210</v>
      </c>
      <c r="J21" s="150"/>
      <c r="K21" s="74">
        <f t="shared" si="2"/>
        <v>-21000</v>
      </c>
      <c r="L21" s="102"/>
      <c r="M21" s="152">
        <v>1.8</v>
      </c>
      <c r="N21" s="87">
        <f>(M21*D21)-E21</f>
        <v>9939.0600000000013</v>
      </c>
      <c r="O21" s="87" t="str">
        <f t="shared" si="0"/>
        <v/>
      </c>
      <c r="P21" s="58" t="str">
        <f t="shared" si="1"/>
        <v/>
      </c>
      <c r="Q21" s="158">
        <f>N21/E21</f>
        <v>0.35673814307772822</v>
      </c>
    </row>
    <row r="22" spans="1:17" x14ac:dyDescent="0.2">
      <c r="A22" s="88">
        <v>20</v>
      </c>
      <c r="B22" s="59" t="s">
        <v>76</v>
      </c>
      <c r="C22" s="36">
        <f>IF( E22=0, 0, (E22-I22)/D22)</f>
        <v>0.40937499999999999</v>
      </c>
      <c r="D22" s="37">
        <f t="shared" si="3"/>
        <v>2000</v>
      </c>
      <c r="E22" s="38">
        <f>Buy!L30</f>
        <v>818.75</v>
      </c>
      <c r="F22" s="147">
        <v>2000</v>
      </c>
      <c r="G22" s="74">
        <v>0</v>
      </c>
      <c r="H22" s="74">
        <v>0</v>
      </c>
      <c r="I22" s="25"/>
      <c r="J22" s="150"/>
      <c r="K22" s="74">
        <f t="shared" si="2"/>
        <v>-2000</v>
      </c>
      <c r="L22" s="102"/>
      <c r="M22" s="152">
        <v>0.2</v>
      </c>
      <c r="N22" s="87">
        <f t="shared" ref="N22" si="4">(M22*D22)-E22</f>
        <v>-418.75</v>
      </c>
      <c r="O22" s="87" t="str">
        <f t="shared" si="0"/>
        <v/>
      </c>
      <c r="P22" s="58" t="str">
        <f t="shared" si="1"/>
        <v/>
      </c>
    </row>
    <row r="23" spans="1:17" hidden="1" x14ac:dyDescent="0.2">
      <c r="A23" s="59">
        <v>21</v>
      </c>
      <c r="B23" s="59" t="s">
        <v>89</v>
      </c>
      <c r="C23" s="36">
        <f>IF( E23=0, 0, (E23-I23)/D23)</f>
        <v>4.4747775000000001</v>
      </c>
      <c r="D23" s="37">
        <f>F23</f>
        <v>4000</v>
      </c>
      <c r="E23" s="38">
        <f>Buy!L35+Buy!L44</f>
        <v>17899.11</v>
      </c>
      <c r="F23" s="147">
        <f>(Buy!E35+Buy!E44)*1000</f>
        <v>4000</v>
      </c>
      <c r="G23" s="74">
        <v>0</v>
      </c>
      <c r="H23" s="74">
        <v>0</v>
      </c>
      <c r="I23" s="25"/>
      <c r="J23" s="150"/>
      <c r="K23" s="74">
        <f t="shared" si="2"/>
        <v>-4000</v>
      </c>
      <c r="L23" s="102">
        <v>43798</v>
      </c>
      <c r="M23" s="152">
        <f>Sell!L24</f>
        <v>15162.09</v>
      </c>
      <c r="N23" s="87">
        <f>M23-E23</f>
        <v>-2737.0200000000004</v>
      </c>
      <c r="O23" s="87" t="str">
        <f t="shared" si="0"/>
        <v>Loss</v>
      </c>
      <c r="P23" s="58">
        <f t="shared" si="1"/>
        <v>-0.15291374822547044</v>
      </c>
    </row>
    <row r="24" spans="1:17" hidden="1" x14ac:dyDescent="0.2">
      <c r="A24" s="59">
        <v>22</v>
      </c>
      <c r="B24" s="59" t="s">
        <v>65</v>
      </c>
      <c r="C24" s="36">
        <f>E24/D24</f>
        <v>0.57186800000000004</v>
      </c>
      <c r="D24" s="37">
        <f t="shared" ref="D24:D25" si="5">F24+H24</f>
        <v>5000</v>
      </c>
      <c r="E24" s="38">
        <f>Buy!L34</f>
        <v>2859.34</v>
      </c>
      <c r="F24" s="149">
        <f>Buy!E34*1000</f>
        <v>5000</v>
      </c>
      <c r="G24" s="74">
        <v>0</v>
      </c>
      <c r="H24" s="74">
        <v>0</v>
      </c>
      <c r="I24" s="25"/>
      <c r="J24" s="150">
        <v>5000</v>
      </c>
      <c r="K24" s="74">
        <f t="shared" ref="K24" si="6">IF(J24-D24&gt;0,"FALSE",J24-D24)</f>
        <v>0</v>
      </c>
      <c r="L24" s="103">
        <v>43719</v>
      </c>
      <c r="M24" s="87">
        <f>Sell!L23</f>
        <v>3040.6</v>
      </c>
      <c r="N24" s="99">
        <f t="shared" ref="N24:N25" si="7">(M24)-E24</f>
        <v>181.25999999999976</v>
      </c>
      <c r="O24" s="87" t="str">
        <f t="shared" si="0"/>
        <v>Gain</v>
      </c>
      <c r="P24" s="58">
        <f t="shared" si="1"/>
        <v>6.3392251358705076E-2</v>
      </c>
    </row>
    <row r="25" spans="1:17" hidden="1" x14ac:dyDescent="0.2">
      <c r="A25" s="59">
        <v>23</v>
      </c>
      <c r="B25" s="25" t="s">
        <v>136</v>
      </c>
      <c r="C25" s="36">
        <f>E25/D25</f>
        <v>0.74191800000000008</v>
      </c>
      <c r="D25" s="37">
        <f t="shared" si="5"/>
        <v>5000</v>
      </c>
      <c r="E25" s="38">
        <f>Buy!L36</f>
        <v>3709.59</v>
      </c>
      <c r="F25" s="147">
        <f>Buy!E36 *1000</f>
        <v>5000</v>
      </c>
      <c r="G25" s="25"/>
      <c r="H25" s="25"/>
      <c r="I25" s="25"/>
      <c r="J25" s="150">
        <f>Sell!E25*1000</f>
        <v>5000</v>
      </c>
      <c r="K25" s="74">
        <f t="shared" si="2"/>
        <v>0</v>
      </c>
      <c r="L25" s="103">
        <v>43739</v>
      </c>
      <c r="M25" s="87">
        <f>Sell!L25</f>
        <v>3765.38</v>
      </c>
      <c r="N25" s="99">
        <f t="shared" si="7"/>
        <v>55.789999999999964</v>
      </c>
      <c r="O25" s="87" t="str">
        <f t="shared" si="0"/>
        <v>Gain</v>
      </c>
      <c r="P25" s="58">
        <f t="shared" si="1"/>
        <v>1.5039397884941453E-2</v>
      </c>
    </row>
    <row r="26" spans="1:17" x14ac:dyDescent="0.2">
      <c r="A26" s="88">
        <v>24</v>
      </c>
      <c r="B26" s="25" t="s">
        <v>136</v>
      </c>
      <c r="C26" s="36">
        <f>IF( E26=0, 0, (E26-I26)/D26)</f>
        <v>0.98377999999999999</v>
      </c>
      <c r="D26" s="37">
        <f>F26</f>
        <v>2000</v>
      </c>
      <c r="E26" s="38">
        <f>Buy!L46+Buy!L47</f>
        <v>1967.56</v>
      </c>
      <c r="F26" s="147">
        <f>(Buy!E46+Buy!E47)*1000</f>
        <v>2000</v>
      </c>
      <c r="G26" s="74">
        <v>0</v>
      </c>
      <c r="H26" s="74">
        <v>0</v>
      </c>
      <c r="I26" s="25"/>
      <c r="J26" s="150"/>
      <c r="K26" s="74">
        <f t="shared" si="2"/>
        <v>-2000</v>
      </c>
      <c r="L26" s="102"/>
      <c r="M26" s="152">
        <v>1.5</v>
      </c>
      <c r="N26" s="87">
        <f t="shared" ref="N26:N27" si="8">(M26*D26)-E26</f>
        <v>1032.44</v>
      </c>
      <c r="O26" s="87" t="str">
        <f t="shared" si="0"/>
        <v/>
      </c>
      <c r="P26" s="58" t="str">
        <f t="shared" si="1"/>
        <v/>
      </c>
    </row>
    <row r="27" spans="1:17" x14ac:dyDescent="0.2">
      <c r="A27" s="59">
        <v>25</v>
      </c>
      <c r="B27" s="25" t="s">
        <v>165</v>
      </c>
      <c r="C27" s="36">
        <f>IF( E27=0, 0, (E27-I27)/D27)</f>
        <v>2.5264099999999998</v>
      </c>
      <c r="D27" s="37">
        <f>F27</f>
        <v>3000</v>
      </c>
      <c r="E27" s="38">
        <f>Buy!L48+Buy!L49</f>
        <v>7579.23</v>
      </c>
      <c r="F27" s="147">
        <f>(Buy!E48+Buy!E49)*1000</f>
        <v>3000</v>
      </c>
      <c r="G27" s="25"/>
      <c r="H27" s="25"/>
      <c r="I27" s="25"/>
      <c r="J27" s="150"/>
      <c r="K27" s="74">
        <f t="shared" si="2"/>
        <v>-3000</v>
      </c>
      <c r="L27" s="102"/>
      <c r="M27" s="152">
        <v>3</v>
      </c>
      <c r="N27" s="25">
        <f t="shared" si="8"/>
        <v>1420.7700000000004</v>
      </c>
      <c r="O27" s="87" t="str">
        <f t="shared" si="0"/>
        <v/>
      </c>
      <c r="P27" s="58" t="str">
        <f t="shared" si="1"/>
        <v/>
      </c>
    </row>
    <row r="28" spans="1:17" x14ac:dyDescent="0.2">
      <c r="A28" s="59">
        <v>26</v>
      </c>
      <c r="B28" s="25"/>
      <c r="C28" s="36"/>
      <c r="D28" s="25"/>
      <c r="E28" s="38"/>
      <c r="F28" s="147"/>
      <c r="G28" s="25"/>
      <c r="H28" s="25"/>
      <c r="I28" s="25"/>
      <c r="J28" s="150"/>
      <c r="K28" s="74">
        <f t="shared" ref="K28" si="9">IF(J28-D28&gt;0,"FALSE",J28-D28)</f>
        <v>0</v>
      </c>
      <c r="L28" s="102"/>
      <c r="M28" s="152"/>
      <c r="N28" s="25"/>
      <c r="O28" s="87" t="str">
        <f t="shared" si="0"/>
        <v/>
      </c>
      <c r="P28" s="58" t="str">
        <f t="shared" si="1"/>
        <v/>
      </c>
    </row>
  </sheetData>
  <autoFilter ref="A2:Q28" xr:uid="{00000000-0009-0000-0000-000001000000}">
    <filterColumn colId="11">
      <filters blank="1"/>
    </filterColumn>
  </autoFilter>
  <conditionalFormatting sqref="N7:N8">
    <cfRule type="cellIs" dxfId="105" priority="82" operator="lessThan">
      <formula>0</formula>
    </cfRule>
  </conditionalFormatting>
  <conditionalFormatting sqref="N5 N11:O13 N7:O7 N18:O19 N14 N27:O28 O3:O28 N20 N24:N25 N16:N17 N7:N8">
    <cfRule type="cellIs" dxfId="104" priority="81" operator="lessThan">
      <formula>0</formula>
    </cfRule>
  </conditionalFormatting>
  <conditionalFormatting sqref="N1:O1">
    <cfRule type="cellIs" dxfId="103" priority="80" operator="lessThan">
      <formula>0</formula>
    </cfRule>
  </conditionalFormatting>
  <conditionalFormatting sqref="N9:O9">
    <cfRule type="cellIs" dxfId="102" priority="78" operator="lessThan">
      <formula>0</formula>
    </cfRule>
  </conditionalFormatting>
  <conditionalFormatting sqref="N6">
    <cfRule type="cellIs" dxfId="101" priority="76" operator="lessThan">
      <formula>0</formula>
    </cfRule>
  </conditionalFormatting>
  <conditionalFormatting sqref="N6">
    <cfRule type="cellIs" dxfId="100" priority="75" operator="lessThan">
      <formula>0</formula>
    </cfRule>
  </conditionalFormatting>
  <conditionalFormatting sqref="N3:N4">
    <cfRule type="cellIs" dxfId="99" priority="68" operator="lessThan">
      <formula>0</formula>
    </cfRule>
  </conditionalFormatting>
  <conditionalFormatting sqref="N3:N4">
    <cfRule type="cellIs" dxfId="98" priority="67" operator="lessThan">
      <formula>0</formula>
    </cfRule>
  </conditionalFormatting>
  <conditionalFormatting sqref="P3:P28">
    <cfRule type="cellIs" dxfId="97" priority="66" operator="lessThan">
      <formula>-0.0009</formula>
    </cfRule>
  </conditionalFormatting>
  <conditionalFormatting sqref="N15:O15">
    <cfRule type="cellIs" dxfId="96" priority="65" operator="lessThan">
      <formula>0</formula>
    </cfRule>
  </conditionalFormatting>
  <conditionalFormatting sqref="N10">
    <cfRule type="cellIs" dxfId="95" priority="60" operator="lessThan">
      <formula>0</formula>
    </cfRule>
  </conditionalFormatting>
  <conditionalFormatting sqref="N10">
    <cfRule type="cellIs" dxfId="94" priority="59" operator="lessThan">
      <formula>0</formula>
    </cfRule>
  </conditionalFormatting>
  <conditionalFormatting sqref="N21:N23 N26">
    <cfRule type="cellIs" dxfId="93" priority="58" operator="lessThan">
      <formula>0</formula>
    </cfRule>
  </conditionalFormatting>
  <conditionalFormatting sqref="O3:O28">
    <cfRule type="cellIs" dxfId="92" priority="51" operator="lessThan">
      <formula>-0.0009</formula>
    </cfRule>
  </conditionalFormatting>
  <conditionalFormatting sqref="O3:O28">
    <cfRule type="containsText" dxfId="91" priority="50" operator="containsText" text="LOSS">
      <formula>NOT(ISERROR(SEARCH("LOSS",O3)))</formula>
    </cfRule>
  </conditionalFormatting>
  <conditionalFormatting sqref="O9 O4:O5 O7 O14 O16:O28">
    <cfRule type="cellIs" dxfId="90" priority="31" operator="lessThan">
      <formula>-0.0009</formula>
    </cfRule>
  </conditionalFormatting>
  <conditionalFormatting sqref="O9 O4:O5 O7 O14 O16:O28">
    <cfRule type="containsText" dxfId="89" priority="30" operator="containsText" text="LOSS">
      <formula>NOT(ISERROR(SEARCH("LOSS",O4)))</formula>
    </cfRule>
  </conditionalFormatting>
  <conditionalFormatting sqref="O5 O10 O7 O14:O28">
    <cfRule type="cellIs" dxfId="88" priority="29" operator="lessThan">
      <formula>-0.0009</formula>
    </cfRule>
  </conditionalFormatting>
  <conditionalFormatting sqref="O5 O10 O7 O14:O28">
    <cfRule type="containsText" dxfId="87" priority="28" operator="containsText" text="LOSS">
      <formula>NOT(ISERROR(SEARCH("LOSS",O5)))</formula>
    </cfRule>
  </conditionalFormatting>
  <conditionalFormatting sqref="O6 O11 O16 O21">
    <cfRule type="cellIs" dxfId="86" priority="27" operator="lessThan">
      <formula>-0.0009</formula>
    </cfRule>
  </conditionalFormatting>
  <conditionalFormatting sqref="O6 O11 O16 O21">
    <cfRule type="containsText" dxfId="85" priority="26" operator="containsText" text="LOSS">
      <formula>NOT(ISERROR(SEARCH("LOSS",O6)))</formula>
    </cfRule>
  </conditionalFormatting>
  <conditionalFormatting sqref="O8">
    <cfRule type="cellIs" dxfId="84" priority="25" operator="lessThan">
      <formula>-0.0009</formula>
    </cfRule>
  </conditionalFormatting>
  <conditionalFormatting sqref="O8">
    <cfRule type="containsText" dxfId="83" priority="24" operator="containsText" text="LOSS">
      <formula>NOT(ISERROR(SEARCH("LOSS",O8)))</formula>
    </cfRule>
  </conditionalFormatting>
  <conditionalFormatting sqref="O10">
    <cfRule type="cellIs" dxfId="82" priority="23" operator="lessThan">
      <formula>-0.0009</formula>
    </cfRule>
  </conditionalFormatting>
  <conditionalFormatting sqref="O10">
    <cfRule type="containsText" dxfId="81" priority="22" operator="containsText" text="LOSS">
      <formula>NOT(ISERROR(SEARCH("LOSS",O10)))</formula>
    </cfRule>
  </conditionalFormatting>
  <conditionalFormatting sqref="O14">
    <cfRule type="cellIs" dxfId="80" priority="21" operator="lessThan">
      <formula>-0.0009</formula>
    </cfRule>
  </conditionalFormatting>
  <conditionalFormatting sqref="O14">
    <cfRule type="containsText" dxfId="79" priority="20" operator="containsText" text="LOSS">
      <formula>NOT(ISERROR(SEARCH("LOSS",O14)))</formula>
    </cfRule>
  </conditionalFormatting>
  <conditionalFormatting sqref="O16">
    <cfRule type="cellIs" dxfId="78" priority="19" operator="lessThan">
      <formula>-0.0009</formula>
    </cfRule>
  </conditionalFormatting>
  <conditionalFormatting sqref="O16">
    <cfRule type="containsText" dxfId="77" priority="18" operator="containsText" text="LOSS">
      <formula>NOT(ISERROR(SEARCH("LOSS",O16)))</formula>
    </cfRule>
  </conditionalFormatting>
  <conditionalFormatting sqref="O17">
    <cfRule type="cellIs" dxfId="76" priority="17" operator="lessThan">
      <formula>-0.0009</formula>
    </cfRule>
  </conditionalFormatting>
  <conditionalFormatting sqref="O17">
    <cfRule type="containsText" dxfId="75" priority="16" operator="containsText" text="LOSS">
      <formula>NOT(ISERROR(SEARCH("LOSS",O17)))</formula>
    </cfRule>
  </conditionalFormatting>
  <conditionalFormatting sqref="O20">
    <cfRule type="cellIs" dxfId="74" priority="15" operator="lessThan">
      <formula>-0.0009</formula>
    </cfRule>
  </conditionalFormatting>
  <conditionalFormatting sqref="O20">
    <cfRule type="containsText" dxfId="73" priority="14" operator="containsText" text="LOSS">
      <formula>NOT(ISERROR(SEARCH("LOSS",O20)))</formula>
    </cfRule>
  </conditionalFormatting>
  <conditionalFormatting sqref="P1:P1048576">
    <cfRule type="cellIs" dxfId="72" priority="13" operator="greaterThan">
      <formula>0</formula>
    </cfRule>
  </conditionalFormatting>
  <conditionalFormatting sqref="O1:O1048576">
    <cfRule type="containsText" dxfId="71" priority="12" operator="containsText" text="Gain">
      <formula>NOT(ISERROR(SEARCH("Gain",O1)))</formula>
    </cfRule>
  </conditionalFormatting>
  <conditionalFormatting sqref="B3">
    <cfRule type="cellIs" dxfId="70" priority="7" operator="lessThan">
      <formula>0</formula>
    </cfRule>
  </conditionalFormatting>
  <conditionalFormatting sqref="B3">
    <cfRule type="cellIs" dxfId="69" priority="6" operator="lessThan">
      <formula>0</formula>
    </cfRule>
  </conditionalFormatting>
  <conditionalFormatting sqref="O24:O25">
    <cfRule type="cellIs" dxfId="68" priority="4" operator="lessThan">
      <formula>-0.0009</formula>
    </cfRule>
  </conditionalFormatting>
  <conditionalFormatting sqref="O24:O25">
    <cfRule type="containsText" dxfId="67" priority="3" operator="containsText" text="LOSS">
      <formula>NOT(ISERROR(SEARCH("LOSS",O24)))</formula>
    </cfRule>
  </conditionalFormatting>
  <conditionalFormatting sqref="O24:O25">
    <cfRule type="cellIs" dxfId="66" priority="2" operator="lessThan">
      <formula>-0.0009</formula>
    </cfRule>
  </conditionalFormatting>
  <conditionalFormatting sqref="O24:O25">
    <cfRule type="containsText" dxfId="65" priority="1" operator="containsText" text="LOSS">
      <formula>NOT(ISERROR(SEARCH("LOSS",O24)))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workbookViewId="0">
      <selection activeCell="A2" sqref="A2:A9"/>
    </sheetView>
  </sheetViews>
  <sheetFormatPr defaultRowHeight="14.25" x14ac:dyDescent="0.2"/>
  <cols>
    <col min="1" max="1" width="3" bestFit="1" customWidth="1"/>
    <col min="2" max="2" width="14.375" bestFit="1" customWidth="1"/>
    <col min="4" max="4" width="7.875" bestFit="1" customWidth="1"/>
    <col min="5" max="5" width="12.25" customWidth="1"/>
    <col min="6" max="6" width="11.5" bestFit="1" customWidth="1"/>
    <col min="7" max="7" width="18.75" bestFit="1" customWidth="1"/>
    <col min="8" max="8" width="11.375" bestFit="1" customWidth="1"/>
    <col min="9" max="9" width="38.625" bestFit="1" customWidth="1"/>
  </cols>
  <sheetData>
    <row r="1" spans="1:11" ht="38.25" x14ac:dyDescent="0.2">
      <c r="A1" s="33" t="s">
        <v>2</v>
      </c>
      <c r="B1" s="35" t="s">
        <v>38</v>
      </c>
      <c r="C1" s="35" t="s">
        <v>4</v>
      </c>
      <c r="D1" s="35" t="s">
        <v>41</v>
      </c>
      <c r="E1" s="34" t="s">
        <v>45</v>
      </c>
      <c r="F1" s="34" t="s">
        <v>42</v>
      </c>
      <c r="G1" s="34" t="s">
        <v>44</v>
      </c>
      <c r="H1" s="34" t="s">
        <v>43</v>
      </c>
      <c r="I1" s="34" t="s">
        <v>47</v>
      </c>
    </row>
    <row r="2" spans="1:11" x14ac:dyDescent="0.2">
      <c r="A2" s="25">
        <v>1</v>
      </c>
      <c r="B2" s="25" t="s">
        <v>8</v>
      </c>
      <c r="C2" s="37">
        <v>1</v>
      </c>
      <c r="D2" s="56">
        <v>7</v>
      </c>
      <c r="E2" s="53">
        <v>42850</v>
      </c>
      <c r="F2" s="53">
        <v>42892</v>
      </c>
      <c r="G2" s="55">
        <v>42894.708333333336</v>
      </c>
      <c r="H2" s="53">
        <v>42907</v>
      </c>
      <c r="I2" s="25" t="s">
        <v>49</v>
      </c>
      <c r="K2" s="57">
        <f ca="1">TODAY()</f>
        <v>43803</v>
      </c>
    </row>
    <row r="3" spans="1:11" x14ac:dyDescent="0.2">
      <c r="A3" s="25">
        <v>2</v>
      </c>
      <c r="B3" s="25" t="s">
        <v>10</v>
      </c>
      <c r="C3" s="37">
        <v>1</v>
      </c>
      <c r="D3" s="56">
        <v>6.3719999999999999</v>
      </c>
      <c r="E3" s="53">
        <v>42936</v>
      </c>
      <c r="F3" s="53">
        <v>42948</v>
      </c>
      <c r="G3" s="55">
        <v>42950.708333333336</v>
      </c>
      <c r="H3" s="53">
        <v>42962</v>
      </c>
      <c r="I3" s="25" t="s">
        <v>51</v>
      </c>
    </row>
    <row r="4" spans="1:11" x14ac:dyDescent="0.2">
      <c r="A4" s="25">
        <v>3</v>
      </c>
      <c r="B4" s="25" t="s">
        <v>48</v>
      </c>
      <c r="C4" s="37">
        <v>1</v>
      </c>
      <c r="D4" s="56">
        <v>32</v>
      </c>
      <c r="E4" s="53">
        <v>42957</v>
      </c>
      <c r="F4" s="53">
        <v>42969</v>
      </c>
      <c r="G4" s="55">
        <v>42971.708333333336</v>
      </c>
      <c r="H4" s="53">
        <v>42989</v>
      </c>
      <c r="I4" s="25" t="s">
        <v>46</v>
      </c>
    </row>
    <row r="5" spans="1:11" x14ac:dyDescent="0.2">
      <c r="A5" s="25">
        <v>4</v>
      </c>
      <c r="B5" s="59" t="s">
        <v>8</v>
      </c>
      <c r="C5" s="60">
        <v>1</v>
      </c>
      <c r="D5" s="61">
        <v>8</v>
      </c>
      <c r="E5" s="62">
        <v>42969</v>
      </c>
      <c r="F5" s="62">
        <v>42984</v>
      </c>
      <c r="G5" s="63">
        <v>42986.708333333336</v>
      </c>
      <c r="H5" s="62">
        <v>42999</v>
      </c>
      <c r="I5" s="59" t="s">
        <v>50</v>
      </c>
    </row>
    <row r="6" spans="1:11" x14ac:dyDescent="0.2">
      <c r="A6" s="25">
        <v>5</v>
      </c>
      <c r="B6" s="25" t="s">
        <v>57</v>
      </c>
      <c r="C6" s="60">
        <v>2</v>
      </c>
      <c r="D6" s="61">
        <v>0.5</v>
      </c>
      <c r="E6" s="62">
        <v>42983</v>
      </c>
      <c r="F6" s="62">
        <v>42993</v>
      </c>
      <c r="G6" s="63">
        <v>42997.708333333336</v>
      </c>
      <c r="H6" s="62">
        <v>43012</v>
      </c>
      <c r="I6" s="59" t="s">
        <v>62</v>
      </c>
    </row>
    <row r="7" spans="1:11" x14ac:dyDescent="0.2">
      <c r="A7" s="25">
        <v>6</v>
      </c>
      <c r="B7" s="25" t="s">
        <v>58</v>
      </c>
      <c r="C7" s="60">
        <v>1</v>
      </c>
      <c r="D7" s="61">
        <v>2.5</v>
      </c>
      <c r="E7" s="62">
        <v>43006</v>
      </c>
      <c r="F7" s="62">
        <v>43019</v>
      </c>
      <c r="G7" s="63">
        <v>43021.708333333336</v>
      </c>
      <c r="H7" s="62">
        <v>43048</v>
      </c>
      <c r="I7" s="59" t="s">
        <v>63</v>
      </c>
    </row>
    <row r="8" spans="1:11" x14ac:dyDescent="0.2">
      <c r="A8" s="25">
        <v>7</v>
      </c>
      <c r="B8" s="59" t="s">
        <v>27</v>
      </c>
      <c r="C8" s="60">
        <v>2</v>
      </c>
      <c r="D8" s="61">
        <v>1.5</v>
      </c>
      <c r="E8" s="62">
        <v>43067</v>
      </c>
      <c r="F8" s="62">
        <v>43083</v>
      </c>
      <c r="G8" s="63">
        <v>43087.708333333336</v>
      </c>
      <c r="H8" s="62">
        <v>43097</v>
      </c>
      <c r="I8" s="59" t="s">
        <v>61</v>
      </c>
    </row>
    <row r="9" spans="1:11" x14ac:dyDescent="0.2">
      <c r="A9" s="25">
        <v>8</v>
      </c>
      <c r="B9" s="25" t="s">
        <v>58</v>
      </c>
      <c r="C9" s="60">
        <v>1</v>
      </c>
      <c r="D9" s="79">
        <v>2</v>
      </c>
      <c r="E9" s="62">
        <v>43074</v>
      </c>
      <c r="F9" s="62">
        <v>43087</v>
      </c>
      <c r="G9" s="63">
        <v>43089.708333333336</v>
      </c>
      <c r="H9" s="62">
        <v>43112</v>
      </c>
      <c r="I9" s="59" t="s">
        <v>64</v>
      </c>
    </row>
  </sheetData>
  <conditionalFormatting sqref="F2:F5 F10:F1048576">
    <cfRule type="cellIs" dxfId="64" priority="13" operator="greaterThan">
      <formula>TODAY()</formula>
    </cfRule>
    <cfRule type="cellIs" dxfId="63" priority="15" operator="greaterThan">
      <formula>"today()"</formula>
    </cfRule>
  </conditionalFormatting>
  <conditionalFormatting sqref="F2:F5">
    <cfRule type="cellIs" dxfId="62" priority="14" operator="greaterThan">
      <formula>TODAY()</formula>
    </cfRule>
  </conditionalFormatting>
  <conditionalFormatting sqref="G2:H6">
    <cfRule type="cellIs" dxfId="61" priority="12" operator="greaterThan">
      <formula>TODAY()</formula>
    </cfRule>
  </conditionalFormatting>
  <conditionalFormatting sqref="H8">
    <cfRule type="cellIs" dxfId="60" priority="11" operator="greaterThan">
      <formula>TODAY()</formula>
    </cfRule>
  </conditionalFormatting>
  <conditionalFormatting sqref="F8">
    <cfRule type="cellIs" dxfId="59" priority="8" operator="greaterThan">
      <formula>TODAY()</formula>
    </cfRule>
    <cfRule type="cellIs" dxfId="58" priority="10" operator="greaterThan">
      <formula>"today()"</formula>
    </cfRule>
  </conditionalFormatting>
  <conditionalFormatting sqref="F8">
    <cfRule type="cellIs" dxfId="57" priority="9" operator="greaterThan">
      <formula>TODAY()</formula>
    </cfRule>
  </conditionalFormatting>
  <conditionalFormatting sqref="G8">
    <cfRule type="cellIs" dxfId="56" priority="7" operator="greaterThan">
      <formula>TODAY()</formula>
    </cfRule>
  </conditionalFormatting>
  <conditionalFormatting sqref="G7:H7">
    <cfRule type="cellIs" dxfId="55" priority="6" operator="greaterThan">
      <formula>TODAY()</formula>
    </cfRule>
  </conditionalFormatting>
  <conditionalFormatting sqref="H9">
    <cfRule type="cellIs" dxfId="54" priority="5" operator="greaterThan">
      <formula>TODAY()</formula>
    </cfRule>
  </conditionalFormatting>
  <conditionalFormatting sqref="F9">
    <cfRule type="cellIs" dxfId="53" priority="2" operator="greaterThan">
      <formula>TODAY()</formula>
    </cfRule>
    <cfRule type="cellIs" dxfId="52" priority="4" operator="greaterThan">
      <formula>"today()"</formula>
    </cfRule>
  </conditionalFormatting>
  <conditionalFormatting sqref="F9">
    <cfRule type="cellIs" dxfId="51" priority="3" operator="greaterThan">
      <formula>TODAY()</formula>
    </cfRule>
  </conditionalFormatting>
  <conditionalFormatting sqref="G9">
    <cfRule type="cellIs" dxfId="50" priority="1" operator="greaterThan">
      <formula>TODAY()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1" tint="0.39997558519241921"/>
  </sheetPr>
  <dimension ref="A1:N58"/>
  <sheetViews>
    <sheetView zoomScale="120" zoomScaleNormal="120" workbookViewId="0">
      <pane ySplit="1" topLeftCell="A47" activePane="bottomLeft" state="frozen"/>
      <selection pane="bottomLeft" activeCell="E59" sqref="E59"/>
    </sheetView>
  </sheetViews>
  <sheetFormatPr defaultRowHeight="14.25" x14ac:dyDescent="0.2"/>
  <cols>
    <col min="1" max="1" width="2.875" bestFit="1" customWidth="1"/>
    <col min="2" max="2" width="16.375" customWidth="1"/>
    <col min="3" max="3" width="8.875" bestFit="1" customWidth="1"/>
    <col min="5" max="5" width="8.625" bestFit="1" customWidth="1"/>
    <col min="6" max="6" width="10.875" bestFit="1" customWidth="1"/>
    <col min="7" max="7" width="9.875" bestFit="1" customWidth="1"/>
    <col min="8" max="9" width="9.125" bestFit="1" customWidth="1"/>
    <col min="10" max="10" width="7.375" bestFit="1" customWidth="1"/>
    <col min="11" max="11" width="6.5" customWidth="1"/>
    <col min="12" max="12" width="13.375" bestFit="1" customWidth="1"/>
    <col min="13" max="13" width="10.5" bestFit="1" customWidth="1"/>
    <col min="14" max="14" width="11.75" bestFit="1" customWidth="1"/>
  </cols>
  <sheetData>
    <row r="1" spans="1:14" ht="45" x14ac:dyDescent="0.2">
      <c r="A1" s="12" t="s">
        <v>2</v>
      </c>
      <c r="B1" s="12" t="s">
        <v>20</v>
      </c>
      <c r="C1" s="12" t="s">
        <v>11</v>
      </c>
      <c r="D1" s="12" t="s">
        <v>18</v>
      </c>
      <c r="E1" s="12" t="s">
        <v>19</v>
      </c>
      <c r="F1" s="12" t="s">
        <v>15</v>
      </c>
      <c r="G1" s="12" t="s">
        <v>14</v>
      </c>
      <c r="H1" s="12" t="s">
        <v>12</v>
      </c>
      <c r="I1" s="12" t="s">
        <v>13</v>
      </c>
      <c r="J1" s="12" t="s">
        <v>16</v>
      </c>
      <c r="K1" s="12" t="s">
        <v>17</v>
      </c>
      <c r="L1" s="13" t="s">
        <v>21</v>
      </c>
      <c r="M1" s="15">
        <f>SUM(L2:L107)-SUM(M2:M107)</f>
        <v>64837.658199999976</v>
      </c>
      <c r="N1" s="104" t="s">
        <v>83</v>
      </c>
    </row>
    <row r="2" spans="1:14" ht="15" hidden="1" x14ac:dyDescent="0.25">
      <c r="A2" s="40">
        <v>1</v>
      </c>
      <c r="B2" s="14" t="s">
        <v>5</v>
      </c>
      <c r="C2" s="6">
        <v>42866</v>
      </c>
      <c r="D2" s="8">
        <v>3.13</v>
      </c>
      <c r="E2" s="9">
        <v>0.9</v>
      </c>
      <c r="F2" s="10">
        <f>IF(ISBLANK(D2),"", D2*1000*E2)</f>
        <v>2817</v>
      </c>
      <c r="G2" s="10">
        <f>IF(ISBLANK(D2), "", ROUNDUP( IF((0.1/100)*F2 &lt;8, 8, (0.1/100)*F2), 2) )</f>
        <v>8</v>
      </c>
      <c r="H2" s="10">
        <f>IF(ISBLANK(D2),"", ROUNDUP((0.03/100)*F2, 2) )</f>
        <v>0.85</v>
      </c>
      <c r="I2" s="10">
        <f t="shared" ref="I2:I12" si="0">IF(ISBLANK(D2),"", ROUNDUP( (0.1/100)*F2, 0) )</f>
        <v>3</v>
      </c>
      <c r="J2" s="10">
        <f>IF(ISBLANK( D2),"", ROUNDUP( SUM(G2:I2), 2) )</f>
        <v>11.85</v>
      </c>
      <c r="K2" s="10">
        <f>IF(ISBLANK(D2),"", ROUNDUP( (6/100)* ROUNDUP((G2+H2), 2), 2) )</f>
        <v>0.54</v>
      </c>
      <c r="L2" s="7">
        <f>IF(ISBLANK(D2), "", F2+J2+K2 )</f>
        <v>2829.39</v>
      </c>
      <c r="M2" s="25"/>
      <c r="N2" s="101">
        <v>43103</v>
      </c>
    </row>
    <row r="3" spans="1:14" ht="15" hidden="1" x14ac:dyDescent="0.25">
      <c r="A3" s="40">
        <v>2</v>
      </c>
      <c r="B3" s="14" t="s">
        <v>5</v>
      </c>
      <c r="C3" s="6">
        <v>42867</v>
      </c>
      <c r="D3" s="8">
        <v>3.1385999999999998</v>
      </c>
      <c r="E3" s="9">
        <v>0.7</v>
      </c>
      <c r="F3" s="10">
        <f t="shared" ref="F3:F12" si="1">IF(ISBLANK(D3),"", D3*1000*E3)</f>
        <v>2197.02</v>
      </c>
      <c r="G3" s="10">
        <f t="shared" ref="G3:G12" si="2">IF(ISBLANK(D3), "", ROUNDUP( IF((0.1/100)*F3 &lt;8, 8, (0.1/100)*F3), 2) )</f>
        <v>8</v>
      </c>
      <c r="H3" s="10">
        <f t="shared" ref="H3:H12" si="3">IF(ISBLANK(D3),"", ROUNDUP((0.03/100)*F3, 2) )</f>
        <v>0.66</v>
      </c>
      <c r="I3" s="10">
        <f t="shared" si="0"/>
        <v>3</v>
      </c>
      <c r="J3" s="10">
        <f t="shared" ref="J3:J12" si="4">IF(ISBLANK( D3),"", ROUNDUP( SUM(G3:I3), 2) )</f>
        <v>11.66</v>
      </c>
      <c r="K3" s="10">
        <f t="shared" ref="K3:K12" si="5">IF(ISBLANK(D3),"", ROUNDUP( (6/100)* ROUNDUP((G3+H3), 2), 2) )</f>
        <v>0.52</v>
      </c>
      <c r="L3" s="7">
        <f t="shared" ref="L3:L12" si="6">IF(ISBLANK(D3), "", F3+J3+K3 )</f>
        <v>2209.1999999999998</v>
      </c>
      <c r="M3" s="42"/>
      <c r="N3" s="101">
        <v>43103</v>
      </c>
    </row>
    <row r="4" spans="1:14" ht="15" x14ac:dyDescent="0.25">
      <c r="A4" s="40">
        <v>3</v>
      </c>
      <c r="B4" s="49" t="s">
        <v>9</v>
      </c>
      <c r="C4" s="6">
        <v>42867</v>
      </c>
      <c r="D4" s="8">
        <v>1.9</v>
      </c>
      <c r="E4" s="9">
        <v>1.3</v>
      </c>
      <c r="F4" s="10">
        <f t="shared" si="1"/>
        <v>2470</v>
      </c>
      <c r="G4" s="10">
        <f t="shared" si="2"/>
        <v>8</v>
      </c>
      <c r="H4" s="10">
        <f t="shared" si="3"/>
        <v>0.75</v>
      </c>
      <c r="I4" s="10">
        <f t="shared" si="0"/>
        <v>3</v>
      </c>
      <c r="J4" s="10">
        <f t="shared" si="4"/>
        <v>11.75</v>
      </c>
      <c r="K4" s="10">
        <f t="shared" si="5"/>
        <v>0.53</v>
      </c>
      <c r="L4" s="7">
        <f t="shared" si="6"/>
        <v>2482.2800000000002</v>
      </c>
      <c r="M4" s="25"/>
      <c r="N4" s="15"/>
    </row>
    <row r="5" spans="1:14" ht="15" hidden="1" x14ac:dyDescent="0.25">
      <c r="A5" s="40">
        <v>4</v>
      </c>
      <c r="B5" s="14" t="s">
        <v>5</v>
      </c>
      <c r="C5" s="6">
        <v>42870</v>
      </c>
      <c r="D5" s="8">
        <v>3.12</v>
      </c>
      <c r="E5" s="9">
        <v>0.4</v>
      </c>
      <c r="F5" s="10">
        <f t="shared" si="1"/>
        <v>1248</v>
      </c>
      <c r="G5" s="10">
        <f t="shared" si="2"/>
        <v>8</v>
      </c>
      <c r="H5" s="10">
        <f t="shared" si="3"/>
        <v>0.38</v>
      </c>
      <c r="I5" s="10">
        <f t="shared" si="0"/>
        <v>2</v>
      </c>
      <c r="J5" s="10">
        <f t="shared" si="4"/>
        <v>10.38</v>
      </c>
      <c r="K5" s="10">
        <f t="shared" si="5"/>
        <v>0.51</v>
      </c>
      <c r="L5" s="7">
        <f t="shared" si="6"/>
        <v>1258.8900000000001</v>
      </c>
      <c r="M5" s="25"/>
      <c r="N5" s="101">
        <v>43119</v>
      </c>
    </row>
    <row r="6" spans="1:14" ht="15" hidden="1" x14ac:dyDescent="0.25">
      <c r="A6" s="40">
        <v>5</v>
      </c>
      <c r="B6" s="14" t="s">
        <v>7</v>
      </c>
      <c r="C6" s="6">
        <v>42870</v>
      </c>
      <c r="D6" s="8">
        <v>3.84</v>
      </c>
      <c r="E6" s="9">
        <v>1</v>
      </c>
      <c r="F6" s="10">
        <f t="shared" si="1"/>
        <v>3840</v>
      </c>
      <c r="G6" s="10">
        <f t="shared" si="2"/>
        <v>8</v>
      </c>
      <c r="H6" s="10">
        <f t="shared" si="3"/>
        <v>1.1599999999999999</v>
      </c>
      <c r="I6" s="10">
        <f t="shared" si="0"/>
        <v>4</v>
      </c>
      <c r="J6" s="10">
        <f t="shared" si="4"/>
        <v>13.16</v>
      </c>
      <c r="K6" s="10">
        <f t="shared" si="5"/>
        <v>0.55000000000000004</v>
      </c>
      <c r="L6" s="7">
        <f t="shared" si="6"/>
        <v>3853.71</v>
      </c>
      <c r="M6" s="25"/>
      <c r="N6" s="101">
        <v>43091</v>
      </c>
    </row>
    <row r="7" spans="1:14" ht="15" hidden="1" x14ac:dyDescent="0.25">
      <c r="A7" s="41">
        <v>6</v>
      </c>
      <c r="B7" s="16" t="s">
        <v>6</v>
      </c>
      <c r="C7" s="17">
        <v>42872</v>
      </c>
      <c r="D7" s="18">
        <v>5.9</v>
      </c>
      <c r="E7" s="19">
        <v>1</v>
      </c>
      <c r="F7" s="20">
        <f t="shared" si="1"/>
        <v>5900</v>
      </c>
      <c r="G7" s="20">
        <f t="shared" si="2"/>
        <v>8</v>
      </c>
      <c r="H7" s="20">
        <f t="shared" si="3"/>
        <v>1.77</v>
      </c>
      <c r="I7" s="20">
        <f t="shared" si="0"/>
        <v>6</v>
      </c>
      <c r="J7" s="20">
        <f t="shared" si="4"/>
        <v>15.77</v>
      </c>
      <c r="K7" s="20">
        <f t="shared" si="5"/>
        <v>0.59</v>
      </c>
      <c r="L7" s="28">
        <f t="shared" si="6"/>
        <v>5916.3600000000006</v>
      </c>
      <c r="M7" s="43">
        <f>L7</f>
        <v>5916.3600000000006</v>
      </c>
      <c r="N7" s="103">
        <v>42955</v>
      </c>
    </row>
    <row r="8" spans="1:14" ht="15" hidden="1" x14ac:dyDescent="0.25">
      <c r="A8" s="40">
        <v>7</v>
      </c>
      <c r="B8" s="5" t="s">
        <v>22</v>
      </c>
      <c r="C8" s="6">
        <v>42874</v>
      </c>
      <c r="D8" s="8">
        <v>0.14499999999999999</v>
      </c>
      <c r="E8" s="9">
        <v>10</v>
      </c>
      <c r="F8" s="10">
        <f t="shared" si="1"/>
        <v>1450</v>
      </c>
      <c r="G8" s="10">
        <f t="shared" si="2"/>
        <v>8</v>
      </c>
      <c r="H8" s="10">
        <f t="shared" si="3"/>
        <v>0.44</v>
      </c>
      <c r="I8" s="10">
        <f t="shared" si="0"/>
        <v>2</v>
      </c>
      <c r="J8" s="11">
        <f t="shared" si="4"/>
        <v>10.44</v>
      </c>
      <c r="K8" s="10">
        <f t="shared" si="5"/>
        <v>0.51</v>
      </c>
      <c r="L8" s="7">
        <f t="shared" si="6"/>
        <v>1460.95</v>
      </c>
      <c r="M8" s="25"/>
      <c r="N8" s="101">
        <v>43191</v>
      </c>
    </row>
    <row r="9" spans="1:14" ht="15" hidden="1" x14ac:dyDescent="0.25">
      <c r="A9" s="41">
        <v>8</v>
      </c>
      <c r="B9" s="21" t="s">
        <v>24</v>
      </c>
      <c r="C9" s="17">
        <v>42879</v>
      </c>
      <c r="D9" s="22">
        <v>3.2</v>
      </c>
      <c r="E9" s="23">
        <v>1</v>
      </c>
      <c r="F9" s="20">
        <f t="shared" si="1"/>
        <v>3200</v>
      </c>
      <c r="G9" s="20">
        <f t="shared" si="2"/>
        <v>8</v>
      </c>
      <c r="H9" s="20">
        <f t="shared" si="3"/>
        <v>0.96</v>
      </c>
      <c r="I9" s="20">
        <f t="shared" si="0"/>
        <v>4</v>
      </c>
      <c r="J9" s="24">
        <f t="shared" si="4"/>
        <v>12.96</v>
      </c>
      <c r="K9" s="20">
        <f t="shared" si="5"/>
        <v>0.54</v>
      </c>
      <c r="L9" s="28">
        <f t="shared" si="6"/>
        <v>3213.5</v>
      </c>
      <c r="M9" s="43">
        <f>L9</f>
        <v>3213.5</v>
      </c>
      <c r="N9" s="103">
        <v>42891</v>
      </c>
    </row>
    <row r="10" spans="1:14" ht="15" hidden="1" x14ac:dyDescent="0.25">
      <c r="A10" s="41">
        <v>9</v>
      </c>
      <c r="B10" s="21" t="s">
        <v>25</v>
      </c>
      <c r="C10" s="17">
        <v>42878</v>
      </c>
      <c r="D10" s="18">
        <v>1.87</v>
      </c>
      <c r="E10" s="19">
        <v>1</v>
      </c>
      <c r="F10" s="20">
        <f>IF(ISBLANK(D10),"", D10*1000*E10)</f>
        <v>1870</v>
      </c>
      <c r="G10" s="20">
        <f t="shared" si="2"/>
        <v>8</v>
      </c>
      <c r="H10" s="20">
        <f>IF(ISBLANK(D10),"", ROUNDUP((0.03/100)*F10, 2) )</f>
        <v>0.57000000000000006</v>
      </c>
      <c r="I10" s="20">
        <f t="shared" ref="I10:I11" si="7">IF(ISBLANK(D10),"", ROUNDUP( (0.1/100)*F10, 0) )</f>
        <v>2</v>
      </c>
      <c r="J10" s="20">
        <f>IF(ISBLANK( D10),"", ROUNDUP( SUM(G10:I10), 2) )</f>
        <v>10.57</v>
      </c>
      <c r="K10" s="20">
        <f>IF(ISBLANK(D10),"", ROUNDUP( (6/100)* ROUNDUP((G10+H10), 2), 2) )</f>
        <v>0.52</v>
      </c>
      <c r="L10" s="31">
        <f>IF(ISBLANK(D10), "", F10+J10+K10 )</f>
        <v>1881.09</v>
      </c>
      <c r="M10" s="44">
        <f>L10</f>
        <v>1881.09</v>
      </c>
      <c r="N10" s="101">
        <v>42958</v>
      </c>
    </row>
    <row r="11" spans="1:14" ht="15" hidden="1" x14ac:dyDescent="0.25">
      <c r="A11" s="48">
        <v>10</v>
      </c>
      <c r="B11" s="49" t="s">
        <v>22</v>
      </c>
      <c r="C11" s="50">
        <v>42885</v>
      </c>
      <c r="D11" s="8">
        <v>0.13</v>
      </c>
      <c r="E11" s="9">
        <v>10</v>
      </c>
      <c r="F11" s="10">
        <f>IF(ISBLANK(D11),"", D11*1000*E11)</f>
        <v>1300</v>
      </c>
      <c r="G11" s="10">
        <f t="shared" si="2"/>
        <v>8</v>
      </c>
      <c r="H11" s="10">
        <f>IF(ISBLANK(D11),"", ROUNDUP((0.03/100)*F11, 2) )</f>
        <v>0.39</v>
      </c>
      <c r="I11" s="10">
        <f t="shared" si="7"/>
        <v>2</v>
      </c>
      <c r="J11" s="10">
        <f>IF(ISBLANK( D11),"", ROUNDUP( SUM(G11:I11), 2) )</f>
        <v>10.39</v>
      </c>
      <c r="K11" s="10">
        <f>IF(ISBLANK(D11),"", ROUNDUP( (6/100)* ROUNDUP((G11+H11), 2), 2) )</f>
        <v>0.51</v>
      </c>
      <c r="L11" s="7">
        <f>IF(ISBLANK(D11), "", F11+J11+K11 )</f>
        <v>1310.9</v>
      </c>
      <c r="M11" s="25"/>
      <c r="N11" s="101">
        <v>43191</v>
      </c>
    </row>
    <row r="12" spans="1:14" ht="15" hidden="1" x14ac:dyDescent="0.25">
      <c r="A12" s="48">
        <v>11</v>
      </c>
      <c r="B12" s="49" t="s">
        <v>30</v>
      </c>
      <c r="C12" s="50">
        <v>42901</v>
      </c>
      <c r="D12" s="8">
        <v>2.65</v>
      </c>
      <c r="E12" s="9">
        <v>1</v>
      </c>
      <c r="F12" s="10">
        <f t="shared" si="1"/>
        <v>2650</v>
      </c>
      <c r="G12" s="10">
        <f t="shared" si="2"/>
        <v>8</v>
      </c>
      <c r="H12" s="10">
        <f t="shared" si="3"/>
        <v>0.8</v>
      </c>
      <c r="I12" s="10">
        <f t="shared" si="0"/>
        <v>3</v>
      </c>
      <c r="J12" s="10">
        <f t="shared" si="4"/>
        <v>11.8</v>
      </c>
      <c r="K12" s="10">
        <f t="shared" si="5"/>
        <v>0.53</v>
      </c>
      <c r="L12" s="7">
        <f t="shared" si="6"/>
        <v>2662.3300000000004</v>
      </c>
      <c r="M12" s="25"/>
      <c r="N12" s="103">
        <v>43749</v>
      </c>
    </row>
    <row r="13" spans="1:14" ht="15" hidden="1" x14ac:dyDescent="0.25">
      <c r="A13" s="48">
        <v>12</v>
      </c>
      <c r="B13" s="51" t="s">
        <v>30</v>
      </c>
      <c r="C13" s="50">
        <v>42916</v>
      </c>
      <c r="D13" s="8">
        <v>2.5</v>
      </c>
      <c r="E13" s="9">
        <v>1</v>
      </c>
      <c r="F13" s="10">
        <f t="shared" ref="F13:F15" si="8">IF(ISBLANK(D13),"", D13*1000*E13)</f>
        <v>2500</v>
      </c>
      <c r="G13" s="10">
        <f t="shared" ref="G13:G15" si="9">IF(ISBLANK(D13), "", ROUNDUP( IF((0.1/100)*F13 &lt;8, 8, (0.1/100)*F13), 2) )</f>
        <v>8</v>
      </c>
      <c r="H13" s="10">
        <f t="shared" ref="H13:H15" si="10">IF(ISBLANK(D13),"", ROUNDUP((0.03/100)*F13, 2) )</f>
        <v>0.75</v>
      </c>
      <c r="I13" s="10">
        <f t="shared" ref="I13:I15" si="11">IF(ISBLANK(D13),"", ROUNDUP( (0.1/100)*F13, 0) )</f>
        <v>3</v>
      </c>
      <c r="J13" s="10">
        <f t="shared" ref="J13:J15" si="12">IF(ISBLANK( D13),"", ROUNDUP( SUM(G13:I13), 2) )</f>
        <v>11.75</v>
      </c>
      <c r="K13" s="10">
        <f t="shared" ref="K13:K15" si="13">IF(ISBLANK(D13),"", ROUNDUP( (6/100)* ROUNDUP((G13+H13), 2), 2) )</f>
        <v>0.53</v>
      </c>
      <c r="L13" s="7">
        <f>IF(ISBLANK(D14), "", F13+J13+K13 )</f>
        <v>2512.2800000000002</v>
      </c>
      <c r="M13" s="25"/>
      <c r="N13" s="103">
        <v>43749</v>
      </c>
    </row>
    <row r="14" spans="1:14" ht="15" hidden="1" x14ac:dyDescent="0.25">
      <c r="A14" s="66">
        <v>13</v>
      </c>
      <c r="B14" s="67" t="s">
        <v>28</v>
      </c>
      <c r="C14" s="68">
        <v>42900</v>
      </c>
      <c r="D14" s="69">
        <v>2.17</v>
      </c>
      <c r="E14" s="70">
        <v>1</v>
      </c>
      <c r="F14" s="71">
        <f t="shared" si="8"/>
        <v>2170</v>
      </c>
      <c r="G14" s="71">
        <f t="shared" si="9"/>
        <v>8</v>
      </c>
      <c r="H14" s="71">
        <f t="shared" si="10"/>
        <v>0.66</v>
      </c>
      <c r="I14" s="71">
        <f t="shared" si="11"/>
        <v>3</v>
      </c>
      <c r="J14" s="71">
        <f t="shared" si="12"/>
        <v>11.66</v>
      </c>
      <c r="K14" s="71">
        <f t="shared" si="13"/>
        <v>0.52</v>
      </c>
      <c r="L14" s="72">
        <f>IF(ISBLANK(D15), "", F14+J14+K14 )</f>
        <v>2182.1799999999998</v>
      </c>
      <c r="M14" s="73">
        <f>L14</f>
        <v>2182.1799999999998</v>
      </c>
      <c r="N14" s="103">
        <v>43038</v>
      </c>
    </row>
    <row r="15" spans="1:14" ht="15" hidden="1" x14ac:dyDescent="0.25">
      <c r="A15" s="66">
        <v>14</v>
      </c>
      <c r="B15" s="67" t="s">
        <v>28</v>
      </c>
      <c r="C15" s="68">
        <v>42943</v>
      </c>
      <c r="D15" s="69">
        <v>2.11</v>
      </c>
      <c r="E15" s="70">
        <v>1</v>
      </c>
      <c r="F15" s="71">
        <f t="shared" si="8"/>
        <v>2110</v>
      </c>
      <c r="G15" s="71">
        <f t="shared" si="9"/>
        <v>8</v>
      </c>
      <c r="H15" s="71">
        <f t="shared" si="10"/>
        <v>0.64</v>
      </c>
      <c r="I15" s="71">
        <f t="shared" si="11"/>
        <v>3</v>
      </c>
      <c r="J15" s="71">
        <f t="shared" si="12"/>
        <v>11.64</v>
      </c>
      <c r="K15" s="71">
        <f t="shared" si="13"/>
        <v>0.52</v>
      </c>
      <c r="L15" s="72">
        <f>IF(ISBLANK(#REF!), "", F15+J15+K15 )</f>
        <v>2122.16</v>
      </c>
      <c r="M15" s="73">
        <f t="shared" ref="M15:M17" si="14">L15</f>
        <v>2122.16</v>
      </c>
      <c r="N15" s="103">
        <v>43038</v>
      </c>
    </row>
    <row r="16" spans="1:14" ht="15" hidden="1" x14ac:dyDescent="0.25">
      <c r="A16" s="66">
        <v>15</v>
      </c>
      <c r="B16" s="67" t="s">
        <v>28</v>
      </c>
      <c r="C16" s="68">
        <v>42950</v>
      </c>
      <c r="D16" s="69">
        <v>2.1</v>
      </c>
      <c r="E16" s="70">
        <v>1</v>
      </c>
      <c r="F16" s="71">
        <f t="shared" ref="F16:F29" si="15">IF(ISBLANK(D16),"", D16*1000*E16)</f>
        <v>2100</v>
      </c>
      <c r="G16" s="71">
        <f t="shared" ref="G16:G29" si="16">IF(ISBLANK(D16), "", ROUNDUP( IF((0.1/100)*F16 &lt;8, 8, (0.1/100)*F16), 2) )</f>
        <v>8</v>
      </c>
      <c r="H16" s="71">
        <f t="shared" ref="H16:H29" si="17">IF(ISBLANK(D16),"", ROUNDUP((0.03/100)*F16, 2) )</f>
        <v>0.63</v>
      </c>
      <c r="I16" s="71">
        <f t="shared" ref="I16:I31" si="18">IF(ISBLANK(D16),"", ROUNDUP( (0.1/100)*F16, 0) )</f>
        <v>3</v>
      </c>
      <c r="J16" s="71">
        <f t="shared" ref="J16:J29" si="19">IF(ISBLANK( D16),"", ROUNDUP( SUM(G16:I16), 2) )</f>
        <v>11.63</v>
      </c>
      <c r="K16" s="71">
        <f t="shared" ref="K16:K17" si="20">IF(ISBLANK(D16),"", ROUNDUP( (6/100)* ROUNDUP((G16+H16), 2), 2) )</f>
        <v>0.52</v>
      </c>
      <c r="L16" s="72">
        <f t="shared" ref="L16:L29" si="21">IF(ISBLANK(D16), "", F16+J16+K16 )</f>
        <v>2112.15</v>
      </c>
      <c r="M16" s="73">
        <f t="shared" si="14"/>
        <v>2112.15</v>
      </c>
      <c r="N16" s="103">
        <v>43038</v>
      </c>
    </row>
    <row r="17" spans="1:14" ht="15" hidden="1" x14ac:dyDescent="0.25">
      <c r="A17" s="66">
        <v>16</v>
      </c>
      <c r="B17" s="67" t="s">
        <v>39</v>
      </c>
      <c r="C17" s="68">
        <v>42958</v>
      </c>
      <c r="D17" s="69">
        <v>0.57999999999999996</v>
      </c>
      <c r="E17" s="70">
        <v>2</v>
      </c>
      <c r="F17" s="71">
        <f t="shared" si="15"/>
        <v>1160</v>
      </c>
      <c r="G17" s="71">
        <f t="shared" si="16"/>
        <v>8</v>
      </c>
      <c r="H17" s="71">
        <f t="shared" si="17"/>
        <v>0.35000000000000003</v>
      </c>
      <c r="I17" s="71">
        <f t="shared" si="18"/>
        <v>2</v>
      </c>
      <c r="J17" s="71">
        <f t="shared" si="19"/>
        <v>10.35</v>
      </c>
      <c r="K17" s="71">
        <f t="shared" si="20"/>
        <v>0.51</v>
      </c>
      <c r="L17" s="72">
        <f t="shared" si="21"/>
        <v>1170.8599999999999</v>
      </c>
      <c r="M17" s="73">
        <f t="shared" si="14"/>
        <v>1170.8599999999999</v>
      </c>
      <c r="N17" s="103">
        <v>43053</v>
      </c>
    </row>
    <row r="18" spans="1:14" ht="15" x14ac:dyDescent="0.25">
      <c r="A18" s="48">
        <v>17</v>
      </c>
      <c r="B18" s="49" t="s">
        <v>58</v>
      </c>
      <c r="C18" s="50">
        <v>42958</v>
      </c>
      <c r="D18" s="8">
        <v>2.7</v>
      </c>
      <c r="E18" s="9">
        <v>1</v>
      </c>
      <c r="F18" s="10">
        <f t="shared" si="15"/>
        <v>2700</v>
      </c>
      <c r="G18" s="10">
        <f t="shared" si="16"/>
        <v>8</v>
      </c>
      <c r="H18" s="10">
        <f t="shared" si="17"/>
        <v>0.81</v>
      </c>
      <c r="I18" s="10">
        <f t="shared" si="18"/>
        <v>3</v>
      </c>
      <c r="J18" s="10">
        <f t="shared" si="19"/>
        <v>11.81</v>
      </c>
      <c r="K18" s="10">
        <f t="shared" ref="K18:K27" si="22">IF(ISBLANK(D18),"",  (6/100)* ROUNDUP((G18+H18), 2) )</f>
        <v>0.52859999999999996</v>
      </c>
      <c r="L18" s="7">
        <f t="shared" si="21"/>
        <v>2712.3386</v>
      </c>
      <c r="M18" s="25"/>
    </row>
    <row r="19" spans="1:14" ht="15" hidden="1" x14ac:dyDescent="0.25">
      <c r="A19" s="48">
        <v>18</v>
      </c>
      <c r="B19" s="5" t="s">
        <v>40</v>
      </c>
      <c r="C19" s="50">
        <v>42961</v>
      </c>
      <c r="D19" s="8">
        <v>0.33</v>
      </c>
      <c r="E19" s="9">
        <v>2</v>
      </c>
      <c r="F19" s="10">
        <f t="shared" si="15"/>
        <v>660</v>
      </c>
      <c r="G19" s="10">
        <f t="shared" si="16"/>
        <v>8</v>
      </c>
      <c r="H19" s="10">
        <f t="shared" si="17"/>
        <v>0.2</v>
      </c>
      <c r="I19" s="10">
        <f t="shared" si="18"/>
        <v>1</v>
      </c>
      <c r="J19" s="10">
        <f t="shared" si="19"/>
        <v>9.1999999999999993</v>
      </c>
      <c r="K19" s="10">
        <f t="shared" si="22"/>
        <v>0.49199999999999994</v>
      </c>
      <c r="L19" s="7">
        <f t="shared" si="21"/>
        <v>669.69200000000001</v>
      </c>
      <c r="M19" s="25"/>
      <c r="N19" s="103">
        <v>43110</v>
      </c>
    </row>
    <row r="20" spans="1:14" ht="15" x14ac:dyDescent="0.25">
      <c r="A20" s="48">
        <v>19</v>
      </c>
      <c r="B20" s="5" t="s">
        <v>56</v>
      </c>
      <c r="C20" s="50">
        <v>42964</v>
      </c>
      <c r="D20" s="8">
        <v>1.75</v>
      </c>
      <c r="E20" s="9">
        <v>1</v>
      </c>
      <c r="F20" s="10">
        <f t="shared" si="15"/>
        <v>1750</v>
      </c>
      <c r="G20" s="10">
        <f t="shared" si="16"/>
        <v>8</v>
      </c>
      <c r="H20" s="10">
        <f t="shared" si="17"/>
        <v>0.53</v>
      </c>
      <c r="I20" s="10">
        <f t="shared" si="18"/>
        <v>2</v>
      </c>
      <c r="J20" s="10">
        <f t="shared" si="19"/>
        <v>10.53</v>
      </c>
      <c r="K20" s="10">
        <f t="shared" si="22"/>
        <v>0.51179999999999992</v>
      </c>
      <c r="L20" s="7">
        <f t="shared" si="21"/>
        <v>1761.0418</v>
      </c>
      <c r="M20" s="25"/>
    </row>
    <row r="21" spans="1:14" ht="15" x14ac:dyDescent="0.25">
      <c r="A21" s="48">
        <v>20</v>
      </c>
      <c r="B21" s="5" t="s">
        <v>54</v>
      </c>
      <c r="C21" s="50">
        <v>42975</v>
      </c>
      <c r="D21" s="8">
        <v>1.4</v>
      </c>
      <c r="E21" s="9">
        <v>1</v>
      </c>
      <c r="F21" s="10">
        <f t="shared" si="15"/>
        <v>1400</v>
      </c>
      <c r="G21" s="10">
        <f t="shared" si="16"/>
        <v>8</v>
      </c>
      <c r="H21" s="10">
        <f t="shared" si="17"/>
        <v>0.42</v>
      </c>
      <c r="I21" s="10">
        <f t="shared" si="18"/>
        <v>2</v>
      </c>
      <c r="J21" s="10">
        <f t="shared" si="19"/>
        <v>10.42</v>
      </c>
      <c r="K21" s="10">
        <f t="shared" si="22"/>
        <v>0.50519999999999998</v>
      </c>
      <c r="L21" s="7">
        <f t="shared" si="21"/>
        <v>1410.9252000000001</v>
      </c>
      <c r="M21" s="25"/>
    </row>
    <row r="22" spans="1:14" ht="15" hidden="1" x14ac:dyDescent="0.25">
      <c r="A22" s="48">
        <v>21</v>
      </c>
      <c r="B22" s="5" t="s">
        <v>34</v>
      </c>
      <c r="C22" s="50">
        <v>43073</v>
      </c>
      <c r="D22" s="8">
        <v>2.4</v>
      </c>
      <c r="E22" s="9">
        <v>1</v>
      </c>
      <c r="F22" s="10">
        <f t="shared" si="15"/>
        <v>2400</v>
      </c>
      <c r="G22" s="10">
        <f t="shared" si="16"/>
        <v>8</v>
      </c>
      <c r="H22" s="10">
        <f t="shared" si="17"/>
        <v>0.72</v>
      </c>
      <c r="I22" s="10">
        <f t="shared" si="18"/>
        <v>3</v>
      </c>
      <c r="J22" s="10">
        <f t="shared" si="19"/>
        <v>11.72</v>
      </c>
      <c r="K22" s="10">
        <f t="shared" si="22"/>
        <v>0.5232</v>
      </c>
      <c r="L22" s="7">
        <f t="shared" si="21"/>
        <v>2412.2431999999999</v>
      </c>
      <c r="M22" s="25"/>
      <c r="N22" s="103">
        <v>43685</v>
      </c>
    </row>
    <row r="23" spans="1:14" ht="15" hidden="1" x14ac:dyDescent="0.25">
      <c r="A23" s="48">
        <v>22</v>
      </c>
      <c r="B23" s="5" t="s">
        <v>34</v>
      </c>
      <c r="C23" s="50">
        <v>43074</v>
      </c>
      <c r="D23" s="8">
        <v>2.35</v>
      </c>
      <c r="E23" s="9">
        <v>1</v>
      </c>
      <c r="F23" s="10">
        <f t="shared" si="15"/>
        <v>2350</v>
      </c>
      <c r="G23" s="10">
        <f t="shared" si="16"/>
        <v>8</v>
      </c>
      <c r="H23" s="10">
        <f t="shared" si="17"/>
        <v>0.71</v>
      </c>
      <c r="I23" s="10">
        <f t="shared" si="18"/>
        <v>3</v>
      </c>
      <c r="J23" s="10">
        <f t="shared" si="19"/>
        <v>11.71</v>
      </c>
      <c r="K23" s="10">
        <f t="shared" si="22"/>
        <v>0.52260000000000006</v>
      </c>
      <c r="L23" s="7">
        <f t="shared" si="21"/>
        <v>2362.2325999999998</v>
      </c>
      <c r="M23" s="25"/>
      <c r="N23" s="103">
        <v>43685</v>
      </c>
    </row>
    <row r="24" spans="1:14" ht="15" hidden="1" x14ac:dyDescent="0.25">
      <c r="A24" s="48">
        <v>23</v>
      </c>
      <c r="B24" s="5" t="s">
        <v>34</v>
      </c>
      <c r="C24" s="50">
        <v>43076</v>
      </c>
      <c r="D24" s="8">
        <v>2.1</v>
      </c>
      <c r="E24" s="9">
        <v>1</v>
      </c>
      <c r="F24" s="10">
        <f t="shared" si="15"/>
        <v>2100</v>
      </c>
      <c r="G24" s="10">
        <f t="shared" si="16"/>
        <v>8</v>
      </c>
      <c r="H24" s="10">
        <f t="shared" si="17"/>
        <v>0.63</v>
      </c>
      <c r="I24" s="10">
        <f t="shared" si="18"/>
        <v>3</v>
      </c>
      <c r="J24" s="10">
        <f t="shared" si="19"/>
        <v>11.63</v>
      </c>
      <c r="K24" s="10">
        <f t="shared" si="22"/>
        <v>0.51780000000000004</v>
      </c>
      <c r="L24" s="7">
        <f t="shared" si="21"/>
        <v>2112.1478000000002</v>
      </c>
      <c r="M24" s="25"/>
      <c r="N24" s="103">
        <v>43685</v>
      </c>
    </row>
    <row r="25" spans="1:14" ht="15" x14ac:dyDescent="0.25">
      <c r="A25" s="48">
        <v>24</v>
      </c>
      <c r="B25" s="5" t="s">
        <v>9</v>
      </c>
      <c r="C25" s="50">
        <v>42745</v>
      </c>
      <c r="D25" s="154">
        <v>0.95</v>
      </c>
      <c r="E25" s="9">
        <v>1.7</v>
      </c>
      <c r="F25" s="10">
        <f t="shared" si="15"/>
        <v>1615</v>
      </c>
      <c r="G25" s="10">
        <f t="shared" si="16"/>
        <v>8</v>
      </c>
      <c r="H25" s="10">
        <f t="shared" si="17"/>
        <v>0.49</v>
      </c>
      <c r="I25" s="10">
        <f t="shared" si="18"/>
        <v>2</v>
      </c>
      <c r="J25" s="10">
        <f t="shared" si="19"/>
        <v>10.49</v>
      </c>
      <c r="K25" s="10">
        <f t="shared" si="22"/>
        <v>0.50939999999999996</v>
      </c>
      <c r="L25" s="7">
        <f t="shared" si="21"/>
        <v>1625.9993999999999</v>
      </c>
      <c r="M25" s="25"/>
    </row>
    <row r="26" spans="1:14" ht="15" hidden="1" x14ac:dyDescent="0.25">
      <c r="A26" s="48">
        <v>25</v>
      </c>
      <c r="B26" s="5" t="s">
        <v>65</v>
      </c>
      <c r="C26" s="50">
        <v>42746</v>
      </c>
      <c r="D26" s="154">
        <v>0.89500000000000002</v>
      </c>
      <c r="E26" s="9">
        <v>1</v>
      </c>
      <c r="F26" s="10">
        <f t="shared" si="15"/>
        <v>895</v>
      </c>
      <c r="G26" s="10">
        <f t="shared" si="16"/>
        <v>8</v>
      </c>
      <c r="H26" s="10">
        <f t="shared" si="17"/>
        <v>0.27</v>
      </c>
      <c r="I26" s="10">
        <f t="shared" si="18"/>
        <v>1</v>
      </c>
      <c r="J26" s="10">
        <f t="shared" si="19"/>
        <v>9.27</v>
      </c>
      <c r="K26" s="10">
        <f t="shared" si="22"/>
        <v>0.49619999999999997</v>
      </c>
      <c r="L26" s="7">
        <f t="shared" si="21"/>
        <v>904.76620000000003</v>
      </c>
      <c r="M26" s="25"/>
      <c r="N26" s="103">
        <v>43728</v>
      </c>
    </row>
    <row r="27" spans="1:14" ht="15" hidden="1" x14ac:dyDescent="0.25">
      <c r="A27" s="48">
        <v>26</v>
      </c>
      <c r="B27" s="5" t="s">
        <v>65</v>
      </c>
      <c r="C27" s="50">
        <v>42746</v>
      </c>
      <c r="D27" s="154">
        <v>0.86</v>
      </c>
      <c r="E27" s="9">
        <v>1</v>
      </c>
      <c r="F27" s="10">
        <f t="shared" ref="F27" si="23">IF(ISBLANK(D27),"", D27*1000*E27)</f>
        <v>860</v>
      </c>
      <c r="G27" s="10">
        <f t="shared" ref="G27" si="24">IF(ISBLANK(D27), "", ROUNDUP( IF((0.1/100)*F27 &lt;8, 8, (0.1/100)*F27), 2) )</f>
        <v>8</v>
      </c>
      <c r="H27" s="10">
        <f t="shared" ref="H27" si="25">IF(ISBLANK(D27),"", ROUNDUP((0.03/100)*F27, 2) )</f>
        <v>0.26</v>
      </c>
      <c r="I27" s="10">
        <f t="shared" ref="I27" si="26">IF(ISBLANK(D27),"", ROUNDUP( (0.1/100)*F27, 0) )</f>
        <v>1</v>
      </c>
      <c r="J27" s="10">
        <f t="shared" ref="J27" si="27">IF(ISBLANK( D27),"", ROUNDUP( SUM(G27:I27), 2) )</f>
        <v>9.26</v>
      </c>
      <c r="K27" s="10">
        <f t="shared" si="22"/>
        <v>0.49559999999999998</v>
      </c>
      <c r="L27" s="7">
        <f t="shared" si="21"/>
        <v>869.75559999999996</v>
      </c>
      <c r="M27" s="25"/>
      <c r="N27" s="103">
        <v>43728</v>
      </c>
    </row>
    <row r="28" spans="1:14" ht="15" hidden="1" x14ac:dyDescent="0.25">
      <c r="A28" s="48">
        <v>27</v>
      </c>
      <c r="B28" s="5" t="s">
        <v>34</v>
      </c>
      <c r="C28" s="50">
        <v>43116</v>
      </c>
      <c r="D28" s="8">
        <v>2.77</v>
      </c>
      <c r="E28" s="9">
        <v>1</v>
      </c>
      <c r="F28" s="10">
        <f t="shared" si="15"/>
        <v>2770</v>
      </c>
      <c r="G28" s="10">
        <f t="shared" si="16"/>
        <v>8</v>
      </c>
      <c r="H28" s="10">
        <f t="shared" si="17"/>
        <v>0.84</v>
      </c>
      <c r="I28" s="10">
        <f t="shared" si="18"/>
        <v>3</v>
      </c>
      <c r="J28" s="10">
        <f t="shared" si="19"/>
        <v>11.84</v>
      </c>
      <c r="K28" s="10">
        <f>IF(ISBLANK(D28),"",  (6/100)* ROUNDUP((G28+H28), 2) )</f>
        <v>0.53039999999999998</v>
      </c>
      <c r="L28" s="7">
        <f t="shared" si="21"/>
        <v>2782.3704000000002</v>
      </c>
      <c r="M28" s="25"/>
      <c r="N28" s="103">
        <v>43685</v>
      </c>
    </row>
    <row r="29" spans="1:14" ht="15" x14ac:dyDescent="0.25">
      <c r="A29" s="48">
        <v>28</v>
      </c>
      <c r="B29" s="5" t="s">
        <v>54</v>
      </c>
      <c r="C29" s="50">
        <v>43115</v>
      </c>
      <c r="D29" s="154">
        <v>0.59499999999999997</v>
      </c>
      <c r="E29" s="9">
        <v>0.5</v>
      </c>
      <c r="F29" s="10">
        <f t="shared" si="15"/>
        <v>297.5</v>
      </c>
      <c r="G29" s="10">
        <f t="shared" si="16"/>
        <v>8</v>
      </c>
      <c r="H29" s="10">
        <f t="shared" si="17"/>
        <v>0.09</v>
      </c>
      <c r="I29" s="10">
        <f t="shared" si="18"/>
        <v>1</v>
      </c>
      <c r="J29" s="10">
        <f t="shared" si="19"/>
        <v>9.09</v>
      </c>
      <c r="K29" s="10">
        <f>IF(ISBLANK(D29),"",  (6/100)* ROUNDUP((G29+H29), 2) )</f>
        <v>0.4854</v>
      </c>
      <c r="L29" s="7">
        <f t="shared" si="21"/>
        <v>307.0754</v>
      </c>
      <c r="M29" s="25"/>
    </row>
    <row r="30" spans="1:14" ht="15" x14ac:dyDescent="0.25">
      <c r="A30" s="48">
        <v>29</v>
      </c>
      <c r="B30" s="5" t="s">
        <v>76</v>
      </c>
      <c r="C30" s="50">
        <v>43329</v>
      </c>
      <c r="D30" s="154">
        <v>0.40500000000000003</v>
      </c>
      <c r="E30" s="9">
        <v>2</v>
      </c>
      <c r="F30" s="10">
        <f t="shared" ref="F30:F36" si="28">IF(ISBLANK(D30),"", D30*1000*E30)</f>
        <v>810</v>
      </c>
      <c r="G30" s="10">
        <f t="shared" ref="G30:G36" si="29">IF(ISBLANK(D30), "", ROUNDUP( IF((0.1/100)*F30 &lt;8, 8, (0.1/100)*F30), 2) )</f>
        <v>8</v>
      </c>
      <c r="H30" s="10">
        <f t="shared" ref="H30:H36" si="30">IF(ISBLANK(D30),"", ROUNDUP((0.03/100)*F30, 2) )</f>
        <v>0.25</v>
      </c>
      <c r="I30" s="10">
        <v>0</v>
      </c>
      <c r="J30" s="10">
        <f t="shared" ref="J30:J38" si="31">IF(ISBLANK( D30),"", ROUNDUP( SUM(G30:I30), 2) )</f>
        <v>8.25</v>
      </c>
      <c r="K30" s="10">
        <f t="shared" ref="K30" si="32">IF(ISBLANK(D30),"", ROUNDUP( (6/100)* ROUNDUP((G30+H30), 2), 2) )</f>
        <v>0.5</v>
      </c>
      <c r="L30" s="7">
        <f t="shared" ref="L30:L38" si="33">IF(ISBLANK(D30), "", F30+J30+K30 )</f>
        <v>818.75</v>
      </c>
      <c r="M30" s="25"/>
    </row>
    <row r="31" spans="1:14" ht="15" x14ac:dyDescent="0.25">
      <c r="A31" s="48">
        <v>30</v>
      </c>
      <c r="B31" s="5" t="s">
        <v>82</v>
      </c>
      <c r="C31" s="50">
        <v>43704</v>
      </c>
      <c r="D31" s="154">
        <v>1.24</v>
      </c>
      <c r="E31" s="9">
        <v>1</v>
      </c>
      <c r="F31" s="10">
        <f t="shared" si="28"/>
        <v>1240</v>
      </c>
      <c r="G31" s="10">
        <f t="shared" si="29"/>
        <v>8</v>
      </c>
      <c r="H31" s="10">
        <f t="shared" si="30"/>
        <v>0.38</v>
      </c>
      <c r="I31" s="10">
        <f t="shared" si="18"/>
        <v>2</v>
      </c>
      <c r="J31" s="10">
        <f>IF(ISBLANK( D31),"", ROUNDUP( SUM(G31:I31), 2) )</f>
        <v>10.38</v>
      </c>
      <c r="K31" s="10">
        <f t="shared" ref="K31:K34" si="34">IF(ISBLANK(D31),"", ROUNDUP( (6/100)* ROUNDUP((G31), 2), 2) )</f>
        <v>0.48</v>
      </c>
      <c r="L31" s="7">
        <f t="shared" si="33"/>
        <v>1250.8600000000001</v>
      </c>
      <c r="M31" s="25"/>
      <c r="N31" s="80"/>
    </row>
    <row r="32" spans="1:14" ht="15" x14ac:dyDescent="0.25">
      <c r="A32" s="48">
        <v>31</v>
      </c>
      <c r="B32" s="5" t="s">
        <v>82</v>
      </c>
      <c r="C32" s="199">
        <v>43706</v>
      </c>
      <c r="D32" s="154">
        <v>1.42</v>
      </c>
      <c r="E32" s="9">
        <v>1</v>
      </c>
      <c r="F32" s="10">
        <f t="shared" si="28"/>
        <v>1420</v>
      </c>
      <c r="G32" s="10">
        <f t="shared" si="29"/>
        <v>8</v>
      </c>
      <c r="H32" s="10">
        <f>IF(ISBLANK(D32),"", ROUNDUP((0.03/100)*(F32+F33), 2) )</f>
        <v>1.26</v>
      </c>
      <c r="I32" s="10">
        <f>IF(ISBLANK(D32),"", ROUNDUP( (0.1/100)*(F32+F33), 0) )</f>
        <v>5</v>
      </c>
      <c r="J32" s="10">
        <f t="shared" si="31"/>
        <v>14.26</v>
      </c>
      <c r="K32" s="10">
        <f t="shared" si="34"/>
        <v>0.48</v>
      </c>
      <c r="L32" s="7">
        <f t="shared" si="33"/>
        <v>1434.74</v>
      </c>
      <c r="M32" s="45">
        <f>L32+L33</f>
        <v>4214.74</v>
      </c>
      <c r="N32" s="80"/>
    </row>
    <row r="33" spans="1:14" ht="15" x14ac:dyDescent="0.25">
      <c r="A33" s="48">
        <v>32</v>
      </c>
      <c r="B33" s="5" t="s">
        <v>82</v>
      </c>
      <c r="C33" s="199">
        <v>43706</v>
      </c>
      <c r="D33" s="154">
        <v>1.39</v>
      </c>
      <c r="E33" s="9">
        <v>2</v>
      </c>
      <c r="F33" s="10">
        <f t="shared" si="28"/>
        <v>2780</v>
      </c>
      <c r="G33" s="10">
        <v>0</v>
      </c>
      <c r="H33" s="10">
        <v>0</v>
      </c>
      <c r="I33" s="10">
        <v>0</v>
      </c>
      <c r="J33" s="10">
        <f t="shared" si="31"/>
        <v>0</v>
      </c>
      <c r="K33" s="10">
        <f t="shared" si="34"/>
        <v>0</v>
      </c>
      <c r="L33" s="7">
        <f t="shared" si="33"/>
        <v>2780</v>
      </c>
      <c r="M33" s="25"/>
    </row>
    <row r="34" spans="1:14" ht="15" hidden="1" x14ac:dyDescent="0.25">
      <c r="A34" s="48">
        <v>33</v>
      </c>
      <c r="B34" s="5" t="s">
        <v>65</v>
      </c>
      <c r="C34" s="50">
        <v>43706</v>
      </c>
      <c r="D34" s="154">
        <v>0.56999999999999995</v>
      </c>
      <c r="E34" s="9">
        <v>5</v>
      </c>
      <c r="F34" s="10">
        <f t="shared" si="28"/>
        <v>2850</v>
      </c>
      <c r="G34" s="10">
        <f t="shared" si="29"/>
        <v>8</v>
      </c>
      <c r="H34" s="10">
        <f t="shared" si="30"/>
        <v>0.86</v>
      </c>
      <c r="I34" s="10">
        <v>0</v>
      </c>
      <c r="J34" s="10">
        <f t="shared" si="31"/>
        <v>8.86</v>
      </c>
      <c r="K34" s="10">
        <f t="shared" si="34"/>
        <v>0.48</v>
      </c>
      <c r="L34" s="7">
        <f t="shared" si="33"/>
        <v>2859.34</v>
      </c>
      <c r="M34" s="103"/>
      <c r="N34" s="103">
        <v>43721</v>
      </c>
    </row>
    <row r="35" spans="1:14" ht="15" x14ac:dyDescent="0.25">
      <c r="A35" s="48">
        <v>34</v>
      </c>
      <c r="B35" s="5" t="s">
        <v>89</v>
      </c>
      <c r="C35" s="50">
        <v>43707</v>
      </c>
      <c r="D35" s="154">
        <v>3.47</v>
      </c>
      <c r="E35" s="9">
        <v>1</v>
      </c>
      <c r="F35" s="185">
        <f t="shared" si="28"/>
        <v>3470</v>
      </c>
      <c r="G35" s="10">
        <f t="shared" si="29"/>
        <v>8</v>
      </c>
      <c r="H35" s="10">
        <f t="shared" si="30"/>
        <v>1.05</v>
      </c>
      <c r="I35" s="10">
        <v>0</v>
      </c>
      <c r="J35" s="10">
        <f>IF(ISBLANK( D35),"", ROUNDUP( SUM(G35:I35), 2) )</f>
        <v>9.0500000000000007</v>
      </c>
      <c r="K35" s="10">
        <f>IF(ISBLANK(D35),"", ROUND( 0.06* ROUNDUP((G35), 2), 2) )</f>
        <v>0.48</v>
      </c>
      <c r="L35" s="7">
        <f t="shared" si="33"/>
        <v>3479.53</v>
      </c>
      <c r="M35" s="25"/>
    </row>
    <row r="36" spans="1:14" ht="15" hidden="1" x14ac:dyDescent="0.25">
      <c r="A36" s="48">
        <v>35</v>
      </c>
      <c r="B36" s="5" t="s">
        <v>136</v>
      </c>
      <c r="C36" s="50">
        <v>43728</v>
      </c>
      <c r="D36" s="154">
        <v>0.74</v>
      </c>
      <c r="E36" s="9">
        <v>5</v>
      </c>
      <c r="F36" s="185">
        <f t="shared" si="28"/>
        <v>3700</v>
      </c>
      <c r="G36" s="10">
        <f t="shared" si="29"/>
        <v>8</v>
      </c>
      <c r="H36" s="10">
        <f t="shared" si="30"/>
        <v>1.1100000000000001</v>
      </c>
      <c r="I36" s="10">
        <v>0</v>
      </c>
      <c r="J36" s="10">
        <f t="shared" si="31"/>
        <v>9.11</v>
      </c>
      <c r="K36" s="10">
        <f>IF(ISBLANK(D36),"", ROUNDUP( (6/100)* ROUNDUP((G36), 2), 2) )</f>
        <v>0.48</v>
      </c>
      <c r="L36" s="7">
        <f t="shared" si="33"/>
        <v>3709.59</v>
      </c>
      <c r="M36" s="25"/>
      <c r="N36" s="103">
        <v>43739</v>
      </c>
    </row>
    <row r="37" spans="1:14" ht="15" x14ac:dyDescent="0.25">
      <c r="A37" s="48">
        <v>36</v>
      </c>
      <c r="B37" s="5" t="s">
        <v>82</v>
      </c>
      <c r="C37" s="197">
        <v>43739</v>
      </c>
      <c r="D37" s="154">
        <v>1.38</v>
      </c>
      <c r="E37" s="9">
        <v>2</v>
      </c>
      <c r="F37" s="185">
        <f t="shared" ref="F37" si="35">IF(ISBLANK(D37),"", D37*1000*E37)</f>
        <v>2760</v>
      </c>
      <c r="G37" s="10">
        <f>IF(ISBLANK(D37), "", ROUNDUP( IF((0.1/100)*F37 &lt;8, 8, (0.1/100)*(F37+F38)), 2) )</f>
        <v>8</v>
      </c>
      <c r="H37" s="10">
        <f>IF(ISBLANK(D37),"", ROUNDUP((0.03/100)*(F37+F38), 2) )</f>
        <v>1.53</v>
      </c>
      <c r="I37" s="10">
        <f>IF(ISBLANK(D37),"", ROUNDUP( (0.1/100)*(F37+F38), 0) )</f>
        <v>6</v>
      </c>
      <c r="J37" s="188">
        <f>IF(ISBLANK( D37),"", ROUNDUP( SUM(G37:I37), 2) )-0.02</f>
        <v>15.51</v>
      </c>
      <c r="K37" s="10">
        <f>IF(ISBLANK(D37),"", ROUND( 0.06* ROUNDUP((G37), 2), 2) )</f>
        <v>0.48</v>
      </c>
      <c r="L37" s="7">
        <f t="shared" si="33"/>
        <v>2775.9900000000002</v>
      </c>
      <c r="M37" s="87">
        <f>SUBTOTAL(9,L37:L38)-M38</f>
        <v>0</v>
      </c>
      <c r="N37" s="15"/>
    </row>
    <row r="38" spans="1:14" ht="15" x14ac:dyDescent="0.25">
      <c r="A38" s="48">
        <v>37</v>
      </c>
      <c r="B38" s="5" t="s">
        <v>82</v>
      </c>
      <c r="C38" s="197">
        <v>43739</v>
      </c>
      <c r="D38" s="154">
        <v>1.37</v>
      </c>
      <c r="E38" s="9">
        <v>1.7</v>
      </c>
      <c r="F38" s="185">
        <f t="shared" ref="F38" si="36">IF(ISBLANK(D38),"", D38*1000*E38)</f>
        <v>2329</v>
      </c>
      <c r="G38" s="10">
        <v>0</v>
      </c>
      <c r="H38" s="10">
        <v>0</v>
      </c>
      <c r="I38" s="10">
        <v>0</v>
      </c>
      <c r="J38" s="10">
        <f t="shared" si="31"/>
        <v>0</v>
      </c>
      <c r="K38" s="10">
        <f t="shared" ref="K38:K42" si="37">IF(ISBLANK(D38),"", ROUND( 0.06* ROUNDUP((G38), 2), 2) )</f>
        <v>0</v>
      </c>
      <c r="L38" s="7">
        <f t="shared" si="33"/>
        <v>2329</v>
      </c>
      <c r="M38" s="87">
        <v>5104.99</v>
      </c>
    </row>
    <row r="39" spans="1:14" ht="15" x14ac:dyDescent="0.25">
      <c r="A39" s="48">
        <v>38</v>
      </c>
      <c r="B39" s="5" t="s">
        <v>82</v>
      </c>
      <c r="C39" s="198">
        <v>43740</v>
      </c>
      <c r="D39" s="154">
        <v>1.35</v>
      </c>
      <c r="E39" s="9">
        <v>5</v>
      </c>
      <c r="F39" s="185">
        <f t="shared" ref="F39:F43" si="38">IF(ISBLANK(D39),"", D39*1000*E39)</f>
        <v>6750</v>
      </c>
      <c r="G39" s="10">
        <f>IF(ISBLANK(D39), "", ROUNDUP( IF((0.1/100)*F39 &lt;8, 8, (0.1/100)*(F39+F40)), 2) )</f>
        <v>8</v>
      </c>
      <c r="H39" s="10">
        <f>IF(ISBLANK(D39),"", ROUNDUP((0.03/100)*(F39+F40), 2) )</f>
        <v>2.15</v>
      </c>
      <c r="I39" s="10">
        <f>IF(ISBLANK(D39),"", ROUNDUP( (0.1/100)*(F39+F40), 0) )</f>
        <v>8</v>
      </c>
      <c r="J39" s="188">
        <f>IF(ISBLANK( D39),"", ROUNDUP( SUM(G39:I39), 2) )-0.17</f>
        <v>17.979999999999997</v>
      </c>
      <c r="K39" s="10">
        <f t="shared" si="37"/>
        <v>0.48</v>
      </c>
      <c r="L39" s="7">
        <f t="shared" ref="L39:L46" si="39">IF(ISBLANK(D39), "", F39+J39+K39 )</f>
        <v>6768.4599999999991</v>
      </c>
      <c r="M39" s="87">
        <f>L39+L40-M40</f>
        <v>0</v>
      </c>
      <c r="N39" s="15"/>
    </row>
    <row r="40" spans="1:14" ht="15" x14ac:dyDescent="0.25">
      <c r="A40" s="48">
        <v>39</v>
      </c>
      <c r="B40" s="5" t="s">
        <v>82</v>
      </c>
      <c r="C40" s="198">
        <v>43740</v>
      </c>
      <c r="D40" s="154">
        <v>1.37</v>
      </c>
      <c r="E40" s="9">
        <v>0.3</v>
      </c>
      <c r="F40" s="185">
        <f t="shared" si="38"/>
        <v>411</v>
      </c>
      <c r="G40" s="10">
        <v>0</v>
      </c>
      <c r="H40" s="10">
        <v>0</v>
      </c>
      <c r="I40" s="10">
        <v>0</v>
      </c>
      <c r="J40" s="10">
        <f t="shared" ref="J40:J44" si="40">IF(ISBLANK( D40),"", ROUNDUP( SUM(G40:I40), 2) )</f>
        <v>0</v>
      </c>
      <c r="K40" s="10">
        <f t="shared" si="37"/>
        <v>0</v>
      </c>
      <c r="L40" s="7">
        <f t="shared" si="39"/>
        <v>411</v>
      </c>
      <c r="M40" s="87">
        <v>7179.46</v>
      </c>
    </row>
    <row r="41" spans="1:14" ht="15" x14ac:dyDescent="0.25">
      <c r="A41" s="189">
        <v>40</v>
      </c>
      <c r="B41" s="190" t="s">
        <v>82</v>
      </c>
      <c r="C41" s="196">
        <v>43741</v>
      </c>
      <c r="D41" s="191">
        <v>1.3</v>
      </c>
      <c r="E41" s="192">
        <v>1</v>
      </c>
      <c r="F41" s="193">
        <f t="shared" si="38"/>
        <v>1300</v>
      </c>
      <c r="G41" s="194">
        <f t="shared" ref="G41" si="41">IF(ISBLANK(D41), "", ROUNDUP( IF((0.1/100)*F41 &lt;8, 8, (0.1/100)*F41), 2) )</f>
        <v>8</v>
      </c>
      <c r="H41" s="194">
        <f>IF(ISBLANK(D41),"", ROUNDUP((0.03/100)*(F41+F42), 2) )</f>
        <v>1.17</v>
      </c>
      <c r="I41" s="194">
        <f>IF(ISBLANK(D41),"", ROUNDUP( (0.1/100)*(F41+F42), 0) )</f>
        <v>4</v>
      </c>
      <c r="J41" s="195">
        <f>IF(ISBLANK( D41),"", ROUNDUP( SUM(G41:I41), 2) )-0.1</f>
        <v>13.07</v>
      </c>
      <c r="K41" s="194">
        <f t="shared" si="37"/>
        <v>0.48</v>
      </c>
      <c r="L41" s="7">
        <f t="shared" si="39"/>
        <v>1313.55</v>
      </c>
      <c r="M41" s="87">
        <f>SUBTOTAL(9,L41:L42)-M42</f>
        <v>0</v>
      </c>
    </row>
    <row r="42" spans="1:14" ht="15" x14ac:dyDescent="0.25">
      <c r="A42" s="189">
        <v>41</v>
      </c>
      <c r="B42" s="190" t="s">
        <v>82</v>
      </c>
      <c r="C42" s="196">
        <v>43741</v>
      </c>
      <c r="D42" s="191">
        <v>1.29</v>
      </c>
      <c r="E42" s="192">
        <v>2</v>
      </c>
      <c r="F42" s="193">
        <f t="shared" si="38"/>
        <v>2580</v>
      </c>
      <c r="G42" s="194">
        <v>0</v>
      </c>
      <c r="H42" s="194">
        <v>0</v>
      </c>
      <c r="I42" s="194">
        <v>0</v>
      </c>
      <c r="J42" s="194">
        <f t="shared" si="40"/>
        <v>0</v>
      </c>
      <c r="K42" s="194">
        <f t="shared" si="37"/>
        <v>0</v>
      </c>
      <c r="L42" s="7">
        <f t="shared" si="39"/>
        <v>2580</v>
      </c>
      <c r="M42" s="87">
        <v>3893.55</v>
      </c>
    </row>
    <row r="43" spans="1:14" ht="15" x14ac:dyDescent="0.25">
      <c r="A43" s="48">
        <v>42</v>
      </c>
      <c r="B43" s="5" t="s">
        <v>82</v>
      </c>
      <c r="C43" s="153">
        <v>43745</v>
      </c>
      <c r="D43" s="154">
        <v>1.24</v>
      </c>
      <c r="E43" s="9">
        <v>5</v>
      </c>
      <c r="F43" s="185">
        <f t="shared" si="38"/>
        <v>6200</v>
      </c>
      <c r="G43" s="10">
        <f>IF(ISBLANK(D43), "", ROUNDUP( IF((0.1/100)*F43 &lt;8, 8, (0.1/100)*(F42)), 2) )</f>
        <v>8</v>
      </c>
      <c r="H43" s="10">
        <f t="shared" ref="H43:H48" si="42">IF(ISBLANK(D43),"", ROUNDUP((0.03/100)*(F43), 2) )</f>
        <v>1.86</v>
      </c>
      <c r="I43" s="194">
        <f>IF(ISBLANK(D43),"", ROUNDUP( (0.1/100)*(F43), 0) )</f>
        <v>7</v>
      </c>
      <c r="J43" s="10">
        <f t="shared" si="40"/>
        <v>16.86</v>
      </c>
      <c r="K43" s="10">
        <f t="shared" ref="K43:K51" si="43">IF(ISBLANK(D43),"", ROUND( 0.06* ROUNDUP((G43), 2), 2) )</f>
        <v>0.48</v>
      </c>
      <c r="L43" s="7">
        <f t="shared" si="39"/>
        <v>6217.3399999999992</v>
      </c>
      <c r="M43" s="25">
        <v>6217.34</v>
      </c>
    </row>
    <row r="44" spans="1:14" ht="15" x14ac:dyDescent="0.25">
      <c r="A44" s="48">
        <v>43</v>
      </c>
      <c r="B44" s="5" t="s">
        <v>34</v>
      </c>
      <c r="C44" s="153">
        <v>43745</v>
      </c>
      <c r="D44" s="154">
        <v>4.8</v>
      </c>
      <c r="E44" s="9">
        <v>3</v>
      </c>
      <c r="F44" s="185">
        <f t="shared" ref="F44:F46" si="44">IF(ISBLANK(D44),"", D44*1000*E44)</f>
        <v>14400</v>
      </c>
      <c r="G44" s="10">
        <f>IF(ISBLANK(D44), "", ROUNDUP( IF((0.1/100)*F44 &lt;8, 8, (0.1/100)*(F44)), 2) )</f>
        <v>14.4</v>
      </c>
      <c r="H44" s="10">
        <f t="shared" si="42"/>
        <v>4.32</v>
      </c>
      <c r="I44" s="194">
        <v>0</v>
      </c>
      <c r="J44" s="10">
        <f t="shared" si="40"/>
        <v>18.72</v>
      </c>
      <c r="K44" s="10">
        <f t="shared" si="43"/>
        <v>0.86</v>
      </c>
      <c r="L44" s="7">
        <f t="shared" ref="L44" si="45">IF(ISBLANK(D44), "", F44+J44+K44 )</f>
        <v>14419.58</v>
      </c>
      <c r="M44" s="45">
        <v>14419.58</v>
      </c>
      <c r="N44" s="15"/>
    </row>
    <row r="45" spans="1:14" ht="15" x14ac:dyDescent="0.25">
      <c r="A45" s="48">
        <v>44</v>
      </c>
      <c r="B45" s="5" t="s">
        <v>158</v>
      </c>
      <c r="C45" s="201">
        <v>43752</v>
      </c>
      <c r="D45" s="154">
        <v>0.26500000000000001</v>
      </c>
      <c r="E45" s="9">
        <v>10</v>
      </c>
      <c r="F45" s="185">
        <f t="shared" si="44"/>
        <v>2650</v>
      </c>
      <c r="G45" s="10">
        <f>IF(ISBLANK(D45), "", ROUNDUP( IF((0.1/100)*F45 &lt;8, 8, (0.1/100)*(F45)), 2) )</f>
        <v>8</v>
      </c>
      <c r="H45" s="10">
        <f t="shared" si="42"/>
        <v>0.8</v>
      </c>
      <c r="I45" s="194">
        <f>IF(ISBLANK(D45),"", ROUNDUP( (0.1/100)*(F45), 0) )</f>
        <v>3</v>
      </c>
      <c r="J45" s="10">
        <f t="shared" ref="J45" si="46">IF(ISBLANK( D45),"", ROUNDUP( SUM(G45:I45), 2) )</f>
        <v>11.8</v>
      </c>
      <c r="K45" s="10">
        <f t="shared" si="43"/>
        <v>0.48</v>
      </c>
      <c r="L45" s="7">
        <f>IF(ISBLANK(D45), "", F45+J45+K45 )</f>
        <v>2662.28</v>
      </c>
      <c r="M45" s="45"/>
      <c r="N45" s="15"/>
    </row>
    <row r="46" spans="1:14" ht="15" x14ac:dyDescent="0.25">
      <c r="A46" s="48">
        <v>45</v>
      </c>
      <c r="B46" s="5" t="s">
        <v>136</v>
      </c>
      <c r="C46" s="201">
        <v>43753</v>
      </c>
      <c r="D46" s="154">
        <v>0.98</v>
      </c>
      <c r="E46" s="9">
        <v>1</v>
      </c>
      <c r="F46" s="185">
        <f t="shared" si="44"/>
        <v>980</v>
      </c>
      <c r="G46" s="10">
        <f>IF(ISBLANK(D46), "", ROUNDUP( IF((0.1/100)*F46 &lt;8, 8, (0.1/100)*(F46)), 2) )</f>
        <v>8</v>
      </c>
      <c r="H46" s="10">
        <f t="shared" si="42"/>
        <v>0.3</v>
      </c>
      <c r="I46" s="194">
        <v>0</v>
      </c>
      <c r="J46" s="10">
        <f t="shared" ref="J46" si="47">IF(ISBLANK( D46),"", ROUNDUP( SUM(G46:I46), 2) )</f>
        <v>8.3000000000000007</v>
      </c>
      <c r="K46" s="10">
        <f t="shared" si="43"/>
        <v>0.48</v>
      </c>
      <c r="L46" s="7">
        <f t="shared" si="39"/>
        <v>988.78</v>
      </c>
      <c r="M46" s="45"/>
      <c r="N46" s="15"/>
    </row>
    <row r="47" spans="1:14" ht="15" x14ac:dyDescent="0.25">
      <c r="A47" s="48">
        <v>46</v>
      </c>
      <c r="B47" s="5" t="s">
        <v>136</v>
      </c>
      <c r="C47" s="68">
        <v>43754</v>
      </c>
      <c r="D47" s="154">
        <v>0.97</v>
      </c>
      <c r="E47" s="9">
        <v>1</v>
      </c>
      <c r="F47" s="185">
        <f t="shared" ref="F47" si="48">IF(ISBLANK(D47),"", D47*1000*E47)</f>
        <v>970</v>
      </c>
      <c r="G47" s="10">
        <f>IF(ISBLANK(D47), "", ROUNDUP( IF((0.1/100)*F47 &lt;8, 8, (0.1/100)*(F46)), 2) )</f>
        <v>8</v>
      </c>
      <c r="H47" s="10">
        <f t="shared" si="42"/>
        <v>0.3</v>
      </c>
      <c r="I47" s="194">
        <v>0</v>
      </c>
      <c r="J47" s="10">
        <f t="shared" ref="J47" si="49">IF(ISBLANK( D47),"", ROUNDUP( SUM(G47:I47), 2) )</f>
        <v>8.3000000000000007</v>
      </c>
      <c r="K47" s="10">
        <f t="shared" ref="K47" si="50">IF(ISBLANK(D47),"", ROUND( 0.06* ROUNDUP((G47), 2), 2) )</f>
        <v>0.48</v>
      </c>
      <c r="L47" s="7">
        <f t="shared" ref="L47" si="51">IF(ISBLANK(D47), "", F47+J47+K47 )</f>
        <v>978.78</v>
      </c>
      <c r="M47" s="45"/>
      <c r="N47" s="15"/>
    </row>
    <row r="48" spans="1:14" ht="15" x14ac:dyDescent="0.25">
      <c r="A48" s="48">
        <v>47</v>
      </c>
      <c r="B48" s="5" t="s">
        <v>165</v>
      </c>
      <c r="C48" s="68">
        <v>43754</v>
      </c>
      <c r="D48" s="154">
        <v>2.58</v>
      </c>
      <c r="E48" s="9">
        <v>2</v>
      </c>
      <c r="F48" s="185">
        <f t="shared" ref="F48" si="52">IF(ISBLANK(D48),"", D48*1000*E48)</f>
        <v>5160</v>
      </c>
      <c r="G48" s="10">
        <f>IF(ISBLANK(D48), "", ROUNDUP( IF((0.1/100)*F48 &lt;8, 8, (0.1/100)*(F47)), 2) )</f>
        <v>8</v>
      </c>
      <c r="H48" s="10">
        <f t="shared" si="42"/>
        <v>1.55</v>
      </c>
      <c r="I48" s="194">
        <v>0</v>
      </c>
      <c r="J48" s="10">
        <f t="shared" ref="J48" si="53">IF(ISBLANK( D48),"", ROUNDUP( SUM(G48:I48), 2) )</f>
        <v>9.5500000000000007</v>
      </c>
      <c r="K48" s="10">
        <f t="shared" ref="K48" si="54">IF(ISBLANK(D48),"", ROUND( 0.06* ROUNDUP((G48), 2), 2) )</f>
        <v>0.48</v>
      </c>
      <c r="L48" s="7">
        <f t="shared" ref="L48" si="55">IF(ISBLANK(D48), "", F48+J48+K48 )</f>
        <v>5170.03</v>
      </c>
      <c r="M48" s="45"/>
      <c r="N48" s="15"/>
    </row>
    <row r="49" spans="1:14" ht="15" x14ac:dyDescent="0.25">
      <c r="A49" s="48">
        <v>48</v>
      </c>
      <c r="B49" s="5" t="s">
        <v>165</v>
      </c>
      <c r="C49" s="68">
        <v>43775</v>
      </c>
      <c r="D49" s="154">
        <v>2.4</v>
      </c>
      <c r="E49" s="9">
        <v>1</v>
      </c>
      <c r="F49" s="185">
        <f t="shared" ref="F49" si="56">IF(ISBLANK(D49),"", D49*1000*E49)</f>
        <v>2400</v>
      </c>
      <c r="G49" s="10">
        <f>IF(ISBLANK(D49), "", ROUNDUP( IF((0.1/100)*F49 &lt;8, 8, (0.1/100)*(F48)), 2) )</f>
        <v>8</v>
      </c>
      <c r="H49" s="10">
        <f t="shared" ref="H49" si="57">IF(ISBLANK(D49),"", ROUNDUP((0.03/100)*(F49), 2) )</f>
        <v>0.72</v>
      </c>
      <c r="I49" s="194">
        <v>0</v>
      </c>
      <c r="J49" s="10">
        <f t="shared" ref="J49" si="58">IF(ISBLANK( D49),"", ROUNDUP( SUM(G49:I49), 2) )</f>
        <v>8.7200000000000006</v>
      </c>
      <c r="K49" s="10">
        <f t="shared" ref="K49" si="59">IF(ISBLANK(D49),"", ROUND( 0.06* ROUNDUP((G49), 2), 2) )</f>
        <v>0.48</v>
      </c>
      <c r="L49" s="7">
        <f t="shared" ref="L49" si="60">IF(ISBLANK(D49), "", F49+J49+K49 )</f>
        <v>2409.1999999999998</v>
      </c>
      <c r="M49" s="45"/>
      <c r="N49" s="15"/>
    </row>
    <row r="50" spans="1:14" ht="15" x14ac:dyDescent="0.25">
      <c r="A50" s="48"/>
      <c r="B50" s="5" t="s">
        <v>34</v>
      </c>
      <c r="C50" s="50"/>
      <c r="D50" s="154">
        <v>4.5</v>
      </c>
      <c r="E50" s="9">
        <v>2</v>
      </c>
      <c r="F50" s="10">
        <f t="shared" ref="F50" si="61">IF(ISBLANK(D50),"", D50*1000*E50)</f>
        <v>9000</v>
      </c>
      <c r="G50" s="10">
        <f>IF(ISBLANK(D50), "", ROUNDUP( IF((0.1/100)*F50 &lt;8, 8, (0.1/100)*(F44)), 2) )</f>
        <v>14.4</v>
      </c>
      <c r="H50" s="10">
        <f t="shared" ref="H50" si="62">IF(ISBLANK(D50),"", ROUNDUP((0.03/100)*F50, 2) )</f>
        <v>2.7</v>
      </c>
      <c r="I50" s="10">
        <f t="shared" ref="I50" si="63">IF(ISBLANK(D50),"", ROUNDUP( (0.1/100)*F50, 0) )</f>
        <v>9</v>
      </c>
      <c r="J50" s="10">
        <f t="shared" ref="J50" si="64">IF(ISBLANK( D50),"", ROUNDUP( SUM(G50:I50), 2) )</f>
        <v>26.1</v>
      </c>
      <c r="K50" s="10">
        <f t="shared" si="43"/>
        <v>0.86</v>
      </c>
      <c r="L50" s="7"/>
      <c r="M50" s="25"/>
    </row>
    <row r="51" spans="1:14" ht="15" x14ac:dyDescent="0.25">
      <c r="A51" s="48"/>
      <c r="B51" s="5" t="s">
        <v>82</v>
      </c>
      <c r="C51" s="50"/>
      <c r="D51" s="154">
        <v>1.2</v>
      </c>
      <c r="E51" s="9">
        <v>5</v>
      </c>
      <c r="F51" s="10">
        <f t="shared" ref="F51" si="65">IF(ISBLANK(D51),"", D51*1000*E51)</f>
        <v>6000</v>
      </c>
      <c r="G51" s="10">
        <f>IF(ISBLANK(D51), "", ROUNDUP( IF((0.1/100)*F51 &lt;8, 8, (0.1/100)*(F50)), 2) )</f>
        <v>8</v>
      </c>
      <c r="H51" s="10">
        <f t="shared" ref="H51" si="66">IF(ISBLANK(D51),"", ROUNDUP((0.03/100)*F51, 2) )</f>
        <v>1.8</v>
      </c>
      <c r="I51" s="10">
        <f t="shared" ref="I51" si="67">IF(ISBLANK(D51),"", ROUNDUP( (0.1/100)*F51, 0) )</f>
        <v>6</v>
      </c>
      <c r="J51" s="10">
        <f t="shared" ref="J51" si="68">IF(ISBLANK( D51),"", ROUNDUP( SUM(G51:I51), 2) )</f>
        <v>15.8</v>
      </c>
      <c r="K51" s="10">
        <f t="shared" si="43"/>
        <v>0.48</v>
      </c>
      <c r="L51" s="7"/>
      <c r="M51" s="25"/>
    </row>
    <row r="52" spans="1:14" ht="15" x14ac:dyDescent="0.25">
      <c r="A52" s="178"/>
      <c r="B52" s="179"/>
      <c r="C52" s="180"/>
      <c r="D52" s="181"/>
      <c r="E52" s="182"/>
      <c r="F52" s="183"/>
      <c r="G52" s="183"/>
      <c r="H52" s="183"/>
      <c r="I52" s="183"/>
      <c r="J52" s="183"/>
      <c r="K52" s="183"/>
      <c r="L52" s="184"/>
      <c r="M52" s="164"/>
    </row>
    <row r="54" spans="1:14" hidden="1" x14ac:dyDescent="0.2"/>
    <row r="55" spans="1:14" hidden="1" x14ac:dyDescent="0.2"/>
    <row r="56" spans="1:14" x14ac:dyDescent="0.2">
      <c r="E56" t="s">
        <v>146</v>
      </c>
      <c r="F56" t="s">
        <v>147</v>
      </c>
      <c r="G56" t="s">
        <v>148</v>
      </c>
    </row>
    <row r="57" spans="1:14" x14ac:dyDescent="0.2">
      <c r="D57" t="s">
        <v>82</v>
      </c>
      <c r="E57" s="170">
        <f>SUM(E31:E33,E37:E43, E51)</f>
        <v>26</v>
      </c>
      <c r="F57" s="2">
        <f>SUM(F31:F33,F37:F43, F51)</f>
        <v>33770</v>
      </c>
      <c r="G57" s="159">
        <f>F57/(E57*1000)</f>
        <v>1.2988461538461538</v>
      </c>
    </row>
    <row r="58" spans="1:14" x14ac:dyDescent="0.2">
      <c r="D58" t="s">
        <v>34</v>
      </c>
      <c r="E58" s="170">
        <f>E44+E35+E50</f>
        <v>6</v>
      </c>
      <c r="F58" s="15">
        <f>L44+L35+F50</f>
        <v>26899.11</v>
      </c>
      <c r="G58" s="159">
        <f>(F58/E58)/1000</f>
        <v>4.4831850000000006</v>
      </c>
    </row>
  </sheetData>
  <autoFilter ref="A1:O51" xr:uid="{E7984640-1F15-4A3B-B24C-53ED6F833269}">
    <filterColumn colId="13">
      <filters blank="1"/>
    </filterColumn>
  </autoFilter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6" tint="0.39997558519241921"/>
  </sheetPr>
  <dimension ref="A1:P31"/>
  <sheetViews>
    <sheetView zoomScale="106" zoomScaleNormal="106" workbookViewId="0">
      <pane ySplit="1" topLeftCell="A5" activePane="bottomLeft" state="frozen"/>
      <selection pane="bottomLeft" activeCell="A24" sqref="A24:N24"/>
    </sheetView>
  </sheetViews>
  <sheetFormatPr defaultRowHeight="14.25" x14ac:dyDescent="0.2"/>
  <cols>
    <col min="1" max="1" width="2.875" bestFit="1" customWidth="1"/>
    <col min="2" max="2" width="11.5" bestFit="1" customWidth="1"/>
    <col min="3" max="3" width="8.875" bestFit="1" customWidth="1"/>
    <col min="5" max="5" width="5.375" bestFit="1" customWidth="1"/>
    <col min="6" max="6" width="12.5" bestFit="1" customWidth="1"/>
    <col min="7" max="9" width="9.125" bestFit="1" customWidth="1"/>
    <col min="10" max="10" width="7.375" bestFit="1" customWidth="1"/>
    <col min="11" max="11" width="6.5" customWidth="1"/>
    <col min="12" max="12" width="13.375" bestFit="1" customWidth="1"/>
    <col min="13" max="13" width="17.375" bestFit="1" customWidth="1"/>
    <col min="14" max="14" width="12" bestFit="1" customWidth="1"/>
    <col min="15" max="15" width="10.125" bestFit="1" customWidth="1"/>
  </cols>
  <sheetData>
    <row r="1" spans="1:16" ht="45" x14ac:dyDescent="0.2">
      <c r="A1" s="12" t="s">
        <v>2</v>
      </c>
      <c r="B1" s="12" t="s">
        <v>164</v>
      </c>
      <c r="C1" s="12" t="s">
        <v>163</v>
      </c>
      <c r="D1" s="12" t="s">
        <v>162</v>
      </c>
      <c r="E1" s="12" t="s">
        <v>161</v>
      </c>
      <c r="F1" s="12" t="s">
        <v>157</v>
      </c>
      <c r="G1" s="12" t="s">
        <v>14</v>
      </c>
      <c r="H1" s="12" t="s">
        <v>12</v>
      </c>
      <c r="I1" s="12" t="s">
        <v>13</v>
      </c>
      <c r="J1" s="12" t="s">
        <v>16</v>
      </c>
      <c r="K1" s="12" t="s">
        <v>17</v>
      </c>
      <c r="L1" s="13" t="s">
        <v>21</v>
      </c>
      <c r="M1" s="46">
        <f>SUBTOTAL(9,M2:M999)</f>
        <v>2213.2602000000074</v>
      </c>
      <c r="N1" s="15">
        <f>SUM(N3:N101)</f>
        <v>-8897.9052527665644</v>
      </c>
      <c r="O1" s="15">
        <f>SUM(L3:L8)</f>
        <v>21223.3</v>
      </c>
      <c r="P1" s="52">
        <v>0.15</v>
      </c>
    </row>
    <row r="2" spans="1:16" ht="15" hidden="1" x14ac:dyDescent="0.25">
      <c r="A2" s="27">
        <v>1</v>
      </c>
      <c r="B2" s="27" t="s">
        <v>5</v>
      </c>
      <c r="C2" s="75">
        <v>43119</v>
      </c>
      <c r="D2" s="76">
        <v>2.5299999999999998</v>
      </c>
      <c r="E2" s="77">
        <v>1</v>
      </c>
      <c r="F2" s="78">
        <f>IF(ISBLANK(D2),"", D2*1000*E2)</f>
        <v>2530</v>
      </c>
      <c r="G2" s="78">
        <f>IF(ISBLANK(D2), "", ROUNDUP( IF((0.1/100)*F2 &lt;8, 8, (0.1/100)*F2), 2) )</f>
        <v>8</v>
      </c>
      <c r="H2" s="78">
        <f>IF(ISBLANK(D2),"", ROUNDUP((0.03/100)*F2, 2) )</f>
        <v>0.76</v>
      </c>
      <c r="I2" s="78">
        <f t="shared" ref="I2" si="0">IF(ISBLANK(D2),"", ROUNDUP( (0.1/100)*F2, 0) )</f>
        <v>3</v>
      </c>
      <c r="J2" s="78">
        <f>IF(ISBLANK( D2),"", ROUNDUP( SUM(G2:I2), 2) )</f>
        <v>11.76</v>
      </c>
      <c r="K2" s="78">
        <f>IF(ISBLANK(D2),"", ROUNDUP( (6/100)* ROUNDUP((G2+H2), 2), 2) )</f>
        <v>0.53</v>
      </c>
      <c r="L2" s="83">
        <f>IF(ISBLANK(D2), "", F2-(J2+K2) )</f>
        <v>2517.71</v>
      </c>
      <c r="M2" s="84">
        <f>L2-((Buy!L2+Buy!L3+Buy!L5)/2)</f>
        <v>-631.0300000000002</v>
      </c>
      <c r="N2" s="30">
        <f>$L2-(Buy!$L$2+Buy!$L$3+Buy!$L$5)/2</f>
        <v>-631.0300000000002</v>
      </c>
    </row>
    <row r="3" spans="1:16" ht="15" hidden="1" x14ac:dyDescent="0.25">
      <c r="A3" s="27">
        <v>1</v>
      </c>
      <c r="B3" s="27" t="s">
        <v>5</v>
      </c>
      <c r="C3" s="75">
        <v>43119</v>
      </c>
      <c r="D3" s="76">
        <v>2.5299999999999998</v>
      </c>
      <c r="E3" s="77">
        <v>1</v>
      </c>
      <c r="F3" s="78">
        <f>IF(ISBLANK(D3),"", D3*1000*E3)</f>
        <v>2530</v>
      </c>
      <c r="G3" s="78">
        <f>IF(ISBLANK(D3), "", ROUNDUP( IF((0.1/100)*F3 &lt;8, 8, (0.1/100)*F3), 2) )</f>
        <v>8</v>
      </c>
      <c r="H3" s="78">
        <f>IF(ISBLANK(D3),"", ROUNDUP((0.03/100)*F3, 2) )</f>
        <v>0.76</v>
      </c>
      <c r="I3" s="78">
        <f t="shared" ref="I3:I31" si="1">IF(ISBLANK(D3),"", ROUNDUP( (0.1/100)*F3, 0) )</f>
        <v>3</v>
      </c>
      <c r="J3" s="78">
        <f>IF(ISBLANK( D3),"", ROUNDUP( SUM(G3:I3), 2) )</f>
        <v>11.76</v>
      </c>
      <c r="K3" s="78">
        <f>IF(ISBLANK(D3),"", ROUNDUP( (6/100)* ROUNDUP((G3+H3), 2), 2) )</f>
        <v>0.53</v>
      </c>
      <c r="L3" s="83">
        <f>IF(ISBLANK(D3), "", F3-(J3+K3) )</f>
        <v>2517.71</v>
      </c>
      <c r="M3" s="84">
        <f>L3-(Buy!L2+Buy!L3+Buy!L5)/2</f>
        <v>-631.0300000000002</v>
      </c>
      <c r="N3" s="30">
        <f>$L3-(Buy!$L$2+Buy!$L$3+Buy!$L$5)/2</f>
        <v>-631.0300000000002</v>
      </c>
    </row>
    <row r="4" spans="1:16" ht="15" hidden="1" x14ac:dyDescent="0.25">
      <c r="A4" s="47">
        <v>2</v>
      </c>
      <c r="B4" s="21" t="s">
        <v>6</v>
      </c>
      <c r="C4" s="17">
        <v>42955</v>
      </c>
      <c r="D4" s="155">
        <v>5.98</v>
      </c>
      <c r="E4" s="19">
        <v>1</v>
      </c>
      <c r="F4" s="186">
        <f t="shared" ref="F4:F31" si="2">IF(ISBLANK(D4),"", D4*1000*E4)</f>
        <v>5980</v>
      </c>
      <c r="G4" s="20">
        <f t="shared" ref="G4:G31" si="3">IF(ISBLANK(D4), "", ROUNDUP( IF((0.1/100)*F4 &lt;8, 8, (0.1/100)*F4), 2) )</f>
        <v>8</v>
      </c>
      <c r="H4" s="20">
        <f t="shared" ref="H4:H31" si="4">IF(ISBLANK(D4),"", ROUNDUP((0.03/100)*F4, 2) )</f>
        <v>1.8</v>
      </c>
      <c r="I4" s="20">
        <f t="shared" si="1"/>
        <v>6</v>
      </c>
      <c r="J4" s="20">
        <f t="shared" ref="J4:J31" si="5">IF(ISBLANK( D4),"", ROUNDUP( SUM(G4:I4), 2) )</f>
        <v>15.8</v>
      </c>
      <c r="K4" s="20">
        <f>IF(ISBLANK(D4),"", ROUNDUP( (6/100)* ROUNDUP((G4+H4), 2), 2) )</f>
        <v>0.59</v>
      </c>
      <c r="L4" s="31">
        <f t="shared" ref="L4:L31" si="6">IF(ISBLANK(D4), "", F4-(J4+K4) )</f>
        <v>5963.61</v>
      </c>
      <c r="M4" s="31">
        <f>$L4-Buy!$L7</f>
        <v>47.249999999999091</v>
      </c>
      <c r="N4" s="31">
        <f>$L4-Buy!$L7</f>
        <v>47.249999999999091</v>
      </c>
      <c r="O4" s="15"/>
    </row>
    <row r="5" spans="1:16" ht="15" hidden="1" x14ac:dyDescent="0.25">
      <c r="A5" s="27">
        <v>3</v>
      </c>
      <c r="B5" s="27" t="s">
        <v>7</v>
      </c>
      <c r="C5" s="75">
        <v>43091</v>
      </c>
      <c r="D5" s="76">
        <v>3.65</v>
      </c>
      <c r="E5" s="77">
        <v>1</v>
      </c>
      <c r="F5" s="78">
        <f t="shared" si="2"/>
        <v>3650</v>
      </c>
      <c r="G5" s="78">
        <f t="shared" si="3"/>
        <v>8</v>
      </c>
      <c r="H5" s="78">
        <f t="shared" si="4"/>
        <v>1.1000000000000001</v>
      </c>
      <c r="I5" s="78">
        <f>IF(ISBLANK(D5),"", ROUNDUP( (0.1/100)*F5, 0) )</f>
        <v>4</v>
      </c>
      <c r="J5" s="78">
        <f t="shared" si="5"/>
        <v>13.1</v>
      </c>
      <c r="K5" s="78">
        <f t="shared" ref="K5:K8" si="7">IF(ISBLANK(D5),"", ROUNDUP( (6/100)* ROUNDUP((G5+H5), 2), 2) )</f>
        <v>0.55000000000000004</v>
      </c>
      <c r="L5" s="83">
        <f t="shared" si="6"/>
        <v>3636.35</v>
      </c>
      <c r="M5" s="84">
        <f>L5-Buy!L6</f>
        <v>-217.36000000000013</v>
      </c>
      <c r="N5" s="30">
        <f>$L5-Buy!$L6</f>
        <v>-217.36000000000013</v>
      </c>
      <c r="O5" s="15"/>
    </row>
    <row r="6" spans="1:16" ht="15" x14ac:dyDescent="0.25">
      <c r="A6" s="27">
        <v>4</v>
      </c>
      <c r="B6" s="27" t="s">
        <v>9</v>
      </c>
      <c r="C6" s="75"/>
      <c r="D6" s="76">
        <v>0.33</v>
      </c>
      <c r="E6" s="77">
        <v>13</v>
      </c>
      <c r="F6" s="78">
        <f t="shared" si="2"/>
        <v>4290</v>
      </c>
      <c r="G6" s="78">
        <f t="shared" si="3"/>
        <v>8</v>
      </c>
      <c r="H6" s="78">
        <f t="shared" si="4"/>
        <v>1.29</v>
      </c>
      <c r="I6" s="78">
        <v>0</v>
      </c>
      <c r="J6" s="78">
        <f t="shared" si="5"/>
        <v>9.2899999999999991</v>
      </c>
      <c r="K6" s="78">
        <f t="shared" si="7"/>
        <v>0.56000000000000005</v>
      </c>
      <c r="L6" s="83">
        <f t="shared" si="6"/>
        <v>4280.1499999999996</v>
      </c>
      <c r="M6" s="84">
        <f>$L6-Buy!$L4-Buy!$L45-Buy!$L25</f>
        <v>-2490.4094000000005</v>
      </c>
      <c r="N6" s="84">
        <f>$L6-Buy!$L4-Buy!$L45-Buy!$L25</f>
        <v>-2490.4094000000005</v>
      </c>
    </row>
    <row r="7" spans="1:16" ht="15" hidden="1" x14ac:dyDescent="0.25">
      <c r="A7" s="27">
        <v>5</v>
      </c>
      <c r="B7" s="27" t="s">
        <v>23</v>
      </c>
      <c r="C7" s="75">
        <v>43191</v>
      </c>
      <c r="D7" s="76">
        <v>6.5000000000000002E-2</v>
      </c>
      <c r="E7" s="77">
        <v>20</v>
      </c>
      <c r="F7" s="78">
        <f t="shared" si="2"/>
        <v>1300</v>
      </c>
      <c r="G7" s="78">
        <f t="shared" si="3"/>
        <v>8</v>
      </c>
      <c r="H7" s="78">
        <f t="shared" si="4"/>
        <v>0.39</v>
      </c>
      <c r="I7" s="78">
        <f t="shared" si="1"/>
        <v>2</v>
      </c>
      <c r="J7" s="78">
        <f t="shared" si="5"/>
        <v>10.39</v>
      </c>
      <c r="K7" s="78">
        <f t="shared" si="7"/>
        <v>0.51</v>
      </c>
      <c r="L7" s="83">
        <f t="shared" si="6"/>
        <v>1289.0999999999999</v>
      </c>
      <c r="M7" s="84">
        <f>L7-Buy!L8</f>
        <v>-171.85000000000014</v>
      </c>
      <c r="N7" s="30">
        <f>$L7-Buy!$L8-Buy!$L11</f>
        <v>-1482.7500000000002</v>
      </c>
    </row>
    <row r="8" spans="1:16" ht="15" hidden="1" x14ac:dyDescent="0.25">
      <c r="A8" s="47">
        <v>6</v>
      </c>
      <c r="B8" s="21" t="s">
        <v>24</v>
      </c>
      <c r="C8" s="17">
        <v>42891</v>
      </c>
      <c r="D8" s="155">
        <v>3.55</v>
      </c>
      <c r="E8" s="19">
        <v>1</v>
      </c>
      <c r="F8" s="186">
        <f t="shared" si="2"/>
        <v>3550</v>
      </c>
      <c r="G8" s="20">
        <f t="shared" si="3"/>
        <v>8</v>
      </c>
      <c r="H8" s="20">
        <f t="shared" si="4"/>
        <v>1.07</v>
      </c>
      <c r="I8" s="20">
        <f>IF(ISBLANK(D8),"", ROUNDUP( (0.1/100)*F8, 0) )</f>
        <v>4</v>
      </c>
      <c r="J8" s="20">
        <f t="shared" si="5"/>
        <v>13.07</v>
      </c>
      <c r="K8" s="20">
        <f t="shared" si="7"/>
        <v>0.55000000000000004</v>
      </c>
      <c r="L8" s="31">
        <f t="shared" si="6"/>
        <v>3536.38</v>
      </c>
      <c r="M8" s="31">
        <f>$L8-Buy!$L9</f>
        <v>322.88000000000011</v>
      </c>
      <c r="N8" s="31">
        <f>$L8-Buy!$L9</f>
        <v>322.88000000000011</v>
      </c>
    </row>
    <row r="9" spans="1:16" ht="15" hidden="1" x14ac:dyDescent="0.25">
      <c r="A9" s="27">
        <v>7</v>
      </c>
      <c r="B9" s="27" t="s">
        <v>26</v>
      </c>
      <c r="C9" s="75">
        <v>42958</v>
      </c>
      <c r="D9" s="76">
        <v>1.7</v>
      </c>
      <c r="E9" s="77">
        <v>1</v>
      </c>
      <c r="F9" s="78">
        <f t="shared" si="2"/>
        <v>1700</v>
      </c>
      <c r="G9" s="78">
        <f t="shared" si="3"/>
        <v>8</v>
      </c>
      <c r="H9" s="78">
        <f t="shared" si="4"/>
        <v>0.51</v>
      </c>
      <c r="I9" s="78">
        <f t="shared" si="1"/>
        <v>2</v>
      </c>
      <c r="J9" s="78">
        <f t="shared" si="5"/>
        <v>10.51</v>
      </c>
      <c r="K9" s="78">
        <f t="shared" ref="K9:K31" si="8">IF(ISBLANK(D9),"", ROUNDUP( (6/100)* ROUNDUP((G9+H9+I9), 2), 2) )</f>
        <v>0.64</v>
      </c>
      <c r="L9" s="83">
        <f t="shared" si="6"/>
        <v>1688.85</v>
      </c>
      <c r="M9" s="84">
        <f>$L9-Buy!$L10</f>
        <v>-192.24</v>
      </c>
      <c r="N9" s="30">
        <f>$L9-Buy!$L10</f>
        <v>-192.24</v>
      </c>
    </row>
    <row r="10" spans="1:16" ht="15" hidden="1" x14ac:dyDescent="0.25">
      <c r="A10" s="47">
        <v>8</v>
      </c>
      <c r="B10" s="21" t="s">
        <v>30</v>
      </c>
      <c r="C10" s="17">
        <v>43749</v>
      </c>
      <c r="D10" s="155">
        <v>1.4</v>
      </c>
      <c r="E10" s="19">
        <v>4</v>
      </c>
      <c r="F10" s="186">
        <f t="shared" si="2"/>
        <v>5600</v>
      </c>
      <c r="G10" s="20">
        <f t="shared" si="3"/>
        <v>8</v>
      </c>
      <c r="H10" s="20">
        <f t="shared" si="4"/>
        <v>1.68</v>
      </c>
      <c r="I10" s="20">
        <v>0</v>
      </c>
      <c r="J10" s="20">
        <f t="shared" si="5"/>
        <v>9.68</v>
      </c>
      <c r="K10" s="20">
        <f>IF(ISBLANK(D10),"", ROUNDUP( (6/100)* ROUNDUP((G10), 2), 2) )</f>
        <v>0.48</v>
      </c>
      <c r="L10" s="31">
        <f t="shared" si="6"/>
        <v>5589.84</v>
      </c>
      <c r="M10" s="31">
        <f>$L10-Buy!$L12-Buy!$L13</f>
        <v>415.22999999999956</v>
      </c>
      <c r="N10" s="31">
        <f>($L10-Buy!$L12-Buy!$L13) / (Buy!$L12+Buy!$L13)</f>
        <v>8.0243728512873341E-2</v>
      </c>
      <c r="P10">
        <f>((2.5+2.69)/2) * 1.15</f>
        <v>2.9842499999999994</v>
      </c>
    </row>
    <row r="11" spans="1:16" ht="15" hidden="1" x14ac:dyDescent="0.25">
      <c r="A11" s="47">
        <v>9</v>
      </c>
      <c r="B11" s="21" t="s">
        <v>28</v>
      </c>
      <c r="C11" s="17">
        <v>43038</v>
      </c>
      <c r="D11" s="155">
        <v>2.15</v>
      </c>
      <c r="E11" s="19">
        <v>3</v>
      </c>
      <c r="F11" s="186">
        <f t="shared" si="2"/>
        <v>6450</v>
      </c>
      <c r="G11" s="20">
        <f t="shared" si="3"/>
        <v>8</v>
      </c>
      <c r="H11" s="20">
        <f t="shared" si="4"/>
        <v>1.94</v>
      </c>
      <c r="I11" s="20">
        <f t="shared" si="1"/>
        <v>7</v>
      </c>
      <c r="J11" s="20">
        <f t="shared" si="5"/>
        <v>16.940000000000001</v>
      </c>
      <c r="K11" s="20">
        <f t="shared" si="8"/>
        <v>1.02</v>
      </c>
      <c r="L11" s="31">
        <f t="shared" si="6"/>
        <v>6432.04</v>
      </c>
      <c r="M11" s="31">
        <f>L11-Buy!L14-Buy!L15-Buy!L16</f>
        <v>15.550000000000637</v>
      </c>
      <c r="N11" s="31">
        <f>$L11-Buy!$L14-Buy!$L15-Buy!$L16</f>
        <v>15.550000000000637</v>
      </c>
    </row>
    <row r="12" spans="1:16" ht="15" hidden="1" x14ac:dyDescent="0.25">
      <c r="A12" s="47">
        <v>10</v>
      </c>
      <c r="B12" s="21" t="s">
        <v>39</v>
      </c>
      <c r="C12" s="17">
        <v>43053</v>
      </c>
      <c r="D12" s="155">
        <v>0.7</v>
      </c>
      <c r="E12" s="19">
        <v>2</v>
      </c>
      <c r="F12" s="186">
        <f t="shared" si="2"/>
        <v>1400</v>
      </c>
      <c r="G12" s="20">
        <f t="shared" si="3"/>
        <v>8</v>
      </c>
      <c r="H12" s="20">
        <f t="shared" si="4"/>
        <v>0.42</v>
      </c>
      <c r="I12" s="20">
        <f t="shared" si="1"/>
        <v>2</v>
      </c>
      <c r="J12" s="20">
        <f t="shared" si="5"/>
        <v>10.42</v>
      </c>
      <c r="K12" s="20">
        <f t="shared" si="8"/>
        <v>0.63</v>
      </c>
      <c r="L12" s="31">
        <f t="shared" si="6"/>
        <v>1388.95</v>
      </c>
      <c r="M12" s="31">
        <f>L12-Buy!L17</f>
        <v>218.09000000000015</v>
      </c>
      <c r="N12" s="31">
        <f>L12-Buy!L17</f>
        <v>218.09000000000015</v>
      </c>
      <c r="O12" s="15">
        <f>N12/F12</f>
        <v>0.15577857142857154</v>
      </c>
      <c r="P12">
        <f>0.58*1.15</f>
        <v>0.66699999999999993</v>
      </c>
    </row>
    <row r="13" spans="1:16" ht="15" x14ac:dyDescent="0.25">
      <c r="A13" s="27">
        <v>11</v>
      </c>
      <c r="B13" s="27" t="s">
        <v>58</v>
      </c>
      <c r="C13" s="75"/>
      <c r="D13" s="76">
        <v>1.1000000000000001</v>
      </c>
      <c r="E13" s="77">
        <v>1</v>
      </c>
      <c r="F13" s="78">
        <f t="shared" si="2"/>
        <v>1100</v>
      </c>
      <c r="G13" s="78">
        <f t="shared" si="3"/>
        <v>8</v>
      </c>
      <c r="H13" s="78">
        <f t="shared" si="4"/>
        <v>0.33</v>
      </c>
      <c r="I13" s="78">
        <v>0</v>
      </c>
      <c r="J13" s="78">
        <f t="shared" si="5"/>
        <v>8.33</v>
      </c>
      <c r="K13" s="78">
        <f>IF(ISBLANK(D13),"", ROUNDUP( (6/100)* ROUNDUP((G13), 2), 2) )</f>
        <v>0.48</v>
      </c>
      <c r="L13" s="83">
        <f t="shared" si="6"/>
        <v>1091.19</v>
      </c>
      <c r="M13" s="84">
        <f>L13-Buy!L18</f>
        <v>-1621.1486</v>
      </c>
      <c r="N13" s="30">
        <f>L13-Buy!L18</f>
        <v>-1621.1486</v>
      </c>
      <c r="P13">
        <f>2.7*1.15</f>
        <v>3.105</v>
      </c>
    </row>
    <row r="14" spans="1:16" ht="15" hidden="1" x14ac:dyDescent="0.25">
      <c r="A14" s="47">
        <v>12</v>
      </c>
      <c r="B14" s="21" t="s">
        <v>40</v>
      </c>
      <c r="C14" s="17">
        <v>43110</v>
      </c>
      <c r="D14" s="155">
        <v>0.5</v>
      </c>
      <c r="E14" s="19">
        <v>2</v>
      </c>
      <c r="F14" s="186">
        <f t="shared" si="2"/>
        <v>1000</v>
      </c>
      <c r="G14" s="20">
        <f t="shared" si="3"/>
        <v>8</v>
      </c>
      <c r="H14" s="20">
        <f t="shared" si="4"/>
        <v>0.3</v>
      </c>
      <c r="I14" s="20">
        <f t="shared" si="1"/>
        <v>1</v>
      </c>
      <c r="J14" s="20">
        <f t="shared" si="5"/>
        <v>9.3000000000000007</v>
      </c>
      <c r="K14" s="20">
        <v>0.5</v>
      </c>
      <c r="L14" s="31">
        <f t="shared" si="6"/>
        <v>990.2</v>
      </c>
      <c r="M14" s="31">
        <f>L14-Buy!L19</f>
        <v>320.50800000000004</v>
      </c>
      <c r="N14" s="31">
        <f>L14-Buy!L19</f>
        <v>320.50800000000004</v>
      </c>
      <c r="O14">
        <f>N14/L14</f>
        <v>0.32368006463340743</v>
      </c>
      <c r="P14">
        <f>1.15*0.33</f>
        <v>0.3795</v>
      </c>
    </row>
    <row r="15" spans="1:16" ht="15" x14ac:dyDescent="0.25">
      <c r="A15" s="27">
        <v>13</v>
      </c>
      <c r="B15" s="27" t="s">
        <v>56</v>
      </c>
      <c r="C15" s="75"/>
      <c r="D15" s="76">
        <v>0.5</v>
      </c>
      <c r="E15" s="77">
        <v>1</v>
      </c>
      <c r="F15" s="78">
        <f t="shared" si="2"/>
        <v>500</v>
      </c>
      <c r="G15" s="78">
        <f t="shared" si="3"/>
        <v>8</v>
      </c>
      <c r="H15" s="78">
        <f t="shared" si="4"/>
        <v>0.15</v>
      </c>
      <c r="I15" s="78">
        <v>0</v>
      </c>
      <c r="J15" s="78">
        <f t="shared" si="5"/>
        <v>8.15</v>
      </c>
      <c r="K15" s="78">
        <f t="shared" ref="K15:K21" si="9">IF(ISBLANK(D15),"", ROUNDUP( (6/100)* ROUNDUP((G15), 2), 2) )</f>
        <v>0.48</v>
      </c>
      <c r="L15" s="83">
        <f t="shared" si="6"/>
        <v>491.37</v>
      </c>
      <c r="M15" s="84">
        <f>L15-Buy!L20</f>
        <v>-1269.6718000000001</v>
      </c>
      <c r="N15" s="30">
        <f>L15-Buy!L20</f>
        <v>-1269.6718000000001</v>
      </c>
    </row>
    <row r="16" spans="1:16" ht="15" hidden="1" x14ac:dyDescent="0.25">
      <c r="A16" s="47">
        <v>14</v>
      </c>
      <c r="B16" s="21" t="s">
        <v>24</v>
      </c>
      <c r="C16" s="17">
        <v>43685</v>
      </c>
      <c r="D16" s="155">
        <v>3.52</v>
      </c>
      <c r="E16" s="19">
        <v>6</v>
      </c>
      <c r="F16" s="186">
        <f t="shared" si="2"/>
        <v>21120</v>
      </c>
      <c r="G16" s="20">
        <f t="shared" si="3"/>
        <v>21.12</v>
      </c>
      <c r="H16" s="20">
        <f t="shared" si="4"/>
        <v>6.34</v>
      </c>
      <c r="I16" s="20">
        <v>0</v>
      </c>
      <c r="J16" s="20">
        <f t="shared" si="5"/>
        <v>27.46</v>
      </c>
      <c r="K16" s="20">
        <f t="shared" si="9"/>
        <v>1.27</v>
      </c>
      <c r="L16" s="31">
        <f t="shared" si="6"/>
        <v>21091.27</v>
      </c>
      <c r="M16" s="31">
        <f>L16-SUM(Buy!L22:L24)-Buy!L28</f>
        <v>11422.276</v>
      </c>
      <c r="N16" s="187"/>
      <c r="O16" s="15">
        <v>21091.27</v>
      </c>
      <c r="P16" s="15">
        <f>O16-L16</f>
        <v>0</v>
      </c>
    </row>
    <row r="17" spans="1:15" ht="14.25" hidden="1" customHeight="1" x14ac:dyDescent="0.25">
      <c r="A17" s="27">
        <v>15</v>
      </c>
      <c r="B17" s="27" t="s">
        <v>54</v>
      </c>
      <c r="C17" s="75">
        <v>43753</v>
      </c>
      <c r="D17" s="76">
        <v>0.47499999999999998</v>
      </c>
      <c r="E17" s="77">
        <v>2</v>
      </c>
      <c r="F17" s="78">
        <f t="shared" si="2"/>
        <v>950</v>
      </c>
      <c r="G17" s="78">
        <f t="shared" si="3"/>
        <v>8</v>
      </c>
      <c r="H17" s="78">
        <f t="shared" si="4"/>
        <v>0.29000000000000004</v>
      </c>
      <c r="I17" s="78">
        <f>IF(ISBLANK(D17),"", ROUNDUP( (0.1/100)*F17, 0) )</f>
        <v>1</v>
      </c>
      <c r="J17" s="78">
        <f t="shared" si="5"/>
        <v>9.2899999999999991</v>
      </c>
      <c r="K17" s="78">
        <f t="shared" si="9"/>
        <v>0.48</v>
      </c>
      <c r="L17" s="83">
        <f t="shared" si="6"/>
        <v>940.23</v>
      </c>
      <c r="M17" s="84">
        <f>L17-Buy!L21-Buy!L29</f>
        <v>-777.77060000000006</v>
      </c>
      <c r="N17" s="84">
        <f>M17-Buy!M21-Buy!M29</f>
        <v>-777.77060000000006</v>
      </c>
    </row>
    <row r="18" spans="1:15" ht="15" x14ac:dyDescent="0.25">
      <c r="A18" s="47">
        <v>16</v>
      </c>
      <c r="B18" s="21" t="s">
        <v>84</v>
      </c>
      <c r="C18" s="17"/>
      <c r="D18" s="155">
        <v>0.18</v>
      </c>
      <c r="E18" s="19">
        <v>7.4999999999999997E-2</v>
      </c>
      <c r="F18" s="186">
        <f t="shared" ref="F18" si="10">IF(ISBLANK(D18),"", D18*1000*E18)</f>
        <v>13.5</v>
      </c>
      <c r="G18" s="20">
        <f t="shared" ref="G18" si="11">IF(ISBLANK(D18), "", ROUNDUP( IF((0.1/100)*F18 &lt;8, 8, (0.1/100)*F18), 2) )</f>
        <v>8</v>
      </c>
      <c r="H18" s="20">
        <f t="shared" ref="H18" si="12">IF(ISBLANK(D18),"", ROUNDUP((0.03/100)*F18, 2) )</f>
        <v>0.01</v>
      </c>
      <c r="I18" s="20">
        <v>0</v>
      </c>
      <c r="J18" s="20">
        <f t="shared" ref="J18" si="13">IF(ISBLANK( D18),"", ROUNDUP( SUM(G18:I18), 2) )</f>
        <v>8.01</v>
      </c>
      <c r="K18" s="20">
        <f t="shared" ref="K18" si="14">IF(ISBLANK(D18),"", ROUNDUP( (6/100)* ROUNDUP((G18), 2), 2) )</f>
        <v>0.48</v>
      </c>
      <c r="L18" s="31">
        <f t="shared" ref="L18" si="15">IF(ISBLANK(D18), "", F18-(J18+K18) )</f>
        <v>5.01</v>
      </c>
      <c r="M18" s="31">
        <f>L18</f>
        <v>5.01</v>
      </c>
      <c r="N18" s="187"/>
    </row>
    <row r="19" spans="1:15" ht="15" x14ac:dyDescent="0.25">
      <c r="A19" s="47">
        <v>16</v>
      </c>
      <c r="B19" s="21" t="s">
        <v>84</v>
      </c>
      <c r="C19" s="17"/>
      <c r="D19" s="155">
        <v>0.185</v>
      </c>
      <c r="E19" s="19">
        <v>0.3</v>
      </c>
      <c r="F19" s="186">
        <f t="shared" si="2"/>
        <v>55.5</v>
      </c>
      <c r="G19" s="20">
        <f t="shared" si="3"/>
        <v>8</v>
      </c>
      <c r="H19" s="20">
        <f t="shared" si="4"/>
        <v>0.02</v>
      </c>
      <c r="I19" s="20">
        <v>0</v>
      </c>
      <c r="J19" s="20">
        <f t="shared" si="5"/>
        <v>8.02</v>
      </c>
      <c r="K19" s="20">
        <f t="shared" si="9"/>
        <v>0.48</v>
      </c>
      <c r="L19" s="31">
        <f t="shared" si="6"/>
        <v>47</v>
      </c>
      <c r="M19" s="31">
        <f>L19</f>
        <v>47</v>
      </c>
      <c r="N19" s="187"/>
    </row>
    <row r="20" spans="1:15" ht="15" hidden="1" x14ac:dyDescent="0.25">
      <c r="A20" s="27">
        <v>17</v>
      </c>
      <c r="B20" s="27" t="s">
        <v>65</v>
      </c>
      <c r="C20" s="75">
        <v>43719</v>
      </c>
      <c r="D20" s="76">
        <v>0.63500000000000001</v>
      </c>
      <c r="E20" s="77">
        <v>2</v>
      </c>
      <c r="F20" s="78">
        <f t="shared" si="2"/>
        <v>1270</v>
      </c>
      <c r="G20" s="78">
        <f t="shared" si="3"/>
        <v>8</v>
      </c>
      <c r="H20" s="78">
        <f t="shared" si="4"/>
        <v>0.39</v>
      </c>
      <c r="I20" s="78">
        <v>0</v>
      </c>
      <c r="J20" s="78">
        <f t="shared" si="5"/>
        <v>8.39</v>
      </c>
      <c r="K20" s="78">
        <f t="shared" si="9"/>
        <v>0.48</v>
      </c>
      <c r="L20" s="83">
        <f t="shared" si="6"/>
        <v>1261.1300000000001</v>
      </c>
      <c r="M20" s="84">
        <f>L20-Buy!L26-Buy!L27</f>
        <v>-513.39179999999988</v>
      </c>
      <c r="N20" s="84">
        <f>M20-Buy!M26-Buy!M27</f>
        <v>-513.39179999999988</v>
      </c>
      <c r="O20" s="15">
        <f>M20+M23</f>
        <v>-332.13180000000011</v>
      </c>
    </row>
    <row r="21" spans="1:15" ht="15" x14ac:dyDescent="0.25">
      <c r="A21" s="27">
        <v>18</v>
      </c>
      <c r="B21" s="27" t="s">
        <v>76</v>
      </c>
      <c r="C21" s="75"/>
      <c r="D21" s="76">
        <v>0.1</v>
      </c>
      <c r="E21" s="77">
        <v>2</v>
      </c>
      <c r="F21" s="78">
        <f t="shared" si="2"/>
        <v>200</v>
      </c>
      <c r="G21" s="78">
        <f t="shared" si="3"/>
        <v>8</v>
      </c>
      <c r="H21" s="78">
        <f t="shared" si="4"/>
        <v>0.06</v>
      </c>
      <c r="I21" s="78">
        <v>0</v>
      </c>
      <c r="J21" s="78">
        <f t="shared" si="5"/>
        <v>8.06</v>
      </c>
      <c r="K21" s="78">
        <f t="shared" si="9"/>
        <v>0.48</v>
      </c>
      <c r="L21" s="83">
        <f t="shared" si="6"/>
        <v>191.46</v>
      </c>
      <c r="M21" s="84">
        <f>L21-Buy!L30</f>
        <v>-627.29</v>
      </c>
      <c r="N21" s="84">
        <f>M21-Buy!M30</f>
        <v>-627.29</v>
      </c>
      <c r="O21" s="15"/>
    </row>
    <row r="22" spans="1:15" ht="15" x14ac:dyDescent="0.25">
      <c r="A22" s="47">
        <v>19</v>
      </c>
      <c r="B22" s="21" t="s">
        <v>82</v>
      </c>
      <c r="C22" s="17"/>
      <c r="D22" s="155">
        <v>1.8</v>
      </c>
      <c r="E22" s="19">
        <f>SUM(Buy!E31:E33)+SUM(Buy!E37:E43)</f>
        <v>21</v>
      </c>
      <c r="F22" s="186">
        <f t="shared" si="2"/>
        <v>37800</v>
      </c>
      <c r="G22" s="20">
        <f t="shared" si="3"/>
        <v>37.799999999999997</v>
      </c>
      <c r="H22" s="20">
        <f t="shared" si="4"/>
        <v>11.34</v>
      </c>
      <c r="I22" s="20">
        <v>0</v>
      </c>
      <c r="J22" s="20">
        <f t="shared" si="5"/>
        <v>49.14</v>
      </c>
      <c r="K22" s="20">
        <f t="shared" si="8"/>
        <v>2.9499999999999997</v>
      </c>
      <c r="L22" s="31">
        <f t="shared" si="6"/>
        <v>37747.910000000003</v>
      </c>
      <c r="M22" s="31">
        <f>L22-SUM(Buy!$L31:$L33)-SUM(Buy!$L37:$L43)</f>
        <v>9886.9700000000084</v>
      </c>
      <c r="N22" s="187">
        <f>($L22-( SUM(Buy!$L31:$L33)+SUM(Buy!$L37:$L43)) ) / (SUM(Buy!$L31:$L33)+SUM(Buy!$L37:$L43) )</f>
        <v>0.35486850048849788</v>
      </c>
    </row>
    <row r="23" spans="1:15" ht="15" hidden="1" x14ac:dyDescent="0.25">
      <c r="A23" s="47">
        <v>20</v>
      </c>
      <c r="B23" s="21" t="s">
        <v>65</v>
      </c>
      <c r="C23" s="17">
        <v>43719</v>
      </c>
      <c r="D23" s="155">
        <v>0.61</v>
      </c>
      <c r="E23" s="19">
        <v>5</v>
      </c>
      <c r="F23" s="186">
        <f t="shared" si="2"/>
        <v>3050</v>
      </c>
      <c r="G23" s="20">
        <f t="shared" si="3"/>
        <v>8</v>
      </c>
      <c r="H23" s="20">
        <f t="shared" si="4"/>
        <v>0.92</v>
      </c>
      <c r="I23" s="20">
        <v>0</v>
      </c>
      <c r="J23" s="20">
        <f t="shared" si="5"/>
        <v>8.92</v>
      </c>
      <c r="K23" s="20">
        <f>IF(ISBLANK(D23),"", ROUNDUP( (6/100)* ROUNDUP((G23+I23), 2), 2) )</f>
        <v>0.48</v>
      </c>
      <c r="L23" s="31">
        <f t="shared" si="6"/>
        <v>3040.6</v>
      </c>
      <c r="M23" s="31">
        <f>L23-Buy!L34</f>
        <v>181.25999999999976</v>
      </c>
      <c r="N23" s="187">
        <f>M23/Buy!L34</f>
        <v>6.3392251358705076E-2</v>
      </c>
    </row>
    <row r="24" spans="1:15" ht="15" x14ac:dyDescent="0.25">
      <c r="A24" s="202">
        <v>21</v>
      </c>
      <c r="B24" s="203" t="s">
        <v>34</v>
      </c>
      <c r="C24" s="75"/>
      <c r="D24" s="204">
        <v>3.8</v>
      </c>
      <c r="E24" s="77">
        <v>4</v>
      </c>
      <c r="F24" s="205">
        <f t="shared" si="2"/>
        <v>15200</v>
      </c>
      <c r="G24" s="78">
        <f t="shared" si="3"/>
        <v>15.2</v>
      </c>
      <c r="H24" s="78">
        <f t="shared" si="4"/>
        <v>4.5599999999999996</v>
      </c>
      <c r="I24" s="78">
        <f>IF(ISBLANK(D24),"", ROUNDUP( (0.1/100)*F24, 0) )</f>
        <v>16</v>
      </c>
      <c r="J24" s="78">
        <f t="shared" si="5"/>
        <v>35.76</v>
      </c>
      <c r="K24" s="78">
        <f t="shared" si="8"/>
        <v>2.15</v>
      </c>
      <c r="L24" s="83">
        <f t="shared" si="6"/>
        <v>15162.09</v>
      </c>
      <c r="M24" s="83">
        <f>L24-(Buy!L35+Buy!L44)</f>
        <v>-2737.0200000000004</v>
      </c>
      <c r="N24" s="206">
        <f>(L24- (Buy!L35+Buy!L44) ) / (Buy!L35+Buy!L44)</f>
        <v>-0.15291374822547044</v>
      </c>
    </row>
    <row r="25" spans="1:15" ht="15" hidden="1" x14ac:dyDescent="0.25">
      <c r="A25" s="47">
        <v>22</v>
      </c>
      <c r="B25" s="21" t="s">
        <v>136</v>
      </c>
      <c r="C25" s="17">
        <v>43739</v>
      </c>
      <c r="D25" s="155">
        <v>0.755</v>
      </c>
      <c r="E25" s="19">
        <v>5</v>
      </c>
      <c r="F25" s="186">
        <f t="shared" si="2"/>
        <v>3775</v>
      </c>
      <c r="G25" s="20">
        <f t="shared" si="3"/>
        <v>8</v>
      </c>
      <c r="H25" s="20">
        <f t="shared" si="4"/>
        <v>1.1399999999999999</v>
      </c>
      <c r="I25" s="20">
        <v>0</v>
      </c>
      <c r="J25" s="20">
        <f t="shared" si="5"/>
        <v>9.14</v>
      </c>
      <c r="K25" s="20">
        <f>IF(ISBLANK(D25),"", ROUNDUP( (6/100)* ROUNDUP((G25+I25), 2), 2) )</f>
        <v>0.48</v>
      </c>
      <c r="L25" s="31">
        <f t="shared" si="6"/>
        <v>3765.38</v>
      </c>
      <c r="M25" s="31">
        <f>L25-Buy!L36</f>
        <v>55.789999999999964</v>
      </c>
      <c r="N25" s="187">
        <f>(L25-Buy!L36)/Buy!L36</f>
        <v>1.5039397884941453E-2</v>
      </c>
    </row>
    <row r="26" spans="1:15" ht="15" x14ac:dyDescent="0.25">
      <c r="A26" s="47">
        <v>23</v>
      </c>
      <c r="B26" s="21" t="s">
        <v>136</v>
      </c>
      <c r="C26" s="17"/>
      <c r="D26" s="155">
        <v>1.5</v>
      </c>
      <c r="E26" s="19">
        <v>2</v>
      </c>
      <c r="F26" s="186">
        <f t="shared" si="2"/>
        <v>3000</v>
      </c>
      <c r="G26" s="20">
        <f t="shared" si="3"/>
        <v>8</v>
      </c>
      <c r="H26" s="20">
        <f t="shared" si="4"/>
        <v>0.9</v>
      </c>
      <c r="I26" s="20">
        <f t="shared" si="1"/>
        <v>3</v>
      </c>
      <c r="J26" s="20">
        <f t="shared" si="5"/>
        <v>11.9</v>
      </c>
      <c r="K26" s="20">
        <f t="shared" si="8"/>
        <v>0.72</v>
      </c>
      <c r="L26" s="31">
        <f t="shared" si="6"/>
        <v>2987.38</v>
      </c>
      <c r="M26" s="31">
        <f>$L26-(Buy!$L47+Buy!$L46)</f>
        <v>1019.8200000000002</v>
      </c>
      <c r="N26" s="187">
        <f>($L26-(Buy!$L47+Buy!$L46) ) / (Buy!$L47+Buy!$L46)</f>
        <v>0.51831710341743087</v>
      </c>
    </row>
    <row r="27" spans="1:15" ht="15" x14ac:dyDescent="0.25">
      <c r="A27" s="48">
        <v>24</v>
      </c>
      <c r="B27" s="5"/>
      <c r="C27" s="6"/>
      <c r="D27" s="8"/>
      <c r="E27" s="9"/>
      <c r="F27" s="185" t="str">
        <f t="shared" si="2"/>
        <v/>
      </c>
      <c r="G27" s="10" t="str">
        <f t="shared" si="3"/>
        <v/>
      </c>
      <c r="H27" s="10" t="str">
        <f t="shared" si="4"/>
        <v/>
      </c>
      <c r="I27" s="10" t="str">
        <f t="shared" si="1"/>
        <v/>
      </c>
      <c r="J27" s="10" t="str">
        <f t="shared" si="5"/>
        <v/>
      </c>
      <c r="K27" s="10" t="str">
        <f t="shared" si="8"/>
        <v/>
      </c>
      <c r="L27" s="7" t="str">
        <f t="shared" si="6"/>
        <v/>
      </c>
      <c r="M27" s="29"/>
      <c r="N27" s="25"/>
    </row>
    <row r="28" spans="1:15" ht="15" x14ac:dyDescent="0.25">
      <c r="A28" s="48">
        <v>25</v>
      </c>
      <c r="B28" s="5"/>
      <c r="C28" s="6"/>
      <c r="D28" s="8"/>
      <c r="E28" s="9"/>
      <c r="F28" s="185" t="str">
        <f t="shared" si="2"/>
        <v/>
      </c>
      <c r="G28" s="10" t="str">
        <f t="shared" si="3"/>
        <v/>
      </c>
      <c r="H28" s="10" t="str">
        <f t="shared" si="4"/>
        <v/>
      </c>
      <c r="I28" s="10" t="str">
        <f t="shared" si="1"/>
        <v/>
      </c>
      <c r="J28" s="10" t="str">
        <f t="shared" si="5"/>
        <v/>
      </c>
      <c r="K28" s="10" t="str">
        <f t="shared" si="8"/>
        <v/>
      </c>
      <c r="L28" s="7" t="str">
        <f t="shared" si="6"/>
        <v/>
      </c>
      <c r="M28" s="29"/>
      <c r="N28" s="25"/>
    </row>
    <row r="29" spans="1:15" ht="15" x14ac:dyDescent="0.25">
      <c r="A29" s="48">
        <v>26</v>
      </c>
      <c r="B29" s="5"/>
      <c r="C29" s="6"/>
      <c r="D29" s="8"/>
      <c r="E29" s="9"/>
      <c r="F29" s="185" t="str">
        <f t="shared" si="2"/>
        <v/>
      </c>
      <c r="G29" s="10" t="str">
        <f t="shared" si="3"/>
        <v/>
      </c>
      <c r="H29" s="10" t="str">
        <f t="shared" si="4"/>
        <v/>
      </c>
      <c r="I29" s="10" t="str">
        <f t="shared" si="1"/>
        <v/>
      </c>
      <c r="J29" s="10" t="str">
        <f t="shared" si="5"/>
        <v/>
      </c>
      <c r="K29" s="10" t="str">
        <f t="shared" si="8"/>
        <v/>
      </c>
      <c r="L29" s="7" t="str">
        <f t="shared" si="6"/>
        <v/>
      </c>
      <c r="M29" s="29"/>
      <c r="N29" s="25"/>
    </row>
    <row r="30" spans="1:15" ht="15" x14ac:dyDescent="0.25">
      <c r="A30" s="48">
        <v>27</v>
      </c>
      <c r="B30" s="5"/>
      <c r="C30" s="6"/>
      <c r="D30" s="8"/>
      <c r="E30" s="9"/>
      <c r="F30" s="185" t="str">
        <f t="shared" si="2"/>
        <v/>
      </c>
      <c r="G30" s="10" t="str">
        <f t="shared" si="3"/>
        <v/>
      </c>
      <c r="H30" s="10" t="str">
        <f t="shared" si="4"/>
        <v/>
      </c>
      <c r="I30" s="10" t="str">
        <f t="shared" si="1"/>
        <v/>
      </c>
      <c r="J30" s="10" t="str">
        <f t="shared" si="5"/>
        <v/>
      </c>
      <c r="K30" s="10" t="str">
        <f t="shared" si="8"/>
        <v/>
      </c>
      <c r="L30" s="7" t="str">
        <f t="shared" si="6"/>
        <v/>
      </c>
      <c r="M30" s="29"/>
      <c r="N30" s="25"/>
    </row>
    <row r="31" spans="1:15" ht="15" x14ac:dyDescent="0.25">
      <c r="A31" s="48">
        <v>28</v>
      </c>
      <c r="B31" s="5"/>
      <c r="C31" s="6"/>
      <c r="D31" s="8"/>
      <c r="E31" s="9"/>
      <c r="F31" s="185" t="str">
        <f t="shared" si="2"/>
        <v/>
      </c>
      <c r="G31" s="10" t="str">
        <f t="shared" si="3"/>
        <v/>
      </c>
      <c r="H31" s="10" t="str">
        <f t="shared" si="4"/>
        <v/>
      </c>
      <c r="I31" s="10" t="str">
        <f t="shared" si="1"/>
        <v/>
      </c>
      <c r="J31" s="10" t="str">
        <f t="shared" si="5"/>
        <v/>
      </c>
      <c r="K31" s="10" t="str">
        <f t="shared" si="8"/>
        <v/>
      </c>
      <c r="L31" s="7" t="str">
        <f t="shared" si="6"/>
        <v/>
      </c>
      <c r="M31" s="29"/>
      <c r="N31" s="25"/>
    </row>
  </sheetData>
  <autoFilter ref="A1:P31" xr:uid="{00000000-0009-0000-0000-000004000000}">
    <filterColumn colId="2">
      <filters blank="1"/>
    </filterColumn>
  </autoFilter>
  <conditionalFormatting sqref="M1">
    <cfRule type="cellIs" dxfId="49" priority="60" operator="lessThan">
      <formula>0</formula>
    </cfRule>
  </conditionalFormatting>
  <conditionalFormatting sqref="M2:M3 M5:M7 M9 M13 M15 M17 M20:M21">
    <cfRule type="cellIs" dxfId="48" priority="59" operator="lessThan">
      <formula>0</formula>
    </cfRule>
  </conditionalFormatting>
  <conditionalFormatting sqref="M2:M3 M5:M7 M9 M13 M15 M17 M20:M21">
    <cfRule type="cellIs" dxfId="47" priority="58" operator="lessThan">
      <formula>0</formula>
    </cfRule>
  </conditionalFormatting>
  <conditionalFormatting sqref="M2:M3 M5:M7 M9 M13 M15 M17 M20:M21">
    <cfRule type="cellIs" dxfId="46" priority="57" operator="lessThan">
      <formula>0</formula>
    </cfRule>
  </conditionalFormatting>
  <conditionalFormatting sqref="M2:M3 M5:M7 M9 M13 M15 M17 M20:M21">
    <cfRule type="cellIs" dxfId="45" priority="56" operator="lessThan">
      <formula>0</formula>
    </cfRule>
  </conditionalFormatting>
  <conditionalFormatting sqref="M13 M15">
    <cfRule type="cellIs" dxfId="44" priority="54" operator="lessThan">
      <formula>0</formula>
    </cfRule>
  </conditionalFormatting>
  <conditionalFormatting sqref="M13 M15">
    <cfRule type="cellIs" dxfId="43" priority="53" operator="lessThan">
      <formula>0</formula>
    </cfRule>
  </conditionalFormatting>
  <conditionalFormatting sqref="M13 M15">
    <cfRule type="cellIs" dxfId="42" priority="52" operator="lessThan">
      <formula>0</formula>
    </cfRule>
  </conditionalFormatting>
  <conditionalFormatting sqref="M13 M15">
    <cfRule type="cellIs" dxfId="41" priority="51" operator="lessThan">
      <formula>0</formula>
    </cfRule>
  </conditionalFormatting>
  <conditionalFormatting sqref="M17 M20:M21">
    <cfRule type="cellIs" dxfId="40" priority="36" operator="lessThan">
      <formula>0</formula>
    </cfRule>
  </conditionalFormatting>
  <conditionalFormatting sqref="M17 M20:M21">
    <cfRule type="cellIs" dxfId="39" priority="35" operator="lessThan">
      <formula>0</formula>
    </cfRule>
  </conditionalFormatting>
  <conditionalFormatting sqref="M17 M20:M21">
    <cfRule type="cellIs" dxfId="38" priority="34" operator="lessThan">
      <formula>0</formula>
    </cfRule>
  </conditionalFormatting>
  <conditionalFormatting sqref="M17 M20:M21">
    <cfRule type="cellIs" dxfId="37" priority="33" operator="lessThan">
      <formula>0</formula>
    </cfRule>
  </conditionalFormatting>
  <conditionalFormatting sqref="N2:N3 N7 N5 N9 N13 N15">
    <cfRule type="cellIs" dxfId="36" priority="32" operator="lessThan">
      <formula>0</formula>
    </cfRule>
  </conditionalFormatting>
  <conditionalFormatting sqref="N2:N3 N7 N5 N9 N13 N15">
    <cfRule type="cellIs" dxfId="35" priority="31" operator="lessThan">
      <formula>0</formula>
    </cfRule>
  </conditionalFormatting>
  <conditionalFormatting sqref="N2:N3 N7 N5 N9 N13 N15">
    <cfRule type="cellIs" dxfId="34" priority="30" operator="lessThan">
      <formula>0</formula>
    </cfRule>
  </conditionalFormatting>
  <conditionalFormatting sqref="N2:N3 N7 N5 N9 N13 N15">
    <cfRule type="cellIs" dxfId="33" priority="29" operator="lessThan">
      <formula>0</formula>
    </cfRule>
  </conditionalFormatting>
  <conditionalFormatting sqref="N6">
    <cfRule type="cellIs" dxfId="32" priority="28" operator="lessThan">
      <formula>0</formula>
    </cfRule>
  </conditionalFormatting>
  <conditionalFormatting sqref="N6">
    <cfRule type="cellIs" dxfId="31" priority="27" operator="lessThan">
      <formula>0</formula>
    </cfRule>
  </conditionalFormatting>
  <conditionalFormatting sqref="N6">
    <cfRule type="cellIs" dxfId="30" priority="26" operator="lessThan">
      <formula>0</formula>
    </cfRule>
  </conditionalFormatting>
  <conditionalFormatting sqref="N6">
    <cfRule type="cellIs" dxfId="29" priority="25" operator="lessThan">
      <formula>0</formula>
    </cfRule>
  </conditionalFormatting>
  <conditionalFormatting sqref="N17">
    <cfRule type="cellIs" dxfId="28" priority="24" operator="lessThan">
      <formula>0</formula>
    </cfRule>
  </conditionalFormatting>
  <conditionalFormatting sqref="N17">
    <cfRule type="cellIs" dxfId="27" priority="23" operator="lessThan">
      <formula>0</formula>
    </cfRule>
  </conditionalFormatting>
  <conditionalFormatting sqref="N17">
    <cfRule type="cellIs" dxfId="26" priority="22" operator="lessThan">
      <formula>0</formula>
    </cfRule>
  </conditionalFormatting>
  <conditionalFormatting sqref="N17">
    <cfRule type="cellIs" dxfId="25" priority="21" operator="lessThan">
      <formula>0</formula>
    </cfRule>
  </conditionalFormatting>
  <conditionalFormatting sqref="N17">
    <cfRule type="cellIs" dxfId="24" priority="20" operator="lessThan">
      <formula>0</formula>
    </cfRule>
  </conditionalFormatting>
  <conditionalFormatting sqref="N17">
    <cfRule type="cellIs" dxfId="23" priority="19" operator="lessThan">
      <formula>0</formula>
    </cfRule>
  </conditionalFormatting>
  <conditionalFormatting sqref="N17">
    <cfRule type="cellIs" dxfId="22" priority="18" operator="lessThan">
      <formula>0</formula>
    </cfRule>
  </conditionalFormatting>
  <conditionalFormatting sqref="N17">
    <cfRule type="cellIs" dxfId="21" priority="17" operator="lessThan">
      <formula>0</formula>
    </cfRule>
  </conditionalFormatting>
  <conditionalFormatting sqref="N20">
    <cfRule type="cellIs" dxfId="20" priority="16" operator="lessThan">
      <formula>0</formula>
    </cfRule>
  </conditionalFormatting>
  <conditionalFormatting sqref="N20">
    <cfRule type="cellIs" dxfId="19" priority="15" operator="lessThan">
      <formula>0</formula>
    </cfRule>
  </conditionalFormatting>
  <conditionalFormatting sqref="N20">
    <cfRule type="cellIs" dxfId="18" priority="14" operator="lessThan">
      <formula>0</formula>
    </cfRule>
  </conditionalFormatting>
  <conditionalFormatting sqref="N20">
    <cfRule type="cellIs" dxfId="17" priority="13" operator="lessThan">
      <formula>0</formula>
    </cfRule>
  </conditionalFormatting>
  <conditionalFormatting sqref="N20">
    <cfRule type="cellIs" dxfId="16" priority="12" operator="lessThan">
      <formula>0</formula>
    </cfRule>
  </conditionalFormatting>
  <conditionalFormatting sqref="N20">
    <cfRule type="cellIs" dxfId="15" priority="11" operator="lessThan">
      <formula>0</formula>
    </cfRule>
  </conditionalFormatting>
  <conditionalFormatting sqref="N20">
    <cfRule type="cellIs" dxfId="14" priority="10" operator="lessThan">
      <formula>0</formula>
    </cfRule>
  </conditionalFormatting>
  <conditionalFormatting sqref="N20">
    <cfRule type="cellIs" dxfId="13" priority="9" operator="lessThan">
      <formula>0</formula>
    </cfRule>
  </conditionalFormatting>
  <conditionalFormatting sqref="N21">
    <cfRule type="cellIs" dxfId="12" priority="8" operator="lessThan">
      <formula>0</formula>
    </cfRule>
  </conditionalFormatting>
  <conditionalFormatting sqref="N21">
    <cfRule type="cellIs" dxfId="11" priority="7" operator="lessThan">
      <formula>0</formula>
    </cfRule>
  </conditionalFormatting>
  <conditionalFormatting sqref="N21">
    <cfRule type="cellIs" dxfId="10" priority="6" operator="lessThan">
      <formula>0</formula>
    </cfRule>
  </conditionalFormatting>
  <conditionalFormatting sqref="N21">
    <cfRule type="cellIs" dxfId="9" priority="5" operator="lessThan">
      <formula>0</formula>
    </cfRule>
  </conditionalFormatting>
  <conditionalFormatting sqref="N21">
    <cfRule type="cellIs" dxfId="8" priority="4" operator="lessThan">
      <formula>0</formula>
    </cfRule>
  </conditionalFormatting>
  <conditionalFormatting sqref="N21">
    <cfRule type="cellIs" dxfId="7" priority="3" operator="lessThan">
      <formula>0</formula>
    </cfRule>
  </conditionalFormatting>
  <conditionalFormatting sqref="N21">
    <cfRule type="cellIs" dxfId="6" priority="2" operator="lessThan">
      <formula>0</formula>
    </cfRule>
  </conditionalFormatting>
  <conditionalFormatting sqref="N21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>
      <selection activeCell="I10" sqref="I10"/>
    </sheetView>
  </sheetViews>
  <sheetFormatPr defaultRowHeight="14.25" x14ac:dyDescent="0.2"/>
  <cols>
    <col min="1" max="1" width="11.375" bestFit="1" customWidth="1"/>
    <col min="2" max="3" width="10.125" bestFit="1" customWidth="1"/>
    <col min="5" max="5" width="29.625" bestFit="1" customWidth="1"/>
    <col min="6" max="6" width="9.25" bestFit="1" customWidth="1"/>
    <col min="7" max="7" width="13.375" customWidth="1"/>
    <col min="8" max="8" width="9.875" customWidth="1"/>
  </cols>
  <sheetData>
    <row r="1" spans="1:8" ht="15" x14ac:dyDescent="0.25">
      <c r="B1" s="156">
        <f>SUM(B3:B25)</f>
        <v>26340</v>
      </c>
    </row>
    <row r="2" spans="1:8" ht="45" x14ac:dyDescent="0.25">
      <c r="A2" s="3" t="s">
        <v>0</v>
      </c>
      <c r="B2" s="146" t="s">
        <v>131</v>
      </c>
      <c r="C2" s="146" t="s">
        <v>130</v>
      </c>
      <c r="E2" s="146" t="s">
        <v>77</v>
      </c>
      <c r="F2" s="146"/>
      <c r="G2" s="146" t="s">
        <v>139</v>
      </c>
      <c r="H2" s="146" t="s">
        <v>134</v>
      </c>
    </row>
    <row r="3" spans="1:8" x14ac:dyDescent="0.2">
      <c r="A3" s="85">
        <v>43119</v>
      </c>
      <c r="B3" s="2">
        <v>2000</v>
      </c>
      <c r="E3" t="s">
        <v>104</v>
      </c>
    </row>
    <row r="4" spans="1:8" x14ac:dyDescent="0.2">
      <c r="A4" s="85">
        <v>43122</v>
      </c>
      <c r="B4" s="2">
        <v>2360</v>
      </c>
      <c r="E4" t="s">
        <v>104</v>
      </c>
    </row>
    <row r="5" spans="1:8" x14ac:dyDescent="0.2">
      <c r="A5" s="85">
        <v>43286</v>
      </c>
      <c r="B5" s="2">
        <v>4000</v>
      </c>
      <c r="E5" t="s">
        <v>104</v>
      </c>
    </row>
    <row r="6" spans="1:8" x14ac:dyDescent="0.2">
      <c r="A6" s="85">
        <v>43711</v>
      </c>
      <c r="B6" s="2">
        <v>3500</v>
      </c>
      <c r="C6" s="2">
        <v>2900</v>
      </c>
      <c r="E6" t="s">
        <v>133</v>
      </c>
    </row>
    <row r="7" spans="1:8" ht="15" x14ac:dyDescent="0.25">
      <c r="A7" s="85">
        <v>43714</v>
      </c>
      <c r="B7" s="2">
        <v>3000</v>
      </c>
      <c r="C7" s="15">
        <f>C6+B7</f>
        <v>5900</v>
      </c>
      <c r="E7" t="s">
        <v>132</v>
      </c>
      <c r="F7" s="1">
        <v>43739</v>
      </c>
      <c r="G7" s="156">
        <v>5833.3</v>
      </c>
      <c r="H7" s="15">
        <f>G7/0.53</f>
        <v>11006.226415094339</v>
      </c>
    </row>
    <row r="8" spans="1:8" ht="15" x14ac:dyDescent="0.25">
      <c r="A8" s="85">
        <v>43739</v>
      </c>
      <c r="B8" s="2">
        <v>5000</v>
      </c>
      <c r="C8" s="15">
        <v>2321.23</v>
      </c>
      <c r="E8" t="s">
        <v>132</v>
      </c>
      <c r="F8" s="1">
        <v>43739</v>
      </c>
      <c r="G8" s="156">
        <f>G7+B8</f>
        <v>10833.3</v>
      </c>
      <c r="H8" s="15">
        <f t="shared" ref="H8:H10" si="0">G8/0.53</f>
        <v>20440.188679245282</v>
      </c>
    </row>
    <row r="9" spans="1:8" ht="15" x14ac:dyDescent="0.25">
      <c r="A9" s="85">
        <v>43795</v>
      </c>
      <c r="B9" s="2">
        <v>6480</v>
      </c>
      <c r="F9" s="1">
        <v>43795</v>
      </c>
      <c r="G9" s="156">
        <v>2321.23</v>
      </c>
      <c r="H9" s="15">
        <f t="shared" si="0"/>
        <v>4379.6792452830186</v>
      </c>
    </row>
    <row r="10" spans="1:8" x14ac:dyDescent="0.2">
      <c r="B10" s="15"/>
      <c r="G10" s="15">
        <f>G9+B9</f>
        <v>8801.23</v>
      </c>
      <c r="H10" s="15">
        <f t="shared" si="0"/>
        <v>16606.094339622639</v>
      </c>
    </row>
  </sheetData>
  <conditionalFormatting sqref="A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3"/>
  <sheetViews>
    <sheetView topLeftCell="B1" workbookViewId="0">
      <selection activeCell="Q7" sqref="Q7"/>
    </sheetView>
  </sheetViews>
  <sheetFormatPr defaultRowHeight="14.25" x14ac:dyDescent="0.2"/>
  <cols>
    <col min="1" max="1" width="2.625" bestFit="1" customWidth="1"/>
    <col min="2" max="2" width="14" bestFit="1" customWidth="1"/>
    <col min="4" max="4" width="7.375" bestFit="1" customWidth="1"/>
    <col min="5" max="5" width="7.25" bestFit="1" customWidth="1"/>
    <col min="6" max="6" width="6.625" customWidth="1"/>
    <col min="7" max="7" width="8" customWidth="1"/>
    <col min="8" max="8" width="11.625" bestFit="1" customWidth="1"/>
    <col min="9" max="9" width="10.125" bestFit="1" customWidth="1"/>
    <col min="10" max="12" width="9" hidden="1" customWidth="1"/>
    <col min="13" max="13" width="10.125" bestFit="1" customWidth="1"/>
    <col min="14" max="14" width="10.5" customWidth="1"/>
    <col min="15" max="16" width="10.125" bestFit="1" customWidth="1"/>
    <col min="17" max="17" width="10.125" customWidth="1"/>
    <col min="18" max="19" width="10.125" bestFit="1" customWidth="1"/>
    <col min="20" max="20" width="10.75" bestFit="1" customWidth="1"/>
    <col min="21" max="21" width="12.5" bestFit="1" customWidth="1"/>
  </cols>
  <sheetData>
    <row r="1" spans="1:23" ht="33.75" customHeight="1" x14ac:dyDescent="0.25">
      <c r="F1">
        <f>SUM((F3*G3)+(F4*G4)+(F5*G5)+(F6*G6))/SUM(G3:G6)</f>
        <v>0.95250000000000001</v>
      </c>
      <c r="G1" s="86">
        <f>SUM(G3:G6)</f>
        <v>16000</v>
      </c>
      <c r="T1" s="107">
        <f>T3-Q8-Q9</f>
        <v>11355.674900337788</v>
      </c>
      <c r="U1" s="4" t="s">
        <v>107</v>
      </c>
      <c r="V1" t="s">
        <v>108</v>
      </c>
    </row>
    <row r="2" spans="1:23" ht="33.75" x14ac:dyDescent="0.2">
      <c r="A2" s="109" t="s">
        <v>2</v>
      </c>
      <c r="B2" s="109" t="s">
        <v>20</v>
      </c>
      <c r="C2" s="109" t="s">
        <v>11</v>
      </c>
      <c r="D2" s="109" t="s">
        <v>67</v>
      </c>
      <c r="E2" s="109" t="s">
        <v>69</v>
      </c>
      <c r="F2" s="109" t="s">
        <v>18</v>
      </c>
      <c r="G2" s="109" t="s">
        <v>19</v>
      </c>
      <c r="H2" s="109" t="s">
        <v>15</v>
      </c>
      <c r="I2" s="109" t="s">
        <v>77</v>
      </c>
      <c r="J2" s="109" t="s">
        <v>71</v>
      </c>
      <c r="K2" s="109" t="s">
        <v>72</v>
      </c>
      <c r="L2" s="109" t="s">
        <v>73</v>
      </c>
      <c r="M2" s="176" t="s">
        <v>16</v>
      </c>
      <c r="N2" s="109" t="s">
        <v>17</v>
      </c>
      <c r="O2" s="110" t="s">
        <v>86</v>
      </c>
      <c r="P2" s="111" t="s">
        <v>87</v>
      </c>
      <c r="Q2" s="111" t="s">
        <v>166</v>
      </c>
      <c r="R2" s="111" t="s">
        <v>80</v>
      </c>
      <c r="S2" s="111" t="s">
        <v>81</v>
      </c>
      <c r="T2" s="112" t="s">
        <v>88</v>
      </c>
    </row>
    <row r="3" spans="1:23" ht="15" x14ac:dyDescent="0.25">
      <c r="A3" s="40">
        <v>1</v>
      </c>
      <c r="B3" s="14" t="s">
        <v>66</v>
      </c>
      <c r="C3" s="6">
        <v>42757</v>
      </c>
      <c r="D3" s="6" t="s">
        <v>68</v>
      </c>
      <c r="E3" s="6" t="s">
        <v>70</v>
      </c>
      <c r="F3" s="10">
        <v>0.95</v>
      </c>
      <c r="G3" s="160">
        <v>4000</v>
      </c>
      <c r="H3" s="10">
        <f t="shared" ref="H3:H13" si="0">F3*G3</f>
        <v>3800</v>
      </c>
      <c r="I3" s="10" t="s">
        <v>78</v>
      </c>
      <c r="J3" s="10"/>
      <c r="K3" s="10"/>
      <c r="L3" s="10"/>
      <c r="M3" s="10"/>
      <c r="N3" s="10"/>
      <c r="O3" s="108">
        <v>43685</v>
      </c>
      <c r="P3" s="7">
        <f t="shared" ref="P3:P6" si="1">IF(ISBLANK(F3), "", H3+M3+N3 )</f>
        <v>3800</v>
      </c>
      <c r="Q3" s="7">
        <f>P3+156.42</f>
        <v>3956.42</v>
      </c>
      <c r="R3" s="87">
        <f>G3*1.28 - G3*F3</f>
        <v>1320</v>
      </c>
      <c r="S3" s="209">
        <f>Q7-S7</f>
        <v>9046.6494318586228</v>
      </c>
      <c r="T3" s="208">
        <v>20527.330000000002</v>
      </c>
    </row>
    <row r="4" spans="1:23" ht="15" x14ac:dyDescent="0.25">
      <c r="A4" s="40">
        <v>2</v>
      </c>
      <c r="B4" s="14" t="s">
        <v>66</v>
      </c>
      <c r="C4" s="6">
        <v>42913</v>
      </c>
      <c r="D4" s="6" t="s">
        <v>68</v>
      </c>
      <c r="E4" s="6" t="s">
        <v>70</v>
      </c>
      <c r="F4" s="10">
        <v>0.99</v>
      </c>
      <c r="G4" s="160">
        <v>4000</v>
      </c>
      <c r="H4" s="10">
        <f t="shared" si="0"/>
        <v>3960</v>
      </c>
      <c r="I4" s="10" t="s">
        <v>78</v>
      </c>
      <c r="J4" s="10"/>
      <c r="K4" s="10"/>
      <c r="L4" s="10"/>
      <c r="M4" s="10"/>
      <c r="N4" s="10"/>
      <c r="O4" s="108">
        <v>43685</v>
      </c>
      <c r="P4" s="7">
        <f t="shared" si="1"/>
        <v>3960</v>
      </c>
      <c r="Q4" s="7">
        <f t="shared" ref="Q4:Q6" si="2">P4+156.42</f>
        <v>4116.42</v>
      </c>
      <c r="R4" s="87">
        <f t="shared" ref="R4:R6" si="3">G4*1.28 - G4*F4</f>
        <v>1160</v>
      </c>
      <c r="S4" s="210"/>
      <c r="T4" s="208"/>
    </row>
    <row r="5" spans="1:23" ht="15" x14ac:dyDescent="0.25">
      <c r="A5" s="40">
        <v>3</v>
      </c>
      <c r="B5" s="14" t="s">
        <v>66</v>
      </c>
      <c r="C5" s="6">
        <v>42921</v>
      </c>
      <c r="D5" s="6" t="s">
        <v>68</v>
      </c>
      <c r="E5" s="6" t="s">
        <v>70</v>
      </c>
      <c r="F5" s="10">
        <v>0.97</v>
      </c>
      <c r="G5" s="160">
        <v>4000</v>
      </c>
      <c r="H5" s="10">
        <f t="shared" si="0"/>
        <v>3880</v>
      </c>
      <c r="I5" s="10" t="s">
        <v>78</v>
      </c>
      <c r="J5" s="10"/>
      <c r="K5" s="10"/>
      <c r="L5" s="10"/>
      <c r="M5" s="10"/>
      <c r="N5" s="10"/>
      <c r="O5" s="108">
        <v>43685</v>
      </c>
      <c r="P5" s="7">
        <f t="shared" si="1"/>
        <v>3880</v>
      </c>
      <c r="Q5" s="7">
        <f t="shared" si="2"/>
        <v>4036.42</v>
      </c>
      <c r="R5" s="87">
        <f t="shared" si="3"/>
        <v>1240</v>
      </c>
      <c r="S5" s="210"/>
      <c r="T5" s="208"/>
    </row>
    <row r="6" spans="1:23" ht="15" x14ac:dyDescent="0.25">
      <c r="A6" s="40">
        <v>4</v>
      </c>
      <c r="B6" s="14" t="s">
        <v>66</v>
      </c>
      <c r="C6" s="6">
        <v>42927</v>
      </c>
      <c r="D6" s="6" t="s">
        <v>68</v>
      </c>
      <c r="E6" s="6" t="s">
        <v>70</v>
      </c>
      <c r="F6" s="10">
        <v>0.9</v>
      </c>
      <c r="G6" s="160">
        <v>4000</v>
      </c>
      <c r="H6" s="10">
        <f t="shared" si="0"/>
        <v>3600</v>
      </c>
      <c r="I6" s="10" t="s">
        <v>78</v>
      </c>
      <c r="J6" s="10"/>
      <c r="K6" s="10"/>
      <c r="L6" s="10"/>
      <c r="M6" s="10"/>
      <c r="N6" s="10"/>
      <c r="O6" s="108">
        <v>43685</v>
      </c>
      <c r="P6" s="7">
        <f t="shared" si="1"/>
        <v>3600</v>
      </c>
      <c r="Q6" s="7">
        <f t="shared" si="2"/>
        <v>3756.42</v>
      </c>
      <c r="R6" s="87">
        <f t="shared" si="3"/>
        <v>1520</v>
      </c>
      <c r="S6" s="211"/>
      <c r="T6" s="208"/>
    </row>
    <row r="7" spans="1:23" ht="16.5" x14ac:dyDescent="0.25">
      <c r="A7" s="140">
        <v>5</v>
      </c>
      <c r="B7" s="141" t="s">
        <v>66</v>
      </c>
      <c r="C7" s="108">
        <v>43685</v>
      </c>
      <c r="D7" s="108" t="s">
        <v>68</v>
      </c>
      <c r="E7" s="108" t="s">
        <v>70</v>
      </c>
      <c r="F7" s="142">
        <v>1.28</v>
      </c>
      <c r="G7" s="161">
        <v>16000</v>
      </c>
      <c r="H7" s="142">
        <f t="shared" si="0"/>
        <v>20480</v>
      </c>
      <c r="I7" s="121" t="s">
        <v>79</v>
      </c>
      <c r="J7" s="143"/>
      <c r="K7" s="143"/>
      <c r="L7" s="143"/>
      <c r="M7" s="144">
        <f>P7-H7</f>
        <v>-172.56999999999971</v>
      </c>
      <c r="N7" s="143"/>
      <c r="O7" s="108">
        <v>43685</v>
      </c>
      <c r="P7" s="139">
        <v>20307.43</v>
      </c>
      <c r="Q7" s="139">
        <f>P7/R11</f>
        <v>11114.079431858623</v>
      </c>
      <c r="R7" s="87">
        <f>P7-SUM(P3:P6)</f>
        <v>5067.43</v>
      </c>
      <c r="S7" s="145">
        <v>2067.4299999999998</v>
      </c>
      <c r="T7" s="208"/>
    </row>
    <row r="8" spans="1:23" ht="15" x14ac:dyDescent="0.25">
      <c r="A8" s="40">
        <v>6</v>
      </c>
      <c r="B8" s="14" t="s">
        <v>66</v>
      </c>
      <c r="C8" s="6">
        <v>43706</v>
      </c>
      <c r="D8" s="6" t="s">
        <v>68</v>
      </c>
      <c r="E8" s="6" t="s">
        <v>70</v>
      </c>
      <c r="F8" s="10">
        <v>1.37</v>
      </c>
      <c r="G8" s="160">
        <v>4000</v>
      </c>
      <c r="H8" s="166">
        <f>F8*G8</f>
        <v>5480</v>
      </c>
      <c r="I8" s="10" t="s">
        <v>78</v>
      </c>
      <c r="J8" s="25"/>
      <c r="K8" s="25"/>
      <c r="L8" s="25"/>
      <c r="M8" s="45">
        <f>P8-H8</f>
        <v>156.42000000000007</v>
      </c>
      <c r="N8" s="25"/>
      <c r="O8" s="25"/>
      <c r="P8" s="7">
        <v>5636.42</v>
      </c>
      <c r="Q8" s="7">
        <f t="shared" ref="Q8:Q9" si="4">P8/$R$11</f>
        <v>3084.7635368590009</v>
      </c>
      <c r="R8" s="25"/>
      <c r="S8" s="25"/>
      <c r="T8" s="45">
        <f>T3-Q8</f>
        <v>17442.566463141</v>
      </c>
      <c r="U8" s="15">
        <f>P8*0.5</f>
        <v>2818.21</v>
      </c>
      <c r="V8" s="15">
        <f>P8*0.52</f>
        <v>2930.9384</v>
      </c>
      <c r="W8">
        <f>( (F8*G8)+(F9*G9)+(F10*G10) ) / (G8+G9+G10)</f>
        <v>1.365</v>
      </c>
    </row>
    <row r="9" spans="1:23" ht="15" x14ac:dyDescent="0.25">
      <c r="A9" s="40">
        <v>7</v>
      </c>
      <c r="B9" s="14" t="s">
        <v>66</v>
      </c>
      <c r="C9" s="6">
        <v>43707</v>
      </c>
      <c r="D9" s="6" t="s">
        <v>68</v>
      </c>
      <c r="E9" s="6" t="s">
        <v>70</v>
      </c>
      <c r="F9" s="10">
        <v>1.37</v>
      </c>
      <c r="G9" s="160">
        <v>8000</v>
      </c>
      <c r="H9" s="166">
        <f t="shared" si="0"/>
        <v>10960</v>
      </c>
      <c r="I9" s="10" t="s">
        <v>78</v>
      </c>
      <c r="J9" s="25"/>
      <c r="K9" s="25"/>
      <c r="L9" s="25"/>
      <c r="M9" s="45">
        <f>P9-H9</f>
        <v>161.85000000000036</v>
      </c>
      <c r="N9" s="25"/>
      <c r="O9" s="25"/>
      <c r="P9" s="7">
        <v>11121.85</v>
      </c>
      <c r="Q9" s="7">
        <f t="shared" si="4"/>
        <v>6086.8915628032119</v>
      </c>
      <c r="R9" s="25"/>
      <c r="S9" s="25"/>
      <c r="T9" s="45">
        <f>T8-Q9</f>
        <v>11355.674900337788</v>
      </c>
      <c r="W9">
        <f>((F8*G8)+(F9*G9)+(F10*G10)+(F11*G11))/(G8+G9+G10+G11)</f>
        <v>1.5366666666666666</v>
      </c>
    </row>
    <row r="10" spans="1:23" ht="15" x14ac:dyDescent="0.25">
      <c r="A10" s="40">
        <v>8</v>
      </c>
      <c r="B10" s="14" t="s">
        <v>66</v>
      </c>
      <c r="C10" s="6">
        <v>43711</v>
      </c>
      <c r="D10" s="6" t="s">
        <v>68</v>
      </c>
      <c r="E10" s="6" t="s">
        <v>70</v>
      </c>
      <c r="F10" s="10">
        <v>1.35</v>
      </c>
      <c r="G10" s="160">
        <v>4000</v>
      </c>
      <c r="H10" s="166">
        <f t="shared" si="0"/>
        <v>5400</v>
      </c>
      <c r="I10" s="10" t="s">
        <v>78</v>
      </c>
      <c r="J10" s="25"/>
      <c r="K10" s="25"/>
      <c r="L10" s="25"/>
      <c r="M10" s="45">
        <f>P10-H10</f>
        <v>156.42000000000007</v>
      </c>
      <c r="N10" s="25"/>
      <c r="O10" s="25"/>
      <c r="P10" s="7">
        <v>5556.42</v>
      </c>
      <c r="Q10" s="7">
        <f>P10/$R$11</f>
        <v>3040.9802341688678</v>
      </c>
      <c r="R10" s="25"/>
      <c r="S10" s="25"/>
      <c r="T10" s="45">
        <f>T9-Q10</f>
        <v>8314.6946661689199</v>
      </c>
      <c r="U10" s="15">
        <f>T10*0.53</f>
        <v>4406.7881730695281</v>
      </c>
      <c r="V10" s="15">
        <f>T10*-0.52</f>
        <v>-4323.6412264078381</v>
      </c>
    </row>
    <row r="11" spans="1:23" ht="15" x14ac:dyDescent="0.25">
      <c r="A11" s="40">
        <v>9</v>
      </c>
      <c r="B11" s="14" t="s">
        <v>66</v>
      </c>
      <c r="C11" s="6">
        <v>43741</v>
      </c>
      <c r="D11" s="6" t="s">
        <v>68</v>
      </c>
      <c r="E11" s="6" t="s">
        <v>70</v>
      </c>
      <c r="F11" s="10">
        <v>1.88</v>
      </c>
      <c r="G11" s="160">
        <v>8000</v>
      </c>
      <c r="H11" s="166">
        <f t="shared" si="0"/>
        <v>15040</v>
      </c>
      <c r="I11" s="10" t="s">
        <v>78</v>
      </c>
      <c r="J11" s="25"/>
      <c r="K11" s="25"/>
      <c r="L11" s="25"/>
      <c r="M11" s="45">
        <v>161.85</v>
      </c>
      <c r="N11" s="25"/>
      <c r="O11" s="25"/>
      <c r="P11" s="7">
        <f>H11+M11</f>
        <v>15201.85</v>
      </c>
      <c r="Q11" s="31">
        <v>8319.84</v>
      </c>
      <c r="R11" s="25">
        <f>P11/Q11</f>
        <v>1.8271805707802073</v>
      </c>
      <c r="S11" s="25"/>
      <c r="T11" s="25"/>
      <c r="V11" s="15">
        <f>V8+V10</f>
        <v>-1392.7028264078381</v>
      </c>
    </row>
    <row r="12" spans="1:23" ht="15" x14ac:dyDescent="0.25">
      <c r="A12" s="40">
        <v>10</v>
      </c>
      <c r="B12" s="14" t="s">
        <v>66</v>
      </c>
      <c r="C12" s="6">
        <v>43795</v>
      </c>
      <c r="D12" s="6" t="s">
        <v>68</v>
      </c>
      <c r="E12" s="6" t="s">
        <v>70</v>
      </c>
      <c r="F12" s="10">
        <v>2</v>
      </c>
      <c r="G12" s="160">
        <v>8000</v>
      </c>
      <c r="H12" s="166">
        <f t="shared" si="0"/>
        <v>16000</v>
      </c>
      <c r="I12" s="10" t="s">
        <v>78</v>
      </c>
      <c r="J12" s="25"/>
      <c r="K12" s="25"/>
      <c r="L12" s="25"/>
      <c r="M12" s="45">
        <v>161.85</v>
      </c>
      <c r="N12" s="25"/>
      <c r="O12" s="25"/>
      <c r="P12" s="7">
        <f>H12+M12</f>
        <v>16161.85</v>
      </c>
      <c r="Q12" s="31">
        <v>8843.4699999999993</v>
      </c>
      <c r="R12" s="25">
        <f>P12/Q12</f>
        <v>1.8275462007560384</v>
      </c>
      <c r="S12" s="25"/>
      <c r="T12" s="25"/>
    </row>
    <row r="13" spans="1:23" ht="15" x14ac:dyDescent="0.25">
      <c r="A13" s="40">
        <v>11</v>
      </c>
      <c r="B13" s="14" t="s">
        <v>66</v>
      </c>
      <c r="C13" s="25"/>
      <c r="D13" s="6" t="s">
        <v>68</v>
      </c>
      <c r="E13" s="6" t="s">
        <v>70</v>
      </c>
      <c r="F13" s="25">
        <v>1.9</v>
      </c>
      <c r="G13" s="160">
        <v>8000</v>
      </c>
      <c r="H13" s="166">
        <f t="shared" si="0"/>
        <v>15200</v>
      </c>
      <c r="I13" s="25"/>
      <c r="J13" s="25"/>
      <c r="K13" s="25"/>
      <c r="L13" s="25"/>
      <c r="M13" s="45">
        <v>161.85</v>
      </c>
      <c r="N13" s="25"/>
      <c r="O13" s="25"/>
      <c r="P13" s="7">
        <f t="shared" ref="P13:P16" si="5">IF(ISBLANK(F13), "", H13+M13+N13 )</f>
        <v>15361.85</v>
      </c>
      <c r="Q13" s="7"/>
      <c r="R13" s="25"/>
      <c r="S13" s="25"/>
      <c r="T13" s="25"/>
      <c r="U13" t="s">
        <v>105</v>
      </c>
      <c r="V13" t="s">
        <v>70</v>
      </c>
      <c r="W13" t="s">
        <v>106</v>
      </c>
    </row>
    <row r="14" spans="1:23" ht="15" x14ac:dyDescent="0.25">
      <c r="A14" s="40">
        <v>12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7" t="str">
        <f t="shared" si="5"/>
        <v/>
      </c>
      <c r="Q14" s="7"/>
      <c r="R14" s="25"/>
      <c r="S14" s="25"/>
      <c r="T14" s="25"/>
      <c r="U14">
        <v>3500</v>
      </c>
      <c r="V14" s="15">
        <v>6535.95</v>
      </c>
      <c r="W14" s="15">
        <f>V14+T10</f>
        <v>14850.644666168919</v>
      </c>
    </row>
    <row r="15" spans="1:23" ht="15" x14ac:dyDescent="0.25">
      <c r="A15" s="40">
        <v>13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7" t="str">
        <f t="shared" si="5"/>
        <v/>
      </c>
      <c r="Q15" s="7"/>
      <c r="R15" s="25"/>
      <c r="S15" s="25"/>
      <c r="T15" s="25"/>
      <c r="U15">
        <v>2900</v>
      </c>
      <c r="V15">
        <f>U15/0.52</f>
        <v>5576.9230769230771</v>
      </c>
    </row>
    <row r="16" spans="1:23" ht="15" x14ac:dyDescent="0.25">
      <c r="A16" s="40">
        <v>14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7" t="str">
        <f t="shared" si="5"/>
        <v/>
      </c>
      <c r="Q16" s="7"/>
      <c r="R16" s="25"/>
      <c r="S16" s="25"/>
      <c r="T16" s="25"/>
      <c r="U16">
        <v>3000</v>
      </c>
      <c r="V16">
        <f>U16/0.52</f>
        <v>5769.2307692307686</v>
      </c>
    </row>
    <row r="17" spans="1:22" x14ac:dyDescent="0.2">
      <c r="A17" s="163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R17" s="164"/>
      <c r="S17" s="164"/>
      <c r="T17" s="164"/>
    </row>
    <row r="18" spans="1:22" x14ac:dyDescent="0.2">
      <c r="A18" s="163"/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R18" s="164"/>
      <c r="S18" s="164"/>
      <c r="T18" s="164"/>
    </row>
    <row r="19" spans="1:22" ht="60" x14ac:dyDescent="0.2">
      <c r="A19" s="163"/>
      <c r="B19" s="164"/>
      <c r="C19" s="164"/>
      <c r="D19" s="164"/>
      <c r="E19" s="164"/>
      <c r="F19" s="164"/>
      <c r="G19" s="177" t="s">
        <v>143</v>
      </c>
      <c r="H19" s="174" t="s">
        <v>152</v>
      </c>
      <c r="I19" s="174" t="s">
        <v>159</v>
      </c>
      <c r="J19" s="164"/>
      <c r="K19" s="164"/>
      <c r="L19" s="164"/>
      <c r="M19" s="175" t="s">
        <v>151</v>
      </c>
      <c r="N19" s="175" t="s">
        <v>160</v>
      </c>
      <c r="O19" s="175" t="s">
        <v>150</v>
      </c>
      <c r="P19" s="175" t="s">
        <v>155</v>
      </c>
      <c r="R19" s="164"/>
      <c r="S19" s="164"/>
      <c r="T19" s="164"/>
    </row>
    <row r="20" spans="1:22" x14ac:dyDescent="0.2">
      <c r="A20" s="163"/>
      <c r="B20" s="164"/>
      <c r="C20" s="164"/>
      <c r="D20" s="164"/>
      <c r="E20" s="164"/>
      <c r="F20" s="164"/>
      <c r="G20" s="168">
        <f>SUBTOTAL(9,G8:G12)</f>
        <v>32000</v>
      </c>
      <c r="H20" s="167">
        <f>SUM(H8:H12)/SUM(G8:G12)</f>
        <v>1.6525000000000001</v>
      </c>
      <c r="I20" s="173">
        <f>G20*H20</f>
        <v>52880</v>
      </c>
      <c r="J20" s="164"/>
      <c r="K20" s="164"/>
      <c r="L20" s="164"/>
      <c r="M20" s="164">
        <v>2.4</v>
      </c>
      <c r="N20" s="169">
        <f>M20*G20</f>
        <v>76800</v>
      </c>
      <c r="O20" s="173">
        <f>(M20*G20) - (G20*H20)</f>
        <v>23920</v>
      </c>
      <c r="P20" s="200">
        <f>O20*(52/100)</f>
        <v>12438.4</v>
      </c>
      <c r="R20" s="164"/>
      <c r="S20" s="164"/>
      <c r="T20" s="164"/>
    </row>
    <row r="22" spans="1:22" x14ac:dyDescent="0.2">
      <c r="E22" t="s">
        <v>145</v>
      </c>
      <c r="F22" t="s">
        <v>140</v>
      </c>
      <c r="G22" t="s">
        <v>141</v>
      </c>
      <c r="H22" t="s">
        <v>142</v>
      </c>
      <c r="U22">
        <f>16000*0.6</f>
        <v>9600</v>
      </c>
      <c r="V22">
        <f>U22*0.52</f>
        <v>4992</v>
      </c>
    </row>
    <row r="23" spans="1:22" x14ac:dyDescent="0.2">
      <c r="D23" t="s">
        <v>144</v>
      </c>
      <c r="E23" s="169">
        <f>G13</f>
        <v>8000</v>
      </c>
      <c r="F23" s="159">
        <f>F13</f>
        <v>1.9</v>
      </c>
      <c r="G23" s="162">
        <f>SUM(G8:G13)</f>
        <v>40000</v>
      </c>
      <c r="H23" s="165">
        <f>SUM(H8:H13)/$G23</f>
        <v>1.702</v>
      </c>
      <c r="P23" s="15">
        <f>P12*0.53</f>
        <v>8565.7805000000008</v>
      </c>
    </row>
  </sheetData>
  <autoFilter ref="A1:W16" xr:uid="{2DBA265A-AE93-4D2B-9610-96E5423533F8}"/>
  <mergeCells count="2">
    <mergeCell ref="T3:T7"/>
    <mergeCell ref="S3:S6"/>
  </mergeCells>
  <conditionalFormatting sqref="I3:I6">
    <cfRule type="cellIs" dxfId="4" priority="5" operator="equal">
      <formula>"SELL"</formula>
    </cfRule>
  </conditionalFormatting>
  <conditionalFormatting sqref="R7">
    <cfRule type="cellIs" dxfId="3" priority="4" operator="greaterThan">
      <formula>0</formula>
    </cfRule>
  </conditionalFormatting>
  <conditionalFormatting sqref="I8:I9">
    <cfRule type="cellIs" dxfId="2" priority="3" operator="equal">
      <formula>"SELL"</formula>
    </cfRule>
  </conditionalFormatting>
  <conditionalFormatting sqref="I10:I11">
    <cfRule type="cellIs" dxfId="1" priority="2" operator="equal">
      <formula>"SELL"</formula>
    </cfRule>
  </conditionalFormatting>
  <conditionalFormatting sqref="I12">
    <cfRule type="cellIs" dxfId="0" priority="1" operator="equal">
      <formula>"SELL"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583B-0041-4DC2-9797-0403E97BC8F1}">
  <sheetPr codeName="Sheet1"/>
  <dimension ref="A1:L6"/>
  <sheetViews>
    <sheetView workbookViewId="0">
      <selection activeCell="L2" sqref="L2"/>
    </sheetView>
  </sheetViews>
  <sheetFormatPr defaultColWidth="29.125" defaultRowHeight="14.25" x14ac:dyDescent="0.2"/>
  <cols>
    <col min="1" max="1" width="4.875" bestFit="1" customWidth="1"/>
    <col min="2" max="2" width="8.375" bestFit="1" customWidth="1"/>
    <col min="3" max="3" width="5.375" bestFit="1" customWidth="1"/>
    <col min="4" max="4" width="4.125" bestFit="1" customWidth="1"/>
    <col min="5" max="5" width="6.75" bestFit="1" customWidth="1"/>
    <col min="6" max="6" width="9.375" bestFit="1" customWidth="1"/>
    <col min="7" max="7" width="12.75" bestFit="1" customWidth="1"/>
    <col min="8" max="8" width="7.25" bestFit="1" customWidth="1"/>
    <col min="9" max="9" width="4.125" bestFit="1" customWidth="1"/>
    <col min="10" max="10" width="5.125" bestFit="1" customWidth="1"/>
    <col min="11" max="11" width="4.875" bestFit="1" customWidth="1"/>
    <col min="12" max="12" width="7.125" bestFit="1" customWidth="1"/>
  </cols>
  <sheetData>
    <row r="1" spans="1:12" x14ac:dyDescent="0.2">
      <c r="A1" s="122" t="s">
        <v>109</v>
      </c>
      <c r="B1" s="123" t="s">
        <v>110</v>
      </c>
      <c r="C1" s="123" t="s">
        <v>111</v>
      </c>
      <c r="D1" s="123" t="s">
        <v>112</v>
      </c>
      <c r="E1" s="122" t="s">
        <v>113</v>
      </c>
      <c r="F1" s="123" t="s">
        <v>114</v>
      </c>
      <c r="G1" s="122" t="s">
        <v>115</v>
      </c>
      <c r="H1" s="122" t="s">
        <v>116</v>
      </c>
      <c r="I1" s="122" t="s">
        <v>117</v>
      </c>
      <c r="J1" s="122" t="s">
        <v>118</v>
      </c>
      <c r="K1" s="123" t="s">
        <v>77</v>
      </c>
      <c r="L1" s="122" t="s">
        <v>119</v>
      </c>
    </row>
    <row r="2" spans="1:12" x14ac:dyDescent="0.2">
      <c r="A2" s="124"/>
      <c r="B2" s="125">
        <v>43533</v>
      </c>
      <c r="C2" s="124" t="s">
        <v>120</v>
      </c>
      <c r="D2" s="124" t="s">
        <v>121</v>
      </c>
      <c r="E2" s="124" t="s">
        <v>122</v>
      </c>
      <c r="F2" s="126" t="s">
        <v>123</v>
      </c>
      <c r="G2" s="124">
        <v>26709016001</v>
      </c>
      <c r="H2" s="124" t="s">
        <v>70</v>
      </c>
      <c r="I2" s="127">
        <v>1.35</v>
      </c>
      <c r="J2" s="128">
        <v>4000</v>
      </c>
      <c r="K2" s="129" t="s">
        <v>124</v>
      </c>
      <c r="L2" s="130">
        <v>5556.42</v>
      </c>
    </row>
    <row r="3" spans="1:12" x14ac:dyDescent="0.2">
      <c r="A3" s="131"/>
      <c r="B3" s="131" t="s">
        <v>125</v>
      </c>
      <c r="C3" s="131" t="s">
        <v>120</v>
      </c>
      <c r="D3" s="131" t="s">
        <v>121</v>
      </c>
      <c r="E3" s="131" t="s">
        <v>122</v>
      </c>
      <c r="F3" s="132" t="s">
        <v>123</v>
      </c>
      <c r="G3" s="131">
        <v>26694281000</v>
      </c>
      <c r="H3" s="131" t="s">
        <v>70</v>
      </c>
      <c r="I3" s="133">
        <v>1.37</v>
      </c>
      <c r="J3" s="134">
        <v>8000</v>
      </c>
      <c r="K3" s="135" t="s">
        <v>124</v>
      </c>
      <c r="L3" s="136">
        <v>11121.85</v>
      </c>
    </row>
    <row r="4" spans="1:12" x14ac:dyDescent="0.2">
      <c r="A4" s="124"/>
      <c r="B4" s="124" t="s">
        <v>126</v>
      </c>
      <c r="C4" s="124" t="s">
        <v>120</v>
      </c>
      <c r="D4" s="124" t="s">
        <v>121</v>
      </c>
      <c r="E4" s="124" t="s">
        <v>122</v>
      </c>
      <c r="F4" s="126" t="s">
        <v>123</v>
      </c>
      <c r="G4" s="124">
        <v>26679464001</v>
      </c>
      <c r="H4" s="124" t="s">
        <v>70</v>
      </c>
      <c r="I4" s="127">
        <v>1.37</v>
      </c>
      <c r="J4" s="128">
        <v>4000</v>
      </c>
      <c r="K4" s="129" t="s">
        <v>124</v>
      </c>
      <c r="L4" s="130">
        <v>5636.42</v>
      </c>
    </row>
    <row r="5" spans="1:12" x14ac:dyDescent="0.2">
      <c r="A5" s="131"/>
      <c r="B5" s="137">
        <v>43685</v>
      </c>
      <c r="C5" s="131" t="s">
        <v>120</v>
      </c>
      <c r="D5" s="131" t="s">
        <v>121</v>
      </c>
      <c r="E5" s="131" t="s">
        <v>122</v>
      </c>
      <c r="F5" s="132" t="s">
        <v>123</v>
      </c>
      <c r="G5" s="131">
        <v>26473746000</v>
      </c>
      <c r="H5" s="131" t="s">
        <v>70</v>
      </c>
      <c r="I5" s="133">
        <v>1.28</v>
      </c>
      <c r="J5" s="134">
        <v>16000</v>
      </c>
      <c r="K5" s="138" t="s">
        <v>127</v>
      </c>
      <c r="L5" s="136">
        <v>20307.43</v>
      </c>
    </row>
    <row r="6" spans="1:12" x14ac:dyDescent="0.2">
      <c r="A6" s="124"/>
      <c r="B6" s="124" t="s">
        <v>128</v>
      </c>
      <c r="C6" s="124" t="s">
        <v>120</v>
      </c>
      <c r="D6" s="124" t="s">
        <v>121</v>
      </c>
      <c r="E6" s="124" t="s">
        <v>122</v>
      </c>
      <c r="F6" s="126" t="s">
        <v>123</v>
      </c>
      <c r="G6" s="124" t="s">
        <v>129</v>
      </c>
      <c r="H6" s="124" t="s">
        <v>70</v>
      </c>
      <c r="I6" s="127">
        <v>1.1399999999999999</v>
      </c>
      <c r="J6" s="128">
        <v>16000</v>
      </c>
      <c r="K6" s="129" t="s">
        <v>124</v>
      </c>
      <c r="L6" s="130">
        <v>18240</v>
      </c>
    </row>
  </sheetData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6146" r:id="rId4" name="Control 2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85725</xdr:rowOff>
              </to>
            </anchor>
          </controlPr>
        </control>
      </mc:Choice>
      <mc:Fallback>
        <control shapeId="6146" r:id="rId4" name="Control 2"/>
      </mc:Fallback>
    </mc:AlternateContent>
    <mc:AlternateContent xmlns:mc="http://schemas.openxmlformats.org/markup-compatibility/2006">
      <mc:Choice Requires="x14">
        <control shapeId="6147" r:id="rId6" name="Control 3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85725</xdr:rowOff>
              </to>
            </anchor>
          </controlPr>
        </control>
      </mc:Choice>
      <mc:Fallback>
        <control shapeId="6147" r:id="rId6" name="Control 3"/>
      </mc:Fallback>
    </mc:AlternateContent>
    <mc:AlternateContent xmlns:mc="http://schemas.openxmlformats.org/markup-compatibility/2006">
      <mc:Choice Requires="x14">
        <control shapeId="6148" r:id="rId7" name="Control 4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85725</xdr:rowOff>
              </to>
            </anchor>
          </controlPr>
        </control>
      </mc:Choice>
      <mc:Fallback>
        <control shapeId="6148" r:id="rId7" name="Control 4"/>
      </mc:Fallback>
    </mc:AlternateContent>
    <mc:AlternateContent xmlns:mc="http://schemas.openxmlformats.org/markup-compatibility/2006">
      <mc:Choice Requires="x14">
        <control shapeId="6149" r:id="rId8" name="Control 5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85725</xdr:rowOff>
              </to>
            </anchor>
          </controlPr>
        </control>
      </mc:Choice>
      <mc:Fallback>
        <control shapeId="6149" r:id="rId8" name="Control 5"/>
      </mc:Fallback>
    </mc:AlternateContent>
    <mc:AlternateContent xmlns:mc="http://schemas.openxmlformats.org/markup-compatibility/2006">
      <mc:Choice Requires="x14">
        <control shapeId="6150" r:id="rId9" name="Control 6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85725</xdr:rowOff>
              </to>
            </anchor>
          </controlPr>
        </control>
      </mc:Choice>
      <mc:Fallback>
        <control shapeId="6150" r:id="rId9" name="Control 6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118C-9683-40C0-AF60-B1791908216D}">
  <dimension ref="A1:D4"/>
  <sheetViews>
    <sheetView topLeftCell="D1" workbookViewId="0">
      <selection activeCell="E16" sqref="E16"/>
    </sheetView>
  </sheetViews>
  <sheetFormatPr defaultColWidth="25.5" defaultRowHeight="14.25" x14ac:dyDescent="0.2"/>
  <cols>
    <col min="1" max="1" width="12.375" bestFit="1" customWidth="1"/>
    <col min="2" max="2" width="16.5" bestFit="1" customWidth="1"/>
    <col min="3" max="3" width="8" bestFit="1" customWidth="1"/>
    <col min="4" max="4" width="8.75" bestFit="1" customWidth="1"/>
  </cols>
  <sheetData>
    <row r="1" spans="1:4" x14ac:dyDescent="0.2">
      <c r="A1" s="118" t="s">
        <v>93</v>
      </c>
      <c r="B1" s="118" t="s">
        <v>94</v>
      </c>
      <c r="C1" s="118" t="s">
        <v>95</v>
      </c>
      <c r="D1" s="118" t="s">
        <v>96</v>
      </c>
    </row>
    <row r="2" spans="1:4" x14ac:dyDescent="0.2">
      <c r="A2" s="114">
        <v>43708</v>
      </c>
      <c r="B2" s="115" t="s">
        <v>97</v>
      </c>
      <c r="C2" s="115"/>
      <c r="D2" s="115" t="s">
        <v>98</v>
      </c>
    </row>
    <row r="3" spans="1:4" ht="22.5" x14ac:dyDescent="0.2">
      <c r="A3" s="116">
        <v>43706</v>
      </c>
      <c r="B3" s="117" t="s">
        <v>99</v>
      </c>
      <c r="C3" s="117" t="s">
        <v>100</v>
      </c>
      <c r="D3" s="117"/>
    </row>
    <row r="4" spans="1:4" ht="22.5" x14ac:dyDescent="0.2">
      <c r="A4" s="119">
        <v>43690</v>
      </c>
      <c r="B4" s="120" t="s">
        <v>101</v>
      </c>
      <c r="C4" s="120"/>
      <c r="D4" s="120" t="s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</vt:lpstr>
      <vt:lpstr>Sellable List</vt:lpstr>
      <vt:lpstr>Dividend</vt:lpstr>
      <vt:lpstr>Buy</vt:lpstr>
      <vt:lpstr>Sell</vt:lpstr>
      <vt:lpstr>Global Txn</vt:lpstr>
      <vt:lpstr>Global Buy</vt:lpstr>
      <vt:lpstr>Sheet1</vt:lpstr>
      <vt:lpstr>MBB Transaction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1242255</dc:creator>
  <cp:lastModifiedBy>Liau, Swee Yean</cp:lastModifiedBy>
  <dcterms:created xsi:type="dcterms:W3CDTF">2014-07-03T18:35:52Z</dcterms:created>
  <dcterms:modified xsi:type="dcterms:W3CDTF">2019-12-04T03:21:39Z</dcterms:modified>
</cp:coreProperties>
</file>